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465" yWindow="-30" windowWidth="13320" windowHeight="8190" tabRatio="713" firstSheet="1" activeTab="9"/>
  </bookViews>
  <sheets>
    <sheet name="Assumption" sheetId="17" state="hidden" r:id="rId1"/>
    <sheet name="IBP" sheetId="1" r:id="rId2"/>
    <sheet name="ASI" sheetId="2" r:id="rId3"/>
    <sheet name="AND 1" sheetId="3" r:id="rId4"/>
    <sheet name="ADY 1" sheetId="4" r:id="rId5"/>
    <sheet name="AND+ADY+ASI+IBP" sheetId="5" state="hidden" r:id="rId6"/>
    <sheet name="SUMMARY PER DIVISI" sheetId="18" r:id="rId7"/>
    <sheet name="SUMMARY PER ACCOUNT" sheetId="19" r:id="rId8"/>
    <sheet name="detil" sheetId="16" r:id="rId9"/>
    <sheet name="Final" sheetId="21" r:id="rId10"/>
    <sheet name="Expenses ICT" sheetId="10" state="hidden" r:id="rId11"/>
    <sheet name="Capex ICT 2013" sheetId="11" state="hidden" r:id="rId12"/>
    <sheet name="AND 1 (2012)" sheetId="12" state="hidden" r:id="rId13"/>
    <sheet name="ADY 1 (2012)" sheetId="13" state="hidden" r:id="rId14"/>
    <sheet name="Booklet2012" sheetId="9" state="hidden" r:id="rId15"/>
  </sheets>
  <definedNames>
    <definedName name="Excel_BuiltIn__FilterDatabase" localSheetId="6">'SUMMARY PER DIVISI'!$A$4:$AG$120</definedName>
    <definedName name="Excel_BuiltIn__FilterDatabase">'AND+ADY+ASI+IBP'!$A$4:$V$120</definedName>
    <definedName name="Excel_BuiltIn__FilterDatabase_1" localSheetId="6">'SUMMARY PER DIVISI'!$A$4:$AG$120</definedName>
    <definedName name="Excel_BuiltIn__FilterDatabase_1">'AND+ADY+ASI+IBP'!$A$4:$V$120</definedName>
    <definedName name="Excel_BuiltIn_Print_Area" localSheetId="9">#REF!</definedName>
    <definedName name="Excel_BuiltIn_Print_Area">#REF!</definedName>
    <definedName name="Excel_BuiltIn_Print_Area_1" localSheetId="6">('SUMMARY PER DIVISI'!$A$1:$AG$128,'SUMMARY PER DIVISI'!$A$129:$AD$131)</definedName>
    <definedName name="Excel_BuiltIn_Print_Area_1">('AND+ADY+ASI+IBP'!$A$1:$V$132,'AND+ADY+ASI+IBP'!$A$133:$S$183)</definedName>
    <definedName name="Excel_BuiltIn_Print_Area_2_1" localSheetId="9">#REF!</definedName>
    <definedName name="Excel_BuiltIn_Print_Area_2_1">#REF!</definedName>
    <definedName name="Excel_BuiltIn_Print_Area_2_1_1" localSheetId="9">#REF!</definedName>
    <definedName name="Excel_BuiltIn_Print_Area_2_1_1">#REF!</definedName>
    <definedName name="Excel_BuiltIn_Print_Area_2_1_1_1" localSheetId="9">#REF!</definedName>
    <definedName name="Excel_BuiltIn_Print_Area_2_1_1_1">#REF!</definedName>
    <definedName name="_xlnm.Print_Area" localSheetId="5">'AND+ADY+ASI+IBP'!$A$1:$S$132</definedName>
    <definedName name="_xlnm.Print_Area" localSheetId="0">Assumption!$A$1:$L$34</definedName>
    <definedName name="_xlnm.Print_Area" localSheetId="8">detil!$A$1:$M$43</definedName>
    <definedName name="_xlnm.Print_Area" localSheetId="9">Final!$A$1:$M$43</definedName>
    <definedName name="_xlnm.Print_Area" localSheetId="6">'SUMMARY PER DIVISI'!$A$4:$AG$128</definedName>
    <definedName name="_xlnm.Print_Titles" localSheetId="6">'SUMMARY PER DIVISI'!$1:$5</definedName>
  </definedNames>
  <calcPr calcId="144525"/>
</workbook>
</file>

<file path=xl/calcChain.xml><?xml version="1.0" encoding="utf-8"?>
<calcChain xmlns="http://schemas.openxmlformats.org/spreadsheetml/2006/main">
  <c r="AL55" i="18" l="1"/>
  <c r="AK55" i="18"/>
  <c r="AI55" i="18"/>
  <c r="AB33" i="3"/>
  <c r="AJ55" i="18"/>
  <c r="AC6" i="3"/>
  <c r="AL56" i="18"/>
  <c r="AK56" i="18"/>
  <c r="AJ56" i="18"/>
  <c r="AI56" i="18"/>
  <c r="R44" i="18" l="1"/>
  <c r="P6" i="18" l="1"/>
  <c r="P11" i="18"/>
  <c r="AB6" i="3"/>
  <c r="AB11" i="3"/>
  <c r="I41" i="21" l="1"/>
  <c r="H41" i="21"/>
  <c r="G41" i="21"/>
  <c r="F41" i="21"/>
  <c r="E41" i="21"/>
  <c r="I38" i="21"/>
  <c r="N38" i="21" s="1"/>
  <c r="H38" i="21"/>
  <c r="G38" i="21"/>
  <c r="F38" i="21"/>
  <c r="E38" i="21"/>
  <c r="I35" i="21"/>
  <c r="H35" i="21"/>
  <c r="G35" i="21"/>
  <c r="F35" i="21"/>
  <c r="E35" i="21"/>
  <c r="J35" i="21" s="1"/>
  <c r="K35" i="21" s="1"/>
  <c r="L35" i="21" s="1"/>
  <c r="M35" i="21" s="1"/>
  <c r="I33" i="21"/>
  <c r="N33" i="21" s="1"/>
  <c r="H33" i="21"/>
  <c r="G33" i="21"/>
  <c r="F33" i="21"/>
  <c r="E33" i="21"/>
  <c r="J33" i="21" s="1"/>
  <c r="K33" i="21" s="1"/>
  <c r="L33" i="21" s="1"/>
  <c r="M33" i="21" s="1"/>
  <c r="I31" i="21"/>
  <c r="H31" i="21"/>
  <c r="G31" i="21"/>
  <c r="F31" i="21"/>
  <c r="E31" i="21"/>
  <c r="J31" i="21" s="1"/>
  <c r="K31" i="21" s="1"/>
  <c r="L31" i="21" s="1"/>
  <c r="M31" i="21" s="1"/>
  <c r="I29" i="21"/>
  <c r="N29" i="21" s="1"/>
  <c r="H29" i="21"/>
  <c r="G29" i="21"/>
  <c r="F29" i="21"/>
  <c r="E29" i="21"/>
  <c r="J29" i="21" s="1"/>
  <c r="K29" i="21" s="1"/>
  <c r="L29" i="21" s="1"/>
  <c r="M29" i="21" s="1"/>
  <c r="I27" i="21"/>
  <c r="H27" i="21"/>
  <c r="G27" i="21"/>
  <c r="F27" i="21"/>
  <c r="E27" i="21"/>
  <c r="J27" i="21" s="1"/>
  <c r="K27" i="21" s="1"/>
  <c r="L27" i="21" s="1"/>
  <c r="M27" i="21" s="1"/>
  <c r="I25" i="21"/>
  <c r="H25" i="21"/>
  <c r="G25" i="21"/>
  <c r="F25" i="21"/>
  <c r="E25" i="21"/>
  <c r="J25" i="21" s="1"/>
  <c r="K25" i="21" s="1"/>
  <c r="L25" i="21" s="1"/>
  <c r="M25" i="21" s="1"/>
  <c r="D22" i="21"/>
  <c r="I21" i="21"/>
  <c r="N21" i="21" s="1"/>
  <c r="H21" i="21"/>
  <c r="G21" i="21"/>
  <c r="F21" i="21"/>
  <c r="E21" i="21"/>
  <c r="J21" i="21" s="1"/>
  <c r="K21" i="21" s="1"/>
  <c r="L21" i="21" s="1"/>
  <c r="M21" i="21" s="1"/>
  <c r="H20" i="21"/>
  <c r="E20" i="21"/>
  <c r="E22" i="21" s="1"/>
  <c r="D18" i="21"/>
  <c r="I17" i="21"/>
  <c r="H17" i="21"/>
  <c r="G17" i="21"/>
  <c r="F17" i="21"/>
  <c r="E17" i="21"/>
  <c r="J17" i="21" s="1"/>
  <c r="M16" i="21"/>
  <c r="K16" i="21"/>
  <c r="I16" i="21"/>
  <c r="N16" i="21" s="1"/>
  <c r="H16" i="21"/>
  <c r="H18" i="21" s="1"/>
  <c r="G16" i="21"/>
  <c r="F16" i="21"/>
  <c r="F18" i="21" s="1"/>
  <c r="E16" i="21"/>
  <c r="D14" i="21"/>
  <c r="I13" i="21"/>
  <c r="N13" i="21" s="1"/>
  <c r="H13" i="21"/>
  <c r="G13" i="21"/>
  <c r="F13" i="21"/>
  <c r="E13" i="21"/>
  <c r="J13" i="21" s="1"/>
  <c r="K13" i="21" s="1"/>
  <c r="L13" i="21" s="1"/>
  <c r="M13" i="21" s="1"/>
  <c r="I12" i="21"/>
  <c r="H12" i="21"/>
  <c r="G12" i="21"/>
  <c r="F12" i="21"/>
  <c r="E12" i="21"/>
  <c r="J12" i="21" s="1"/>
  <c r="K12" i="21" s="1"/>
  <c r="L12" i="21" s="1"/>
  <c r="M12" i="21" s="1"/>
  <c r="I11" i="21"/>
  <c r="N11" i="21" s="1"/>
  <c r="H11" i="21"/>
  <c r="H14" i="21" s="1"/>
  <c r="G11" i="21"/>
  <c r="F11" i="21"/>
  <c r="F14" i="21" s="1"/>
  <c r="E11" i="21"/>
  <c r="D9" i="21"/>
  <c r="I8" i="21"/>
  <c r="H8" i="21"/>
  <c r="G8" i="21"/>
  <c r="F8" i="21"/>
  <c r="E8" i="21"/>
  <c r="J8" i="21" s="1"/>
  <c r="K8" i="21" s="1"/>
  <c r="L8" i="21" s="1"/>
  <c r="M8" i="21" s="1"/>
  <c r="H7" i="21"/>
  <c r="E7" i="21"/>
  <c r="J7" i="21" s="1"/>
  <c r="K7" i="21" s="1"/>
  <c r="L7" i="21" s="1"/>
  <c r="M7" i="21" s="1"/>
  <c r="I6" i="21"/>
  <c r="H6" i="21"/>
  <c r="G6" i="21"/>
  <c r="F6" i="21"/>
  <c r="E6" i="21"/>
  <c r="N8" i="21" l="1"/>
  <c r="N25" i="21"/>
  <c r="N12" i="21"/>
  <c r="N27" i="21"/>
  <c r="N31" i="21"/>
  <c r="N35" i="21"/>
  <c r="H9" i="21"/>
  <c r="O35" i="21"/>
  <c r="N41" i="21"/>
  <c r="O41" i="21" s="1"/>
  <c r="O8" i="21"/>
  <c r="O25" i="21"/>
  <c r="O27" i="21"/>
  <c r="O29" i="21"/>
  <c r="O31" i="21"/>
  <c r="O33" i="21"/>
  <c r="N6" i="21"/>
  <c r="E9" i="21"/>
  <c r="G14" i="21"/>
  <c r="E18" i="21"/>
  <c r="O38" i="21"/>
  <c r="J6" i="21"/>
  <c r="J9" i="21" s="1"/>
  <c r="G18" i="21"/>
  <c r="I18" i="21"/>
  <c r="N18" i="21" s="1"/>
  <c r="H22" i="21"/>
  <c r="O6" i="21"/>
  <c r="K6" i="21"/>
  <c r="O18" i="21"/>
  <c r="H23" i="21"/>
  <c r="H36" i="21" s="1"/>
  <c r="H39" i="21" s="1"/>
  <c r="H43" i="21" s="1"/>
  <c r="E14" i="21"/>
  <c r="E23" i="21" s="1"/>
  <c r="E36" i="21" s="1"/>
  <c r="E39" i="21" s="1"/>
  <c r="E43" i="21" s="1"/>
  <c r="J11" i="21"/>
  <c r="I14" i="21"/>
  <c r="N14" i="21" s="1"/>
  <c r="O11" i="21"/>
  <c r="K17" i="21"/>
  <c r="L17" i="21" s="1"/>
  <c r="J18" i="21"/>
  <c r="D23" i="21"/>
  <c r="D36" i="21" s="1"/>
  <c r="D39" i="21" s="1"/>
  <c r="D43" i="21" s="1"/>
  <c r="O16" i="21"/>
  <c r="J20" i="21"/>
  <c r="O21" i="21"/>
  <c r="O12" i="21"/>
  <c r="O13" i="21"/>
  <c r="K18" i="21" l="1"/>
  <c r="J22" i="21"/>
  <c r="K20" i="21"/>
  <c r="M17" i="21"/>
  <c r="M18" i="21" s="1"/>
  <c r="L18" i="21"/>
  <c r="J14" i="21"/>
  <c r="K11" i="21"/>
  <c r="K9" i="21"/>
  <c r="L6" i="21"/>
  <c r="O14" i="21"/>
  <c r="AD38" i="19"/>
  <c r="O139" i="4"/>
  <c r="O145" i="4"/>
  <c r="O159" i="4"/>
  <c r="D186" i="4"/>
  <c r="AD9" i="19"/>
  <c r="AD10" i="19"/>
  <c r="AD11" i="19"/>
  <c r="AD13" i="19"/>
  <c r="AD15" i="19"/>
  <c r="AD16" i="19"/>
  <c r="AD17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5" i="19"/>
  <c r="AD36" i="19"/>
  <c r="AD37" i="19"/>
  <c r="AD39" i="19"/>
  <c r="AD40" i="19"/>
  <c r="AD41" i="19"/>
  <c r="AD42" i="19"/>
  <c r="AD43" i="19"/>
  <c r="AD44" i="19"/>
  <c r="AD45" i="19"/>
  <c r="AD46" i="19"/>
  <c r="AD47" i="19"/>
  <c r="AD48" i="19"/>
  <c r="AD50" i="19"/>
  <c r="AD51" i="19"/>
  <c r="AD53" i="19"/>
  <c r="AD7" i="19"/>
  <c r="T119" i="18"/>
  <c r="T88" i="18"/>
  <c r="T89" i="18"/>
  <c r="T90" i="18"/>
  <c r="T91" i="18"/>
  <c r="T92" i="18"/>
  <c r="T87" i="18"/>
  <c r="T80" i="18"/>
  <c r="T81" i="18"/>
  <c r="T82" i="18"/>
  <c r="T83" i="18"/>
  <c r="T84" i="18"/>
  <c r="T85" i="18"/>
  <c r="T79" i="18"/>
  <c r="T58" i="18"/>
  <c r="T59" i="18"/>
  <c r="T60" i="18"/>
  <c r="T61" i="18"/>
  <c r="T62" i="18"/>
  <c r="T57" i="18"/>
  <c r="T13" i="18"/>
  <c r="T14" i="18"/>
  <c r="T15" i="18"/>
  <c r="T16" i="18"/>
  <c r="T17" i="18"/>
  <c r="T18" i="18"/>
  <c r="T20" i="18"/>
  <c r="T21" i="18"/>
  <c r="T12" i="18"/>
  <c r="AC181" i="3"/>
  <c r="AC182" i="3"/>
  <c r="AC139" i="3"/>
  <c r="AC140" i="3"/>
  <c r="AC141" i="3"/>
  <c r="AC142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38" i="3"/>
  <c r="Q164" i="3"/>
  <c r="Q44" i="3"/>
  <c r="Q86" i="3"/>
  <c r="E139" i="3"/>
  <c r="E120" i="3"/>
  <c r="E125" i="3"/>
  <c r="E124" i="3"/>
  <c r="E119" i="3"/>
  <c r="Y78" i="3"/>
  <c r="E186" i="4"/>
  <c r="F186" i="4"/>
  <c r="G186" i="4"/>
  <c r="H186" i="4"/>
  <c r="I186" i="4"/>
  <c r="J186" i="4"/>
  <c r="K186" i="4"/>
  <c r="L186" i="4"/>
  <c r="M186" i="4"/>
  <c r="N186" i="4"/>
  <c r="P186" i="4"/>
  <c r="Q186" i="4"/>
  <c r="R186" i="4"/>
  <c r="T186" i="4"/>
  <c r="U186" i="4"/>
  <c r="V186" i="4"/>
  <c r="X186" i="4"/>
  <c r="Z186" i="4"/>
  <c r="AB186" i="4"/>
  <c r="AB185" i="4"/>
  <c r="D185" i="4"/>
  <c r="F185" i="4"/>
  <c r="G185" i="4"/>
  <c r="H185" i="4"/>
  <c r="I185" i="4"/>
  <c r="F185" i="3"/>
  <c r="G185" i="3"/>
  <c r="H185" i="3"/>
  <c r="I185" i="3"/>
  <c r="J185" i="3"/>
  <c r="K185" i="3"/>
  <c r="L185" i="3"/>
  <c r="M185" i="3"/>
  <c r="N185" i="3"/>
  <c r="O185" i="3"/>
  <c r="P185" i="3"/>
  <c r="R185" i="3"/>
  <c r="S185" i="3"/>
  <c r="T185" i="3"/>
  <c r="U185" i="3"/>
  <c r="V185" i="3"/>
  <c r="X185" i="3"/>
  <c r="Z185" i="3"/>
  <c r="AB185" i="3"/>
  <c r="D185" i="3"/>
  <c r="T109" i="18"/>
  <c r="AF65" i="4"/>
  <c r="AF33" i="4"/>
  <c r="L9" i="21" l="1"/>
  <c r="M6" i="21"/>
  <c r="M9" i="21" s="1"/>
  <c r="K14" i="21"/>
  <c r="L11" i="21"/>
  <c r="K22" i="21"/>
  <c r="K23" i="21" s="1"/>
  <c r="K36" i="21" s="1"/>
  <c r="K39" i="21" s="1"/>
  <c r="K43" i="21" s="1"/>
  <c r="L20" i="21"/>
  <c r="J23" i="21"/>
  <c r="J36" i="21" s="1"/>
  <c r="J39" i="21" s="1"/>
  <c r="J43" i="21" s="1"/>
  <c r="AF6" i="4"/>
  <c r="AC6" i="2"/>
  <c r="AC7" i="1"/>
  <c r="AC6" i="1"/>
  <c r="L22" i="21" l="1"/>
  <c r="M20" i="21"/>
  <c r="M22" i="21" s="1"/>
  <c r="L14" i="21"/>
  <c r="M11" i="21"/>
  <c r="M14" i="21" s="1"/>
  <c r="I100" i="18"/>
  <c r="AC105" i="3"/>
  <c r="T105" i="18" s="1"/>
  <c r="M23" i="18"/>
  <c r="I23" i="18"/>
  <c r="E23" i="18"/>
  <c r="AC7" i="3"/>
  <c r="T7" i="18" s="1"/>
  <c r="AC8" i="3"/>
  <c r="T8" i="18" s="1"/>
  <c r="AC9" i="3"/>
  <c r="T9" i="18" s="1"/>
  <c r="AC10" i="3"/>
  <c r="T10" i="18" s="1"/>
  <c r="AC12" i="3"/>
  <c r="AC13" i="3"/>
  <c r="AC14" i="3"/>
  <c r="AC15" i="3"/>
  <c r="AC16" i="3"/>
  <c r="AC18" i="3"/>
  <c r="AC19" i="3"/>
  <c r="AC20" i="3"/>
  <c r="AC21" i="3"/>
  <c r="AC24" i="3"/>
  <c r="T24" i="18" s="1"/>
  <c r="AC25" i="3"/>
  <c r="T25" i="18" s="1"/>
  <c r="AC26" i="3"/>
  <c r="T26" i="18" s="1"/>
  <c r="AC27" i="3"/>
  <c r="T27" i="18" s="1"/>
  <c r="AC28" i="3"/>
  <c r="T28" i="18" s="1"/>
  <c r="AC29" i="3"/>
  <c r="T29" i="18" s="1"/>
  <c r="AC30" i="3"/>
  <c r="T30" i="18" s="1"/>
  <c r="AC31" i="3"/>
  <c r="T31" i="18" s="1"/>
  <c r="AC33" i="3"/>
  <c r="T33" i="18" s="1"/>
  <c r="AC34" i="3"/>
  <c r="T34" i="18" s="1"/>
  <c r="AC35" i="3"/>
  <c r="T35" i="18" s="1"/>
  <c r="AC36" i="3"/>
  <c r="T36" i="18" s="1"/>
  <c r="AC37" i="3"/>
  <c r="T37" i="18" s="1"/>
  <c r="AC38" i="3"/>
  <c r="T38" i="18" s="1"/>
  <c r="AC40" i="3"/>
  <c r="T40" i="18" s="1"/>
  <c r="AC41" i="3"/>
  <c r="T41" i="18" s="1"/>
  <c r="AC42" i="3"/>
  <c r="T42" i="18" s="1"/>
  <c r="AC43" i="3"/>
  <c r="T43" i="18" s="1"/>
  <c r="AC45" i="3"/>
  <c r="T45" i="18" s="1"/>
  <c r="AC49" i="3"/>
  <c r="AC51" i="3"/>
  <c r="T51" i="18" s="1"/>
  <c r="AC53" i="3"/>
  <c r="T53" i="18" s="1"/>
  <c r="AC54" i="3"/>
  <c r="T54" i="18" s="1"/>
  <c r="AC55" i="3"/>
  <c r="T55" i="18" s="1"/>
  <c r="AC58" i="3"/>
  <c r="AC59" i="3"/>
  <c r="AC60" i="3"/>
  <c r="AC61" i="3"/>
  <c r="AC62" i="3"/>
  <c r="AC63" i="3"/>
  <c r="AC65" i="3"/>
  <c r="T64" i="18" s="1"/>
  <c r="AC66" i="3"/>
  <c r="T65" i="18" s="1"/>
  <c r="AC68" i="3"/>
  <c r="T67" i="18" s="1"/>
  <c r="AC69" i="3"/>
  <c r="T68" i="18" s="1"/>
  <c r="AC70" i="3"/>
  <c r="T69" i="18" s="1"/>
  <c r="AC71" i="3"/>
  <c r="T70" i="18" s="1"/>
  <c r="AC72" i="3"/>
  <c r="T71" i="18" s="1"/>
  <c r="AC74" i="3"/>
  <c r="T73" i="18" s="1"/>
  <c r="AC75" i="3"/>
  <c r="T74" i="18" s="1"/>
  <c r="AC76" i="3"/>
  <c r="T75" i="18" s="1"/>
  <c r="AC77" i="3"/>
  <c r="T76" i="18" s="1"/>
  <c r="AC79" i="3"/>
  <c r="AC81" i="3"/>
  <c r="AC83" i="3"/>
  <c r="AC84" i="3"/>
  <c r="AC85" i="3"/>
  <c r="AC87" i="3"/>
  <c r="AC88" i="3"/>
  <c r="AC89" i="3"/>
  <c r="AC90" i="3"/>
  <c r="AC91" i="3"/>
  <c r="AC92" i="3"/>
  <c r="AC94" i="3"/>
  <c r="AC95" i="3"/>
  <c r="AC97" i="3"/>
  <c r="AC98" i="3"/>
  <c r="AC99" i="3"/>
  <c r="AC100" i="3"/>
  <c r="T100" i="18" s="1"/>
  <c r="AC102" i="3"/>
  <c r="T102" i="18" s="1"/>
  <c r="AC103" i="3"/>
  <c r="T103" i="18" s="1"/>
  <c r="AC104" i="3"/>
  <c r="T104" i="18" s="1"/>
  <c r="AC106" i="3"/>
  <c r="T106" i="18" s="1"/>
  <c r="AC107" i="3"/>
  <c r="T107" i="18" s="1"/>
  <c r="AC109" i="3"/>
  <c r="AC110" i="3"/>
  <c r="T110" i="18" s="1"/>
  <c r="AC111" i="3"/>
  <c r="T111" i="18" s="1"/>
  <c r="AC112" i="3"/>
  <c r="T112" i="18" s="1"/>
  <c r="AC113" i="3"/>
  <c r="T113" i="18" s="1"/>
  <c r="AC115" i="3"/>
  <c r="T115" i="18" s="1"/>
  <c r="AC116" i="3"/>
  <c r="T116" i="18" s="1"/>
  <c r="AC117" i="3"/>
  <c r="T117" i="18" s="1"/>
  <c r="AC121" i="3"/>
  <c r="AC123" i="3"/>
  <c r="AC126" i="3"/>
  <c r="AC131" i="3"/>
  <c r="AC133" i="3"/>
  <c r="AC134" i="3"/>
  <c r="AC135" i="3"/>
  <c r="AC136" i="3"/>
  <c r="AC137" i="3"/>
  <c r="AA122" i="4"/>
  <c r="Y122" i="4"/>
  <c r="W122" i="4"/>
  <c r="U122" i="4"/>
  <c r="S122" i="4"/>
  <c r="Q122" i="4"/>
  <c r="Q179" i="4" s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4" i="4"/>
  <c r="AF25" i="4"/>
  <c r="AF26" i="4"/>
  <c r="AF27" i="4"/>
  <c r="AF28" i="4"/>
  <c r="AF29" i="4"/>
  <c r="AF30" i="4"/>
  <c r="AF31" i="4"/>
  <c r="AF32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50" i="4"/>
  <c r="AF51" i="4"/>
  <c r="AF52" i="4"/>
  <c r="AF53" i="4"/>
  <c r="AF54" i="4"/>
  <c r="AF55" i="4"/>
  <c r="AF58" i="4"/>
  <c r="AF59" i="4"/>
  <c r="AF60" i="4"/>
  <c r="AF61" i="4"/>
  <c r="AF62" i="4"/>
  <c r="AF63" i="4"/>
  <c r="AF64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21" i="4"/>
  <c r="AF122" i="4"/>
  <c r="AF123" i="4"/>
  <c r="AF126" i="4"/>
  <c r="AF127" i="4"/>
  <c r="AF128" i="4"/>
  <c r="AF129" i="4"/>
  <c r="AF130" i="4"/>
  <c r="AF131" i="4"/>
  <c r="AF133" i="4"/>
  <c r="AF134" i="4"/>
  <c r="AF135" i="4"/>
  <c r="AF136" i="4"/>
  <c r="AF137" i="4"/>
  <c r="AF138" i="4"/>
  <c r="AF139" i="4"/>
  <c r="AD8" i="19" s="1"/>
  <c r="AF140" i="4"/>
  <c r="AF141" i="4"/>
  <c r="AF142" i="4"/>
  <c r="AF143" i="4"/>
  <c r="AF144" i="4"/>
  <c r="AF145" i="4"/>
  <c r="AD14" i="19" s="1"/>
  <c r="AF146" i="4"/>
  <c r="AF147" i="4"/>
  <c r="AF148" i="4"/>
  <c r="AF149" i="4"/>
  <c r="AD18" i="19" s="1"/>
  <c r="AF150" i="4"/>
  <c r="AF151" i="4"/>
  <c r="AF152" i="4"/>
  <c r="AF153" i="4"/>
  <c r="AF154" i="4"/>
  <c r="AF156" i="4"/>
  <c r="AF157" i="4"/>
  <c r="AF158" i="4"/>
  <c r="AF159" i="4"/>
  <c r="AF160" i="4"/>
  <c r="AF161" i="4"/>
  <c r="AF163" i="4"/>
  <c r="AF164" i="4"/>
  <c r="AF166" i="4"/>
  <c r="AF167" i="4"/>
  <c r="AF168" i="4"/>
  <c r="AF169" i="4"/>
  <c r="AF170" i="4"/>
  <c r="AF171" i="4"/>
  <c r="AF172" i="4"/>
  <c r="AF173" i="4"/>
  <c r="AF175" i="4"/>
  <c r="AF176" i="4"/>
  <c r="AF177" i="4"/>
  <c r="AF178" i="4"/>
  <c r="AF181" i="4"/>
  <c r="AF182" i="4"/>
  <c r="AF184" i="4"/>
  <c r="M67" i="18"/>
  <c r="I67" i="18"/>
  <c r="AA143" i="3"/>
  <c r="Y143" i="3"/>
  <c r="W158" i="3"/>
  <c r="T19" i="18" l="1"/>
  <c r="M23" i="21"/>
  <c r="M36" i="21" s="1"/>
  <c r="M39" i="21" s="1"/>
  <c r="M43" i="21" s="1"/>
  <c r="L23" i="21"/>
  <c r="L36" i="21" s="1"/>
  <c r="L39" i="21" s="1"/>
  <c r="L43" i="21" s="1"/>
  <c r="T95" i="18"/>
  <c r="T94" i="18"/>
  <c r="T98" i="18"/>
  <c r="T99" i="18"/>
  <c r="T97" i="18"/>
  <c r="E111" i="18"/>
  <c r="E112" i="18"/>
  <c r="E114" i="18"/>
  <c r="E115" i="18"/>
  <c r="E116" i="18"/>
  <c r="E117" i="18"/>
  <c r="E118" i="18"/>
  <c r="E109" i="18"/>
  <c r="I111" i="18"/>
  <c r="I112" i="18"/>
  <c r="I114" i="18"/>
  <c r="I115" i="18"/>
  <c r="I116" i="18"/>
  <c r="I117" i="18"/>
  <c r="I118" i="18"/>
  <c r="I109" i="18"/>
  <c r="M111" i="18"/>
  <c r="M112" i="18"/>
  <c r="M114" i="18"/>
  <c r="M115" i="18"/>
  <c r="M116" i="18"/>
  <c r="M117" i="18"/>
  <c r="M118" i="18"/>
  <c r="M109" i="18"/>
  <c r="M103" i="18"/>
  <c r="M104" i="18"/>
  <c r="M105" i="18"/>
  <c r="M106" i="18"/>
  <c r="M107" i="18"/>
  <c r="M102" i="18"/>
  <c r="L104" i="18"/>
  <c r="L106" i="18"/>
  <c r="L107" i="18"/>
  <c r="I103" i="18"/>
  <c r="I104" i="18"/>
  <c r="I105" i="18"/>
  <c r="I106" i="18"/>
  <c r="I107" i="18"/>
  <c r="I102" i="18"/>
  <c r="H104" i="18"/>
  <c r="H106" i="18"/>
  <c r="H107" i="18"/>
  <c r="E103" i="18"/>
  <c r="E104" i="18"/>
  <c r="E105" i="18"/>
  <c r="E106" i="18"/>
  <c r="E107" i="18"/>
  <c r="E102" i="18"/>
  <c r="D104" i="18"/>
  <c r="D106" i="18"/>
  <c r="D107" i="18"/>
  <c r="D98" i="18"/>
  <c r="D99" i="18"/>
  <c r="D100" i="18"/>
  <c r="D97" i="18"/>
  <c r="E98" i="18"/>
  <c r="E99" i="18"/>
  <c r="E100" i="18"/>
  <c r="E97" i="18"/>
  <c r="H98" i="18"/>
  <c r="H99" i="18"/>
  <c r="H100" i="18"/>
  <c r="H97" i="18"/>
  <c r="I98" i="18"/>
  <c r="I99" i="18"/>
  <c r="I97" i="18"/>
  <c r="L98" i="18"/>
  <c r="L99" i="18"/>
  <c r="L100" i="18"/>
  <c r="L97" i="18"/>
  <c r="M98" i="18"/>
  <c r="M99" i="18"/>
  <c r="M100" i="18"/>
  <c r="M97" i="18"/>
  <c r="M95" i="18"/>
  <c r="M94" i="18"/>
  <c r="L95" i="18"/>
  <c r="L94" i="18"/>
  <c r="I95" i="18"/>
  <c r="I94" i="18"/>
  <c r="H95" i="18"/>
  <c r="H94" i="18"/>
  <c r="E95" i="18"/>
  <c r="E94" i="18"/>
  <c r="D95" i="18"/>
  <c r="D94" i="18"/>
  <c r="D88" i="18"/>
  <c r="D90" i="18"/>
  <c r="D92" i="18"/>
  <c r="D87" i="18"/>
  <c r="E88" i="18"/>
  <c r="E89" i="18"/>
  <c r="E90" i="18"/>
  <c r="E91" i="18"/>
  <c r="E92" i="18"/>
  <c r="E87" i="18"/>
  <c r="H88" i="18"/>
  <c r="H90" i="18"/>
  <c r="H92" i="18"/>
  <c r="H87" i="18"/>
  <c r="I88" i="18"/>
  <c r="I89" i="18"/>
  <c r="I90" i="18"/>
  <c r="I91" i="18"/>
  <c r="I92" i="18"/>
  <c r="I87" i="18"/>
  <c r="L88" i="18"/>
  <c r="L90" i="18"/>
  <c r="L92" i="18"/>
  <c r="L87" i="18"/>
  <c r="M88" i="18"/>
  <c r="M89" i="18"/>
  <c r="M90" i="18"/>
  <c r="M91" i="18"/>
  <c r="M92" i="18"/>
  <c r="M87" i="18"/>
  <c r="M80" i="18"/>
  <c r="M81" i="18"/>
  <c r="M82" i="18"/>
  <c r="M83" i="18"/>
  <c r="M84" i="18"/>
  <c r="M85" i="18"/>
  <c r="M79" i="18"/>
  <c r="L80" i="18"/>
  <c r="L81" i="18"/>
  <c r="L82" i="18"/>
  <c r="L83" i="18"/>
  <c r="L84" i="18"/>
  <c r="L85" i="18"/>
  <c r="L79" i="18"/>
  <c r="I80" i="18"/>
  <c r="I81" i="18"/>
  <c r="I82" i="18"/>
  <c r="I83" i="18"/>
  <c r="I84" i="18"/>
  <c r="I85" i="18"/>
  <c r="I79" i="18"/>
  <c r="H80" i="18" l="1"/>
  <c r="H81" i="18"/>
  <c r="H82" i="18"/>
  <c r="H83" i="18"/>
  <c r="H84" i="18"/>
  <c r="H85" i="18"/>
  <c r="H79" i="18"/>
  <c r="E80" i="18"/>
  <c r="E81" i="18"/>
  <c r="E82" i="18"/>
  <c r="E83" i="18"/>
  <c r="E84" i="18"/>
  <c r="E85" i="18"/>
  <c r="E79" i="18"/>
  <c r="D80" i="18"/>
  <c r="D81" i="18"/>
  <c r="D82" i="18"/>
  <c r="D83" i="18"/>
  <c r="D84" i="18"/>
  <c r="D85" i="18"/>
  <c r="D79" i="18"/>
  <c r="M74" i="18"/>
  <c r="M75" i="18"/>
  <c r="M76" i="18"/>
  <c r="M73" i="18"/>
  <c r="I74" i="18"/>
  <c r="I75" i="18"/>
  <c r="I76" i="18"/>
  <c r="I73" i="18"/>
  <c r="E74" i="18"/>
  <c r="E75" i="18"/>
  <c r="E76" i="18"/>
  <c r="E73" i="18"/>
  <c r="E68" i="18"/>
  <c r="E69" i="18"/>
  <c r="E70" i="18"/>
  <c r="E71" i="18"/>
  <c r="E67" i="18"/>
  <c r="I68" i="18"/>
  <c r="I69" i="18"/>
  <c r="I70" i="18"/>
  <c r="I71" i="18"/>
  <c r="M68" i="18"/>
  <c r="M69" i="18"/>
  <c r="M70" i="18"/>
  <c r="M71" i="18"/>
  <c r="M65" i="18"/>
  <c r="M64" i="18"/>
  <c r="L65" i="18"/>
  <c r="L64" i="18"/>
  <c r="I65" i="18"/>
  <c r="I64" i="18"/>
  <c r="H65" i="18"/>
  <c r="H64" i="18"/>
  <c r="E65" i="18"/>
  <c r="E64" i="18"/>
  <c r="D65" i="18"/>
  <c r="M58" i="18"/>
  <c r="M59" i="18"/>
  <c r="M60" i="18"/>
  <c r="M61" i="18"/>
  <c r="M62" i="18"/>
  <c r="M57" i="18"/>
  <c r="L60" i="18"/>
  <c r="L61" i="18"/>
  <c r="I58" i="18"/>
  <c r="I59" i="18"/>
  <c r="I60" i="18"/>
  <c r="I61" i="18"/>
  <c r="I62" i="18"/>
  <c r="I57" i="18"/>
  <c r="H60" i="18"/>
  <c r="H61" i="18"/>
  <c r="E58" i="18"/>
  <c r="E59" i="18"/>
  <c r="E60" i="18"/>
  <c r="E61" i="18"/>
  <c r="E62" i="18"/>
  <c r="E57" i="18"/>
  <c r="D60" i="18"/>
  <c r="D61" i="18"/>
  <c r="M46" i="18"/>
  <c r="M47" i="18"/>
  <c r="M48" i="18"/>
  <c r="M49" i="18"/>
  <c r="M50" i="18"/>
  <c r="M51" i="18"/>
  <c r="M52" i="18"/>
  <c r="M53" i="18"/>
  <c r="M54" i="18"/>
  <c r="M55" i="18"/>
  <c r="M45" i="18"/>
  <c r="I46" i="18"/>
  <c r="I47" i="18"/>
  <c r="I48" i="18"/>
  <c r="I49" i="18"/>
  <c r="I50" i="18"/>
  <c r="I51" i="18"/>
  <c r="I52" i="18"/>
  <c r="I53" i="18"/>
  <c r="I54" i="18"/>
  <c r="I55" i="18"/>
  <c r="I45" i="18"/>
  <c r="E46" i="18"/>
  <c r="E47" i="18"/>
  <c r="E48" i="18"/>
  <c r="E49" i="18"/>
  <c r="E50" i="18"/>
  <c r="E51" i="18"/>
  <c r="E52" i="18"/>
  <c r="E53" i="18"/>
  <c r="E54" i="18"/>
  <c r="E55" i="18"/>
  <c r="E45" i="18"/>
  <c r="M34" i="18"/>
  <c r="M35" i="18"/>
  <c r="M36" i="18"/>
  <c r="M37" i="18"/>
  <c r="M38" i="18"/>
  <c r="M39" i="18"/>
  <c r="M40" i="18"/>
  <c r="M41" i="18"/>
  <c r="M42" i="18"/>
  <c r="M43" i="18"/>
  <c r="M33" i="18"/>
  <c r="I34" i="18"/>
  <c r="I35" i="18"/>
  <c r="I36" i="18"/>
  <c r="I37" i="18"/>
  <c r="I38" i="18"/>
  <c r="I39" i="18"/>
  <c r="I40" i="18"/>
  <c r="I41" i="18"/>
  <c r="I42" i="18"/>
  <c r="I43" i="18"/>
  <c r="I33" i="18"/>
  <c r="E34" i="18"/>
  <c r="E35" i="18"/>
  <c r="E36" i="18"/>
  <c r="E37" i="18"/>
  <c r="E38" i="18"/>
  <c r="E39" i="18"/>
  <c r="E40" i="18"/>
  <c r="E41" i="18"/>
  <c r="E42" i="18"/>
  <c r="E43" i="18"/>
  <c r="E33" i="18"/>
  <c r="M25" i="18"/>
  <c r="M26" i="18"/>
  <c r="M27" i="18"/>
  <c r="M28" i="18"/>
  <c r="M29" i="18"/>
  <c r="M30" i="18"/>
  <c r="M31" i="18"/>
  <c r="M24" i="18"/>
  <c r="I25" i="18"/>
  <c r="I26" i="18"/>
  <c r="I27" i="18"/>
  <c r="I28" i="18"/>
  <c r="I29" i="18"/>
  <c r="I30" i="18"/>
  <c r="I31" i="18"/>
  <c r="I24" i="18"/>
  <c r="E25" i="18"/>
  <c r="E26" i="18"/>
  <c r="E27" i="18"/>
  <c r="E28" i="18"/>
  <c r="E29" i="18"/>
  <c r="E30" i="18"/>
  <c r="E31" i="18"/>
  <c r="E24" i="18"/>
  <c r="M13" i="18"/>
  <c r="M14" i="18"/>
  <c r="M15" i="18"/>
  <c r="M16" i="18"/>
  <c r="M17" i="18"/>
  <c r="M18" i="18"/>
  <c r="M19" i="18"/>
  <c r="M20" i="18"/>
  <c r="M21" i="18"/>
  <c r="M12" i="18"/>
  <c r="L13" i="18"/>
  <c r="L14" i="18"/>
  <c r="L17" i="18"/>
  <c r="L18" i="18"/>
  <c r="I13" i="18"/>
  <c r="I14" i="18"/>
  <c r="I15" i="18"/>
  <c r="I16" i="18"/>
  <c r="I17" i="18"/>
  <c r="I18" i="18"/>
  <c r="I19" i="18"/>
  <c r="I20" i="18"/>
  <c r="I21" i="18"/>
  <c r="I12" i="18"/>
  <c r="H13" i="18"/>
  <c r="H14" i="18"/>
  <c r="H17" i="18"/>
  <c r="H18" i="18"/>
  <c r="E13" i="18"/>
  <c r="E14" i="18"/>
  <c r="E15" i="18"/>
  <c r="E16" i="18"/>
  <c r="E17" i="18"/>
  <c r="E18" i="18"/>
  <c r="E19" i="18"/>
  <c r="E20" i="18"/>
  <c r="E21" i="18"/>
  <c r="E12" i="18"/>
  <c r="D13" i="18"/>
  <c r="D14" i="18"/>
  <c r="D17" i="18"/>
  <c r="D18" i="18"/>
  <c r="M7" i="18" l="1"/>
  <c r="M8" i="18"/>
  <c r="M9" i="18"/>
  <c r="M10" i="18"/>
  <c r="I7" i="18"/>
  <c r="I8" i="18"/>
  <c r="I9" i="18"/>
  <c r="I10" i="18"/>
  <c r="E7" i="18"/>
  <c r="E8" i="18"/>
  <c r="E9" i="18"/>
  <c r="E10" i="18"/>
  <c r="M6" i="18"/>
  <c r="I6" i="18"/>
  <c r="E6" i="18"/>
  <c r="S175" i="4"/>
  <c r="Q139" i="4"/>
  <c r="S17" i="4"/>
  <c r="AA124" i="4"/>
  <c r="Y124" i="4"/>
  <c r="W124" i="4"/>
  <c r="U124" i="4"/>
  <c r="S124" i="4"/>
  <c r="Q124" i="4"/>
  <c r="AF124" i="4" s="1"/>
  <c r="AA119" i="4"/>
  <c r="Y119" i="4"/>
  <c r="W119" i="4"/>
  <c r="U119" i="4"/>
  <c r="S119" i="4"/>
  <c r="Q119" i="4"/>
  <c r="AA108" i="4"/>
  <c r="Y108" i="4"/>
  <c r="W108" i="4"/>
  <c r="U108" i="4"/>
  <c r="S108" i="4"/>
  <c r="Q108" i="4"/>
  <c r="AA101" i="4"/>
  <c r="Y101" i="4"/>
  <c r="W101" i="4"/>
  <c r="U101" i="4"/>
  <c r="S101" i="4"/>
  <c r="Q101" i="4"/>
  <c r="O101" i="4"/>
  <c r="AA96" i="4"/>
  <c r="Y96" i="4"/>
  <c r="W96" i="4"/>
  <c r="U96" i="4"/>
  <c r="S96" i="4"/>
  <c r="Q96" i="4"/>
  <c r="AA93" i="4"/>
  <c r="Y93" i="4"/>
  <c r="W93" i="4"/>
  <c r="U93" i="4"/>
  <c r="S93" i="4"/>
  <c r="Q93" i="4"/>
  <c r="AA86" i="4"/>
  <c r="Y86" i="4"/>
  <c r="W86" i="4"/>
  <c r="U86" i="4"/>
  <c r="S86" i="4"/>
  <c r="Q86" i="4"/>
  <c r="AA78" i="4"/>
  <c r="Y78" i="4"/>
  <c r="W78" i="4"/>
  <c r="U78" i="4"/>
  <c r="S78" i="4"/>
  <c r="Q78" i="4"/>
  <c r="AA73" i="4"/>
  <c r="Y73" i="4"/>
  <c r="W73" i="4"/>
  <c r="U73" i="4"/>
  <c r="S73" i="4"/>
  <c r="Q73" i="4"/>
  <c r="AA67" i="4"/>
  <c r="Y67" i="4"/>
  <c r="W67" i="4"/>
  <c r="U67" i="4"/>
  <c r="S67" i="4"/>
  <c r="Q67" i="4"/>
  <c r="AA64" i="4"/>
  <c r="Y64" i="4"/>
  <c r="W64" i="4"/>
  <c r="U64" i="4"/>
  <c r="S64" i="4"/>
  <c r="Q64" i="4"/>
  <c r="AA56" i="4"/>
  <c r="Y56" i="4"/>
  <c r="W56" i="4"/>
  <c r="U56" i="4"/>
  <c r="S56" i="4"/>
  <c r="Q56" i="4"/>
  <c r="AA44" i="4"/>
  <c r="Y44" i="4"/>
  <c r="W44" i="4"/>
  <c r="U44" i="4"/>
  <c r="S44" i="4"/>
  <c r="Q44" i="4"/>
  <c r="AA32" i="4"/>
  <c r="Y32" i="4"/>
  <c r="W32" i="4"/>
  <c r="U32" i="4"/>
  <c r="S32" i="4"/>
  <c r="Q32" i="4"/>
  <c r="AA22" i="4"/>
  <c r="Y22" i="4"/>
  <c r="W22" i="4"/>
  <c r="U22" i="4"/>
  <c r="S23" i="4"/>
  <c r="U23" i="4" s="1"/>
  <c r="S22" i="4"/>
  <c r="Q22" i="4"/>
  <c r="AA11" i="4"/>
  <c r="Y11" i="4"/>
  <c r="W11" i="4"/>
  <c r="U11" i="4"/>
  <c r="S11" i="4"/>
  <c r="Q11" i="4"/>
  <c r="S164" i="3"/>
  <c r="Q127" i="3"/>
  <c r="AA119" i="3"/>
  <c r="Y119" i="3"/>
  <c r="W119" i="3"/>
  <c r="U119" i="3"/>
  <c r="S119" i="3"/>
  <c r="Q119" i="3"/>
  <c r="Q108" i="3"/>
  <c r="S108" i="3"/>
  <c r="U108" i="3"/>
  <c r="W108" i="3"/>
  <c r="Y108" i="3"/>
  <c r="AA108" i="3"/>
  <c r="AA101" i="3"/>
  <c r="Y101" i="3"/>
  <c r="W101" i="3"/>
  <c r="U101" i="3"/>
  <c r="S101" i="3"/>
  <c r="Q101" i="3"/>
  <c r="Q96" i="3"/>
  <c r="S96" i="3"/>
  <c r="U96" i="3"/>
  <c r="W96" i="3"/>
  <c r="Y96" i="3"/>
  <c r="AA96" i="3"/>
  <c r="AA93" i="3"/>
  <c r="Y93" i="3"/>
  <c r="W93" i="3"/>
  <c r="U93" i="3"/>
  <c r="S93" i="3"/>
  <c r="Q93" i="3"/>
  <c r="S142" i="3"/>
  <c r="Q139" i="3"/>
  <c r="S17" i="3"/>
  <c r="AA73" i="3"/>
  <c r="Y73" i="3"/>
  <c r="W73" i="3"/>
  <c r="U73" i="3"/>
  <c r="S73" i="3"/>
  <c r="Q73" i="3"/>
  <c r="AA67" i="3"/>
  <c r="Y67" i="3"/>
  <c r="W67" i="3"/>
  <c r="U67" i="3"/>
  <c r="S67" i="3"/>
  <c r="Q67" i="3"/>
  <c r="AA64" i="3"/>
  <c r="Y64" i="3"/>
  <c r="W64" i="3"/>
  <c r="U64" i="3"/>
  <c r="S64" i="3"/>
  <c r="Q64" i="3"/>
  <c r="AA56" i="3"/>
  <c r="Y56" i="3"/>
  <c r="W56" i="3"/>
  <c r="Q56" i="3"/>
  <c r="AA86" i="3"/>
  <c r="Y86" i="3"/>
  <c r="W86" i="3"/>
  <c r="S82" i="3"/>
  <c r="S80" i="3"/>
  <c r="S52" i="3"/>
  <c r="S50" i="3"/>
  <c r="S48" i="3"/>
  <c r="S47" i="3"/>
  <c r="S46" i="3"/>
  <c r="AA44" i="3"/>
  <c r="Y44" i="3"/>
  <c r="W44" i="3"/>
  <c r="U44" i="3"/>
  <c r="S44" i="3"/>
  <c r="AA32" i="3"/>
  <c r="Y32" i="3"/>
  <c r="W32" i="3"/>
  <c r="U32" i="3"/>
  <c r="S32" i="3"/>
  <c r="Q32" i="3"/>
  <c r="AA22" i="3"/>
  <c r="Y22" i="3"/>
  <c r="W22" i="3"/>
  <c r="U22" i="3"/>
  <c r="Q22" i="3"/>
  <c r="I23" i="3"/>
  <c r="K23" i="3" s="1"/>
  <c r="G23" i="3"/>
  <c r="AF22" i="4" l="1"/>
  <c r="U47" i="3"/>
  <c r="AC47" i="3"/>
  <c r="T47" i="18" s="1"/>
  <c r="S86" i="3"/>
  <c r="S22" i="3"/>
  <c r="AC17" i="3"/>
  <c r="U50" i="3"/>
  <c r="AC50" i="3" s="1"/>
  <c r="T50" i="18" s="1"/>
  <c r="U52" i="3"/>
  <c r="AC52" i="3" s="1"/>
  <c r="T52" i="18" s="1"/>
  <c r="U48" i="3"/>
  <c r="AC48" i="3"/>
  <c r="T48" i="18" s="1"/>
  <c r="U82" i="3"/>
  <c r="AC82" i="3" s="1"/>
  <c r="S127" i="3"/>
  <c r="U127" i="3" s="1"/>
  <c r="Q6" i="18"/>
  <c r="S56" i="3"/>
  <c r="S57" i="3" s="1"/>
  <c r="Q57" i="3"/>
  <c r="Y57" i="3"/>
  <c r="Y57" i="4"/>
  <c r="U46" i="3"/>
  <c r="U56" i="3" s="1"/>
  <c r="U57" i="3" s="1"/>
  <c r="U80" i="3"/>
  <c r="W57" i="3"/>
  <c r="AA57" i="3"/>
  <c r="W57" i="4"/>
  <c r="AA57" i="4"/>
  <c r="AA120" i="4" s="1"/>
  <c r="AA125" i="4" s="1"/>
  <c r="U57" i="4"/>
  <c r="U120" i="4" s="1"/>
  <c r="U125" i="4" s="1"/>
  <c r="S57" i="4"/>
  <c r="Q57" i="4"/>
  <c r="S120" i="4"/>
  <c r="S125" i="4" s="1"/>
  <c r="Q120" i="4"/>
  <c r="Q125" i="4" s="1"/>
  <c r="Y120" i="4"/>
  <c r="Y125" i="4" s="1"/>
  <c r="W120" i="4"/>
  <c r="W125" i="4" s="1"/>
  <c r="U86" i="3" l="1"/>
  <c r="AC80" i="3"/>
  <c r="T86" i="18" s="1"/>
  <c r="G25" i="16" s="1"/>
  <c r="AC46" i="3"/>
  <c r="T46" i="18" s="1"/>
  <c r="W127" i="3"/>
  <c r="AA11" i="3"/>
  <c r="AA120" i="3" s="1"/>
  <c r="Y11" i="3"/>
  <c r="Y120" i="3" s="1"/>
  <c r="W11" i="3"/>
  <c r="W120" i="3" s="1"/>
  <c r="U11" i="3"/>
  <c r="S11" i="3"/>
  <c r="S120" i="3" s="1"/>
  <c r="Q11" i="3"/>
  <c r="Q120" i="3" s="1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AF165" i="4" s="1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S179" i="4"/>
  <c r="S178" i="4"/>
  <c r="S177" i="4"/>
  <c r="S176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8" i="4"/>
  <c r="S147" i="4"/>
  <c r="S146" i="4"/>
  <c r="S145" i="4"/>
  <c r="S144" i="4"/>
  <c r="S143" i="4"/>
  <c r="S142" i="4"/>
  <c r="S141" i="4"/>
  <c r="S140" i="4"/>
  <c r="S139" i="4"/>
  <c r="S138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8" i="4"/>
  <c r="O178" i="4"/>
  <c r="O177" i="4"/>
  <c r="O176" i="4"/>
  <c r="O175" i="4"/>
  <c r="O173" i="4"/>
  <c r="O172" i="4"/>
  <c r="O171" i="4"/>
  <c r="O170" i="4"/>
  <c r="O169" i="4"/>
  <c r="O168" i="4"/>
  <c r="O167" i="4"/>
  <c r="O166" i="4"/>
  <c r="O165" i="4"/>
  <c r="O164" i="4"/>
  <c r="O163" i="4"/>
  <c r="O161" i="4"/>
  <c r="O160" i="4"/>
  <c r="O158" i="4"/>
  <c r="O157" i="4"/>
  <c r="O156" i="4"/>
  <c r="O155" i="4"/>
  <c r="O154" i="4"/>
  <c r="O153" i="4"/>
  <c r="O152" i="4"/>
  <c r="O151" i="4"/>
  <c r="O150" i="4"/>
  <c r="O149" i="4"/>
  <c r="O147" i="4"/>
  <c r="O146" i="4"/>
  <c r="O144" i="4"/>
  <c r="O143" i="4"/>
  <c r="O142" i="4"/>
  <c r="O141" i="4"/>
  <c r="O140" i="4"/>
  <c r="O138" i="4"/>
  <c r="M178" i="4"/>
  <c r="M177" i="4"/>
  <c r="M176" i="4"/>
  <c r="M175" i="4"/>
  <c r="M173" i="4"/>
  <c r="M172" i="4"/>
  <c r="M171" i="4"/>
  <c r="M170" i="4"/>
  <c r="M169" i="4"/>
  <c r="M168" i="4"/>
  <c r="M167" i="4"/>
  <c r="M166" i="4"/>
  <c r="M165" i="4"/>
  <c r="M164" i="4"/>
  <c r="M163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K178" i="4"/>
  <c r="K177" i="4"/>
  <c r="K176" i="4"/>
  <c r="K175" i="4"/>
  <c r="K173" i="4"/>
  <c r="K172" i="4"/>
  <c r="K171" i="4"/>
  <c r="K170" i="4"/>
  <c r="K169" i="4"/>
  <c r="K168" i="4"/>
  <c r="K167" i="4"/>
  <c r="K166" i="4"/>
  <c r="K165" i="4"/>
  <c r="K164" i="4"/>
  <c r="K163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2" i="3"/>
  <c r="AA141" i="3"/>
  <c r="AA140" i="3"/>
  <c r="AA139" i="3"/>
  <c r="AA138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2" i="3"/>
  <c r="Y141" i="3"/>
  <c r="Y140" i="3"/>
  <c r="Y139" i="3"/>
  <c r="Y138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AC165" i="3" s="1"/>
  <c r="AD34" i="19" s="1"/>
  <c r="W164" i="3"/>
  <c r="W163" i="3"/>
  <c r="W162" i="3"/>
  <c r="W161" i="3"/>
  <c r="W160" i="3"/>
  <c r="W159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AC143" i="3" s="1"/>
  <c r="AD12" i="19" s="1"/>
  <c r="W142" i="3"/>
  <c r="W141" i="3"/>
  <c r="W140" i="3"/>
  <c r="W139" i="3"/>
  <c r="W138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1" i="3"/>
  <c r="S140" i="3"/>
  <c r="S139" i="3"/>
  <c r="S138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1" i="3"/>
  <c r="Q140" i="3"/>
  <c r="Q138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1" i="3"/>
  <c r="O160" i="3"/>
  <c r="O159" i="3"/>
  <c r="O157" i="3"/>
  <c r="O156" i="3"/>
  <c r="O155" i="3"/>
  <c r="O154" i="3"/>
  <c r="O153" i="3"/>
  <c r="O152" i="3"/>
  <c r="O151" i="3"/>
  <c r="O150" i="3"/>
  <c r="O149" i="3"/>
  <c r="O148" i="3"/>
  <c r="O146" i="3"/>
  <c r="O144" i="3"/>
  <c r="O143" i="3"/>
  <c r="O142" i="3"/>
  <c r="O141" i="3"/>
  <c r="O140" i="3"/>
  <c r="O139" i="3"/>
  <c r="O138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1" i="3"/>
  <c r="M160" i="3"/>
  <c r="M159" i="3"/>
  <c r="M157" i="3"/>
  <c r="M156" i="3"/>
  <c r="M155" i="3"/>
  <c r="M154" i="3"/>
  <c r="M153" i="3"/>
  <c r="M152" i="3"/>
  <c r="M151" i="3"/>
  <c r="M150" i="3"/>
  <c r="M149" i="3"/>
  <c r="M148" i="3"/>
  <c r="M146" i="3"/>
  <c r="M144" i="3"/>
  <c r="M143" i="3"/>
  <c r="M142" i="3"/>
  <c r="M141" i="3"/>
  <c r="M140" i="3"/>
  <c r="M139" i="3"/>
  <c r="M138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6" i="3"/>
  <c r="K145" i="3"/>
  <c r="K144" i="3"/>
  <c r="K143" i="3"/>
  <c r="K142" i="3"/>
  <c r="K141" i="3"/>
  <c r="K140" i="3"/>
  <c r="K139" i="3"/>
  <c r="K138" i="3"/>
  <c r="O118" i="4"/>
  <c r="O113" i="4"/>
  <c r="O108" i="4"/>
  <c r="O96" i="4"/>
  <c r="O93" i="4"/>
  <c r="O86" i="4"/>
  <c r="O78" i="4"/>
  <c r="O73" i="4"/>
  <c r="O67" i="4"/>
  <c r="O64" i="4"/>
  <c r="O49" i="4"/>
  <c r="O174" i="4" s="1"/>
  <c r="O44" i="4"/>
  <c r="O32" i="4"/>
  <c r="O23" i="4"/>
  <c r="O162" i="4" s="1"/>
  <c r="O22" i="4"/>
  <c r="O11" i="4"/>
  <c r="M119" i="4"/>
  <c r="M108" i="4"/>
  <c r="M101" i="4"/>
  <c r="M96" i="4"/>
  <c r="M93" i="4"/>
  <c r="M86" i="4"/>
  <c r="M78" i="4"/>
  <c r="M73" i="4"/>
  <c r="M67" i="4"/>
  <c r="M64" i="4"/>
  <c r="M49" i="4"/>
  <c r="M174" i="4" s="1"/>
  <c r="M44" i="4"/>
  <c r="M32" i="4"/>
  <c r="M23" i="4"/>
  <c r="M162" i="4" s="1"/>
  <c r="M22" i="4"/>
  <c r="M11" i="4"/>
  <c r="K122" i="4"/>
  <c r="M122" i="4" s="1"/>
  <c r="K119" i="4"/>
  <c r="K108" i="4"/>
  <c r="K101" i="4"/>
  <c r="K96" i="4"/>
  <c r="K93" i="4"/>
  <c r="K86" i="4"/>
  <c r="K78" i="4"/>
  <c r="K73" i="4"/>
  <c r="K67" i="4"/>
  <c r="K64" i="4"/>
  <c r="K49" i="4"/>
  <c r="K44" i="4"/>
  <c r="K32" i="4"/>
  <c r="K23" i="4"/>
  <c r="K22" i="4"/>
  <c r="K11" i="4"/>
  <c r="K129" i="3"/>
  <c r="K128" i="3"/>
  <c r="K122" i="3"/>
  <c r="O118" i="3"/>
  <c r="O145" i="3" s="1"/>
  <c r="M118" i="3"/>
  <c r="O114" i="3"/>
  <c r="M114" i="3"/>
  <c r="M119" i="3" s="1"/>
  <c r="K114" i="3"/>
  <c r="O108" i="3"/>
  <c r="M108" i="3"/>
  <c r="K108" i="3"/>
  <c r="O101" i="3"/>
  <c r="N101" i="3"/>
  <c r="M101" i="3"/>
  <c r="L101" i="3"/>
  <c r="K101" i="3"/>
  <c r="J101" i="3"/>
  <c r="O96" i="3"/>
  <c r="N96" i="3"/>
  <c r="M96" i="3"/>
  <c r="L96" i="3"/>
  <c r="K96" i="3"/>
  <c r="J96" i="3"/>
  <c r="O93" i="3"/>
  <c r="M93" i="3"/>
  <c r="K93" i="3"/>
  <c r="O86" i="3"/>
  <c r="N86" i="3"/>
  <c r="M86" i="3"/>
  <c r="L86" i="3"/>
  <c r="K86" i="3"/>
  <c r="J86" i="3"/>
  <c r="O78" i="3"/>
  <c r="M78" i="3"/>
  <c r="K78" i="3"/>
  <c r="O73" i="3"/>
  <c r="M73" i="3"/>
  <c r="K73" i="3"/>
  <c r="O67" i="3"/>
  <c r="N67" i="3"/>
  <c r="M67" i="3"/>
  <c r="L67" i="3"/>
  <c r="K67" i="3"/>
  <c r="J67" i="3"/>
  <c r="O64" i="3"/>
  <c r="M64" i="3"/>
  <c r="K64" i="3"/>
  <c r="N64" i="3" s="1"/>
  <c r="L64" i="3" s="1"/>
  <c r="J64" i="3" s="1"/>
  <c r="O56" i="3"/>
  <c r="M56" i="3"/>
  <c r="K56" i="3"/>
  <c r="K44" i="3"/>
  <c r="O39" i="3"/>
  <c r="O44" i="3" s="1"/>
  <c r="M39" i="3"/>
  <c r="O32" i="3"/>
  <c r="M32" i="3"/>
  <c r="K32" i="3"/>
  <c r="N31" i="3"/>
  <c r="N27" i="3"/>
  <c r="T27" i="3" s="1"/>
  <c r="M23" i="3"/>
  <c r="O22" i="3"/>
  <c r="M22" i="3"/>
  <c r="K22" i="3"/>
  <c r="O11" i="3"/>
  <c r="M11" i="3"/>
  <c r="K11" i="3"/>
  <c r="AA7" i="2"/>
  <c r="AA10" i="2" s="1"/>
  <c r="Y7" i="2"/>
  <c r="Y10" i="2" s="1"/>
  <c r="W7" i="2"/>
  <c r="W10" i="2" s="1"/>
  <c r="U7" i="2"/>
  <c r="U10" i="2" s="1"/>
  <c r="S7" i="2"/>
  <c r="S10" i="2" s="1"/>
  <c r="Q7" i="2"/>
  <c r="Q10" i="2" s="1"/>
  <c r="O7" i="2"/>
  <c r="O10" i="2" s="1"/>
  <c r="M7" i="2"/>
  <c r="M10" i="2" s="1"/>
  <c r="K7" i="2"/>
  <c r="K10" i="2" s="1"/>
  <c r="AB6" i="1"/>
  <c r="AA7" i="1"/>
  <c r="Y7" i="1"/>
  <c r="W7" i="1"/>
  <c r="U7" i="1"/>
  <c r="U10" i="1" s="1"/>
  <c r="S7" i="1"/>
  <c r="S10" i="1" s="1"/>
  <c r="Q7" i="1"/>
  <c r="Q10" i="1" s="1"/>
  <c r="O7" i="1"/>
  <c r="O10" i="1" s="1"/>
  <c r="M7" i="1"/>
  <c r="M10" i="1" s="1"/>
  <c r="K7" i="1"/>
  <c r="K10" i="1" s="1"/>
  <c r="E7" i="1"/>
  <c r="E10" i="1" s="1"/>
  <c r="E124" i="4"/>
  <c r="G124" i="4"/>
  <c r="I124" i="4"/>
  <c r="G124" i="3"/>
  <c r="I124" i="3"/>
  <c r="E6" i="4"/>
  <c r="E11" i="4" s="1"/>
  <c r="E6" i="3"/>
  <c r="T6" i="18" s="1"/>
  <c r="A2" i="19"/>
  <c r="H19" i="19"/>
  <c r="H18" i="19"/>
  <c r="H44" i="19"/>
  <c r="H34" i="19"/>
  <c r="H37" i="19"/>
  <c r="I22" i="18"/>
  <c r="H31" i="19"/>
  <c r="H29" i="19"/>
  <c r="H42" i="19"/>
  <c r="H23" i="19"/>
  <c r="H27" i="19"/>
  <c r="H47" i="19"/>
  <c r="H28" i="19"/>
  <c r="H13" i="19"/>
  <c r="H43" i="19"/>
  <c r="H39" i="19"/>
  <c r="H36" i="19"/>
  <c r="H41" i="19"/>
  <c r="H21" i="19"/>
  <c r="H11" i="19"/>
  <c r="H10" i="19"/>
  <c r="H40" i="19"/>
  <c r="H35" i="19"/>
  <c r="H9" i="19"/>
  <c r="H8" i="19"/>
  <c r="H16" i="19"/>
  <c r="H45" i="19"/>
  <c r="D19" i="19"/>
  <c r="D18" i="19"/>
  <c r="D44" i="19"/>
  <c r="D34" i="19"/>
  <c r="D37" i="19"/>
  <c r="E32" i="18"/>
  <c r="D29" i="19"/>
  <c r="D42" i="19"/>
  <c r="D23" i="19"/>
  <c r="D27" i="19"/>
  <c r="D47" i="19"/>
  <c r="D28" i="19"/>
  <c r="D13" i="19"/>
  <c r="D43" i="19"/>
  <c r="D39" i="19"/>
  <c r="D36" i="19"/>
  <c r="D41" i="19"/>
  <c r="D21" i="19"/>
  <c r="D11" i="19"/>
  <c r="D10" i="19"/>
  <c r="D40" i="19"/>
  <c r="E96" i="18"/>
  <c r="G96" i="18" s="1"/>
  <c r="D9" i="19"/>
  <c r="D16" i="19"/>
  <c r="D45" i="19"/>
  <c r="L19" i="19"/>
  <c r="L18" i="19"/>
  <c r="L44" i="19"/>
  <c r="L34" i="19"/>
  <c r="L37" i="19"/>
  <c r="L31" i="19"/>
  <c r="Q29" i="18"/>
  <c r="Q31" i="18"/>
  <c r="L29" i="19"/>
  <c r="Q35" i="18"/>
  <c r="L42" i="19"/>
  <c r="L23" i="19"/>
  <c r="L27" i="19"/>
  <c r="L47" i="19"/>
  <c r="Q42" i="18"/>
  <c r="L28" i="19"/>
  <c r="L13" i="19"/>
  <c r="L43" i="19"/>
  <c r="L39" i="19"/>
  <c r="L36" i="19"/>
  <c r="L41" i="19"/>
  <c r="L21" i="19"/>
  <c r="Q55" i="18"/>
  <c r="L11" i="19"/>
  <c r="L10" i="19"/>
  <c r="L40" i="19"/>
  <c r="Q62" i="18"/>
  <c r="Q65" i="18"/>
  <c r="Q68" i="18"/>
  <c r="Q70" i="18"/>
  <c r="Q73" i="18"/>
  <c r="Q75" i="18"/>
  <c r="L35" i="19"/>
  <c r="Q79" i="18"/>
  <c r="Q81" i="18"/>
  <c r="Q83" i="18"/>
  <c r="Q85" i="18"/>
  <c r="Q88" i="18"/>
  <c r="Q90" i="18"/>
  <c r="Q95" i="18"/>
  <c r="Q100" i="18"/>
  <c r="L9" i="19"/>
  <c r="L38" i="19"/>
  <c r="L16" i="19"/>
  <c r="L45" i="19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1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1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1" i="5"/>
  <c r="E130" i="5"/>
  <c r="G130" i="5"/>
  <c r="I130" i="5"/>
  <c r="E119" i="5"/>
  <c r="G119" i="5"/>
  <c r="I119" i="5"/>
  <c r="E108" i="5"/>
  <c r="G108" i="5"/>
  <c r="I108" i="5"/>
  <c r="E101" i="5"/>
  <c r="G101" i="5"/>
  <c r="I101" i="5"/>
  <c r="E96" i="5"/>
  <c r="G96" i="5"/>
  <c r="I96" i="5"/>
  <c r="E93" i="5"/>
  <c r="G93" i="5"/>
  <c r="I93" i="5"/>
  <c r="E86" i="5"/>
  <c r="G86" i="5"/>
  <c r="I86" i="5"/>
  <c r="E78" i="5"/>
  <c r="G78" i="5"/>
  <c r="I78" i="5"/>
  <c r="E73" i="5"/>
  <c r="G73" i="5"/>
  <c r="I73" i="5"/>
  <c r="E67" i="5"/>
  <c r="G67" i="5"/>
  <c r="I67" i="5"/>
  <c r="E64" i="5"/>
  <c r="G64" i="5"/>
  <c r="I64" i="5"/>
  <c r="E56" i="5"/>
  <c r="G56" i="5"/>
  <c r="I56" i="5"/>
  <c r="E44" i="5"/>
  <c r="G44" i="5"/>
  <c r="I44" i="5"/>
  <c r="E32" i="5"/>
  <c r="G32" i="5"/>
  <c r="I32" i="5"/>
  <c r="E22" i="5"/>
  <c r="G22" i="5"/>
  <c r="I22" i="5"/>
  <c r="E11" i="5"/>
  <c r="G11" i="5"/>
  <c r="I11" i="5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80" i="4" s="1"/>
  <c r="I183" i="4" s="1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1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1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1" i="4"/>
  <c r="E130" i="4"/>
  <c r="G130" i="4"/>
  <c r="I130" i="4"/>
  <c r="E119" i="4"/>
  <c r="G119" i="4"/>
  <c r="I119" i="4"/>
  <c r="E108" i="4"/>
  <c r="G108" i="4"/>
  <c r="I108" i="4"/>
  <c r="E101" i="4"/>
  <c r="F101" i="4"/>
  <c r="G101" i="4"/>
  <c r="H101" i="4"/>
  <c r="I101" i="4"/>
  <c r="E96" i="4"/>
  <c r="F96" i="4"/>
  <c r="G96" i="4"/>
  <c r="H96" i="4"/>
  <c r="I96" i="4"/>
  <c r="E93" i="4"/>
  <c r="G93" i="4"/>
  <c r="I93" i="4"/>
  <c r="E86" i="4"/>
  <c r="F86" i="4"/>
  <c r="G86" i="4"/>
  <c r="H86" i="4"/>
  <c r="I86" i="4"/>
  <c r="E78" i="4"/>
  <c r="G78" i="4"/>
  <c r="I78" i="4"/>
  <c r="E73" i="4"/>
  <c r="G73" i="4"/>
  <c r="I73" i="4"/>
  <c r="E67" i="4"/>
  <c r="F67" i="4"/>
  <c r="G67" i="4"/>
  <c r="H67" i="4"/>
  <c r="I67" i="4"/>
  <c r="E64" i="4"/>
  <c r="G64" i="4"/>
  <c r="I64" i="4"/>
  <c r="E56" i="4"/>
  <c r="G56" i="4"/>
  <c r="I56" i="4"/>
  <c r="E44" i="4"/>
  <c r="G44" i="4"/>
  <c r="I44" i="4"/>
  <c r="E32" i="4"/>
  <c r="G32" i="4"/>
  <c r="I32" i="4"/>
  <c r="E22" i="4"/>
  <c r="G22" i="4"/>
  <c r="I22" i="4"/>
  <c r="G11" i="4"/>
  <c r="I11" i="4"/>
  <c r="I138" i="3"/>
  <c r="I139" i="3"/>
  <c r="I140" i="3"/>
  <c r="I141" i="3"/>
  <c r="I142" i="3"/>
  <c r="G138" i="3"/>
  <c r="G139" i="3"/>
  <c r="G180" i="3" s="1"/>
  <c r="G183" i="3" s="1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1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1" i="3"/>
  <c r="E138" i="3"/>
  <c r="E180" i="3" s="1"/>
  <c r="E183" i="3" s="1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1" i="3"/>
  <c r="E130" i="3"/>
  <c r="G130" i="3"/>
  <c r="I130" i="3"/>
  <c r="G119" i="3"/>
  <c r="I119" i="3"/>
  <c r="E108" i="3"/>
  <c r="E132" i="3" s="1"/>
  <c r="E185" i="3" s="1"/>
  <c r="G108" i="3"/>
  <c r="I108" i="3"/>
  <c r="E101" i="3"/>
  <c r="F101" i="3"/>
  <c r="G101" i="3"/>
  <c r="H101" i="3"/>
  <c r="I101" i="3"/>
  <c r="E96" i="3"/>
  <c r="F96" i="3"/>
  <c r="G96" i="3"/>
  <c r="H96" i="3"/>
  <c r="I96" i="3"/>
  <c r="E93" i="3"/>
  <c r="G93" i="3"/>
  <c r="I93" i="3"/>
  <c r="E86" i="3"/>
  <c r="F86" i="3"/>
  <c r="G86" i="3"/>
  <c r="H86" i="3"/>
  <c r="I86" i="3"/>
  <c r="E78" i="3"/>
  <c r="G78" i="3"/>
  <c r="I78" i="3"/>
  <c r="E73" i="3"/>
  <c r="G73" i="3"/>
  <c r="I73" i="3"/>
  <c r="E67" i="3"/>
  <c r="F67" i="3"/>
  <c r="G67" i="3"/>
  <c r="H67" i="3"/>
  <c r="I67" i="3"/>
  <c r="E64" i="3"/>
  <c r="G64" i="3"/>
  <c r="I64" i="3"/>
  <c r="E56" i="3"/>
  <c r="E57" i="3" s="1"/>
  <c r="G56" i="3"/>
  <c r="I56" i="3"/>
  <c r="E44" i="3"/>
  <c r="G44" i="3"/>
  <c r="G57" i="3" s="1"/>
  <c r="G120" i="3" s="1"/>
  <c r="G125" i="3" s="1"/>
  <c r="G132" i="3" s="1"/>
  <c r="I44" i="3"/>
  <c r="E32" i="3"/>
  <c r="G32" i="3"/>
  <c r="I32" i="3"/>
  <c r="E22" i="3"/>
  <c r="G22" i="3"/>
  <c r="I22" i="3"/>
  <c r="E11" i="3"/>
  <c r="AC11" i="3" s="1"/>
  <c r="G11" i="3"/>
  <c r="I11" i="3"/>
  <c r="E7" i="2"/>
  <c r="E10" i="2"/>
  <c r="F7" i="2"/>
  <c r="F10" i="2" s="1"/>
  <c r="G7" i="2"/>
  <c r="G10" i="2" s="1"/>
  <c r="H7" i="2"/>
  <c r="H10" i="2" s="1"/>
  <c r="I7" i="2"/>
  <c r="I10" i="2" s="1"/>
  <c r="F7" i="1"/>
  <c r="G7" i="1"/>
  <c r="G10" i="1" s="1"/>
  <c r="H7" i="1"/>
  <c r="I7" i="1"/>
  <c r="I10" i="1" s="1"/>
  <c r="AC130" i="18"/>
  <c r="AB130" i="18"/>
  <c r="AA130" i="18"/>
  <c r="Z130" i="18"/>
  <c r="Y130" i="18"/>
  <c r="X130" i="18"/>
  <c r="W130" i="18"/>
  <c r="V130" i="18"/>
  <c r="U130" i="18"/>
  <c r="L130" i="18"/>
  <c r="H130" i="18"/>
  <c r="D130" i="18"/>
  <c r="AC107" i="18"/>
  <c r="AB107" i="18"/>
  <c r="AA107" i="18"/>
  <c r="Z107" i="18"/>
  <c r="Y107" i="18"/>
  <c r="X107" i="18"/>
  <c r="W107" i="18"/>
  <c r="V107" i="18"/>
  <c r="U107" i="18"/>
  <c r="AC106" i="18"/>
  <c r="AB106" i="18"/>
  <c r="AA106" i="18"/>
  <c r="Z106" i="18"/>
  <c r="Y106" i="18"/>
  <c r="X106" i="18"/>
  <c r="W106" i="18"/>
  <c r="V106" i="18"/>
  <c r="U106" i="18"/>
  <c r="J106" i="18"/>
  <c r="AC104" i="18"/>
  <c r="AB104" i="18"/>
  <c r="AA104" i="18"/>
  <c r="Z104" i="18"/>
  <c r="Y104" i="18"/>
  <c r="X104" i="18"/>
  <c r="W104" i="18"/>
  <c r="V104" i="18"/>
  <c r="U104" i="18"/>
  <c r="AC100" i="18"/>
  <c r="AB100" i="18"/>
  <c r="AA100" i="18"/>
  <c r="Z100" i="18"/>
  <c r="Y100" i="18"/>
  <c r="X100" i="18"/>
  <c r="W100" i="18"/>
  <c r="V100" i="18"/>
  <c r="U100" i="18"/>
  <c r="J100" i="18"/>
  <c r="AC99" i="18"/>
  <c r="AB99" i="18"/>
  <c r="AA99" i="18"/>
  <c r="Z99" i="18"/>
  <c r="Y99" i="18"/>
  <c r="X99" i="18"/>
  <c r="W99" i="18"/>
  <c r="V99" i="18"/>
  <c r="U99" i="18"/>
  <c r="AC98" i="18"/>
  <c r="AB98" i="18"/>
  <c r="AA98" i="18"/>
  <c r="Z98" i="18"/>
  <c r="Y98" i="18"/>
  <c r="X98" i="18"/>
  <c r="W98" i="18"/>
  <c r="V98" i="18"/>
  <c r="U98" i="18"/>
  <c r="J98" i="18"/>
  <c r="AC97" i="18"/>
  <c r="AB97" i="18"/>
  <c r="AA97" i="18"/>
  <c r="Z97" i="18"/>
  <c r="Y97" i="18"/>
  <c r="X97" i="18"/>
  <c r="W97" i="18"/>
  <c r="V97" i="18"/>
  <c r="U97" i="18"/>
  <c r="H101" i="18"/>
  <c r="AC95" i="18"/>
  <c r="AB95" i="18"/>
  <c r="AA95" i="18"/>
  <c r="Z95" i="18"/>
  <c r="Y95" i="18"/>
  <c r="X95" i="18"/>
  <c r="W95" i="18"/>
  <c r="V95" i="18"/>
  <c r="U95" i="18"/>
  <c r="AC94" i="18"/>
  <c r="AB94" i="18"/>
  <c r="AA94" i="18"/>
  <c r="Z94" i="18"/>
  <c r="Y94" i="18"/>
  <c r="X94" i="18"/>
  <c r="W94" i="18"/>
  <c r="V94" i="18"/>
  <c r="U94" i="18"/>
  <c r="AC90" i="18"/>
  <c r="AB90" i="18"/>
  <c r="AA90" i="18"/>
  <c r="Z90" i="18"/>
  <c r="Y90" i="18"/>
  <c r="X90" i="18"/>
  <c r="W90" i="18"/>
  <c r="V90" i="18"/>
  <c r="U90" i="18"/>
  <c r="AC88" i="18"/>
  <c r="AB88" i="18"/>
  <c r="AA88" i="18"/>
  <c r="Z88" i="18"/>
  <c r="Y88" i="18"/>
  <c r="X88" i="18"/>
  <c r="W88" i="18"/>
  <c r="V88" i="18"/>
  <c r="U88" i="18"/>
  <c r="AC87" i="18"/>
  <c r="AB87" i="18"/>
  <c r="AA87" i="18"/>
  <c r="Z87" i="18"/>
  <c r="Y87" i="18"/>
  <c r="X87" i="18"/>
  <c r="W87" i="18"/>
  <c r="V87" i="18"/>
  <c r="U87" i="18"/>
  <c r="AC85" i="18"/>
  <c r="AB85" i="18"/>
  <c r="AA85" i="18"/>
  <c r="Z85" i="18"/>
  <c r="Y85" i="18"/>
  <c r="X85" i="18"/>
  <c r="W85" i="18"/>
  <c r="V85" i="18"/>
  <c r="U85" i="18"/>
  <c r="AC84" i="18"/>
  <c r="AB84" i="18"/>
  <c r="AA84" i="18"/>
  <c r="Z84" i="18"/>
  <c r="Y84" i="18"/>
  <c r="X84" i="18"/>
  <c r="W84" i="18"/>
  <c r="V84" i="18"/>
  <c r="U84" i="18"/>
  <c r="J84" i="18"/>
  <c r="AC83" i="18"/>
  <c r="AB83" i="18"/>
  <c r="AA83" i="18"/>
  <c r="Z83" i="18"/>
  <c r="Y83" i="18"/>
  <c r="X83" i="18"/>
  <c r="W83" i="18"/>
  <c r="V83" i="18"/>
  <c r="U83" i="18"/>
  <c r="J83" i="18"/>
  <c r="AC82" i="18"/>
  <c r="AB82" i="18"/>
  <c r="AA82" i="18"/>
  <c r="Z82" i="18"/>
  <c r="Y82" i="18"/>
  <c r="X82" i="18"/>
  <c r="W82" i="18"/>
  <c r="V82" i="18"/>
  <c r="U82" i="18"/>
  <c r="G82" i="18"/>
  <c r="AC81" i="18"/>
  <c r="AB81" i="18"/>
  <c r="AA81" i="18"/>
  <c r="Z81" i="18"/>
  <c r="Y81" i="18"/>
  <c r="X81" i="18"/>
  <c r="W81" i="18"/>
  <c r="V81" i="18"/>
  <c r="U81" i="18"/>
  <c r="J81" i="18"/>
  <c r="AC80" i="18"/>
  <c r="AB80" i="18"/>
  <c r="AA80" i="18"/>
  <c r="Z80" i="18"/>
  <c r="Y80" i="18"/>
  <c r="X80" i="18"/>
  <c r="W80" i="18"/>
  <c r="V80" i="18"/>
  <c r="U80" i="18"/>
  <c r="AC79" i="18"/>
  <c r="AB79" i="18"/>
  <c r="AA79" i="18"/>
  <c r="Z79" i="18"/>
  <c r="Y79" i="18"/>
  <c r="X79" i="18"/>
  <c r="W79" i="18"/>
  <c r="V79" i="18"/>
  <c r="U79" i="18"/>
  <c r="H86" i="18"/>
  <c r="U74" i="18"/>
  <c r="AC65" i="18"/>
  <c r="AB65" i="18"/>
  <c r="AA65" i="18"/>
  <c r="Y65" i="18"/>
  <c r="X65" i="18"/>
  <c r="W65" i="18"/>
  <c r="V65" i="18"/>
  <c r="U65" i="18"/>
  <c r="J65" i="18"/>
  <c r="AC64" i="18"/>
  <c r="AB64" i="18"/>
  <c r="Z64" i="18"/>
  <c r="Y64" i="18"/>
  <c r="X64" i="18"/>
  <c r="W64" i="18"/>
  <c r="V64" i="18"/>
  <c r="U64" i="18"/>
  <c r="G61" i="18"/>
  <c r="U20" i="18"/>
  <c r="T37" i="19" s="1"/>
  <c r="AC18" i="18"/>
  <c r="AB18" i="18"/>
  <c r="AA18" i="18"/>
  <c r="Z18" i="18"/>
  <c r="Y18" i="18"/>
  <c r="X18" i="18"/>
  <c r="W18" i="18"/>
  <c r="V18" i="18"/>
  <c r="U18" i="18"/>
  <c r="N18" i="18"/>
  <c r="AC17" i="18"/>
  <c r="AB17" i="18"/>
  <c r="AA17" i="18"/>
  <c r="Z17" i="18"/>
  <c r="Y17" i="18"/>
  <c r="X17" i="18"/>
  <c r="W17" i="18"/>
  <c r="V17" i="18"/>
  <c r="U17" i="18"/>
  <c r="N17" i="18"/>
  <c r="J17" i="18"/>
  <c r="AC14" i="18"/>
  <c r="AB14" i="18"/>
  <c r="AA14" i="18"/>
  <c r="Z14" i="18"/>
  <c r="Y14" i="18"/>
  <c r="X14" i="18"/>
  <c r="W14" i="18"/>
  <c r="V14" i="18"/>
  <c r="U14" i="18"/>
  <c r="G14" i="18"/>
  <c r="AC13" i="18"/>
  <c r="AB13" i="18"/>
  <c r="AA13" i="18"/>
  <c r="Z13" i="18"/>
  <c r="Y13" i="18"/>
  <c r="X13" i="18"/>
  <c r="W13" i="18"/>
  <c r="V13" i="18"/>
  <c r="U13" i="18"/>
  <c r="N13" i="18"/>
  <c r="J13" i="18"/>
  <c r="E20" i="9"/>
  <c r="E22" i="9"/>
  <c r="E24" i="9"/>
  <c r="E26" i="9"/>
  <c r="E28" i="9"/>
  <c r="E30" i="9"/>
  <c r="E31" i="9"/>
  <c r="E33" i="9"/>
  <c r="E34" i="9"/>
  <c r="E36" i="9"/>
  <c r="E38" i="9"/>
  <c r="D6" i="13"/>
  <c r="F6" i="13" s="1"/>
  <c r="G6" i="13"/>
  <c r="I6" i="13" s="1"/>
  <c r="J6" i="13"/>
  <c r="L6" i="13" s="1"/>
  <c r="N6" i="13"/>
  <c r="O6" i="13"/>
  <c r="V6" i="13"/>
  <c r="V11" i="13" s="1"/>
  <c r="Y6" i="13"/>
  <c r="AB6" i="13" s="1"/>
  <c r="AC6" i="13"/>
  <c r="AE6" i="13"/>
  <c r="AF6" i="13"/>
  <c r="AH6" i="13" s="1"/>
  <c r="AI6" i="13"/>
  <c r="AK6" i="13"/>
  <c r="AN6" i="13" s="1"/>
  <c r="AM6" i="13"/>
  <c r="AP6" i="13"/>
  <c r="AU6" i="13"/>
  <c r="AW6" i="13"/>
  <c r="AY6" i="13" s="1"/>
  <c r="M7" i="13"/>
  <c r="N7" i="13"/>
  <c r="X7" i="13"/>
  <c r="Y7" i="13"/>
  <c r="AI7" i="13"/>
  <c r="AJ7" i="13"/>
  <c r="AU7" i="13"/>
  <c r="AV7" i="13"/>
  <c r="AX7" i="13" s="1"/>
  <c r="AW7" i="13"/>
  <c r="AY7" i="13"/>
  <c r="AZ7" i="13" s="1"/>
  <c r="BA7" i="13" s="1"/>
  <c r="BB7" i="13" s="1"/>
  <c r="M8" i="13"/>
  <c r="N8" i="13"/>
  <c r="X8" i="13"/>
  <c r="Y8" i="13"/>
  <c r="AI8" i="13"/>
  <c r="AJ8" i="13"/>
  <c r="AU8" i="13"/>
  <c r="AV8" i="13"/>
  <c r="AX8" i="13" s="1"/>
  <c r="AW8" i="13"/>
  <c r="AY8" i="13"/>
  <c r="AZ8" i="13" s="1"/>
  <c r="BA8" i="13" s="1"/>
  <c r="BB8" i="13" s="1"/>
  <c r="D9" i="13"/>
  <c r="F9" i="13" s="1"/>
  <c r="G9" i="13"/>
  <c r="J9" i="13"/>
  <c r="L9" i="13" s="1"/>
  <c r="N9" i="13"/>
  <c r="O9" i="13"/>
  <c r="Y9" i="13"/>
  <c r="Z9" i="13"/>
  <c r="AC9" i="13"/>
  <c r="AF9" i="13"/>
  <c r="AK9" i="13"/>
  <c r="AM9" i="13" s="1"/>
  <c r="AU9" i="13"/>
  <c r="AW9" i="13"/>
  <c r="AY9" i="13" s="1"/>
  <c r="AZ9" i="13" s="1"/>
  <c r="BA9" i="13" s="1"/>
  <c r="BB9" i="13" s="1"/>
  <c r="F10" i="13"/>
  <c r="I10" i="13"/>
  <c r="L10" i="13"/>
  <c r="M10" i="13"/>
  <c r="N10" i="13"/>
  <c r="N11" i="13" s="1"/>
  <c r="Q10" i="13"/>
  <c r="T10" i="13"/>
  <c r="W10" i="13"/>
  <c r="X10" i="13"/>
  <c r="Y10" i="13"/>
  <c r="AB10" i="13"/>
  <c r="AE10" i="13"/>
  <c r="AH10" i="13"/>
  <c r="AI10" i="13"/>
  <c r="AJ10" i="13"/>
  <c r="AM10" i="13"/>
  <c r="AP10" i="13"/>
  <c r="AS10" i="13"/>
  <c r="AU10" i="13"/>
  <c r="AV10" i="13"/>
  <c r="AX10" i="13" s="1"/>
  <c r="AW10" i="13"/>
  <c r="AY10" i="13"/>
  <c r="AZ10" i="13" s="1"/>
  <c r="BA10" i="13" s="1"/>
  <c r="BB10" i="13" s="1"/>
  <c r="D11" i="13"/>
  <c r="E11" i="13"/>
  <c r="H11" i="13"/>
  <c r="J11" i="13"/>
  <c r="K11" i="13"/>
  <c r="P11" i="13"/>
  <c r="S11" i="13"/>
  <c r="Y11" i="13"/>
  <c r="AA11" i="13"/>
  <c r="AD11" i="13"/>
  <c r="AF11" i="13"/>
  <c r="AG11" i="13"/>
  <c r="AL11" i="13"/>
  <c r="AO11" i="13"/>
  <c r="AR11" i="13"/>
  <c r="AT11" i="13"/>
  <c r="D12" i="13"/>
  <c r="E12" i="13"/>
  <c r="G12" i="13"/>
  <c r="I12" i="13" s="1"/>
  <c r="H12" i="13"/>
  <c r="J12" i="13"/>
  <c r="K12" i="13"/>
  <c r="K22" i="13" s="1"/>
  <c r="O12" i="13"/>
  <c r="Q12" i="13" s="1"/>
  <c r="V12" i="13"/>
  <c r="Y12" i="13"/>
  <c r="Z12" i="13"/>
  <c r="AF12" i="13"/>
  <c r="AK12" i="13"/>
  <c r="AM12" i="13" s="1"/>
  <c r="AN12" i="13"/>
  <c r="AU12" i="13"/>
  <c r="F13" i="13"/>
  <c r="I13" i="13"/>
  <c r="L13" i="13"/>
  <c r="M13" i="13"/>
  <c r="N13" i="13"/>
  <c r="Q13" i="13"/>
  <c r="T13" i="13"/>
  <c r="W13" i="13"/>
  <c r="X13" i="13"/>
  <c r="Y13" i="13"/>
  <c r="AB13" i="13"/>
  <c r="AE13" i="13"/>
  <c r="AH13" i="13"/>
  <c r="AI13" i="13"/>
  <c r="AJ13" i="13"/>
  <c r="AM13" i="13"/>
  <c r="AP13" i="13"/>
  <c r="AS13" i="13"/>
  <c r="AU13" i="13"/>
  <c r="AV13" i="13"/>
  <c r="AW13" i="13"/>
  <c r="AY13" i="13" s="1"/>
  <c r="AZ13" i="13" s="1"/>
  <c r="BA13" i="13" s="1"/>
  <c r="BB13" i="13" s="1"/>
  <c r="F14" i="13"/>
  <c r="I14" i="13"/>
  <c r="L14" i="13"/>
  <c r="M14" i="13"/>
  <c r="N14" i="13"/>
  <c r="Q14" i="13"/>
  <c r="T14" i="13"/>
  <c r="W14" i="13"/>
  <c r="X14" i="13"/>
  <c r="AX14" i="13" s="1"/>
  <c r="Y14" i="13"/>
  <c r="AB14" i="13"/>
  <c r="AE14" i="13"/>
  <c r="AH14" i="13"/>
  <c r="AI14" i="13"/>
  <c r="AJ14" i="13"/>
  <c r="AM14" i="13"/>
  <c r="AP14" i="13"/>
  <c r="AS14" i="13"/>
  <c r="AU14" i="13"/>
  <c r="AV14" i="13"/>
  <c r="AW14" i="13"/>
  <c r="AY14" i="13" s="1"/>
  <c r="AZ14" i="13" s="1"/>
  <c r="BA14" i="13" s="1"/>
  <c r="BB14" i="13" s="1"/>
  <c r="F15" i="13"/>
  <c r="I15" i="13"/>
  <c r="L15" i="13"/>
  <c r="M15" i="13"/>
  <c r="N15" i="13"/>
  <c r="Q15" i="13"/>
  <c r="T15" i="13"/>
  <c r="W15" i="13"/>
  <c r="X15" i="13"/>
  <c r="AX15" i="13" s="1"/>
  <c r="Y15" i="13"/>
  <c r="AB15" i="13"/>
  <c r="AE15" i="13"/>
  <c r="AH15" i="13"/>
  <c r="AI15" i="13"/>
  <c r="AJ15" i="13"/>
  <c r="AM15" i="13"/>
  <c r="AP15" i="13"/>
  <c r="AS15" i="13"/>
  <c r="AU15" i="13"/>
  <c r="AV15" i="13"/>
  <c r="AW15" i="13"/>
  <c r="AY15" i="13" s="1"/>
  <c r="AZ15" i="13" s="1"/>
  <c r="BA15" i="13" s="1"/>
  <c r="BB15" i="13" s="1"/>
  <c r="F16" i="13"/>
  <c r="I16" i="13"/>
  <c r="L16" i="13"/>
  <c r="M16" i="13"/>
  <c r="N16" i="13"/>
  <c r="Q16" i="13"/>
  <c r="T16" i="13"/>
  <c r="W16" i="13"/>
  <c r="X16" i="13"/>
  <c r="Y16" i="13"/>
  <c r="AB16" i="13"/>
  <c r="AE16" i="13"/>
  <c r="AH16" i="13"/>
  <c r="AI16" i="13"/>
  <c r="AJ16" i="13"/>
  <c r="AM16" i="13"/>
  <c r="AP16" i="13"/>
  <c r="AS16" i="13"/>
  <c r="AU16" i="13"/>
  <c r="AV16" i="13"/>
  <c r="AW16" i="13"/>
  <c r="AY16" i="13" s="1"/>
  <c r="AZ16" i="13" s="1"/>
  <c r="BA16" i="13" s="1"/>
  <c r="BB16" i="13" s="1"/>
  <c r="F17" i="13"/>
  <c r="I17" i="13"/>
  <c r="L17" i="13"/>
  <c r="M17" i="13"/>
  <c r="N17" i="13"/>
  <c r="Q17" i="13"/>
  <c r="T17" i="13"/>
  <c r="W17" i="13"/>
  <c r="X17" i="13"/>
  <c r="Y17" i="13"/>
  <c r="AB17" i="13"/>
  <c r="AC17" i="13"/>
  <c r="AE17" i="13"/>
  <c r="AH17" i="13"/>
  <c r="AI17" i="13"/>
  <c r="AJ17" i="13"/>
  <c r="AM17" i="13"/>
  <c r="AP17" i="13"/>
  <c r="AS17" i="13"/>
  <c r="AU17" i="13"/>
  <c r="AV17" i="13"/>
  <c r="AW17" i="13"/>
  <c r="AX17" i="13"/>
  <c r="AY17" i="13"/>
  <c r="AZ17" i="13"/>
  <c r="BA17" i="13" s="1"/>
  <c r="BB17" i="13" s="1"/>
  <c r="F18" i="13"/>
  <c r="I18" i="13"/>
  <c r="L18" i="13"/>
  <c r="M18" i="13"/>
  <c r="N18" i="13"/>
  <c r="Q18" i="13"/>
  <c r="T18" i="13"/>
  <c r="W18" i="13"/>
  <c r="X18" i="13"/>
  <c r="Y18" i="13"/>
  <c r="AB18" i="13"/>
  <c r="AC18" i="13"/>
  <c r="AE18" i="13" s="1"/>
  <c r="AH18" i="13"/>
  <c r="AJ18" i="13"/>
  <c r="AM18" i="13"/>
  <c r="AP18" i="13"/>
  <c r="AS18" i="13"/>
  <c r="AU18" i="13"/>
  <c r="AW18" i="13"/>
  <c r="AY18" i="13"/>
  <c r="AZ18" i="13" s="1"/>
  <c r="BA18" i="13" s="1"/>
  <c r="BB18" i="13" s="1"/>
  <c r="F19" i="13"/>
  <c r="G19" i="13"/>
  <c r="L19" i="13"/>
  <c r="N19" i="13"/>
  <c r="Q19" i="13"/>
  <c r="R19" i="13"/>
  <c r="W19" i="13"/>
  <c r="Y19" i="13"/>
  <c r="AB19" i="13"/>
  <c r="AC19" i="13"/>
  <c r="AH19" i="13"/>
  <c r="AJ19" i="13"/>
  <c r="AM19" i="13"/>
  <c r="AN19" i="13"/>
  <c r="AS19" i="13"/>
  <c r="AU19" i="13"/>
  <c r="AW19" i="13"/>
  <c r="AY19" i="13"/>
  <c r="AZ19" i="13" s="1"/>
  <c r="BA19" i="13" s="1"/>
  <c r="BB19" i="13" s="1"/>
  <c r="F20" i="13"/>
  <c r="I20" i="13"/>
  <c r="L20" i="13"/>
  <c r="M20" i="13"/>
  <c r="N20" i="13"/>
  <c r="Q20" i="13"/>
  <c r="T20" i="13"/>
  <c r="W20" i="13"/>
  <c r="X20" i="13"/>
  <c r="Y20" i="13"/>
  <c r="AB20" i="13"/>
  <c r="AE20" i="13"/>
  <c r="AH20" i="13"/>
  <c r="AI20" i="13"/>
  <c r="AJ20" i="13"/>
  <c r="AM20" i="13"/>
  <c r="AP20" i="13"/>
  <c r="AS20" i="13"/>
  <c r="AU20" i="13"/>
  <c r="AV20" i="13"/>
  <c r="AW20" i="13"/>
  <c r="AY20" i="13"/>
  <c r="AZ20" i="13" s="1"/>
  <c r="BA20" i="13" s="1"/>
  <c r="BB20" i="13" s="1"/>
  <c r="F21" i="13"/>
  <c r="I21" i="13"/>
  <c r="L21" i="13"/>
  <c r="M21" i="13"/>
  <c r="N21" i="13"/>
  <c r="Q21" i="13"/>
  <c r="R21" i="13"/>
  <c r="T21" i="13" s="1"/>
  <c r="W21" i="13"/>
  <c r="Y21" i="13"/>
  <c r="AB21" i="13"/>
  <c r="AE21" i="13"/>
  <c r="AH21" i="13"/>
  <c r="AI21" i="13"/>
  <c r="AJ21" i="13"/>
  <c r="AM21" i="13"/>
  <c r="AN21" i="13"/>
  <c r="AP21" i="13" s="1"/>
  <c r="AS21" i="13"/>
  <c r="AU21" i="13"/>
  <c r="AW21" i="13"/>
  <c r="AY21" i="13" s="1"/>
  <c r="AZ21" i="13" s="1"/>
  <c r="BA21" i="13" s="1"/>
  <c r="BB21" i="13" s="1"/>
  <c r="D22" i="13"/>
  <c r="E22" i="13"/>
  <c r="H22" i="13"/>
  <c r="J22" i="13"/>
  <c r="O22" i="13"/>
  <c r="P22" i="13"/>
  <c r="S22" i="13"/>
  <c r="V22" i="13"/>
  <c r="Y22" i="13"/>
  <c r="AA22" i="13"/>
  <c r="AD22" i="13"/>
  <c r="AG22" i="13"/>
  <c r="AK22" i="13"/>
  <c r="AL22" i="13"/>
  <c r="AO22" i="13"/>
  <c r="AR22" i="13"/>
  <c r="AT22" i="13"/>
  <c r="F23" i="13"/>
  <c r="I23" i="13"/>
  <c r="L23" i="13"/>
  <c r="M23" i="13"/>
  <c r="N23" i="13"/>
  <c r="Q23" i="13"/>
  <c r="T23" i="13"/>
  <c r="V23" i="13"/>
  <c r="AW23" i="13" s="1"/>
  <c r="W23" i="13"/>
  <c r="X23" i="13"/>
  <c r="Y23" i="13"/>
  <c r="AB23" i="13"/>
  <c r="AC23" i="13"/>
  <c r="AH23" i="13"/>
  <c r="AJ23" i="13"/>
  <c r="AM23" i="13"/>
  <c r="AP23" i="13"/>
  <c r="AQ23" i="13"/>
  <c r="AS23" i="13"/>
  <c r="AU23" i="13"/>
  <c r="AV23" i="13"/>
  <c r="AY23" i="13"/>
  <c r="AZ23" i="13" s="1"/>
  <c r="BA23" i="13" s="1"/>
  <c r="BB23" i="13"/>
  <c r="F24" i="13"/>
  <c r="I24" i="13"/>
  <c r="L24" i="13"/>
  <c r="M24" i="13"/>
  <c r="N24" i="13"/>
  <c r="Q24" i="13"/>
  <c r="T24" i="13"/>
  <c r="W24" i="13"/>
  <c r="X24" i="13"/>
  <c r="Y24" i="13"/>
  <c r="AB24" i="13"/>
  <c r="AE24" i="13"/>
  <c r="AH24" i="13"/>
  <c r="AI24" i="13"/>
  <c r="AJ24" i="13"/>
  <c r="AM24" i="13"/>
  <c r="AP24" i="13"/>
  <c r="AS24" i="13"/>
  <c r="AU24" i="13"/>
  <c r="AV24" i="13"/>
  <c r="AX24" i="13" s="1"/>
  <c r="AW24" i="13"/>
  <c r="AY24" i="13"/>
  <c r="AZ24" i="13"/>
  <c r="BA24" i="13" s="1"/>
  <c r="F25" i="13"/>
  <c r="I25" i="13"/>
  <c r="L25" i="13"/>
  <c r="M25" i="13"/>
  <c r="N25" i="13"/>
  <c r="Q25" i="13"/>
  <c r="T25" i="13"/>
  <c r="W25" i="13"/>
  <c r="X25" i="13"/>
  <c r="Y25" i="13"/>
  <c r="AB25" i="13"/>
  <c r="AE25" i="13"/>
  <c r="AH25" i="13"/>
  <c r="AI25" i="13"/>
  <c r="AJ25" i="13"/>
  <c r="AM25" i="13"/>
  <c r="AP25" i="13"/>
  <c r="AS25" i="13"/>
  <c r="AU25" i="13"/>
  <c r="AV25" i="13"/>
  <c r="AX25" i="13" s="1"/>
  <c r="AW25" i="13"/>
  <c r="AY25" i="13"/>
  <c r="AZ25" i="13"/>
  <c r="BA25" i="13" s="1"/>
  <c r="BB25" i="13" s="1"/>
  <c r="F26" i="13"/>
  <c r="I26" i="13"/>
  <c r="L26" i="13"/>
  <c r="M26" i="13"/>
  <c r="N26" i="13"/>
  <c r="Q26" i="13"/>
  <c r="T26" i="13"/>
  <c r="W26" i="13"/>
  <c r="X26" i="13"/>
  <c r="Y26" i="13"/>
  <c r="AB26" i="13"/>
  <c r="AE26" i="13"/>
  <c r="AH26" i="13"/>
  <c r="AI26" i="13"/>
  <c r="AJ26" i="13"/>
  <c r="AM26" i="13"/>
  <c r="AP26" i="13"/>
  <c r="AS26" i="13"/>
  <c r="AU26" i="13"/>
  <c r="AV26" i="13"/>
  <c r="AX26" i="13" s="1"/>
  <c r="AW26" i="13"/>
  <c r="AY26" i="13"/>
  <c r="AZ26" i="13"/>
  <c r="BA26" i="13" s="1"/>
  <c r="BB26" i="13" s="1"/>
  <c r="F27" i="13"/>
  <c r="I27" i="13"/>
  <c r="L27" i="13"/>
  <c r="M27" i="13"/>
  <c r="N27" i="13"/>
  <c r="Q27" i="13"/>
  <c r="T27" i="13"/>
  <c r="W27" i="13"/>
  <c r="X27" i="13"/>
  <c r="Y27" i="13"/>
  <c r="AB27" i="13"/>
  <c r="AE27" i="13"/>
  <c r="AH27" i="13"/>
  <c r="AI27" i="13"/>
  <c r="AJ27" i="13"/>
  <c r="AM27" i="13"/>
  <c r="AP27" i="13"/>
  <c r="AS27" i="13"/>
  <c r="AU27" i="13"/>
  <c r="AV27" i="13"/>
  <c r="AX27" i="13" s="1"/>
  <c r="AW27" i="13"/>
  <c r="AY27" i="13"/>
  <c r="AZ27" i="13"/>
  <c r="BA27" i="13" s="1"/>
  <c r="BB27" i="13" s="1"/>
  <c r="F28" i="13"/>
  <c r="I28" i="13"/>
  <c r="L28" i="13"/>
  <c r="M28" i="13"/>
  <c r="N28" i="13"/>
  <c r="Q28" i="13"/>
  <c r="T28" i="13"/>
  <c r="W28" i="13"/>
  <c r="X28" i="13"/>
  <c r="Y28" i="13"/>
  <c r="AB28" i="13"/>
  <c r="AE28" i="13"/>
  <c r="AH28" i="13"/>
  <c r="AI28" i="13"/>
  <c r="AJ28" i="13"/>
  <c r="AM28" i="13"/>
  <c r="AP28" i="13"/>
  <c r="AS28" i="13"/>
  <c r="AU28" i="13"/>
  <c r="AV28" i="13"/>
  <c r="AX28" i="13" s="1"/>
  <c r="AW28" i="13"/>
  <c r="AY28" i="13"/>
  <c r="AZ28" i="13"/>
  <c r="BA28" i="13" s="1"/>
  <c r="BB28" i="13" s="1"/>
  <c r="D29" i="13"/>
  <c r="F29" i="13"/>
  <c r="G29" i="13"/>
  <c r="I29" i="13"/>
  <c r="J29" i="13"/>
  <c r="L29" i="13"/>
  <c r="M29" i="13"/>
  <c r="N29" i="13"/>
  <c r="Q29" i="13"/>
  <c r="R29" i="13"/>
  <c r="T29" i="13" s="1"/>
  <c r="U29" i="13"/>
  <c r="W29" i="13" s="1"/>
  <c r="X29" i="13"/>
  <c r="Y29" i="13"/>
  <c r="Z29" i="13"/>
  <c r="AE29" i="13"/>
  <c r="AF29" i="13"/>
  <c r="AJ29" i="13"/>
  <c r="AK29" i="13"/>
  <c r="AM29" i="13"/>
  <c r="AN29" i="13"/>
  <c r="AP29" i="13"/>
  <c r="AQ29" i="13"/>
  <c r="AS29" i="13"/>
  <c r="AU29" i="13"/>
  <c r="AW29" i="13"/>
  <c r="AY29" i="13"/>
  <c r="AZ29" i="13" s="1"/>
  <c r="BA29" i="13" s="1"/>
  <c r="BB29" i="13" s="1"/>
  <c r="F30" i="13"/>
  <c r="I30" i="13"/>
  <c r="L30" i="13"/>
  <c r="M30" i="13"/>
  <c r="N30" i="13"/>
  <c r="Q30" i="13"/>
  <c r="T30" i="13"/>
  <c r="W30" i="13"/>
  <c r="X30" i="13"/>
  <c r="Y30" i="13"/>
  <c r="AB30" i="13"/>
  <c r="AE30" i="13"/>
  <c r="AH30" i="13"/>
  <c r="AI30" i="13"/>
  <c r="AJ30" i="13"/>
  <c r="AJ32" i="13" s="1"/>
  <c r="AM30" i="13"/>
  <c r="AP30" i="13"/>
  <c r="AP32" i="13" s="1"/>
  <c r="AS30" i="13"/>
  <c r="AU30" i="13"/>
  <c r="AV30" i="13"/>
  <c r="AW30" i="13"/>
  <c r="AY30" i="13" s="1"/>
  <c r="AZ30" i="13" s="1"/>
  <c r="BA30" i="13" s="1"/>
  <c r="BB30" i="13" s="1"/>
  <c r="F31" i="13"/>
  <c r="I31" i="13"/>
  <c r="L31" i="13"/>
  <c r="M31" i="13"/>
  <c r="N31" i="13"/>
  <c r="Q31" i="13"/>
  <c r="T31" i="13"/>
  <c r="W31" i="13"/>
  <c r="X31" i="13"/>
  <c r="Y31" i="13"/>
  <c r="AB31" i="13"/>
  <c r="AE31" i="13"/>
  <c r="AH31" i="13"/>
  <c r="AI31" i="13"/>
  <c r="AJ31" i="13"/>
  <c r="AK31" i="13"/>
  <c r="AM31" i="13" s="1"/>
  <c r="AP31" i="13"/>
  <c r="AS31" i="13"/>
  <c r="AU31" i="13"/>
  <c r="AW31" i="13"/>
  <c r="AY31" i="13"/>
  <c r="AZ31" i="13" s="1"/>
  <c r="D32" i="13"/>
  <c r="E32" i="13"/>
  <c r="G32" i="13"/>
  <c r="H32" i="13"/>
  <c r="J32" i="13"/>
  <c r="K32" i="13"/>
  <c r="O32" i="13"/>
  <c r="P32" i="13"/>
  <c r="R32" i="13"/>
  <c r="S32" i="13"/>
  <c r="U32" i="13"/>
  <c r="V32" i="13"/>
  <c r="X32" i="13"/>
  <c r="AA32" i="13"/>
  <c r="AC32" i="13"/>
  <c r="AD32" i="13"/>
  <c r="AG32" i="13"/>
  <c r="AL32" i="13"/>
  <c r="AN32" i="13"/>
  <c r="AO32" i="13"/>
  <c r="AQ32" i="13"/>
  <c r="AR32" i="13"/>
  <c r="AT32" i="13"/>
  <c r="E33" i="13"/>
  <c r="H33" i="13"/>
  <c r="K33" i="13"/>
  <c r="L33" i="13" s="1"/>
  <c r="M33" i="13"/>
  <c r="Q33" i="13"/>
  <c r="T33" i="13"/>
  <c r="V33" i="13"/>
  <c r="X33" i="13"/>
  <c r="AB33" i="13"/>
  <c r="AE33" i="13"/>
  <c r="AH33" i="13"/>
  <c r="AI33" i="13"/>
  <c r="AJ33" i="13"/>
  <c r="AM33" i="13"/>
  <c r="AP33" i="13"/>
  <c r="AS33" i="13"/>
  <c r="AU33" i="13"/>
  <c r="AV33" i="13"/>
  <c r="D34" i="13"/>
  <c r="F34" i="13" s="1"/>
  <c r="I34" i="13"/>
  <c r="L34" i="13"/>
  <c r="M34" i="13"/>
  <c r="N34" i="13"/>
  <c r="Q34" i="13"/>
  <c r="T34" i="13"/>
  <c r="W34" i="13"/>
  <c r="X34" i="13"/>
  <c r="Y34" i="13"/>
  <c r="AB34" i="13"/>
  <c r="AE34" i="13"/>
  <c r="AH34" i="13"/>
  <c r="AI34" i="13"/>
  <c r="AJ34" i="13"/>
  <c r="AM34" i="13"/>
  <c r="AP34" i="13"/>
  <c r="AS34" i="13"/>
  <c r="AU34" i="13"/>
  <c r="AV34" i="13"/>
  <c r="AW34" i="13"/>
  <c r="AY34" i="13"/>
  <c r="AZ34" i="13" s="1"/>
  <c r="F35" i="13"/>
  <c r="I35" i="13"/>
  <c r="L35" i="13"/>
  <c r="M35" i="13"/>
  <c r="N35" i="13"/>
  <c r="Q35" i="13"/>
  <c r="T35" i="13"/>
  <c r="V35" i="13"/>
  <c r="X35" i="13"/>
  <c r="AB35" i="13"/>
  <c r="AE35" i="13"/>
  <c r="AH35" i="13"/>
  <c r="AI35" i="13"/>
  <c r="AJ35" i="13"/>
  <c r="AM35" i="13"/>
  <c r="AP35" i="13"/>
  <c r="AS35" i="13"/>
  <c r="AU35" i="13"/>
  <c r="AV35" i="13"/>
  <c r="AW35" i="13"/>
  <c r="AY35" i="13" s="1"/>
  <c r="AZ35" i="13" s="1"/>
  <c r="BA35" i="13" s="1"/>
  <c r="BB35" i="13" s="1"/>
  <c r="F36" i="13"/>
  <c r="I36" i="13"/>
  <c r="L36" i="13"/>
  <c r="M36" i="13"/>
  <c r="N36" i="13"/>
  <c r="Q36" i="13"/>
  <c r="T36" i="13"/>
  <c r="V36" i="13"/>
  <c r="W36" i="13" s="1"/>
  <c r="X36" i="13"/>
  <c r="AB36" i="13"/>
  <c r="AE36" i="13"/>
  <c r="AH36" i="13"/>
  <c r="AI36" i="13"/>
  <c r="AJ36" i="13"/>
  <c r="AM36" i="13"/>
  <c r="AM44" i="13" s="1"/>
  <c r="AP36" i="13"/>
  <c r="AS36" i="13"/>
  <c r="AU36" i="13"/>
  <c r="AV36" i="13"/>
  <c r="AW36" i="13"/>
  <c r="AY36" i="13"/>
  <c r="AZ36" i="13" s="1"/>
  <c r="BA36" i="13" s="1"/>
  <c r="BB36" i="13" s="1"/>
  <c r="F37" i="13"/>
  <c r="I37" i="13"/>
  <c r="K37" i="13"/>
  <c r="L37" i="13" s="1"/>
  <c r="M37" i="13"/>
  <c r="Q37" i="13"/>
  <c r="T37" i="13"/>
  <c r="V37" i="13"/>
  <c r="W37" i="13" s="1"/>
  <c r="X37" i="13"/>
  <c r="AB37" i="13"/>
  <c r="AE37" i="13"/>
  <c r="AH37" i="13"/>
  <c r="AI37" i="13"/>
  <c r="AJ37" i="13"/>
  <c r="AM37" i="13"/>
  <c r="AP37" i="13"/>
  <c r="AS37" i="13"/>
  <c r="AU37" i="13"/>
  <c r="AV37" i="13"/>
  <c r="AW37" i="13"/>
  <c r="AY37" i="13"/>
  <c r="AZ37" i="13" s="1"/>
  <c r="BA37" i="13" s="1"/>
  <c r="BB37" i="13" s="1"/>
  <c r="F38" i="13"/>
  <c r="I38" i="13"/>
  <c r="L38" i="13"/>
  <c r="M38" i="13"/>
  <c r="N38" i="13"/>
  <c r="Q38" i="13"/>
  <c r="T38" i="13"/>
  <c r="W38" i="13"/>
  <c r="X38" i="13"/>
  <c r="Y38" i="13"/>
  <c r="AB38" i="13"/>
  <c r="AE38" i="13"/>
  <c r="AH38" i="13"/>
  <c r="AI38" i="13"/>
  <c r="AJ38" i="13"/>
  <c r="AM38" i="13"/>
  <c r="AP38" i="13"/>
  <c r="AS38" i="13"/>
  <c r="AU38" i="13"/>
  <c r="AV38" i="13"/>
  <c r="AW38" i="13"/>
  <c r="AY38" i="13"/>
  <c r="AZ38" i="13" s="1"/>
  <c r="BA38" i="13" s="1"/>
  <c r="BB38" i="13" s="1"/>
  <c r="F39" i="13"/>
  <c r="I39" i="13"/>
  <c r="L39" i="13"/>
  <c r="M39" i="13"/>
  <c r="N39" i="13"/>
  <c r="Q39" i="13"/>
  <c r="Q44" i="13" s="1"/>
  <c r="T39" i="13"/>
  <c r="W39" i="13"/>
  <c r="X39" i="13"/>
  <c r="Y39" i="13"/>
  <c r="AB39" i="13"/>
  <c r="AE39" i="13"/>
  <c r="AH39" i="13"/>
  <c r="AI39" i="13"/>
  <c r="AJ39" i="13"/>
  <c r="AM39" i="13"/>
  <c r="AP39" i="13"/>
  <c r="AS39" i="13"/>
  <c r="AU39" i="13"/>
  <c r="AV39" i="13"/>
  <c r="AW39" i="13"/>
  <c r="AY39" i="13"/>
  <c r="AZ39" i="13" s="1"/>
  <c r="BA39" i="13" s="1"/>
  <c r="BB39" i="13" s="1"/>
  <c r="D40" i="13"/>
  <c r="F40" i="13" s="1"/>
  <c r="I40" i="13"/>
  <c r="J40" i="13"/>
  <c r="L40" i="13"/>
  <c r="N40" i="13"/>
  <c r="Q40" i="13"/>
  <c r="T40" i="13"/>
  <c r="W40" i="13"/>
  <c r="X40" i="13"/>
  <c r="Y40" i="13"/>
  <c r="AB40" i="13"/>
  <c r="AE40" i="13"/>
  <c r="AH40" i="13"/>
  <c r="AI40" i="13"/>
  <c r="AJ40" i="13"/>
  <c r="AM40" i="13"/>
  <c r="AP40" i="13"/>
  <c r="AS40" i="13"/>
  <c r="AU40" i="13"/>
  <c r="AW40" i="13"/>
  <c r="AY40" i="13" s="1"/>
  <c r="AZ40" i="13" s="1"/>
  <c r="BA40" i="13" s="1"/>
  <c r="BB40" i="13" s="1"/>
  <c r="F41" i="13"/>
  <c r="I41" i="13"/>
  <c r="L41" i="13"/>
  <c r="M41" i="13"/>
  <c r="N41" i="13"/>
  <c r="Q41" i="13"/>
  <c r="T41" i="13"/>
  <c r="W41" i="13"/>
  <c r="X41" i="13"/>
  <c r="Y41" i="13"/>
  <c r="AB41" i="13"/>
  <c r="AE41" i="13"/>
  <c r="AH41" i="13"/>
  <c r="AI41" i="13"/>
  <c r="AJ41" i="13"/>
  <c r="AM41" i="13"/>
  <c r="AP41" i="13"/>
  <c r="AS41" i="13"/>
  <c r="AU41" i="13"/>
  <c r="AV41" i="13"/>
  <c r="AW41" i="13"/>
  <c r="F42" i="13"/>
  <c r="I42" i="13"/>
  <c r="L42" i="13"/>
  <c r="M42" i="13"/>
  <c r="N42" i="13"/>
  <c r="Q42" i="13"/>
  <c r="T42" i="13"/>
  <c r="W42" i="13"/>
  <c r="X42" i="13"/>
  <c r="Y42" i="13"/>
  <c r="AB42" i="13"/>
  <c r="AB44" i="13" s="1"/>
  <c r="AE42" i="13"/>
  <c r="AH42" i="13"/>
  <c r="AI42" i="13"/>
  <c r="AJ42" i="13"/>
  <c r="AM42" i="13"/>
  <c r="AP42" i="13"/>
  <c r="AS42" i="13"/>
  <c r="AU42" i="13"/>
  <c r="AV42" i="13"/>
  <c r="AW42" i="13"/>
  <c r="AY42" i="13" s="1"/>
  <c r="AZ42" i="13" s="1"/>
  <c r="BA42" i="13" s="1"/>
  <c r="BB42" i="13" s="1"/>
  <c r="F43" i="13"/>
  <c r="I43" i="13"/>
  <c r="L43" i="13"/>
  <c r="M43" i="13"/>
  <c r="N43" i="13"/>
  <c r="Q43" i="13"/>
  <c r="T43" i="13"/>
  <c r="W43" i="13"/>
  <c r="X43" i="13"/>
  <c r="AX43" i="13" s="1"/>
  <c r="Y43" i="13"/>
  <c r="AB43" i="13"/>
  <c r="AE43" i="13"/>
  <c r="AH43" i="13"/>
  <c r="AI43" i="13"/>
  <c r="AJ43" i="13"/>
  <c r="AM43" i="13"/>
  <c r="AP43" i="13"/>
  <c r="AS43" i="13"/>
  <c r="AU43" i="13"/>
  <c r="AV43" i="13"/>
  <c r="AW43" i="13"/>
  <c r="AY43" i="13" s="1"/>
  <c r="AZ43" i="13" s="1"/>
  <c r="BA43" i="13" s="1"/>
  <c r="BB43" i="13" s="1"/>
  <c r="D44" i="13"/>
  <c r="E44" i="13"/>
  <c r="G44" i="13"/>
  <c r="J44" i="13"/>
  <c r="O44" i="13"/>
  <c r="P44" i="13"/>
  <c r="R44" i="13"/>
  <c r="S44" i="13"/>
  <c r="U44" i="13"/>
  <c r="V44" i="13"/>
  <c r="Z44" i="13"/>
  <c r="AA44" i="13"/>
  <c r="AC44" i="13"/>
  <c r="AD44" i="13"/>
  <c r="AF44" i="13"/>
  <c r="AG44" i="13"/>
  <c r="AK44" i="13"/>
  <c r="AL44" i="13"/>
  <c r="AN44" i="13"/>
  <c r="AO44" i="13"/>
  <c r="AQ44" i="13"/>
  <c r="AR44" i="13"/>
  <c r="AT44" i="13"/>
  <c r="F45" i="13"/>
  <c r="I45" i="13"/>
  <c r="L45" i="13"/>
  <c r="M45" i="13"/>
  <c r="N45" i="13"/>
  <c r="Q45" i="13"/>
  <c r="T45" i="13"/>
  <c r="W45" i="13"/>
  <c r="X45" i="13"/>
  <c r="Y45" i="13"/>
  <c r="AB45" i="13"/>
  <c r="AE45" i="13"/>
  <c r="AH45" i="13"/>
  <c r="AI45" i="13"/>
  <c r="AJ45" i="13"/>
  <c r="AM45" i="13"/>
  <c r="AP45" i="13"/>
  <c r="AS45" i="13"/>
  <c r="AU45" i="13"/>
  <c r="AV45" i="13"/>
  <c r="AW45" i="13"/>
  <c r="AX45" i="13"/>
  <c r="AY45" i="13"/>
  <c r="AZ45" i="13" s="1"/>
  <c r="BA45" i="13" s="1"/>
  <c r="L46" i="13"/>
  <c r="M46" i="13"/>
  <c r="N46" i="13"/>
  <c r="X46" i="13"/>
  <c r="Y46" i="13"/>
  <c r="AE46" i="13"/>
  <c r="AI46" i="13"/>
  <c r="AJ46" i="13"/>
  <c r="AU46" i="13"/>
  <c r="AV46" i="13"/>
  <c r="AW46" i="13"/>
  <c r="AY46" i="13" s="1"/>
  <c r="AZ46" i="13" s="1"/>
  <c r="BA46" i="13" s="1"/>
  <c r="BB46" i="13" s="1"/>
  <c r="D47" i="13"/>
  <c r="F47" i="13" s="1"/>
  <c r="I47" i="13"/>
  <c r="L47" i="13"/>
  <c r="M47" i="13"/>
  <c r="N47" i="13"/>
  <c r="Q47" i="13"/>
  <c r="T47" i="13"/>
  <c r="W47" i="13"/>
  <c r="X47" i="13"/>
  <c r="Y47" i="13"/>
  <c r="AB47" i="13"/>
  <c r="AH47" i="13"/>
  <c r="AI47" i="13"/>
  <c r="AJ47" i="13"/>
  <c r="AM47" i="13"/>
  <c r="AP47" i="13"/>
  <c r="AS47" i="13"/>
  <c r="AU47" i="13"/>
  <c r="AV47" i="13"/>
  <c r="AW47" i="13"/>
  <c r="AY47" i="13" s="1"/>
  <c r="AZ47" i="13"/>
  <c r="BA47" i="13" s="1"/>
  <c r="BB47" i="13" s="1"/>
  <c r="E48" i="13"/>
  <c r="F48" i="13"/>
  <c r="I48" i="13"/>
  <c r="L48" i="13"/>
  <c r="M48" i="13"/>
  <c r="N48" i="13"/>
  <c r="Q48" i="13"/>
  <c r="T48" i="13"/>
  <c r="V48" i="13"/>
  <c r="AW48" i="13" s="1"/>
  <c r="AY48" i="13" s="1"/>
  <c r="W48" i="13"/>
  <c r="X48" i="13"/>
  <c r="Y48" i="13"/>
  <c r="AB48" i="13"/>
  <c r="AE48" i="13"/>
  <c r="AH48" i="13"/>
  <c r="AI48" i="13"/>
  <c r="AJ48" i="13"/>
  <c r="AM48" i="13"/>
  <c r="AP48" i="13"/>
  <c r="AS48" i="13"/>
  <c r="AU48" i="13"/>
  <c r="AV48" i="13"/>
  <c r="AX48" i="13" s="1"/>
  <c r="AZ48" i="13"/>
  <c r="BA48" i="13" s="1"/>
  <c r="BB48" i="13" s="1"/>
  <c r="F49" i="13"/>
  <c r="I49" i="13"/>
  <c r="L49" i="13"/>
  <c r="M49" i="13"/>
  <c r="N49" i="13"/>
  <c r="Q49" i="13"/>
  <c r="T49" i="13"/>
  <c r="V49" i="13"/>
  <c r="W49" i="13" s="1"/>
  <c r="X49" i="13"/>
  <c r="AB49" i="13"/>
  <c r="AE49" i="13"/>
  <c r="AH49" i="13"/>
  <c r="AI49" i="13"/>
  <c r="AJ49" i="13"/>
  <c r="AM49" i="13"/>
  <c r="AP49" i="13"/>
  <c r="AS49" i="13"/>
  <c r="AU49" i="13"/>
  <c r="AV49" i="13"/>
  <c r="AW49" i="13"/>
  <c r="AY49" i="13" s="1"/>
  <c r="AZ49" i="13" s="1"/>
  <c r="BA49" i="13" s="1"/>
  <c r="BB49" i="13" s="1"/>
  <c r="F50" i="13"/>
  <c r="I50" i="13"/>
  <c r="L50" i="13"/>
  <c r="M50" i="13"/>
  <c r="N50" i="13"/>
  <c r="Q50" i="13"/>
  <c r="T50" i="13"/>
  <c r="V50" i="13"/>
  <c r="W50" i="13"/>
  <c r="X50" i="13"/>
  <c r="Y50" i="13"/>
  <c r="AB50" i="13"/>
  <c r="AE50" i="13"/>
  <c r="AH50" i="13"/>
  <c r="AI50" i="13"/>
  <c r="AJ50" i="13"/>
  <c r="AM50" i="13"/>
  <c r="AP50" i="13"/>
  <c r="AS50" i="13"/>
  <c r="AU50" i="13"/>
  <c r="AV50" i="13"/>
  <c r="AX50" i="13" s="1"/>
  <c r="AW50" i="13"/>
  <c r="AY50" i="13" s="1"/>
  <c r="AZ50" i="13" s="1"/>
  <c r="BA50" i="13" s="1"/>
  <c r="BB50" i="13" s="1"/>
  <c r="D51" i="13"/>
  <c r="D56" i="13" s="1"/>
  <c r="D57" i="13" s="1"/>
  <c r="F51" i="13"/>
  <c r="I51" i="13"/>
  <c r="L51" i="13"/>
  <c r="M51" i="13"/>
  <c r="N51" i="13"/>
  <c r="Q51" i="13"/>
  <c r="T51" i="13"/>
  <c r="V51" i="13"/>
  <c r="AW51" i="13" s="1"/>
  <c r="AY51" i="13" s="1"/>
  <c r="W51" i="13"/>
  <c r="X51" i="13"/>
  <c r="Y51" i="13"/>
  <c r="AB51" i="13"/>
  <c r="AE51" i="13"/>
  <c r="AH51" i="13"/>
  <c r="AI51" i="13"/>
  <c r="AJ51" i="13"/>
  <c r="AM51" i="13"/>
  <c r="AP51" i="13"/>
  <c r="AS51" i="13"/>
  <c r="AU51" i="13"/>
  <c r="AV51" i="13"/>
  <c r="AX51" i="13" s="1"/>
  <c r="AZ51" i="13"/>
  <c r="BA51" i="13" s="1"/>
  <c r="BB51" i="13" s="1"/>
  <c r="F52" i="13"/>
  <c r="G52" i="13"/>
  <c r="I52" i="13" s="1"/>
  <c r="L52" i="13"/>
  <c r="N52" i="13"/>
  <c r="Q52" i="13"/>
  <c r="R52" i="13"/>
  <c r="W52" i="13"/>
  <c r="Y52" i="13"/>
  <c r="AB52" i="13"/>
  <c r="AC52" i="13"/>
  <c r="AE52" i="13" s="1"/>
  <c r="AE56" i="13" s="1"/>
  <c r="AH52" i="13"/>
  <c r="AJ52" i="13"/>
  <c r="AM52" i="13"/>
  <c r="AN52" i="13"/>
  <c r="AS52" i="13"/>
  <c r="AU52" i="13"/>
  <c r="AW52" i="13"/>
  <c r="AY52" i="13" s="1"/>
  <c r="AZ52" i="13"/>
  <c r="BA52" i="13" s="1"/>
  <c r="BB52" i="13" s="1"/>
  <c r="D53" i="13"/>
  <c r="F53" i="13"/>
  <c r="G53" i="13"/>
  <c r="I53" i="13"/>
  <c r="J53" i="13"/>
  <c r="L53" i="13"/>
  <c r="M53" i="13"/>
  <c r="N53" i="13"/>
  <c r="O53" i="13"/>
  <c r="Q53" i="13"/>
  <c r="R53" i="13"/>
  <c r="T53" i="13"/>
  <c r="U53" i="13"/>
  <c r="V53" i="13"/>
  <c r="W53" i="13" s="1"/>
  <c r="X53" i="13"/>
  <c r="Z53" i="13"/>
  <c r="AC53" i="13"/>
  <c r="AE53" i="13" s="1"/>
  <c r="AF53" i="13"/>
  <c r="AJ53" i="13"/>
  <c r="AK53" i="13"/>
  <c r="AN53" i="13"/>
  <c r="AP53" i="13" s="1"/>
  <c r="AQ53" i="13"/>
  <c r="AU53" i="13"/>
  <c r="AW53" i="13"/>
  <c r="AY53" i="13" s="1"/>
  <c r="E54" i="13"/>
  <c r="H54" i="13"/>
  <c r="I54" i="13" s="1"/>
  <c r="K54" i="13"/>
  <c r="M54" i="13"/>
  <c r="P54" i="13"/>
  <c r="P56" i="13" s="1"/>
  <c r="P57" i="13" s="1"/>
  <c r="S54" i="13"/>
  <c r="V54" i="13"/>
  <c r="W54" i="13" s="1"/>
  <c r="X54" i="13"/>
  <c r="AB54" i="13"/>
  <c r="AE54" i="13"/>
  <c r="AH54" i="13"/>
  <c r="AI54" i="13"/>
  <c r="AJ54" i="13"/>
  <c r="AM54" i="13"/>
  <c r="AP54" i="13"/>
  <c r="AS54" i="13"/>
  <c r="AU54" i="13"/>
  <c r="AV54" i="13"/>
  <c r="AW54" i="13"/>
  <c r="AY54" i="13" s="1"/>
  <c r="AZ54" i="13" s="1"/>
  <c r="BA54" i="13" s="1"/>
  <c r="BB54" i="13" s="1"/>
  <c r="F55" i="13"/>
  <c r="H55" i="13"/>
  <c r="K55" i="13"/>
  <c r="M55" i="13"/>
  <c r="Q55" i="13"/>
  <c r="T55" i="13"/>
  <c r="W55" i="13"/>
  <c r="X55" i="13"/>
  <c r="Y55" i="13"/>
  <c r="AB55" i="13"/>
  <c r="AE55" i="13"/>
  <c r="AH55" i="13"/>
  <c r="AI55" i="13"/>
  <c r="AJ55" i="13"/>
  <c r="AM55" i="13"/>
  <c r="AP55" i="13"/>
  <c r="AS55" i="13"/>
  <c r="AU55" i="13"/>
  <c r="AV55" i="13"/>
  <c r="H56" i="13"/>
  <c r="J56" i="13"/>
  <c r="O56" i="13"/>
  <c r="U56" i="13"/>
  <c r="AA56" i="13"/>
  <c r="AA57" i="13" s="1"/>
  <c r="AD56" i="13"/>
  <c r="AD57" i="13" s="1"/>
  <c r="AG56" i="13"/>
  <c r="AG57" i="13" s="1"/>
  <c r="AL56" i="13"/>
  <c r="AL57" i="13" s="1"/>
  <c r="AO56" i="13"/>
  <c r="AR56" i="13"/>
  <c r="AT56" i="13"/>
  <c r="AT57" i="13" s="1"/>
  <c r="U57" i="13"/>
  <c r="AO57" i="13"/>
  <c r="D58" i="13"/>
  <c r="F58" i="13" s="1"/>
  <c r="G58" i="13"/>
  <c r="J58" i="13"/>
  <c r="L58" i="13" s="1"/>
  <c r="N58" i="13"/>
  <c r="O58" i="13"/>
  <c r="T58" i="13"/>
  <c r="V58" i="13"/>
  <c r="Y58" i="13" s="1"/>
  <c r="Y64" i="13" s="1"/>
  <c r="Z58" i="13"/>
  <c r="AV58" i="13" s="1"/>
  <c r="AV64" i="13" s="1"/>
  <c r="AB58" i="13"/>
  <c r="AE58" i="13"/>
  <c r="AH58" i="13"/>
  <c r="AI58" i="13"/>
  <c r="AJ58" i="13"/>
  <c r="AM58" i="13"/>
  <c r="AP58" i="13"/>
  <c r="AS58" i="13"/>
  <c r="AS64" i="13" s="1"/>
  <c r="AU58" i="13"/>
  <c r="AW58" i="13"/>
  <c r="F59" i="13"/>
  <c r="I59" i="13"/>
  <c r="L59" i="13"/>
  <c r="M59" i="13"/>
  <c r="N59" i="13"/>
  <c r="Q59" i="13"/>
  <c r="T59" i="13"/>
  <c r="W59" i="13"/>
  <c r="X59" i="13"/>
  <c r="Y59" i="13"/>
  <c r="AB59" i="13"/>
  <c r="AE59" i="13"/>
  <c r="AH59" i="13"/>
  <c r="AI59" i="13"/>
  <c r="AJ59" i="13"/>
  <c r="AM59" i="13"/>
  <c r="AP59" i="13"/>
  <c r="AS59" i="13"/>
  <c r="AU59" i="13"/>
  <c r="AV59" i="13"/>
  <c r="AW59" i="13"/>
  <c r="AY59" i="13" s="1"/>
  <c r="AZ59" i="13" s="1"/>
  <c r="BA59" i="13" s="1"/>
  <c r="BB59" i="13" s="1"/>
  <c r="F60" i="13"/>
  <c r="I60" i="13"/>
  <c r="L60" i="13"/>
  <c r="M60" i="13"/>
  <c r="N60" i="13"/>
  <c r="Q60" i="13"/>
  <c r="T60" i="13"/>
  <c r="U60" i="13"/>
  <c r="W60" i="13"/>
  <c r="X60" i="13"/>
  <c r="Y60" i="13"/>
  <c r="AB60" i="13"/>
  <c r="AE60" i="13"/>
  <c r="AE64" i="13" s="1"/>
  <c r="AH60" i="13"/>
  <c r="AI60" i="13"/>
  <c r="AI64" i="13" s="1"/>
  <c r="AJ60" i="13"/>
  <c r="AM60" i="13"/>
  <c r="AM64" i="13" s="1"/>
  <c r="AN60" i="13"/>
  <c r="AP60" i="13"/>
  <c r="AS60" i="13"/>
  <c r="AU60" i="13"/>
  <c r="AX60" i="13" s="1"/>
  <c r="AV60" i="13"/>
  <c r="AW60" i="13"/>
  <c r="AY60" i="13" s="1"/>
  <c r="AZ60" i="13" s="1"/>
  <c r="BA60" i="13" s="1"/>
  <c r="BB60" i="13" s="1"/>
  <c r="F61" i="13"/>
  <c r="I61" i="13"/>
  <c r="L61" i="13"/>
  <c r="M61" i="13"/>
  <c r="N61" i="13"/>
  <c r="Q61" i="13"/>
  <c r="T61" i="13"/>
  <c r="W61" i="13"/>
  <c r="X61" i="13"/>
  <c r="Y61" i="13"/>
  <c r="AB61" i="13"/>
  <c r="AE61" i="13"/>
  <c r="AH61" i="13"/>
  <c r="AI61" i="13"/>
  <c r="AJ61" i="13"/>
  <c r="AM61" i="13"/>
  <c r="AP61" i="13"/>
  <c r="AS61" i="13"/>
  <c r="AU61" i="13"/>
  <c r="AV61" i="13"/>
  <c r="AW61" i="13"/>
  <c r="AY61" i="13" s="1"/>
  <c r="AZ61" i="13" s="1"/>
  <c r="BA61" i="13" s="1"/>
  <c r="BB61" i="13" s="1"/>
  <c r="F62" i="13"/>
  <c r="I62" i="13"/>
  <c r="L62" i="13"/>
  <c r="M62" i="13"/>
  <c r="N62" i="13"/>
  <c r="Q62" i="13"/>
  <c r="T62" i="13"/>
  <c r="W62" i="13"/>
  <c r="X62" i="13"/>
  <c r="Y62" i="13"/>
  <c r="AB62" i="13"/>
  <c r="AB64" i="13" s="1"/>
  <c r="AE62" i="13"/>
  <c r="AH62" i="13"/>
  <c r="AI62" i="13"/>
  <c r="AJ62" i="13"/>
  <c r="AJ64" i="13" s="1"/>
  <c r="AM62" i="13"/>
  <c r="AP62" i="13"/>
  <c r="AP64" i="13" s="1"/>
  <c r="AS62" i="13"/>
  <c r="AU62" i="13"/>
  <c r="AV62" i="13"/>
  <c r="AW62" i="13"/>
  <c r="AY62" i="13" s="1"/>
  <c r="AZ62" i="13" s="1"/>
  <c r="BA62" i="13" s="1"/>
  <c r="BB62" i="13" s="1"/>
  <c r="M63" i="13"/>
  <c r="N63" i="13"/>
  <c r="X63" i="13"/>
  <c r="Y63" i="13"/>
  <c r="AI63" i="13"/>
  <c r="AJ63" i="13"/>
  <c r="AU63" i="13"/>
  <c r="AV63" i="13"/>
  <c r="AW63" i="13"/>
  <c r="AY63" i="13" s="1"/>
  <c r="AX63" i="13"/>
  <c r="AZ63" i="13"/>
  <c r="BA63" i="13" s="1"/>
  <c r="BB63" i="13" s="1"/>
  <c r="D64" i="13"/>
  <c r="E64" i="13"/>
  <c r="H64" i="13"/>
  <c r="K64" i="13"/>
  <c r="P64" i="13"/>
  <c r="R64" i="13"/>
  <c r="S64" i="13"/>
  <c r="U64" i="13"/>
  <c r="Z64" i="13"/>
  <c r="AA64" i="13"/>
  <c r="AC64" i="13"/>
  <c r="AD64" i="13"/>
  <c r="AF64" i="13"/>
  <c r="AG64" i="13"/>
  <c r="AK64" i="13"/>
  <c r="AL64" i="13"/>
  <c r="AN64" i="13"/>
  <c r="AO64" i="13"/>
  <c r="AQ64" i="13"/>
  <c r="AR64" i="13"/>
  <c r="AT64" i="13"/>
  <c r="F65" i="13"/>
  <c r="F67" i="13" s="1"/>
  <c r="I65" i="13"/>
  <c r="L65" i="13"/>
  <c r="M65" i="13"/>
  <c r="N65" i="13"/>
  <c r="N67" i="13" s="1"/>
  <c r="Q65" i="13"/>
  <c r="T65" i="13"/>
  <c r="W65" i="13"/>
  <c r="X65" i="13"/>
  <c r="Y65" i="13"/>
  <c r="AB65" i="13"/>
  <c r="AE65" i="13"/>
  <c r="AH65" i="13"/>
  <c r="AH67" i="13" s="1"/>
  <c r="AI65" i="13"/>
  <c r="AJ65" i="13"/>
  <c r="AM65" i="13"/>
  <c r="AP65" i="13"/>
  <c r="AP67" i="13" s="1"/>
  <c r="AS65" i="13"/>
  <c r="AU65" i="13"/>
  <c r="AV65" i="13"/>
  <c r="AW65" i="13"/>
  <c r="AY65" i="13" s="1"/>
  <c r="AY67" i="13" s="1"/>
  <c r="F66" i="13"/>
  <c r="I66" i="13"/>
  <c r="I67" i="13" s="1"/>
  <c r="L66" i="13"/>
  <c r="M66" i="13"/>
  <c r="N66" i="13"/>
  <c r="Q66" i="13"/>
  <c r="T66" i="13"/>
  <c r="W66" i="13"/>
  <c r="W67" i="13" s="1"/>
  <c r="X66" i="13"/>
  <c r="Y66" i="13"/>
  <c r="Y67" i="13" s="1"/>
  <c r="AB66" i="13"/>
  <c r="AE66" i="13"/>
  <c r="AE67" i="13" s="1"/>
  <c r="AH66" i="13"/>
  <c r="AI66" i="13"/>
  <c r="AI67" i="13" s="1"/>
  <c r="AJ66" i="13"/>
  <c r="AM66" i="13"/>
  <c r="AP66" i="13"/>
  <c r="AS66" i="13"/>
  <c r="AS67" i="13" s="1"/>
  <c r="AU66" i="13"/>
  <c r="AV66" i="13"/>
  <c r="AW66" i="13"/>
  <c r="AY66" i="13" s="1"/>
  <c r="AZ66" i="13" s="1"/>
  <c r="BA66" i="13" s="1"/>
  <c r="BB66" i="13" s="1"/>
  <c r="AX66" i="13"/>
  <c r="D67" i="13"/>
  <c r="E67" i="13"/>
  <c r="G67" i="13"/>
  <c r="H67" i="13"/>
  <c r="J67" i="13"/>
  <c r="K67" i="13"/>
  <c r="L67" i="13"/>
  <c r="M67" i="13"/>
  <c r="O67" i="13"/>
  <c r="P67" i="13"/>
  <c r="R67" i="13"/>
  <c r="S67" i="13"/>
  <c r="T67" i="13"/>
  <c r="U67" i="13"/>
  <c r="V67" i="13"/>
  <c r="X67" i="13"/>
  <c r="Z67" i="13"/>
  <c r="AA67" i="13"/>
  <c r="AB67" i="13"/>
  <c r="AC67" i="13"/>
  <c r="AD67" i="13"/>
  <c r="AF67" i="13"/>
  <c r="AG67" i="13"/>
  <c r="AJ67" i="13"/>
  <c r="AK67" i="13"/>
  <c r="AL67" i="13"/>
  <c r="AM67" i="13"/>
  <c r="AN67" i="13"/>
  <c r="AO67" i="13"/>
  <c r="AQ67" i="13"/>
  <c r="AR67" i="13"/>
  <c r="AT67" i="13"/>
  <c r="AU67" i="13"/>
  <c r="AW67" i="13"/>
  <c r="F68" i="13"/>
  <c r="F73" i="13" s="1"/>
  <c r="G68" i="13"/>
  <c r="I68" i="13"/>
  <c r="J68" i="13"/>
  <c r="M68" i="13" s="1"/>
  <c r="L68" i="13"/>
  <c r="N68" i="13"/>
  <c r="Q68" i="13"/>
  <c r="T68" i="13"/>
  <c r="U68" i="13"/>
  <c r="W68" i="13"/>
  <c r="X68" i="13"/>
  <c r="Y68" i="13"/>
  <c r="Z68" i="13"/>
  <c r="AB68" i="13"/>
  <c r="AE68" i="13"/>
  <c r="AH68" i="13"/>
  <c r="AI68" i="13"/>
  <c r="AJ68" i="13"/>
  <c r="AK68" i="13"/>
  <c r="AM68" i="13"/>
  <c r="AP68" i="13"/>
  <c r="AS68" i="13"/>
  <c r="AU68" i="13"/>
  <c r="AV68" i="13"/>
  <c r="AX68" i="13" s="1"/>
  <c r="AW68" i="13"/>
  <c r="AY68" i="13"/>
  <c r="AZ68" i="13"/>
  <c r="BA68" i="13" s="1"/>
  <c r="F69" i="13"/>
  <c r="I69" i="13"/>
  <c r="L69" i="13"/>
  <c r="M69" i="13"/>
  <c r="N69" i="13"/>
  <c r="Q69" i="13"/>
  <c r="T69" i="13"/>
  <c r="W69" i="13"/>
  <c r="X69" i="13"/>
  <c r="Y69" i="13"/>
  <c r="AB69" i="13"/>
  <c r="AE69" i="13"/>
  <c r="AH69" i="13"/>
  <c r="AI69" i="13"/>
  <c r="AJ69" i="13"/>
  <c r="AM69" i="13"/>
  <c r="AP69" i="13"/>
  <c r="AS69" i="13"/>
  <c r="AU69" i="13"/>
  <c r="AV69" i="13"/>
  <c r="AX69" i="13" s="1"/>
  <c r="AW69" i="13"/>
  <c r="AY69" i="13"/>
  <c r="AZ69" i="13"/>
  <c r="BA69" i="13" s="1"/>
  <c r="BB69" i="13" s="1"/>
  <c r="F70" i="13"/>
  <c r="G70" i="13"/>
  <c r="I70" i="13" s="1"/>
  <c r="L70" i="13"/>
  <c r="N70" i="13"/>
  <c r="Q70" i="13"/>
  <c r="T70" i="13"/>
  <c r="W70" i="13"/>
  <c r="X70" i="13"/>
  <c r="Y70" i="13"/>
  <c r="AB70" i="13"/>
  <c r="AE70" i="13"/>
  <c r="AH70" i="13"/>
  <c r="AI70" i="13"/>
  <c r="AJ70" i="13"/>
  <c r="AM70" i="13"/>
  <c r="AM73" i="13" s="1"/>
  <c r="AP70" i="13"/>
  <c r="AS70" i="13"/>
  <c r="AU70" i="13"/>
  <c r="AW70" i="13"/>
  <c r="F71" i="13"/>
  <c r="I71" i="13"/>
  <c r="L71" i="13"/>
  <c r="M71" i="13"/>
  <c r="N71" i="13"/>
  <c r="Q71" i="13"/>
  <c r="T71" i="13"/>
  <c r="W71" i="13"/>
  <c r="X71" i="13"/>
  <c r="Y71" i="13"/>
  <c r="AB71" i="13"/>
  <c r="AE71" i="13"/>
  <c r="AH71" i="13"/>
  <c r="AI71" i="13"/>
  <c r="AJ71" i="13"/>
  <c r="AJ73" i="13" s="1"/>
  <c r="AM71" i="13"/>
  <c r="AP71" i="13"/>
  <c r="AS71" i="13"/>
  <c r="AU71" i="13"/>
  <c r="AU73" i="13" s="1"/>
  <c r="AV71" i="13"/>
  <c r="AW71" i="13"/>
  <c r="AY71" i="13"/>
  <c r="AZ71" i="13" s="1"/>
  <c r="BA71" i="13" s="1"/>
  <c r="BB71" i="13" s="1"/>
  <c r="F72" i="13"/>
  <c r="I72" i="13"/>
  <c r="L72" i="13"/>
  <c r="M72" i="13"/>
  <c r="N72" i="13"/>
  <c r="Q72" i="13"/>
  <c r="T72" i="13"/>
  <c r="W72" i="13"/>
  <c r="X72" i="13"/>
  <c r="AX72" i="13" s="1"/>
  <c r="Y72" i="13"/>
  <c r="AB72" i="13"/>
  <c r="AE72" i="13"/>
  <c r="AH72" i="13"/>
  <c r="AH141" i="13" s="1"/>
  <c r="AI72" i="13"/>
  <c r="AJ72" i="13"/>
  <c r="AM72" i="13"/>
  <c r="AP72" i="13"/>
  <c r="AP141" i="13" s="1"/>
  <c r="AS72" i="13"/>
  <c r="AU72" i="13"/>
  <c r="AV72" i="13"/>
  <c r="AW72" i="13"/>
  <c r="AY72" i="13" s="1"/>
  <c r="AZ72" i="13" s="1"/>
  <c r="BA72" i="13" s="1"/>
  <c r="BB72" i="13" s="1"/>
  <c r="D73" i="13"/>
  <c r="E73" i="13"/>
  <c r="G73" i="13"/>
  <c r="H73" i="13"/>
  <c r="J73" i="13"/>
  <c r="K73" i="13"/>
  <c r="O73" i="13"/>
  <c r="P73" i="13"/>
  <c r="Q73" i="13"/>
  <c r="R73" i="13"/>
  <c r="S73" i="13"/>
  <c r="U73" i="13"/>
  <c r="V73" i="13"/>
  <c r="W73" i="13"/>
  <c r="Y73" i="13"/>
  <c r="Z73" i="13"/>
  <c r="AA73" i="13"/>
  <c r="AC73" i="13"/>
  <c r="AD73" i="13"/>
  <c r="AE73" i="13"/>
  <c r="AF73" i="13"/>
  <c r="AG73" i="13"/>
  <c r="AI73" i="13"/>
  <c r="AK73" i="13"/>
  <c r="AL73" i="13"/>
  <c r="AN73" i="13"/>
  <c r="AO73" i="13"/>
  <c r="AQ73" i="13"/>
  <c r="AR73" i="13"/>
  <c r="AS73" i="13"/>
  <c r="AT73" i="13"/>
  <c r="F74" i="13"/>
  <c r="I74" i="13"/>
  <c r="L74" i="13"/>
  <c r="M74" i="13"/>
  <c r="N74" i="13"/>
  <c r="Q74" i="13"/>
  <c r="T74" i="13"/>
  <c r="T78" i="13" s="1"/>
  <c r="W74" i="13"/>
  <c r="X74" i="13"/>
  <c r="Y74" i="13"/>
  <c r="AB74" i="13"/>
  <c r="AE74" i="13"/>
  <c r="AH74" i="13"/>
  <c r="AI74" i="13"/>
  <c r="AJ74" i="13"/>
  <c r="AM74" i="13"/>
  <c r="AP74" i="13"/>
  <c r="AS74" i="13"/>
  <c r="AU74" i="13"/>
  <c r="AV74" i="13"/>
  <c r="AW74" i="13"/>
  <c r="AX74" i="13"/>
  <c r="AY74" i="13"/>
  <c r="AZ74" i="13"/>
  <c r="BA74" i="13" s="1"/>
  <c r="F75" i="13"/>
  <c r="I75" i="13"/>
  <c r="L75" i="13"/>
  <c r="M75" i="13"/>
  <c r="N75" i="13"/>
  <c r="O75" i="13"/>
  <c r="T75" i="13"/>
  <c r="U75" i="13" s="1"/>
  <c r="Y75" i="13"/>
  <c r="AE75" i="13"/>
  <c r="AH75" i="13"/>
  <c r="AH78" i="13" s="1"/>
  <c r="AJ75" i="13"/>
  <c r="AK75" i="13"/>
  <c r="AP75" i="13"/>
  <c r="AS75" i="13"/>
  <c r="AU75" i="13"/>
  <c r="AW75" i="13"/>
  <c r="AY75" i="13"/>
  <c r="AZ75" i="13"/>
  <c r="BA75" i="13" s="1"/>
  <c r="BB75" i="13" s="1"/>
  <c r="F76" i="13"/>
  <c r="F78" i="13" s="1"/>
  <c r="I76" i="13"/>
  <c r="L76" i="13"/>
  <c r="M76" i="13"/>
  <c r="N76" i="13"/>
  <c r="N78" i="13" s="1"/>
  <c r="Q76" i="13"/>
  <c r="T76" i="13"/>
  <c r="W76" i="13"/>
  <c r="X76" i="13"/>
  <c r="Y76" i="13"/>
  <c r="AB76" i="13"/>
  <c r="AE76" i="13"/>
  <c r="AH76" i="13"/>
  <c r="AI76" i="13"/>
  <c r="AJ76" i="13"/>
  <c r="AM76" i="13"/>
  <c r="AP76" i="13"/>
  <c r="AS76" i="13"/>
  <c r="AU76" i="13"/>
  <c r="AV76" i="13"/>
  <c r="AX76" i="13" s="1"/>
  <c r="AW76" i="13"/>
  <c r="AY76" i="13"/>
  <c r="AZ76" i="13" s="1"/>
  <c r="BA76" i="13" s="1"/>
  <c r="BB76" i="13" s="1"/>
  <c r="M77" i="13"/>
  <c r="N77" i="13"/>
  <c r="Q77" i="13"/>
  <c r="T77" i="13"/>
  <c r="U77" i="13"/>
  <c r="Y77" i="13"/>
  <c r="Y78" i="13" s="1"/>
  <c r="AI77" i="13"/>
  <c r="AJ77" i="13"/>
  <c r="AS77" i="13"/>
  <c r="AU77" i="13"/>
  <c r="AU78" i="13" s="1"/>
  <c r="AW77" i="13"/>
  <c r="AY77" i="13"/>
  <c r="AZ77" i="13" s="1"/>
  <c r="D78" i="13"/>
  <c r="E78" i="13"/>
  <c r="G78" i="13"/>
  <c r="H78" i="13"/>
  <c r="I78" i="13"/>
  <c r="J78" i="13"/>
  <c r="K78" i="13"/>
  <c r="L78" i="13"/>
  <c r="M78" i="13"/>
  <c r="P78" i="13"/>
  <c r="R78" i="13"/>
  <c r="S78" i="13"/>
  <c r="V78" i="13"/>
  <c r="AA78" i="13"/>
  <c r="AC78" i="13"/>
  <c r="AD78" i="13"/>
  <c r="AE78" i="13"/>
  <c r="AF78" i="13"/>
  <c r="AG78" i="13"/>
  <c r="AJ78" i="13"/>
  <c r="AL78" i="13"/>
  <c r="AN78" i="13"/>
  <c r="AO78" i="13"/>
  <c r="AQ78" i="13"/>
  <c r="AR78" i="13"/>
  <c r="AS78" i="13"/>
  <c r="AT78" i="13"/>
  <c r="F79" i="13"/>
  <c r="I79" i="13"/>
  <c r="L79" i="13"/>
  <c r="M79" i="13"/>
  <c r="N79" i="13"/>
  <c r="Q79" i="13"/>
  <c r="T79" i="13"/>
  <c r="W79" i="13"/>
  <c r="X79" i="13"/>
  <c r="Y79" i="13"/>
  <c r="AB79" i="13"/>
  <c r="AE79" i="13"/>
  <c r="AH79" i="13"/>
  <c r="AI79" i="13"/>
  <c r="AJ79" i="13"/>
  <c r="AM79" i="13"/>
  <c r="AP79" i="13"/>
  <c r="AS79" i="13"/>
  <c r="AU79" i="13"/>
  <c r="AV79" i="13"/>
  <c r="AW79" i="13"/>
  <c r="AY79" i="13" s="1"/>
  <c r="AZ79" i="13" s="1"/>
  <c r="BA79" i="13" s="1"/>
  <c r="F80" i="13"/>
  <c r="I80" i="13"/>
  <c r="L80" i="13"/>
  <c r="M80" i="13"/>
  <c r="N80" i="13"/>
  <c r="Q80" i="13"/>
  <c r="T80" i="13"/>
  <c r="U80" i="13"/>
  <c r="U86" i="13" s="1"/>
  <c r="Y80" i="13"/>
  <c r="AB80" i="13"/>
  <c r="AE80" i="13"/>
  <c r="AE136" i="13" s="1"/>
  <c r="AH80" i="13"/>
  <c r="AI80" i="13"/>
  <c r="AJ80" i="13"/>
  <c r="AM80" i="13"/>
  <c r="AM86" i="13" s="1"/>
  <c r="AP80" i="13"/>
  <c r="AS80" i="13"/>
  <c r="AU80" i="13"/>
  <c r="AW80" i="13"/>
  <c r="AY80" i="13" s="1"/>
  <c r="AZ80" i="13" s="1"/>
  <c r="D81" i="13"/>
  <c r="F81" i="13" s="1"/>
  <c r="I81" i="13"/>
  <c r="J81" i="13"/>
  <c r="N81" i="13"/>
  <c r="Q81" i="13"/>
  <c r="T81" i="13"/>
  <c r="W81" i="13"/>
  <c r="X81" i="13"/>
  <c r="Y81" i="13"/>
  <c r="Y86" i="13" s="1"/>
  <c r="Z81" i="13"/>
  <c r="AE81" i="13"/>
  <c r="AF81" i="13"/>
  <c r="AH81" i="13"/>
  <c r="AJ81" i="13"/>
  <c r="AM81" i="13"/>
  <c r="AN81" i="13"/>
  <c r="AP81" i="13" s="1"/>
  <c r="AS81" i="13"/>
  <c r="AS86" i="13" s="1"/>
  <c r="AU81" i="13"/>
  <c r="AW81" i="13"/>
  <c r="AY81" i="13"/>
  <c r="AZ81" i="13"/>
  <c r="BA81" i="13" s="1"/>
  <c r="BB81" i="13" s="1"/>
  <c r="F82" i="13"/>
  <c r="I82" i="13"/>
  <c r="L82" i="13"/>
  <c r="M82" i="13"/>
  <c r="N82" i="13"/>
  <c r="O82" i="13"/>
  <c r="Q82" i="13" s="1"/>
  <c r="T82" i="13"/>
  <c r="W82" i="13"/>
  <c r="X82" i="13"/>
  <c r="Y82" i="13"/>
  <c r="AB82" i="13"/>
  <c r="AE82" i="13"/>
  <c r="AH82" i="13"/>
  <c r="AI82" i="13"/>
  <c r="AJ82" i="13"/>
  <c r="AM82" i="13"/>
  <c r="AP82" i="13"/>
  <c r="AS82" i="13"/>
  <c r="AU82" i="13"/>
  <c r="AW82" i="13"/>
  <c r="AY82" i="13" s="1"/>
  <c r="AZ82" i="13" s="1"/>
  <c r="BA82" i="13" s="1"/>
  <c r="BB82" i="13" s="1"/>
  <c r="F83" i="13"/>
  <c r="I83" i="13"/>
  <c r="L83" i="13"/>
  <c r="M83" i="13"/>
  <c r="N83" i="13"/>
  <c r="Q83" i="13"/>
  <c r="T83" i="13"/>
  <c r="W83" i="13"/>
  <c r="X83" i="13"/>
  <c r="Y83" i="13"/>
  <c r="AB83" i="13"/>
  <c r="AE83" i="13"/>
  <c r="AH83" i="13"/>
  <c r="AI83" i="13"/>
  <c r="AJ83" i="13"/>
  <c r="AM83" i="13"/>
  <c r="AP83" i="13"/>
  <c r="AS83" i="13"/>
  <c r="AU83" i="13"/>
  <c r="AV83" i="13"/>
  <c r="AW83" i="13"/>
  <c r="AY83" i="13"/>
  <c r="AZ83" i="13" s="1"/>
  <c r="BA83" i="13" s="1"/>
  <c r="BB83" i="13" s="1"/>
  <c r="F84" i="13"/>
  <c r="I84" i="13"/>
  <c r="L84" i="13"/>
  <c r="M84" i="13"/>
  <c r="N84" i="13"/>
  <c r="Q84" i="13"/>
  <c r="T84" i="13"/>
  <c r="W84" i="13"/>
  <c r="X84" i="13"/>
  <c r="Y84" i="13"/>
  <c r="Z84" i="13"/>
  <c r="AB84" i="13" s="1"/>
  <c r="AE84" i="13"/>
  <c r="AH84" i="13"/>
  <c r="AI84" i="13"/>
  <c r="AJ84" i="13"/>
  <c r="AM84" i="13"/>
  <c r="AP84" i="13"/>
  <c r="AS84" i="13"/>
  <c r="AU84" i="13"/>
  <c r="AV84" i="13"/>
  <c r="AW84" i="13"/>
  <c r="AY84" i="13" s="1"/>
  <c r="AZ84" i="13" s="1"/>
  <c r="BA84" i="13" s="1"/>
  <c r="BB84" i="13" s="1"/>
  <c r="F85" i="13"/>
  <c r="I85" i="13"/>
  <c r="I86" i="13" s="1"/>
  <c r="M85" i="13"/>
  <c r="N85" i="13"/>
  <c r="Q85" i="13"/>
  <c r="T85" i="13"/>
  <c r="W85" i="13"/>
  <c r="X85" i="13"/>
  <c r="Y85" i="13"/>
  <c r="AI85" i="13"/>
  <c r="AJ85" i="13"/>
  <c r="AU85" i="13"/>
  <c r="AV85" i="13"/>
  <c r="AW85" i="13"/>
  <c r="D86" i="13"/>
  <c r="E86" i="13"/>
  <c r="G86" i="13"/>
  <c r="H86" i="13"/>
  <c r="K86" i="13"/>
  <c r="O86" i="13"/>
  <c r="P86" i="13"/>
  <c r="R86" i="13"/>
  <c r="S86" i="13"/>
  <c r="V86" i="13"/>
  <c r="Z86" i="13"/>
  <c r="AA86" i="13"/>
  <c r="AC86" i="13"/>
  <c r="AD86" i="13"/>
  <c r="AF86" i="13"/>
  <c r="AG86" i="13"/>
  <c r="AH86" i="13"/>
  <c r="AK86" i="13"/>
  <c r="AL86" i="13"/>
  <c r="AN86" i="13"/>
  <c r="AO86" i="13"/>
  <c r="AQ86" i="13"/>
  <c r="AR86" i="13"/>
  <c r="AT86" i="13"/>
  <c r="F87" i="13"/>
  <c r="I87" i="13"/>
  <c r="L87" i="13"/>
  <c r="M87" i="13"/>
  <c r="M93" i="13" s="1"/>
  <c r="N87" i="13"/>
  <c r="Q87" i="13"/>
  <c r="T87" i="13"/>
  <c r="W87" i="13"/>
  <c r="X87" i="13"/>
  <c r="X93" i="13" s="1"/>
  <c r="Y87" i="13"/>
  <c r="AB87" i="13"/>
  <c r="AE87" i="13"/>
  <c r="AE93" i="13" s="1"/>
  <c r="AH87" i="13"/>
  <c r="AI87" i="13"/>
  <c r="AJ87" i="13"/>
  <c r="AM87" i="13"/>
  <c r="AP87" i="13"/>
  <c r="AS87" i="13"/>
  <c r="AU87" i="13"/>
  <c r="AV87" i="13"/>
  <c r="AX87" i="13" s="1"/>
  <c r="AW87" i="13"/>
  <c r="AY87" i="13" s="1"/>
  <c r="AZ87" i="13" s="1"/>
  <c r="BA87" i="13" s="1"/>
  <c r="F88" i="13"/>
  <c r="F93" i="13" s="1"/>
  <c r="H88" i="13"/>
  <c r="I88" i="13" s="1"/>
  <c r="K88" i="13"/>
  <c r="L88" i="13" s="1"/>
  <c r="M88" i="13"/>
  <c r="Q88" i="13"/>
  <c r="Q93" i="13" s="1"/>
  <c r="T88" i="13"/>
  <c r="W88" i="13"/>
  <c r="X88" i="13"/>
  <c r="Y88" i="13"/>
  <c r="AB88" i="13"/>
  <c r="AE88" i="13"/>
  <c r="AH88" i="13"/>
  <c r="AI88" i="13"/>
  <c r="AJ88" i="13"/>
  <c r="AM88" i="13"/>
  <c r="AP88" i="13"/>
  <c r="AS88" i="13"/>
  <c r="AU88" i="13"/>
  <c r="AV88" i="13"/>
  <c r="F89" i="13"/>
  <c r="I89" i="13"/>
  <c r="L89" i="13"/>
  <c r="M89" i="13"/>
  <c r="N89" i="13"/>
  <c r="Q89" i="13"/>
  <c r="Q143" i="13" s="1"/>
  <c r="T89" i="13"/>
  <c r="W89" i="13"/>
  <c r="X89" i="13"/>
  <c r="Y89" i="13"/>
  <c r="AB89" i="13"/>
  <c r="AE89" i="13"/>
  <c r="AH89" i="13"/>
  <c r="AI89" i="13"/>
  <c r="AJ89" i="13"/>
  <c r="AM89" i="13"/>
  <c r="AP89" i="13"/>
  <c r="AS89" i="13"/>
  <c r="AU89" i="13"/>
  <c r="AV89" i="13"/>
  <c r="AW89" i="13"/>
  <c r="AX89" i="13"/>
  <c r="AY89" i="13"/>
  <c r="AZ89" i="13" s="1"/>
  <c r="BA89" i="13" s="1"/>
  <c r="BB89" i="13" s="1"/>
  <c r="F90" i="13"/>
  <c r="I90" i="13"/>
  <c r="L90" i="13"/>
  <c r="M90" i="13"/>
  <c r="N90" i="13"/>
  <c r="Q90" i="13"/>
  <c r="T90" i="13"/>
  <c r="W90" i="13"/>
  <c r="X90" i="13"/>
  <c r="Y90" i="13"/>
  <c r="AB90" i="13"/>
  <c r="AE90" i="13"/>
  <c r="AH90" i="13"/>
  <c r="AI90" i="13"/>
  <c r="AJ90" i="13"/>
  <c r="AM90" i="13"/>
  <c r="AP90" i="13"/>
  <c r="AS90" i="13"/>
  <c r="AU90" i="13"/>
  <c r="AV90" i="13"/>
  <c r="AW90" i="13"/>
  <c r="AY90" i="13"/>
  <c r="AZ90" i="13" s="1"/>
  <c r="BA90" i="13" s="1"/>
  <c r="BB90" i="13" s="1"/>
  <c r="F91" i="13"/>
  <c r="I91" i="13"/>
  <c r="L91" i="13"/>
  <c r="M91" i="13"/>
  <c r="N91" i="13"/>
  <c r="Q91" i="13"/>
  <c r="T91" i="13"/>
  <c r="W91" i="13"/>
  <c r="X91" i="13"/>
  <c r="AX91" i="13" s="1"/>
  <c r="Y91" i="13"/>
  <c r="AB91" i="13"/>
  <c r="AE91" i="13"/>
  <c r="AH91" i="13"/>
  <c r="AI91" i="13"/>
  <c r="AJ91" i="13"/>
  <c r="AM91" i="13"/>
  <c r="AP91" i="13"/>
  <c r="AS91" i="13"/>
  <c r="AU91" i="13"/>
  <c r="AV91" i="13"/>
  <c r="AW91" i="13"/>
  <c r="AY91" i="13" s="1"/>
  <c r="AZ91" i="13" s="1"/>
  <c r="BA91" i="13" s="1"/>
  <c r="BB91" i="13" s="1"/>
  <c r="F92" i="13"/>
  <c r="I92" i="13"/>
  <c r="L92" i="13"/>
  <c r="M92" i="13"/>
  <c r="N92" i="13"/>
  <c r="Q92" i="13"/>
  <c r="T92" i="13"/>
  <c r="W92" i="13"/>
  <c r="X92" i="13"/>
  <c r="AX92" i="13" s="1"/>
  <c r="Y92" i="13"/>
  <c r="AB92" i="13"/>
  <c r="AE92" i="13"/>
  <c r="AH92" i="13"/>
  <c r="AI92" i="13"/>
  <c r="AJ92" i="13"/>
  <c r="AM92" i="13"/>
  <c r="AP92" i="13"/>
  <c r="AS92" i="13"/>
  <c r="AU92" i="13"/>
  <c r="AV92" i="13"/>
  <c r="AW92" i="13"/>
  <c r="AY92" i="13" s="1"/>
  <c r="AZ92" i="13" s="1"/>
  <c r="BA92" i="13" s="1"/>
  <c r="BB92" i="13" s="1"/>
  <c r="D93" i="13"/>
  <c r="E93" i="13"/>
  <c r="G93" i="13"/>
  <c r="J93" i="13"/>
  <c r="K93" i="13"/>
  <c r="O93" i="13"/>
  <c r="P93" i="13"/>
  <c r="R93" i="13"/>
  <c r="S93" i="13"/>
  <c r="U93" i="13"/>
  <c r="V93" i="13"/>
  <c r="Y93" i="13"/>
  <c r="Z93" i="13"/>
  <c r="AA93" i="13"/>
  <c r="AC93" i="13"/>
  <c r="AD93" i="13"/>
  <c r="AF93" i="13"/>
  <c r="AG93" i="13"/>
  <c r="AK93" i="13"/>
  <c r="AL93" i="13"/>
  <c r="AN93" i="13"/>
  <c r="AO93" i="13"/>
  <c r="AQ93" i="13"/>
  <c r="AR93" i="13"/>
  <c r="AT93" i="13"/>
  <c r="AU93" i="13"/>
  <c r="F94" i="13"/>
  <c r="F96" i="13" s="1"/>
  <c r="I94" i="13"/>
  <c r="L94" i="13"/>
  <c r="M94" i="13"/>
  <c r="M96" i="13" s="1"/>
  <c r="N94" i="13"/>
  <c r="N96" i="13" s="1"/>
  <c r="Q94" i="13"/>
  <c r="T94" i="13"/>
  <c r="W94" i="13"/>
  <c r="W96" i="13" s="1"/>
  <c r="X94" i="13"/>
  <c r="X96" i="13" s="1"/>
  <c r="Y94" i="13"/>
  <c r="AB94" i="13"/>
  <c r="AE94" i="13"/>
  <c r="AE96" i="13" s="1"/>
  <c r="AH94" i="13"/>
  <c r="AH96" i="13" s="1"/>
  <c r="AI94" i="13"/>
  <c r="AJ94" i="13"/>
  <c r="AM94" i="13"/>
  <c r="AP94" i="13"/>
  <c r="AP96" i="13" s="1"/>
  <c r="AS94" i="13"/>
  <c r="AU94" i="13"/>
  <c r="AV94" i="13"/>
  <c r="AW94" i="13"/>
  <c r="AW96" i="13" s="1"/>
  <c r="F95" i="13"/>
  <c r="I95" i="13"/>
  <c r="L95" i="13"/>
  <c r="M95" i="13"/>
  <c r="N95" i="13"/>
  <c r="Q95" i="13"/>
  <c r="T95" i="13"/>
  <c r="T96" i="13" s="1"/>
  <c r="W95" i="13"/>
  <c r="X95" i="13"/>
  <c r="Y95" i="13"/>
  <c r="Y96" i="13" s="1"/>
  <c r="AB95" i="13"/>
  <c r="AB96" i="13" s="1"/>
  <c r="AE95" i="13"/>
  <c r="AH95" i="13"/>
  <c r="AI95" i="13"/>
  <c r="AI96" i="13" s="1"/>
  <c r="AJ95" i="13"/>
  <c r="AJ96" i="13" s="1"/>
  <c r="AM95" i="13"/>
  <c r="AP95" i="13"/>
  <c r="AS95" i="13"/>
  <c r="AU95" i="13"/>
  <c r="AV95" i="13"/>
  <c r="AW95" i="13"/>
  <c r="AY95" i="13"/>
  <c r="AZ95" i="13" s="1"/>
  <c r="BA95" i="13" s="1"/>
  <c r="BB95" i="13" s="1"/>
  <c r="D96" i="13"/>
  <c r="E96" i="13"/>
  <c r="G96" i="13"/>
  <c r="H96" i="13"/>
  <c r="J96" i="13"/>
  <c r="K96" i="13"/>
  <c r="L96" i="13"/>
  <c r="O96" i="13"/>
  <c r="P96" i="13"/>
  <c r="R96" i="13"/>
  <c r="S96" i="13"/>
  <c r="U96" i="13"/>
  <c r="V96" i="13"/>
  <c r="Z96" i="13"/>
  <c r="AA96" i="13"/>
  <c r="AC96" i="13"/>
  <c r="AD96" i="13"/>
  <c r="AF96" i="13"/>
  <c r="AG96" i="13"/>
  <c r="AK96" i="13"/>
  <c r="AL96" i="13"/>
  <c r="AN96" i="13"/>
  <c r="AO96" i="13"/>
  <c r="AQ96" i="13"/>
  <c r="AR96" i="13"/>
  <c r="AT96" i="13"/>
  <c r="AV96" i="13"/>
  <c r="F97" i="13"/>
  <c r="I97" i="13"/>
  <c r="L97" i="13"/>
  <c r="M97" i="13"/>
  <c r="N97" i="13"/>
  <c r="Q97" i="13"/>
  <c r="T97" i="13"/>
  <c r="W97" i="13"/>
  <c r="W99" i="13" s="1"/>
  <c r="X97" i="13"/>
  <c r="Y97" i="13"/>
  <c r="AB97" i="13"/>
  <c r="AE97" i="13"/>
  <c r="AE99" i="13" s="1"/>
  <c r="AH97" i="13"/>
  <c r="AI97" i="13"/>
  <c r="AJ97" i="13"/>
  <c r="AM97" i="13"/>
  <c r="AM99" i="13" s="1"/>
  <c r="AP97" i="13"/>
  <c r="AS97" i="13"/>
  <c r="AT97" i="13"/>
  <c r="AU97" i="13"/>
  <c r="AU99" i="13" s="1"/>
  <c r="AV97" i="13"/>
  <c r="AW97" i="13"/>
  <c r="AY97" i="13" s="1"/>
  <c r="AZ97" i="13" s="1"/>
  <c r="F98" i="13"/>
  <c r="I98" i="13"/>
  <c r="I99" i="13" s="1"/>
  <c r="L98" i="13"/>
  <c r="L99" i="13" s="1"/>
  <c r="M98" i="13"/>
  <c r="N98" i="13"/>
  <c r="Q98" i="13"/>
  <c r="T98" i="13"/>
  <c r="T99" i="13" s="1"/>
  <c r="W98" i="13"/>
  <c r="X98" i="13"/>
  <c r="Y98" i="13"/>
  <c r="Y99" i="13" s="1"/>
  <c r="AB98" i="13"/>
  <c r="AB99" i="13" s="1"/>
  <c r="AE98" i="13"/>
  <c r="AH98" i="13"/>
  <c r="AI98" i="13"/>
  <c r="AJ98" i="13"/>
  <c r="AJ99" i="13" s="1"/>
  <c r="AM98" i="13"/>
  <c r="AP98" i="13"/>
  <c r="AS98" i="13"/>
  <c r="AS99" i="13" s="1"/>
  <c r="AT98" i="13"/>
  <c r="AT99" i="13" s="1"/>
  <c r="AU98" i="13"/>
  <c r="AV98" i="13"/>
  <c r="AW98" i="13"/>
  <c r="AY98" i="13" s="1"/>
  <c r="D99" i="13"/>
  <c r="E99" i="13"/>
  <c r="G99" i="13"/>
  <c r="H99" i="13"/>
  <c r="J99" i="13"/>
  <c r="K99" i="13"/>
  <c r="O99" i="13"/>
  <c r="P99" i="13"/>
  <c r="R99" i="13"/>
  <c r="S99" i="13"/>
  <c r="U99" i="13"/>
  <c r="V99" i="13"/>
  <c r="Z99" i="13"/>
  <c r="AA99" i="13"/>
  <c r="AC99" i="13"/>
  <c r="AD99" i="13"/>
  <c r="AF99" i="13"/>
  <c r="AG99" i="13"/>
  <c r="AK99" i="13"/>
  <c r="AL99" i="13"/>
  <c r="AL118" i="13" s="1"/>
  <c r="AN99" i="13"/>
  <c r="AO99" i="13"/>
  <c r="AQ99" i="13"/>
  <c r="AR99" i="13"/>
  <c r="F100" i="13"/>
  <c r="I100" i="13"/>
  <c r="L100" i="13"/>
  <c r="L151" i="13" s="1"/>
  <c r="M100" i="13"/>
  <c r="N100" i="13"/>
  <c r="Q100" i="13"/>
  <c r="T100" i="13"/>
  <c r="T151" i="13" s="1"/>
  <c r="W100" i="13"/>
  <c r="W106" i="13" s="1"/>
  <c r="X100" i="13"/>
  <c r="Y100" i="13"/>
  <c r="AB100" i="13"/>
  <c r="AE100" i="13"/>
  <c r="AE106" i="13" s="1"/>
  <c r="AH100" i="13"/>
  <c r="AI100" i="13"/>
  <c r="AJ100" i="13"/>
  <c r="AM100" i="13"/>
  <c r="AM106" i="13" s="1"/>
  <c r="AP100" i="13"/>
  <c r="AS100" i="13"/>
  <c r="AU100" i="13"/>
  <c r="AV100" i="13"/>
  <c r="AV106" i="13" s="1"/>
  <c r="AW100" i="13"/>
  <c r="AY100" i="13"/>
  <c r="AZ100" i="13" s="1"/>
  <c r="F101" i="13"/>
  <c r="H101" i="13"/>
  <c r="I101" i="13" s="1"/>
  <c r="I106" i="13" s="1"/>
  <c r="K101" i="13"/>
  <c r="AW101" i="13" s="1"/>
  <c r="AY101" i="13" s="1"/>
  <c r="AZ101" i="13" s="1"/>
  <c r="BA101" i="13" s="1"/>
  <c r="BB101" i="13" s="1"/>
  <c r="L101" i="13"/>
  <c r="M101" i="13"/>
  <c r="Q101" i="13"/>
  <c r="T101" i="13"/>
  <c r="T138" i="13" s="1"/>
  <c r="W101" i="13"/>
  <c r="X101" i="13"/>
  <c r="Y101" i="13"/>
  <c r="AB101" i="13"/>
  <c r="AE101" i="13"/>
  <c r="AH101" i="13"/>
  <c r="AI101" i="13"/>
  <c r="AJ101" i="13"/>
  <c r="AM101" i="13"/>
  <c r="AP101" i="13"/>
  <c r="AS101" i="13"/>
  <c r="AU101" i="13"/>
  <c r="AV101" i="13"/>
  <c r="F102" i="13"/>
  <c r="I102" i="13"/>
  <c r="L102" i="13"/>
  <c r="M102" i="13"/>
  <c r="N102" i="13"/>
  <c r="Q102" i="13"/>
  <c r="T102" i="13"/>
  <c r="W102" i="13"/>
  <c r="X102" i="13"/>
  <c r="AX102" i="13" s="1"/>
  <c r="Y102" i="13"/>
  <c r="AB102" i="13"/>
  <c r="AE102" i="13"/>
  <c r="AH102" i="13"/>
  <c r="AI102" i="13"/>
  <c r="AI106" i="13" s="1"/>
  <c r="AJ102" i="13"/>
  <c r="AM102" i="13"/>
  <c r="AP102" i="13"/>
  <c r="AS102" i="13"/>
  <c r="AU102" i="13"/>
  <c r="AV102" i="13"/>
  <c r="AW102" i="13"/>
  <c r="F103" i="13"/>
  <c r="I103" i="13"/>
  <c r="L103" i="13"/>
  <c r="M103" i="13"/>
  <c r="N103" i="13"/>
  <c r="Q103" i="13"/>
  <c r="T103" i="13"/>
  <c r="T106" i="13" s="1"/>
  <c r="W103" i="13"/>
  <c r="X103" i="13"/>
  <c r="Y103" i="13"/>
  <c r="AB103" i="13"/>
  <c r="AB106" i="13" s="1"/>
  <c r="AE103" i="13"/>
  <c r="AH103" i="13"/>
  <c r="AI103" i="13"/>
  <c r="AJ103" i="13"/>
  <c r="AJ106" i="13" s="1"/>
  <c r="AM103" i="13"/>
  <c r="AP103" i="13"/>
  <c r="AS103" i="13"/>
  <c r="AU103" i="13"/>
  <c r="AV103" i="13"/>
  <c r="AW103" i="13"/>
  <c r="AY103" i="13"/>
  <c r="AZ103" i="13" s="1"/>
  <c r="BA103" i="13" s="1"/>
  <c r="BB103" i="13" s="1"/>
  <c r="F104" i="13"/>
  <c r="F137" i="13" s="1"/>
  <c r="I104" i="13"/>
  <c r="L104" i="13"/>
  <c r="M104" i="13"/>
  <c r="N104" i="13"/>
  <c r="Q104" i="13"/>
  <c r="T104" i="13"/>
  <c r="W104" i="13"/>
  <c r="X104" i="13"/>
  <c r="AX104" i="13" s="1"/>
  <c r="Y104" i="13"/>
  <c r="AB104" i="13"/>
  <c r="AE104" i="13"/>
  <c r="AH104" i="13"/>
  <c r="AH137" i="13" s="1"/>
  <c r="AI104" i="13"/>
  <c r="AJ104" i="13"/>
  <c r="AM104" i="13"/>
  <c r="AP104" i="13"/>
  <c r="AP137" i="13" s="1"/>
  <c r="AS104" i="13"/>
  <c r="AU104" i="13"/>
  <c r="AV104" i="13"/>
  <c r="AW104" i="13"/>
  <c r="AY104" i="13" s="1"/>
  <c r="AZ104" i="13" s="1"/>
  <c r="BA104" i="13" s="1"/>
  <c r="BB104" i="13" s="1"/>
  <c r="F105" i="13"/>
  <c r="I105" i="13"/>
  <c r="L105" i="13"/>
  <c r="M105" i="13"/>
  <c r="N105" i="13"/>
  <c r="Q105" i="13"/>
  <c r="T105" i="13"/>
  <c r="W105" i="13"/>
  <c r="X105" i="13"/>
  <c r="Y105" i="13"/>
  <c r="AB105" i="13"/>
  <c r="AE105" i="13"/>
  <c r="AH105" i="13"/>
  <c r="AI105" i="13"/>
  <c r="AJ105" i="13"/>
  <c r="AM105" i="13"/>
  <c r="AP105" i="13"/>
  <c r="AS105" i="13"/>
  <c r="AU105" i="13"/>
  <c r="AV105" i="13"/>
  <c r="AW105" i="13"/>
  <c r="AY105" i="13"/>
  <c r="AZ105" i="13" s="1"/>
  <c r="BA105" i="13" s="1"/>
  <c r="BB105" i="13" s="1"/>
  <c r="D106" i="13"/>
  <c r="E106" i="13"/>
  <c r="G106" i="13"/>
  <c r="H106" i="13"/>
  <c r="J106" i="13"/>
  <c r="K106" i="13"/>
  <c r="M106" i="13"/>
  <c r="O106" i="13"/>
  <c r="P106" i="13"/>
  <c r="Q106" i="13"/>
  <c r="R106" i="13"/>
  <c r="S106" i="13"/>
  <c r="U106" i="13"/>
  <c r="V106" i="13"/>
  <c r="Y106" i="13"/>
  <c r="Z106" i="13"/>
  <c r="AA106" i="13"/>
  <c r="AC106" i="13"/>
  <c r="AD106" i="13"/>
  <c r="AF106" i="13"/>
  <c r="AG106" i="13"/>
  <c r="AK106" i="13"/>
  <c r="AL106" i="13"/>
  <c r="AN106" i="13"/>
  <c r="AO106" i="13"/>
  <c r="AQ106" i="13"/>
  <c r="AR106" i="13"/>
  <c r="AS106" i="13"/>
  <c r="AT106" i="13"/>
  <c r="F107" i="13"/>
  <c r="I107" i="13"/>
  <c r="L107" i="13"/>
  <c r="M107" i="13"/>
  <c r="N107" i="13"/>
  <c r="Q107" i="13"/>
  <c r="T107" i="13"/>
  <c r="W107" i="13"/>
  <c r="X107" i="13"/>
  <c r="Y107" i="13"/>
  <c r="AB107" i="13"/>
  <c r="AC107" i="13"/>
  <c r="AE107" i="13" s="1"/>
  <c r="AH107" i="13"/>
  <c r="AJ107" i="13"/>
  <c r="AM107" i="13"/>
  <c r="AP107" i="13"/>
  <c r="AQ107" i="13"/>
  <c r="AU107" i="13"/>
  <c r="AW107" i="13"/>
  <c r="AY107" i="13" s="1"/>
  <c r="AZ107" i="13" s="1"/>
  <c r="BA107" i="13" s="1"/>
  <c r="BB107" i="13" s="1"/>
  <c r="E108" i="13"/>
  <c r="F108" i="13" s="1"/>
  <c r="I108" i="13"/>
  <c r="L108" i="13"/>
  <c r="M108" i="13"/>
  <c r="Q108" i="13"/>
  <c r="T108" i="13"/>
  <c r="W108" i="13"/>
  <c r="X108" i="13"/>
  <c r="Y108" i="13"/>
  <c r="AB108" i="13"/>
  <c r="AC108" i="13"/>
  <c r="AE108" i="13" s="1"/>
  <c r="AH108" i="13"/>
  <c r="AJ108" i="13"/>
  <c r="AM108" i="13"/>
  <c r="AP108" i="13"/>
  <c r="AS108" i="13"/>
  <c r="AU108" i="13"/>
  <c r="AW108" i="13"/>
  <c r="AY108" i="13" s="1"/>
  <c r="AZ108" i="13" s="1"/>
  <c r="BA108" i="13" s="1"/>
  <c r="BB108" i="13" s="1"/>
  <c r="M109" i="13"/>
  <c r="N109" i="13"/>
  <c r="X109" i="13"/>
  <c r="Y109" i="13"/>
  <c r="AI109" i="13"/>
  <c r="AJ109" i="13"/>
  <c r="AU109" i="13"/>
  <c r="AU117" i="13" s="1"/>
  <c r="AV109" i="13"/>
  <c r="AW109" i="13"/>
  <c r="AY109" i="13"/>
  <c r="AZ109" i="13" s="1"/>
  <c r="BA109" i="13" s="1"/>
  <c r="BB109" i="13" s="1"/>
  <c r="E110" i="13"/>
  <c r="H110" i="13"/>
  <c r="I110" i="13" s="1"/>
  <c r="L110" i="13"/>
  <c r="M110" i="13"/>
  <c r="N110" i="13"/>
  <c r="Q110" i="13"/>
  <c r="T110" i="13"/>
  <c r="W110" i="13"/>
  <c r="X110" i="13"/>
  <c r="AX110" i="13" s="1"/>
  <c r="Y110" i="13"/>
  <c r="AB110" i="13"/>
  <c r="AE110" i="13"/>
  <c r="AH110" i="13"/>
  <c r="AH161" i="13" s="1"/>
  <c r="AI110" i="13"/>
  <c r="AJ110" i="13"/>
  <c r="AM110" i="13"/>
  <c r="AP110" i="13"/>
  <c r="AP161" i="13" s="1"/>
  <c r="AS110" i="13"/>
  <c r="AU110" i="13"/>
  <c r="AV110" i="13"/>
  <c r="AW110" i="13"/>
  <c r="AY110" i="13" s="1"/>
  <c r="AZ110" i="13" s="1"/>
  <c r="BA110" i="13" s="1"/>
  <c r="BB110" i="13" s="1"/>
  <c r="F111" i="13"/>
  <c r="I111" i="13"/>
  <c r="L111" i="13"/>
  <c r="L146" i="13" s="1"/>
  <c r="M111" i="13"/>
  <c r="N111" i="13"/>
  <c r="Q111" i="13"/>
  <c r="T111" i="13"/>
  <c r="W111" i="13"/>
  <c r="X111" i="13"/>
  <c r="Y111" i="13"/>
  <c r="AB111" i="13"/>
  <c r="AB146" i="13" s="1"/>
  <c r="AE111" i="13"/>
  <c r="AH111" i="13"/>
  <c r="AI111" i="13"/>
  <c r="AJ111" i="13"/>
  <c r="AM111" i="13"/>
  <c r="AP111" i="13"/>
  <c r="AS111" i="13"/>
  <c r="AU111" i="13"/>
  <c r="AV111" i="13"/>
  <c r="AW111" i="13"/>
  <c r="AY111" i="13"/>
  <c r="AZ111" i="13" s="1"/>
  <c r="BA111" i="13" s="1"/>
  <c r="BB111" i="13" s="1"/>
  <c r="F112" i="13"/>
  <c r="F145" i="13" s="1"/>
  <c r="I112" i="13"/>
  <c r="L112" i="13"/>
  <c r="M112" i="13"/>
  <c r="N112" i="13"/>
  <c r="Q112" i="13"/>
  <c r="T112" i="13"/>
  <c r="W112" i="13"/>
  <c r="X112" i="13"/>
  <c r="Y112" i="13"/>
  <c r="AB112" i="13"/>
  <c r="AE112" i="13"/>
  <c r="AH112" i="13"/>
  <c r="AH145" i="13" s="1"/>
  <c r="AI112" i="13"/>
  <c r="AJ112" i="13"/>
  <c r="AM112" i="13"/>
  <c r="AP112" i="13"/>
  <c r="AS112" i="13"/>
  <c r="AU112" i="13"/>
  <c r="AV112" i="13"/>
  <c r="AW112" i="13"/>
  <c r="AY112" i="13" s="1"/>
  <c r="AZ112" i="13" s="1"/>
  <c r="E113" i="13"/>
  <c r="F113" i="13" s="1"/>
  <c r="H113" i="13"/>
  <c r="I113" i="13" s="1"/>
  <c r="K113" i="13"/>
  <c r="L113" i="13" s="1"/>
  <c r="M113" i="13"/>
  <c r="Q113" i="13"/>
  <c r="T113" i="13"/>
  <c r="V113" i="13"/>
  <c r="W113" i="13" s="1"/>
  <c r="X113" i="13"/>
  <c r="AI113" i="13"/>
  <c r="AM113" i="13"/>
  <c r="AP113" i="13"/>
  <c r="AS113" i="13"/>
  <c r="AU113" i="13"/>
  <c r="AV113" i="13"/>
  <c r="F114" i="13"/>
  <c r="I114" i="13"/>
  <c r="L114" i="13"/>
  <c r="M114" i="13"/>
  <c r="N114" i="13"/>
  <c r="Q114" i="13"/>
  <c r="Q117" i="13" s="1"/>
  <c r="T114" i="13"/>
  <c r="W114" i="13"/>
  <c r="X114" i="13"/>
  <c r="Y114" i="13"/>
  <c r="AB114" i="13"/>
  <c r="AE114" i="13"/>
  <c r="AH114" i="13"/>
  <c r="AI114" i="13"/>
  <c r="AJ114" i="13"/>
  <c r="AM114" i="13"/>
  <c r="AP114" i="13"/>
  <c r="AS114" i="13"/>
  <c r="AU114" i="13"/>
  <c r="AV114" i="13"/>
  <c r="AW114" i="13"/>
  <c r="AY114" i="13"/>
  <c r="AZ114" i="13" s="1"/>
  <c r="BA114" i="13" s="1"/>
  <c r="BB114" i="13" s="1"/>
  <c r="F115" i="13"/>
  <c r="I115" i="13"/>
  <c r="L115" i="13"/>
  <c r="M115" i="13"/>
  <c r="N115" i="13"/>
  <c r="Q115" i="13"/>
  <c r="T115" i="13"/>
  <c r="W115" i="13"/>
  <c r="X115" i="13"/>
  <c r="Y115" i="13"/>
  <c r="AB115" i="13"/>
  <c r="AE115" i="13"/>
  <c r="AH115" i="13"/>
  <c r="AI115" i="13"/>
  <c r="AJ115" i="13"/>
  <c r="AM115" i="13"/>
  <c r="AP115" i="13"/>
  <c r="AS115" i="13"/>
  <c r="AU115" i="13"/>
  <c r="AV115" i="13"/>
  <c r="AW115" i="13"/>
  <c r="AY115" i="13" s="1"/>
  <c r="AZ115" i="13" s="1"/>
  <c r="BA115" i="13" s="1"/>
  <c r="BB115" i="13" s="1"/>
  <c r="E116" i="13"/>
  <c r="F116" i="13" s="1"/>
  <c r="H116" i="13"/>
  <c r="K116" i="13"/>
  <c r="L116" i="13" s="1"/>
  <c r="M116" i="13"/>
  <c r="Q116" i="13"/>
  <c r="S116" i="13"/>
  <c r="V116" i="13"/>
  <c r="W116" i="13"/>
  <c r="X116" i="13"/>
  <c r="AI116" i="13"/>
  <c r="AM116" i="13"/>
  <c r="AP116" i="13"/>
  <c r="AP143" i="13" s="1"/>
  <c r="AS116" i="13"/>
  <c r="AU116" i="13"/>
  <c r="AV116" i="13"/>
  <c r="D117" i="13"/>
  <c r="D118" i="13" s="1"/>
  <c r="D123" i="13" s="1"/>
  <c r="D130" i="13" s="1"/>
  <c r="G117" i="13"/>
  <c r="J117" i="13"/>
  <c r="K117" i="13"/>
  <c r="O117" i="13"/>
  <c r="P117" i="13"/>
  <c r="R117" i="13"/>
  <c r="U117" i="13"/>
  <c r="Z117" i="13"/>
  <c r="AA117" i="13"/>
  <c r="AD117" i="13"/>
  <c r="AD118" i="13" s="1"/>
  <c r="AF117" i="13"/>
  <c r="AG117" i="13"/>
  <c r="AK117" i="13"/>
  <c r="AL117" i="13"/>
  <c r="AM117" i="13"/>
  <c r="AN117" i="13"/>
  <c r="AO117" i="13"/>
  <c r="AR117" i="13"/>
  <c r="AT117" i="13"/>
  <c r="M119" i="13"/>
  <c r="N119" i="13"/>
  <c r="X119" i="13"/>
  <c r="Y119" i="13"/>
  <c r="AJ119" i="13"/>
  <c r="AU119" i="13"/>
  <c r="F120" i="13"/>
  <c r="I120" i="13"/>
  <c r="L120" i="13"/>
  <c r="L122" i="13" s="1"/>
  <c r="M120" i="13"/>
  <c r="M122" i="13" s="1"/>
  <c r="N120" i="13"/>
  <c r="Q120" i="13"/>
  <c r="T120" i="13"/>
  <c r="T122" i="13" s="1"/>
  <c r="W120" i="13"/>
  <c r="X120" i="13"/>
  <c r="Y120" i="13"/>
  <c r="AB120" i="13"/>
  <c r="AB122" i="13" s="1"/>
  <c r="AE120" i="13"/>
  <c r="AH120" i="13"/>
  <c r="AI120" i="13"/>
  <c r="AJ120" i="13"/>
  <c r="AJ122" i="13" s="1"/>
  <c r="AM120" i="13"/>
  <c r="AP120" i="13"/>
  <c r="AS120" i="13"/>
  <c r="AU120" i="13"/>
  <c r="AU122" i="13" s="1"/>
  <c r="AV120" i="13"/>
  <c r="AW120" i="13"/>
  <c r="AY120" i="13"/>
  <c r="AZ120" i="13" s="1"/>
  <c r="F121" i="13"/>
  <c r="F122" i="13" s="1"/>
  <c r="I121" i="13"/>
  <c r="I122" i="13" s="1"/>
  <c r="L121" i="13"/>
  <c r="M121" i="13"/>
  <c r="N121" i="13"/>
  <c r="Q121" i="13"/>
  <c r="Q122" i="13" s="1"/>
  <c r="T121" i="13"/>
  <c r="W121" i="13"/>
  <c r="X121" i="13"/>
  <c r="Y121" i="13"/>
  <c r="Y122" i="13" s="1"/>
  <c r="AB121" i="13"/>
  <c r="AE121" i="13"/>
  <c r="AH121" i="13"/>
  <c r="AH122" i="13" s="1"/>
  <c r="AI121" i="13"/>
  <c r="AJ121" i="13"/>
  <c r="AM121" i="13"/>
  <c r="AP121" i="13"/>
  <c r="AP122" i="13" s="1"/>
  <c r="AS121" i="13"/>
  <c r="AS122" i="13" s="1"/>
  <c r="AU121" i="13"/>
  <c r="AV121" i="13"/>
  <c r="AW121" i="13"/>
  <c r="AY121" i="13" s="1"/>
  <c r="AZ121" i="13" s="1"/>
  <c r="BA121" i="13" s="1"/>
  <c r="BB121" i="13" s="1"/>
  <c r="D122" i="13"/>
  <c r="E122" i="13"/>
  <c r="G122" i="13"/>
  <c r="H122" i="13"/>
  <c r="J122" i="13"/>
  <c r="K122" i="13"/>
  <c r="N122" i="13"/>
  <c r="O122" i="13"/>
  <c r="P122" i="13"/>
  <c r="R122" i="13"/>
  <c r="S122" i="13"/>
  <c r="U122" i="13"/>
  <c r="V122" i="13"/>
  <c r="W122" i="13"/>
  <c r="Z122" i="13"/>
  <c r="AA122" i="13"/>
  <c r="AC122" i="13"/>
  <c r="AD122" i="13"/>
  <c r="AE122" i="13"/>
  <c r="AF122" i="13"/>
  <c r="AG122" i="13"/>
  <c r="AI122" i="13"/>
  <c r="AK122" i="13"/>
  <c r="AL122" i="13"/>
  <c r="AM122" i="13"/>
  <c r="AN122" i="13"/>
  <c r="AO122" i="13"/>
  <c r="AQ122" i="13"/>
  <c r="AR122" i="13"/>
  <c r="AT122" i="13"/>
  <c r="AV122" i="13"/>
  <c r="M124" i="13"/>
  <c r="N124" i="13"/>
  <c r="X124" i="13"/>
  <c r="Y124" i="13"/>
  <c r="AJ124" i="13"/>
  <c r="AU124" i="13"/>
  <c r="AX124" i="13"/>
  <c r="F125" i="13"/>
  <c r="F128" i="13" s="1"/>
  <c r="I125" i="13"/>
  <c r="L125" i="13"/>
  <c r="M125" i="13"/>
  <c r="M128" i="13" s="1"/>
  <c r="N125" i="13"/>
  <c r="N128" i="13" s="1"/>
  <c r="Q125" i="13"/>
  <c r="T125" i="13"/>
  <c r="W125" i="13"/>
  <c r="W128" i="13" s="1"/>
  <c r="X125" i="13"/>
  <c r="Y125" i="13"/>
  <c r="AB125" i="13"/>
  <c r="AE125" i="13"/>
  <c r="AH125" i="13"/>
  <c r="AH128" i="13" s="1"/>
  <c r="AI125" i="13"/>
  <c r="AJ125" i="13"/>
  <c r="AM125" i="13"/>
  <c r="AP125" i="13"/>
  <c r="AP128" i="13" s="1"/>
  <c r="AS125" i="13"/>
  <c r="AU125" i="13"/>
  <c r="AV125" i="13"/>
  <c r="AW125" i="13"/>
  <c r="AY125" i="13" s="1"/>
  <c r="AZ125" i="13" s="1"/>
  <c r="BA125" i="13" s="1"/>
  <c r="F126" i="13"/>
  <c r="I126" i="13"/>
  <c r="L126" i="13"/>
  <c r="M126" i="13"/>
  <c r="N126" i="13"/>
  <c r="Q126" i="13"/>
  <c r="T126" i="13"/>
  <c r="W126" i="13"/>
  <c r="X126" i="13"/>
  <c r="Y126" i="13"/>
  <c r="AB126" i="13"/>
  <c r="AE126" i="13"/>
  <c r="AH126" i="13"/>
  <c r="AI126" i="13"/>
  <c r="AJ126" i="13"/>
  <c r="AM126" i="13"/>
  <c r="AP126" i="13"/>
  <c r="AS126" i="13"/>
  <c r="AU126" i="13"/>
  <c r="AV126" i="13"/>
  <c r="AX126" i="13" s="1"/>
  <c r="AW126" i="13"/>
  <c r="AY126" i="13" s="1"/>
  <c r="AZ126" i="13"/>
  <c r="BA126" i="13" s="1"/>
  <c r="BB126" i="13" s="1"/>
  <c r="F127" i="13"/>
  <c r="I127" i="13"/>
  <c r="L127" i="13"/>
  <c r="M127" i="13"/>
  <c r="N127" i="13"/>
  <c r="Q127" i="13"/>
  <c r="T127" i="13"/>
  <c r="W127" i="13"/>
  <c r="X127" i="13"/>
  <c r="Y127" i="13"/>
  <c r="AB127" i="13"/>
  <c r="AE127" i="13"/>
  <c r="AH127" i="13"/>
  <c r="AI127" i="13"/>
  <c r="AJ127" i="13"/>
  <c r="AM127" i="13"/>
  <c r="AP127" i="13"/>
  <c r="AS127" i="13"/>
  <c r="AU127" i="13"/>
  <c r="AV127" i="13"/>
  <c r="AX127" i="13" s="1"/>
  <c r="AW127" i="13"/>
  <c r="AY127" i="13" s="1"/>
  <c r="AZ127" i="13" s="1"/>
  <c r="BA127" i="13" s="1"/>
  <c r="BB127" i="13" s="1"/>
  <c r="D128" i="13"/>
  <c r="E128" i="13"/>
  <c r="G128" i="13"/>
  <c r="H128" i="13"/>
  <c r="I128" i="13"/>
  <c r="J128" i="13"/>
  <c r="K128" i="13"/>
  <c r="L128" i="13"/>
  <c r="O128" i="13"/>
  <c r="P128" i="13"/>
  <c r="Q128" i="13"/>
  <c r="R128" i="13"/>
  <c r="S128" i="13"/>
  <c r="T128" i="13"/>
  <c r="U128" i="13"/>
  <c r="V128" i="13"/>
  <c r="X128" i="13"/>
  <c r="Y128" i="13"/>
  <c r="Z128" i="13"/>
  <c r="AA128" i="13"/>
  <c r="AB128" i="13"/>
  <c r="AC128" i="13"/>
  <c r="AD128" i="13"/>
  <c r="AF128" i="13"/>
  <c r="AG128" i="13"/>
  <c r="AI128" i="13"/>
  <c r="AJ128" i="13"/>
  <c r="AK128" i="13"/>
  <c r="AL128" i="13"/>
  <c r="AN128" i="13"/>
  <c r="AO128" i="13"/>
  <c r="AQ128" i="13"/>
  <c r="AR128" i="13"/>
  <c r="AS128" i="13"/>
  <c r="AT128" i="13"/>
  <c r="AU128" i="13"/>
  <c r="AW128" i="13"/>
  <c r="M129" i="13"/>
  <c r="N129" i="13"/>
  <c r="X129" i="13"/>
  <c r="Y129" i="13"/>
  <c r="AI129" i="13"/>
  <c r="AJ129" i="13"/>
  <c r="AT129" i="13"/>
  <c r="AU129" i="13"/>
  <c r="AX129" i="13"/>
  <c r="M131" i="13"/>
  <c r="N131" i="13"/>
  <c r="X131" i="13"/>
  <c r="Y131" i="13"/>
  <c r="AI131" i="13"/>
  <c r="AJ131" i="13"/>
  <c r="AT131" i="13"/>
  <c r="AU131" i="13"/>
  <c r="E132" i="13"/>
  <c r="N132" i="13" s="1"/>
  <c r="F132" i="13"/>
  <c r="H132" i="13"/>
  <c r="I132" i="13" s="1"/>
  <c r="K132" i="13"/>
  <c r="L132" i="13"/>
  <c r="M132" i="13"/>
  <c r="Q132" i="13"/>
  <c r="T132" i="13"/>
  <c r="V132" i="13"/>
  <c r="W132" i="13" s="1"/>
  <c r="X132" i="13"/>
  <c r="Y132" i="13"/>
  <c r="AB132" i="13"/>
  <c r="AE132" i="13"/>
  <c r="AH132" i="13"/>
  <c r="AJ132" i="13"/>
  <c r="AM132" i="13"/>
  <c r="AP132" i="13"/>
  <c r="AS132" i="13"/>
  <c r="AV132" i="13"/>
  <c r="AX132" i="13" s="1"/>
  <c r="AW132" i="13"/>
  <c r="AY132" i="13" s="1"/>
  <c r="AZ132" i="13" s="1"/>
  <c r="BA132" i="13" s="1"/>
  <c r="BB132" i="13" s="1"/>
  <c r="D136" i="13"/>
  <c r="E136" i="13"/>
  <c r="F136" i="13"/>
  <c r="G136" i="13"/>
  <c r="H136" i="13"/>
  <c r="I136" i="13"/>
  <c r="J136" i="13"/>
  <c r="K136" i="13"/>
  <c r="L136" i="13"/>
  <c r="O136" i="13"/>
  <c r="P136" i="13"/>
  <c r="R136" i="13"/>
  <c r="S136" i="13"/>
  <c r="T136" i="13"/>
  <c r="U136" i="13"/>
  <c r="V136" i="13"/>
  <c r="AA136" i="13"/>
  <c r="AC136" i="13"/>
  <c r="AD136" i="13"/>
  <c r="AF136" i="13"/>
  <c r="AG136" i="13"/>
  <c r="AH136" i="13"/>
  <c r="AK136" i="13"/>
  <c r="AL136" i="13"/>
  <c r="AN136" i="13"/>
  <c r="AO136" i="13"/>
  <c r="AP136" i="13"/>
  <c r="AQ136" i="13"/>
  <c r="AR136" i="13"/>
  <c r="AS136" i="13"/>
  <c r="D137" i="13"/>
  <c r="M137" i="13" s="1"/>
  <c r="E137" i="13"/>
  <c r="G137" i="13"/>
  <c r="H137" i="13"/>
  <c r="I137" i="13"/>
  <c r="J137" i="13"/>
  <c r="K137" i="13"/>
  <c r="L137" i="13"/>
  <c r="O137" i="13"/>
  <c r="P137" i="13"/>
  <c r="Q137" i="13"/>
  <c r="R137" i="13"/>
  <c r="S137" i="13"/>
  <c r="T137" i="13"/>
  <c r="U137" i="13"/>
  <c r="V137" i="13"/>
  <c r="W137" i="13"/>
  <c r="Z137" i="13"/>
  <c r="AA137" i="13"/>
  <c r="AB137" i="13"/>
  <c r="AC137" i="13"/>
  <c r="AD137" i="13"/>
  <c r="AE137" i="13"/>
  <c r="AF137" i="13"/>
  <c r="AG137" i="13"/>
  <c r="AK137" i="13"/>
  <c r="AL137" i="13"/>
  <c r="AM137" i="13"/>
  <c r="AN137" i="13"/>
  <c r="AO137" i="13"/>
  <c r="AQ137" i="13"/>
  <c r="AR137" i="13"/>
  <c r="AS137" i="13"/>
  <c r="D138" i="13"/>
  <c r="E138" i="13"/>
  <c r="G138" i="13"/>
  <c r="H138" i="13"/>
  <c r="I138" i="13"/>
  <c r="J138" i="13"/>
  <c r="K138" i="13"/>
  <c r="M138" i="13"/>
  <c r="O138" i="13"/>
  <c r="P138" i="13"/>
  <c r="Q138" i="13"/>
  <c r="R138" i="13"/>
  <c r="S138" i="13"/>
  <c r="U138" i="13"/>
  <c r="V138" i="13"/>
  <c r="W138" i="13"/>
  <c r="Z138" i="13"/>
  <c r="AA138" i="13"/>
  <c r="AB138" i="13"/>
  <c r="AC138" i="13"/>
  <c r="AD138" i="13"/>
  <c r="AE138" i="13"/>
  <c r="AF138" i="13"/>
  <c r="AG138" i="13"/>
  <c r="AH138" i="13"/>
  <c r="AK138" i="13"/>
  <c r="AL138" i="13"/>
  <c r="AM138" i="13"/>
  <c r="AN138" i="13"/>
  <c r="AO138" i="13"/>
  <c r="AP138" i="13"/>
  <c r="AQ138" i="13"/>
  <c r="AR138" i="13"/>
  <c r="AS138" i="13"/>
  <c r="D139" i="13"/>
  <c r="E139" i="13"/>
  <c r="F139" i="13"/>
  <c r="G139" i="13"/>
  <c r="H139" i="13"/>
  <c r="I139" i="13"/>
  <c r="J139" i="13"/>
  <c r="K139" i="13"/>
  <c r="L139" i="13"/>
  <c r="O139" i="13"/>
  <c r="P139" i="13"/>
  <c r="Q139" i="13"/>
  <c r="R139" i="13"/>
  <c r="S139" i="13"/>
  <c r="T139" i="13"/>
  <c r="U139" i="13"/>
  <c r="V139" i="13"/>
  <c r="W139" i="13"/>
  <c r="Y139" i="13"/>
  <c r="Z139" i="13"/>
  <c r="AA139" i="13"/>
  <c r="AB139" i="13"/>
  <c r="AC139" i="13"/>
  <c r="AD139" i="13"/>
  <c r="AE139" i="13"/>
  <c r="AF139" i="13"/>
  <c r="AG139" i="13"/>
  <c r="AH139" i="13"/>
  <c r="AK139" i="13"/>
  <c r="AL139" i="13"/>
  <c r="AM139" i="13"/>
  <c r="AY139" i="13" s="1"/>
  <c r="AN139" i="13"/>
  <c r="AO139" i="13"/>
  <c r="AP139" i="13"/>
  <c r="AQ139" i="13"/>
  <c r="AR139" i="13"/>
  <c r="AS139" i="13"/>
  <c r="D140" i="13"/>
  <c r="E140" i="13"/>
  <c r="F140" i="13"/>
  <c r="G140" i="13"/>
  <c r="H140" i="13"/>
  <c r="J140" i="13"/>
  <c r="K140" i="13"/>
  <c r="O140" i="13"/>
  <c r="P140" i="13"/>
  <c r="R140" i="13"/>
  <c r="S140" i="13"/>
  <c r="T140" i="13"/>
  <c r="U140" i="13"/>
  <c r="V140" i="13"/>
  <c r="Z140" i="13"/>
  <c r="AA140" i="13"/>
  <c r="AB140" i="13"/>
  <c r="AC140" i="13"/>
  <c r="AD140" i="13"/>
  <c r="AE140" i="13"/>
  <c r="AF140" i="13"/>
  <c r="AG140" i="13"/>
  <c r="AH140" i="13"/>
  <c r="AK140" i="13"/>
  <c r="AL140" i="13"/>
  <c r="AM140" i="13"/>
  <c r="AN140" i="13"/>
  <c r="AO140" i="13"/>
  <c r="AP140" i="13"/>
  <c r="AQ140" i="13"/>
  <c r="AR140" i="13"/>
  <c r="AS140" i="13"/>
  <c r="D141" i="13"/>
  <c r="M141" i="13" s="1"/>
  <c r="E141" i="13"/>
  <c r="G141" i="13"/>
  <c r="H141" i="13"/>
  <c r="J141" i="13"/>
  <c r="K141" i="13"/>
  <c r="O141" i="13"/>
  <c r="P141" i="13"/>
  <c r="R141" i="13"/>
  <c r="S141" i="13"/>
  <c r="U141" i="13"/>
  <c r="V141" i="13"/>
  <c r="Z141" i="13"/>
  <c r="AA141" i="13"/>
  <c r="AC141" i="13"/>
  <c r="AD141" i="13"/>
  <c r="AE141" i="13"/>
  <c r="AF141" i="13"/>
  <c r="AG141" i="13"/>
  <c r="AK141" i="13"/>
  <c r="AL141" i="13"/>
  <c r="AN141" i="13"/>
  <c r="AO141" i="13"/>
  <c r="AQ141" i="13"/>
  <c r="AR141" i="13"/>
  <c r="D142" i="13"/>
  <c r="E142" i="13"/>
  <c r="F142" i="13"/>
  <c r="G142" i="13"/>
  <c r="H142" i="13"/>
  <c r="I142" i="13"/>
  <c r="J142" i="13"/>
  <c r="K142" i="13"/>
  <c r="L142" i="13"/>
  <c r="O142" i="13"/>
  <c r="X142" i="13" s="1"/>
  <c r="P142" i="13"/>
  <c r="Q142" i="13"/>
  <c r="R142" i="13"/>
  <c r="S142" i="13"/>
  <c r="T142" i="13"/>
  <c r="U142" i="13"/>
  <c r="V142" i="13"/>
  <c r="W142" i="13"/>
  <c r="Z142" i="13"/>
  <c r="AA142" i="13"/>
  <c r="AB142" i="13"/>
  <c r="AC142" i="13"/>
  <c r="AD142" i="13"/>
  <c r="AE142" i="13"/>
  <c r="AF142" i="13"/>
  <c r="AG142" i="13"/>
  <c r="AH142" i="13"/>
  <c r="AK142" i="13"/>
  <c r="AL142" i="13"/>
  <c r="AM142" i="13"/>
  <c r="AN142" i="13"/>
  <c r="AO142" i="13"/>
  <c r="AP142" i="13"/>
  <c r="AQ142" i="13"/>
  <c r="AR142" i="13"/>
  <c r="AS142" i="13"/>
  <c r="D143" i="13"/>
  <c r="E143" i="13"/>
  <c r="F143" i="13"/>
  <c r="G143" i="13"/>
  <c r="J143" i="13"/>
  <c r="K143" i="13"/>
  <c r="O143" i="13"/>
  <c r="X143" i="13" s="1"/>
  <c r="P143" i="13"/>
  <c r="R143" i="13"/>
  <c r="S143" i="13"/>
  <c r="Y143" i="13" s="1"/>
  <c r="U143" i="13"/>
  <c r="V143" i="13"/>
  <c r="W143" i="13"/>
  <c r="Z143" i="13"/>
  <c r="AA143" i="13"/>
  <c r="AC143" i="13"/>
  <c r="AD143" i="13"/>
  <c r="AF143" i="13"/>
  <c r="AG143" i="13"/>
  <c r="AK143" i="13"/>
  <c r="AL143" i="13"/>
  <c r="AM143" i="13"/>
  <c r="AN143" i="13"/>
  <c r="AO143" i="13"/>
  <c r="AQ143" i="13"/>
  <c r="AR143" i="13"/>
  <c r="AS143" i="13"/>
  <c r="D144" i="13"/>
  <c r="E144" i="13"/>
  <c r="F144" i="13"/>
  <c r="G144" i="13"/>
  <c r="H144" i="13"/>
  <c r="I144" i="13"/>
  <c r="J144" i="13"/>
  <c r="K144" i="13"/>
  <c r="L144" i="13"/>
  <c r="O144" i="13"/>
  <c r="P144" i="13"/>
  <c r="Q144" i="13"/>
  <c r="R144" i="13"/>
  <c r="S144" i="13"/>
  <c r="T144" i="13"/>
  <c r="U144" i="13"/>
  <c r="V144" i="13"/>
  <c r="Z144" i="13"/>
  <c r="AA144" i="13"/>
  <c r="AB144" i="13"/>
  <c r="AC144" i="13"/>
  <c r="AD144" i="13"/>
  <c r="AE144" i="13"/>
  <c r="AF144" i="13"/>
  <c r="AG144" i="13"/>
  <c r="AH144" i="13"/>
  <c r="AK144" i="13"/>
  <c r="AL144" i="13"/>
  <c r="AM144" i="13"/>
  <c r="AN144" i="13"/>
  <c r="AO144" i="13"/>
  <c r="AP144" i="13"/>
  <c r="AQ144" i="13"/>
  <c r="AR144" i="13"/>
  <c r="AS144" i="13"/>
  <c r="D145" i="13"/>
  <c r="E145" i="13"/>
  <c r="G145" i="13"/>
  <c r="M145" i="13" s="1"/>
  <c r="H145" i="13"/>
  <c r="I145" i="13"/>
  <c r="J145" i="13"/>
  <c r="K145" i="13"/>
  <c r="L145" i="13"/>
  <c r="O145" i="13"/>
  <c r="X145" i="13" s="1"/>
  <c r="P145" i="13"/>
  <c r="Q145" i="13"/>
  <c r="R145" i="13"/>
  <c r="S145" i="13"/>
  <c r="Y145" i="13" s="1"/>
  <c r="T145" i="13"/>
  <c r="U145" i="13"/>
  <c r="V145" i="13"/>
  <c r="W145" i="13"/>
  <c r="Z145" i="13"/>
  <c r="AA145" i="13"/>
  <c r="AB145" i="13"/>
  <c r="AC145" i="13"/>
  <c r="AD145" i="13"/>
  <c r="AE145" i="13"/>
  <c r="AF145" i="13"/>
  <c r="AG145" i="13"/>
  <c r="AK145" i="13"/>
  <c r="AL145" i="13"/>
  <c r="AM145" i="13"/>
  <c r="AN145" i="13"/>
  <c r="AO145" i="13"/>
  <c r="AP145" i="13"/>
  <c r="AQ145" i="13"/>
  <c r="AR145" i="13"/>
  <c r="AS145" i="13"/>
  <c r="AW145" i="13"/>
  <c r="D146" i="13"/>
  <c r="E146" i="13"/>
  <c r="F146" i="13"/>
  <c r="G146" i="13"/>
  <c r="M146" i="13" s="1"/>
  <c r="H146" i="13"/>
  <c r="I146" i="13"/>
  <c r="J146" i="13"/>
  <c r="K146" i="13"/>
  <c r="O146" i="13"/>
  <c r="X146" i="13" s="1"/>
  <c r="P146" i="13"/>
  <c r="Q146" i="13"/>
  <c r="R146" i="13"/>
  <c r="S146" i="13"/>
  <c r="U146" i="13"/>
  <c r="V146" i="13"/>
  <c r="W146" i="13"/>
  <c r="Z146" i="13"/>
  <c r="AA146" i="13"/>
  <c r="AC146" i="13"/>
  <c r="AD146" i="13"/>
  <c r="AE146" i="13"/>
  <c r="AF146" i="13"/>
  <c r="AG146" i="13"/>
  <c r="AH146" i="13"/>
  <c r="AK146" i="13"/>
  <c r="AL146" i="13"/>
  <c r="AM146" i="13"/>
  <c r="AN146" i="13"/>
  <c r="AO146" i="13"/>
  <c r="AP146" i="13"/>
  <c r="AQ146" i="13"/>
  <c r="AR146" i="13"/>
  <c r="AS146" i="13"/>
  <c r="D147" i="13"/>
  <c r="E147" i="13"/>
  <c r="F147" i="13"/>
  <c r="G147" i="13"/>
  <c r="H147" i="13"/>
  <c r="I147" i="13"/>
  <c r="J147" i="13"/>
  <c r="K147" i="13"/>
  <c r="L147" i="13"/>
  <c r="O147" i="13"/>
  <c r="X147" i="13" s="1"/>
  <c r="P147" i="13"/>
  <c r="Q147" i="13"/>
  <c r="R147" i="13"/>
  <c r="S147" i="13"/>
  <c r="T147" i="13"/>
  <c r="U147" i="13"/>
  <c r="V147" i="13"/>
  <c r="W147" i="13"/>
  <c r="Z147" i="13"/>
  <c r="AA147" i="13"/>
  <c r="AB147" i="13"/>
  <c r="AC147" i="13"/>
  <c r="AD147" i="13"/>
  <c r="AE147" i="13"/>
  <c r="AF147" i="13"/>
  <c r="AG147" i="13"/>
  <c r="AH147" i="13"/>
  <c r="AK147" i="13"/>
  <c r="AL147" i="13"/>
  <c r="AM147" i="13"/>
  <c r="AN147" i="13"/>
  <c r="AO147" i="13"/>
  <c r="AP147" i="13"/>
  <c r="AQ147" i="13"/>
  <c r="AR147" i="13"/>
  <c r="AS147" i="13"/>
  <c r="D148" i="13"/>
  <c r="E148" i="13"/>
  <c r="F148" i="13"/>
  <c r="G148" i="13"/>
  <c r="H148" i="13"/>
  <c r="I148" i="13"/>
  <c r="J148" i="13"/>
  <c r="K148" i="13"/>
  <c r="L148" i="13"/>
  <c r="O148" i="13"/>
  <c r="X148" i="13" s="1"/>
  <c r="P148" i="13"/>
  <c r="Q148" i="13"/>
  <c r="R148" i="13"/>
  <c r="S148" i="13"/>
  <c r="T148" i="13"/>
  <c r="U148" i="13"/>
  <c r="V148" i="13"/>
  <c r="W148" i="13"/>
  <c r="Y148" i="13"/>
  <c r="Z148" i="13"/>
  <c r="AA148" i="13"/>
  <c r="AB148" i="13"/>
  <c r="AC148" i="13"/>
  <c r="AD148" i="13"/>
  <c r="AE148" i="13"/>
  <c r="AF148" i="13"/>
  <c r="AG148" i="13"/>
  <c r="AW148" i="13" s="1"/>
  <c r="AH148" i="13"/>
  <c r="AK148" i="13"/>
  <c r="AL148" i="13"/>
  <c r="AM148" i="13"/>
  <c r="AN148" i="13"/>
  <c r="AO148" i="13"/>
  <c r="AP148" i="13"/>
  <c r="AQ148" i="13"/>
  <c r="AV148" i="13" s="1"/>
  <c r="AR148" i="13"/>
  <c r="AS148" i="13"/>
  <c r="AY148" i="13"/>
  <c r="D149" i="13"/>
  <c r="E149" i="13"/>
  <c r="F149" i="13"/>
  <c r="G149" i="13"/>
  <c r="M149" i="13" s="1"/>
  <c r="H149" i="13"/>
  <c r="I149" i="13"/>
  <c r="J149" i="13"/>
  <c r="K149" i="13"/>
  <c r="L149" i="13"/>
  <c r="O149" i="13"/>
  <c r="X149" i="13" s="1"/>
  <c r="P149" i="13"/>
  <c r="Q149" i="13"/>
  <c r="R149" i="13"/>
  <c r="S149" i="13"/>
  <c r="T149" i="13"/>
  <c r="U149" i="13"/>
  <c r="V149" i="13"/>
  <c r="W149" i="13"/>
  <c r="Y149" i="13"/>
  <c r="Z149" i="13"/>
  <c r="AA149" i="13"/>
  <c r="AC149" i="13"/>
  <c r="AD149" i="13"/>
  <c r="AE149" i="13"/>
  <c r="AF149" i="13"/>
  <c r="AG149" i="13"/>
  <c r="AK149" i="13"/>
  <c r="AL149" i="13"/>
  <c r="AM149" i="13"/>
  <c r="AN149" i="13"/>
  <c r="AO149" i="13"/>
  <c r="AP149" i="13"/>
  <c r="AQ149" i="13"/>
  <c r="AR149" i="13"/>
  <c r="AS149" i="13"/>
  <c r="D150" i="13"/>
  <c r="E150" i="13"/>
  <c r="F150" i="13"/>
  <c r="G150" i="13"/>
  <c r="H150" i="13"/>
  <c r="I150" i="13"/>
  <c r="J150" i="13"/>
  <c r="K150" i="13"/>
  <c r="L150" i="13"/>
  <c r="O150" i="13"/>
  <c r="X150" i="13" s="1"/>
  <c r="P150" i="13"/>
  <c r="Q150" i="13"/>
  <c r="R150" i="13"/>
  <c r="S150" i="13"/>
  <c r="Y150" i="13" s="1"/>
  <c r="T150" i="13"/>
  <c r="U150" i="13"/>
  <c r="V150" i="13"/>
  <c r="W150" i="13"/>
  <c r="Z150" i="13"/>
  <c r="AA150" i="13"/>
  <c r="AC150" i="13"/>
  <c r="AD150" i="13"/>
  <c r="AE150" i="13"/>
  <c r="AF150" i="13"/>
  <c r="AG150" i="13"/>
  <c r="AK150" i="13"/>
  <c r="AL150" i="13"/>
  <c r="AN150" i="13"/>
  <c r="AO150" i="13"/>
  <c r="AP150" i="13"/>
  <c r="AQ150" i="13"/>
  <c r="AR150" i="13"/>
  <c r="D151" i="13"/>
  <c r="E151" i="13"/>
  <c r="N151" i="13" s="1"/>
  <c r="F151" i="13"/>
  <c r="G151" i="13"/>
  <c r="H151" i="13"/>
  <c r="I151" i="13"/>
  <c r="J151" i="13"/>
  <c r="M151" i="13" s="1"/>
  <c r="K151" i="13"/>
  <c r="O151" i="13"/>
  <c r="P151" i="13"/>
  <c r="R151" i="13"/>
  <c r="S151" i="13"/>
  <c r="U151" i="13"/>
  <c r="V151" i="13"/>
  <c r="W151" i="13"/>
  <c r="Z151" i="13"/>
  <c r="AA151" i="13"/>
  <c r="AB151" i="13"/>
  <c r="AC151" i="13"/>
  <c r="AD151" i="13"/>
  <c r="AE151" i="13"/>
  <c r="AF151" i="13"/>
  <c r="AG151" i="13"/>
  <c r="AK151" i="13"/>
  <c r="AL151" i="13"/>
  <c r="AN151" i="13"/>
  <c r="AO151" i="13"/>
  <c r="AP151" i="13"/>
  <c r="AQ151" i="13"/>
  <c r="AR151" i="13"/>
  <c r="AS151" i="13"/>
  <c r="D152" i="13"/>
  <c r="E152" i="13"/>
  <c r="N152" i="13" s="1"/>
  <c r="F152" i="13"/>
  <c r="G152" i="13"/>
  <c r="H152" i="13"/>
  <c r="I152" i="13"/>
  <c r="J152" i="13"/>
  <c r="M152" i="13" s="1"/>
  <c r="K152" i="13"/>
  <c r="L152" i="13"/>
  <c r="O152" i="13"/>
  <c r="X152" i="13" s="1"/>
  <c r="P152" i="13"/>
  <c r="Q152" i="13"/>
  <c r="R152" i="13"/>
  <c r="S152" i="13"/>
  <c r="T152" i="13"/>
  <c r="U152" i="13"/>
  <c r="V152" i="13"/>
  <c r="W152" i="13"/>
  <c r="Z152" i="13"/>
  <c r="AA152" i="13"/>
  <c r="AB152" i="13"/>
  <c r="AC152" i="13"/>
  <c r="AD152" i="13"/>
  <c r="AE152" i="13"/>
  <c r="AF152" i="13"/>
  <c r="AG152" i="13"/>
  <c r="AH152" i="13"/>
  <c r="AK152" i="13"/>
  <c r="AL152" i="13"/>
  <c r="AM152" i="13"/>
  <c r="AN152" i="13"/>
  <c r="AO152" i="13"/>
  <c r="AP152" i="13"/>
  <c r="AQ152" i="13"/>
  <c r="AR152" i="13"/>
  <c r="AS152" i="13"/>
  <c r="D153" i="13"/>
  <c r="M153" i="13" s="1"/>
  <c r="E153" i="13"/>
  <c r="G153" i="13"/>
  <c r="H153" i="13"/>
  <c r="I153" i="13"/>
  <c r="J153" i="13"/>
  <c r="K153" i="13"/>
  <c r="O153" i="13"/>
  <c r="P153" i="13"/>
  <c r="Q153" i="13"/>
  <c r="S153" i="13"/>
  <c r="V153" i="13"/>
  <c r="Z153" i="13"/>
  <c r="AA153" i="13"/>
  <c r="AD153" i="13"/>
  <c r="AF153" i="13"/>
  <c r="AG153" i="13"/>
  <c r="AK153" i="13"/>
  <c r="AL153" i="13"/>
  <c r="AM153" i="13"/>
  <c r="AN153" i="13"/>
  <c r="AO153" i="13"/>
  <c r="AR153" i="13"/>
  <c r="D154" i="13"/>
  <c r="M154" i="13" s="1"/>
  <c r="E154" i="13"/>
  <c r="F154" i="13"/>
  <c r="G154" i="13"/>
  <c r="H154" i="13"/>
  <c r="I154" i="13"/>
  <c r="J154" i="13"/>
  <c r="K154" i="13"/>
  <c r="L154" i="13"/>
  <c r="N154" i="13"/>
  <c r="O154" i="13"/>
  <c r="X154" i="13" s="1"/>
  <c r="P154" i="13"/>
  <c r="Q154" i="13"/>
  <c r="R154" i="13"/>
  <c r="S154" i="13"/>
  <c r="T154" i="13"/>
  <c r="U154" i="13"/>
  <c r="V154" i="13"/>
  <c r="W154" i="13"/>
  <c r="Z154" i="13"/>
  <c r="AA154" i="13"/>
  <c r="AB154" i="13"/>
  <c r="AC154" i="13"/>
  <c r="AD154" i="13"/>
  <c r="AE154" i="13"/>
  <c r="AF154" i="13"/>
  <c r="AG154" i="13"/>
  <c r="AH154" i="13"/>
  <c r="AK154" i="13"/>
  <c r="AL154" i="13"/>
  <c r="AM154" i="13"/>
  <c r="AN154" i="13"/>
  <c r="AV154" i="13" s="1"/>
  <c r="AO154" i="13"/>
  <c r="AP154" i="13"/>
  <c r="AQ154" i="13"/>
  <c r="AR154" i="13"/>
  <c r="AS154" i="13"/>
  <c r="D155" i="13"/>
  <c r="E155" i="13"/>
  <c r="F155" i="13"/>
  <c r="G155" i="13"/>
  <c r="H155" i="13"/>
  <c r="I155" i="13"/>
  <c r="J155" i="13"/>
  <c r="K155" i="13"/>
  <c r="L155" i="13"/>
  <c r="N155" i="13"/>
  <c r="O155" i="13"/>
  <c r="X155" i="13" s="1"/>
  <c r="P155" i="13"/>
  <c r="Q155" i="13"/>
  <c r="R155" i="13"/>
  <c r="S155" i="13"/>
  <c r="T155" i="13"/>
  <c r="U155" i="13"/>
  <c r="V155" i="13"/>
  <c r="W155" i="13"/>
  <c r="Z155" i="13"/>
  <c r="AA155" i="13"/>
  <c r="AB155" i="13"/>
  <c r="AC155" i="13"/>
  <c r="AD155" i="13"/>
  <c r="AE155" i="13"/>
  <c r="AF155" i="13"/>
  <c r="AG155" i="13"/>
  <c r="AH155" i="13"/>
  <c r="AK155" i="13"/>
  <c r="AL155" i="13"/>
  <c r="AM155" i="13"/>
  <c r="AN155" i="13"/>
  <c r="AO155" i="13"/>
  <c r="AP155" i="13"/>
  <c r="AY155" i="13" s="1"/>
  <c r="AQ155" i="13"/>
  <c r="AR155" i="13"/>
  <c r="AS155" i="13"/>
  <c r="AV155" i="13"/>
  <c r="D156" i="13"/>
  <c r="E156" i="13"/>
  <c r="F156" i="13"/>
  <c r="G156" i="13"/>
  <c r="H156" i="13"/>
  <c r="I156" i="13"/>
  <c r="J156" i="13"/>
  <c r="K156" i="13"/>
  <c r="L156" i="13"/>
  <c r="O156" i="13"/>
  <c r="P156" i="13"/>
  <c r="Y156" i="13" s="1"/>
  <c r="Q156" i="13"/>
  <c r="R156" i="13"/>
  <c r="S156" i="13"/>
  <c r="T156" i="13"/>
  <c r="U156" i="13"/>
  <c r="V156" i="13"/>
  <c r="W156" i="13"/>
  <c r="X156" i="13"/>
  <c r="Z156" i="13"/>
  <c r="AA156" i="13"/>
  <c r="AB156" i="13"/>
  <c r="AC156" i="13"/>
  <c r="AD156" i="13"/>
  <c r="AE156" i="13"/>
  <c r="AF156" i="13"/>
  <c r="AG156" i="13"/>
  <c r="AH156" i="13"/>
  <c r="AK156" i="13"/>
  <c r="AL156" i="13"/>
  <c r="AM156" i="13"/>
  <c r="AN156" i="13"/>
  <c r="AO156" i="13"/>
  <c r="AP156" i="13"/>
  <c r="AQ156" i="13"/>
  <c r="AR156" i="13"/>
  <c r="AS156" i="13"/>
  <c r="D157" i="13"/>
  <c r="M157" i="13" s="1"/>
  <c r="E157" i="13"/>
  <c r="F157" i="13"/>
  <c r="G157" i="13"/>
  <c r="H157" i="13"/>
  <c r="N157" i="13" s="1"/>
  <c r="I157" i="13"/>
  <c r="J157" i="13"/>
  <c r="K157" i="13"/>
  <c r="L157" i="13"/>
  <c r="O157" i="13"/>
  <c r="P157" i="13"/>
  <c r="Y157" i="13" s="1"/>
  <c r="Q157" i="13"/>
  <c r="R157" i="13"/>
  <c r="S157" i="13"/>
  <c r="T157" i="13"/>
  <c r="U157" i="13"/>
  <c r="X157" i="13" s="1"/>
  <c r="V157" i="13"/>
  <c r="W157" i="13"/>
  <c r="Z157" i="13"/>
  <c r="AA157" i="13"/>
  <c r="AB157" i="13"/>
  <c r="AC157" i="13"/>
  <c r="AD157" i="13"/>
  <c r="AE157" i="13"/>
  <c r="AF157" i="13"/>
  <c r="AG157" i="13"/>
  <c r="AH157" i="13"/>
  <c r="AK157" i="13"/>
  <c r="AL157" i="13"/>
  <c r="AM157" i="13"/>
  <c r="AN157" i="13"/>
  <c r="AO157" i="13"/>
  <c r="AP157" i="13"/>
  <c r="AQ157" i="13"/>
  <c r="AR157" i="13"/>
  <c r="AW157" i="13" s="1"/>
  <c r="AS157" i="13"/>
  <c r="D158" i="13"/>
  <c r="M158" i="13" s="1"/>
  <c r="E158" i="13"/>
  <c r="F158" i="13"/>
  <c r="G158" i="13"/>
  <c r="H158" i="13"/>
  <c r="I158" i="13"/>
  <c r="J158" i="13"/>
  <c r="K158" i="13"/>
  <c r="L158" i="13"/>
  <c r="N158" i="13"/>
  <c r="O158" i="13"/>
  <c r="X158" i="13" s="1"/>
  <c r="P158" i="13"/>
  <c r="Q158" i="13"/>
  <c r="R158" i="13"/>
  <c r="S158" i="13"/>
  <c r="T158" i="13"/>
  <c r="U158" i="13"/>
  <c r="V158" i="13"/>
  <c r="W158" i="13"/>
  <c r="Z158" i="13"/>
  <c r="AA158" i="13"/>
  <c r="AB158" i="13"/>
  <c r="AC158" i="13"/>
  <c r="AD158" i="13"/>
  <c r="AE158" i="13"/>
  <c r="AF158" i="13"/>
  <c r="AG158" i="13"/>
  <c r="AH158" i="13"/>
  <c r="AK158" i="13"/>
  <c r="AL158" i="13"/>
  <c r="AM158" i="13"/>
  <c r="AN158" i="13"/>
  <c r="AV158" i="13" s="1"/>
  <c r="AO158" i="13"/>
  <c r="AP158" i="13"/>
  <c r="AQ158" i="13"/>
  <c r="AR158" i="13"/>
  <c r="AS158" i="13"/>
  <c r="D159" i="13"/>
  <c r="E159" i="13"/>
  <c r="F159" i="13"/>
  <c r="G159" i="13"/>
  <c r="H159" i="13"/>
  <c r="I159" i="13"/>
  <c r="J159" i="13"/>
  <c r="K159" i="13"/>
  <c r="L159" i="13"/>
  <c r="N159" i="13"/>
  <c r="O159" i="13"/>
  <c r="X159" i="13" s="1"/>
  <c r="P159" i="13"/>
  <c r="Q159" i="13"/>
  <c r="R159" i="13"/>
  <c r="S159" i="13"/>
  <c r="T159" i="13"/>
  <c r="U159" i="13"/>
  <c r="V159" i="13"/>
  <c r="W159" i="13"/>
  <c r="Z159" i="13"/>
  <c r="AA159" i="13"/>
  <c r="AB159" i="13"/>
  <c r="AC159" i="13"/>
  <c r="AD159" i="13"/>
  <c r="AE159" i="13"/>
  <c r="AF159" i="13"/>
  <c r="AG159" i="13"/>
  <c r="AH159" i="13"/>
  <c r="AK159" i="13"/>
  <c r="AL159" i="13"/>
  <c r="AM159" i="13"/>
  <c r="AN159" i="13"/>
  <c r="AO159" i="13"/>
  <c r="AP159" i="13"/>
  <c r="AY159" i="13" s="1"/>
  <c r="AQ159" i="13"/>
  <c r="AR159" i="13"/>
  <c r="AS159" i="13"/>
  <c r="AV159" i="13"/>
  <c r="D160" i="13"/>
  <c r="E160" i="13"/>
  <c r="F160" i="13"/>
  <c r="G160" i="13"/>
  <c r="H160" i="13"/>
  <c r="I160" i="13"/>
  <c r="J160" i="13"/>
  <c r="K160" i="13"/>
  <c r="L160" i="13"/>
  <c r="O160" i="13"/>
  <c r="P160" i="13"/>
  <c r="Y160" i="13" s="1"/>
  <c r="Q160" i="13"/>
  <c r="R160" i="13"/>
  <c r="S160" i="13"/>
  <c r="T160" i="13"/>
  <c r="U160" i="13"/>
  <c r="V160" i="13"/>
  <c r="W160" i="13"/>
  <c r="X160" i="13"/>
  <c r="Z160" i="13"/>
  <c r="AA160" i="13"/>
  <c r="AB160" i="13"/>
  <c r="AC160" i="13"/>
  <c r="AD160" i="13"/>
  <c r="AF160" i="13"/>
  <c r="AG160" i="13"/>
  <c r="AH160" i="13"/>
  <c r="AK160" i="13"/>
  <c r="AL160" i="13"/>
  <c r="AM160" i="13"/>
  <c r="AN160" i="13"/>
  <c r="AO160" i="13"/>
  <c r="AP160" i="13"/>
  <c r="AQ160" i="13"/>
  <c r="AR160" i="13"/>
  <c r="AS160" i="13"/>
  <c r="D161" i="13"/>
  <c r="M161" i="13" s="1"/>
  <c r="E161" i="13"/>
  <c r="G161" i="13"/>
  <c r="H161" i="13"/>
  <c r="I161" i="13"/>
  <c r="J161" i="13"/>
  <c r="K161" i="13"/>
  <c r="L161" i="13"/>
  <c r="N161" i="13"/>
  <c r="O161" i="13"/>
  <c r="P161" i="13"/>
  <c r="Q161" i="13"/>
  <c r="R161" i="13"/>
  <c r="S161" i="13"/>
  <c r="T161" i="13"/>
  <c r="U161" i="13"/>
  <c r="V161" i="13"/>
  <c r="W161" i="13"/>
  <c r="Z161" i="13"/>
  <c r="AA161" i="13"/>
  <c r="AB161" i="13"/>
  <c r="AC161" i="13"/>
  <c r="AD161" i="13"/>
  <c r="AE161" i="13"/>
  <c r="AF161" i="13"/>
  <c r="AG161" i="13"/>
  <c r="AK161" i="13"/>
  <c r="AL161" i="13"/>
  <c r="AM161" i="13"/>
  <c r="AN161" i="13"/>
  <c r="AO161" i="13"/>
  <c r="AQ161" i="13"/>
  <c r="AR161" i="13"/>
  <c r="AS161" i="13"/>
  <c r="D162" i="13"/>
  <c r="E162" i="13"/>
  <c r="F162" i="13"/>
  <c r="G162" i="13"/>
  <c r="H162" i="13"/>
  <c r="I162" i="13"/>
  <c r="J162" i="13"/>
  <c r="K162" i="13"/>
  <c r="L162" i="13"/>
  <c r="N162" i="13"/>
  <c r="O162" i="13"/>
  <c r="X162" i="13" s="1"/>
  <c r="P162" i="13"/>
  <c r="Q162" i="13"/>
  <c r="R162" i="13"/>
  <c r="S162" i="13"/>
  <c r="T162" i="13"/>
  <c r="U162" i="13"/>
  <c r="V162" i="13"/>
  <c r="W162" i="13"/>
  <c r="Z162" i="13"/>
  <c r="AA162" i="13"/>
  <c r="AB162" i="13"/>
  <c r="AC162" i="13"/>
  <c r="AD162" i="13"/>
  <c r="AE162" i="13"/>
  <c r="AF162" i="13"/>
  <c r="AG162" i="13"/>
  <c r="AH162" i="13"/>
  <c r="AK162" i="13"/>
  <c r="AL162" i="13"/>
  <c r="AM162" i="13"/>
  <c r="AN162" i="13"/>
  <c r="AO162" i="13"/>
  <c r="AP162" i="13"/>
  <c r="AY162" i="13" s="1"/>
  <c r="AQ162" i="13"/>
  <c r="AR162" i="13"/>
  <c r="AS162" i="13"/>
  <c r="AV162" i="13"/>
  <c r="D163" i="13"/>
  <c r="E163" i="13"/>
  <c r="F163" i="13"/>
  <c r="G163" i="13"/>
  <c r="H163" i="13"/>
  <c r="N163" i="13" s="1"/>
  <c r="J163" i="13"/>
  <c r="K163" i="13"/>
  <c r="L163" i="13"/>
  <c r="O163" i="13"/>
  <c r="P163" i="13"/>
  <c r="Y163" i="13" s="1"/>
  <c r="Q163" i="13"/>
  <c r="R163" i="13"/>
  <c r="S163" i="13"/>
  <c r="U163" i="13"/>
  <c r="V163" i="13"/>
  <c r="W163" i="13"/>
  <c r="X163" i="13"/>
  <c r="Z163" i="13"/>
  <c r="AA163" i="13"/>
  <c r="AB163" i="13"/>
  <c r="AC163" i="13"/>
  <c r="AD163" i="13"/>
  <c r="AF163" i="13"/>
  <c r="AG163" i="13"/>
  <c r="AH163" i="13"/>
  <c r="AK163" i="13"/>
  <c r="AL163" i="13"/>
  <c r="AM163" i="13"/>
  <c r="AN163" i="13"/>
  <c r="AO163" i="13"/>
  <c r="AQ163" i="13"/>
  <c r="AR163" i="13"/>
  <c r="AS163" i="13"/>
  <c r="D164" i="13"/>
  <c r="M164" i="13" s="1"/>
  <c r="E164" i="13"/>
  <c r="F164" i="13"/>
  <c r="G164" i="13"/>
  <c r="H164" i="13"/>
  <c r="N164" i="13" s="1"/>
  <c r="I164" i="13"/>
  <c r="J164" i="13"/>
  <c r="K164" i="13"/>
  <c r="L164" i="13"/>
  <c r="O164" i="13"/>
  <c r="P164" i="13"/>
  <c r="Y164" i="13" s="1"/>
  <c r="Q164" i="13"/>
  <c r="R164" i="13"/>
  <c r="S164" i="13"/>
  <c r="T164" i="13"/>
  <c r="U164" i="13"/>
  <c r="X164" i="13" s="1"/>
  <c r="V164" i="13"/>
  <c r="Z164" i="13"/>
  <c r="AA164" i="13"/>
  <c r="AB164" i="13"/>
  <c r="AC164" i="13"/>
  <c r="AD164" i="13"/>
  <c r="AE164" i="13"/>
  <c r="AF164" i="13"/>
  <c r="AG164" i="13"/>
  <c r="AH164" i="13"/>
  <c r="AK164" i="13"/>
  <c r="AL164" i="13"/>
  <c r="AM164" i="13"/>
  <c r="AN164" i="13"/>
  <c r="AO164" i="13"/>
  <c r="AP164" i="13"/>
  <c r="AQ164" i="13"/>
  <c r="AR164" i="13"/>
  <c r="AW164" i="13" s="1"/>
  <c r="AS164" i="13"/>
  <c r="D165" i="13"/>
  <c r="M165" i="13" s="1"/>
  <c r="E165" i="13"/>
  <c r="F165" i="13"/>
  <c r="G165" i="13"/>
  <c r="H165" i="13"/>
  <c r="I165" i="13"/>
  <c r="J165" i="13"/>
  <c r="K165" i="13"/>
  <c r="L165" i="13"/>
  <c r="N165" i="13"/>
  <c r="O165" i="13"/>
  <c r="X165" i="13" s="1"/>
  <c r="P165" i="13"/>
  <c r="Q165" i="13"/>
  <c r="R165" i="13"/>
  <c r="S165" i="13"/>
  <c r="T165" i="13"/>
  <c r="U165" i="13"/>
  <c r="V165" i="13"/>
  <c r="W165" i="13"/>
  <c r="Z165" i="13"/>
  <c r="AA165" i="13"/>
  <c r="AB165" i="13"/>
  <c r="AC165" i="13"/>
  <c r="AD165" i="13"/>
  <c r="AE165" i="13"/>
  <c r="AF165" i="13"/>
  <c r="AG165" i="13"/>
  <c r="AH165" i="13"/>
  <c r="AK165" i="13"/>
  <c r="AL165" i="13"/>
  <c r="AM165" i="13"/>
  <c r="AN165" i="13"/>
  <c r="AV165" i="13" s="1"/>
  <c r="AO165" i="13"/>
  <c r="AP165" i="13"/>
  <c r="AQ165" i="13"/>
  <c r="AR165" i="13"/>
  <c r="AS165" i="13"/>
  <c r="D166" i="13"/>
  <c r="E166" i="13"/>
  <c r="F166" i="13"/>
  <c r="G166" i="13"/>
  <c r="H166" i="13"/>
  <c r="I166" i="13"/>
  <c r="J166" i="13"/>
  <c r="K166" i="13"/>
  <c r="L166" i="13"/>
  <c r="N166" i="13"/>
  <c r="O166" i="13"/>
  <c r="X166" i="13" s="1"/>
  <c r="P166" i="13"/>
  <c r="Q166" i="13"/>
  <c r="R166" i="13"/>
  <c r="S166" i="13"/>
  <c r="T166" i="13"/>
  <c r="U166" i="13"/>
  <c r="V166" i="13"/>
  <c r="W166" i="13"/>
  <c r="Z166" i="13"/>
  <c r="AA166" i="13"/>
  <c r="AB166" i="13"/>
  <c r="AC166" i="13"/>
  <c r="AD166" i="13"/>
  <c r="AE166" i="13"/>
  <c r="AF166" i="13"/>
  <c r="AG166" i="13"/>
  <c r="AH166" i="13"/>
  <c r="AK166" i="13"/>
  <c r="AL166" i="13"/>
  <c r="AM166" i="13"/>
  <c r="AN166" i="13"/>
  <c r="AO166" i="13"/>
  <c r="AP166" i="13"/>
  <c r="AY166" i="13" s="1"/>
  <c r="AQ166" i="13"/>
  <c r="AR166" i="13"/>
  <c r="AS166" i="13"/>
  <c r="AV166" i="13"/>
  <c r="D167" i="13"/>
  <c r="E167" i="13"/>
  <c r="F167" i="13"/>
  <c r="G167" i="13"/>
  <c r="H167" i="13"/>
  <c r="I167" i="13"/>
  <c r="J167" i="13"/>
  <c r="K167" i="13"/>
  <c r="L167" i="13"/>
  <c r="O167" i="13"/>
  <c r="P167" i="13"/>
  <c r="Y167" i="13" s="1"/>
  <c r="S167" i="13"/>
  <c r="V167" i="13"/>
  <c r="Z167" i="13"/>
  <c r="AA167" i="13"/>
  <c r="AC167" i="13"/>
  <c r="AD167" i="13"/>
  <c r="AE167" i="13"/>
  <c r="AF167" i="13"/>
  <c r="AG167" i="13"/>
  <c r="AK167" i="13"/>
  <c r="AL167" i="13"/>
  <c r="AM167" i="13"/>
  <c r="AN167" i="13"/>
  <c r="AO167" i="13"/>
  <c r="AR167" i="13"/>
  <c r="D168" i="13"/>
  <c r="E168" i="13"/>
  <c r="F168" i="13"/>
  <c r="G168" i="13"/>
  <c r="H168" i="13"/>
  <c r="I168" i="13"/>
  <c r="J168" i="13"/>
  <c r="M168" i="13" s="1"/>
  <c r="K168" i="13"/>
  <c r="L168" i="13"/>
  <c r="O168" i="13"/>
  <c r="P168" i="13"/>
  <c r="Q168" i="13"/>
  <c r="R168" i="13"/>
  <c r="S168" i="13"/>
  <c r="Y168" i="13" s="1"/>
  <c r="T168" i="13"/>
  <c r="U168" i="13"/>
  <c r="V168" i="13"/>
  <c r="W168" i="13"/>
  <c r="Z168" i="13"/>
  <c r="AA168" i="13"/>
  <c r="AB168" i="13"/>
  <c r="AC168" i="13"/>
  <c r="AD168" i="13"/>
  <c r="AE168" i="13"/>
  <c r="AF168" i="13"/>
  <c r="AG168" i="13"/>
  <c r="AH168" i="13"/>
  <c r="AK168" i="13"/>
  <c r="AL168" i="13"/>
  <c r="AM168" i="13"/>
  <c r="AN168" i="13"/>
  <c r="AO168" i="13"/>
  <c r="AP168" i="13"/>
  <c r="AQ168" i="13"/>
  <c r="AR168" i="13"/>
  <c r="AS168" i="13"/>
  <c r="D169" i="13"/>
  <c r="M169" i="13" s="1"/>
  <c r="E169" i="13"/>
  <c r="F169" i="13"/>
  <c r="G169" i="13"/>
  <c r="H169" i="13"/>
  <c r="I169" i="13"/>
  <c r="J169" i="13"/>
  <c r="K169" i="13"/>
  <c r="L169" i="13"/>
  <c r="O169" i="13"/>
  <c r="P169" i="13"/>
  <c r="Q169" i="13"/>
  <c r="R169" i="13"/>
  <c r="S169" i="13"/>
  <c r="T169" i="13"/>
  <c r="U169" i="13"/>
  <c r="V169" i="13"/>
  <c r="W169" i="13"/>
  <c r="Y169" i="13"/>
  <c r="Z169" i="13"/>
  <c r="AA169" i="13"/>
  <c r="AB169" i="13"/>
  <c r="AC169" i="13"/>
  <c r="AD169" i="13"/>
  <c r="AE169" i="13"/>
  <c r="AF169" i="13"/>
  <c r="AG169" i="13"/>
  <c r="AH169" i="13"/>
  <c r="AK169" i="13"/>
  <c r="AL169" i="13"/>
  <c r="AM169" i="13"/>
  <c r="AY169" i="13" s="1"/>
  <c r="AN169" i="13"/>
  <c r="AO169" i="13"/>
  <c r="AP169" i="13"/>
  <c r="AQ169" i="13"/>
  <c r="AV169" i="13" s="1"/>
  <c r="AR169" i="13"/>
  <c r="AS169" i="13"/>
  <c r="D170" i="13"/>
  <c r="E170" i="13"/>
  <c r="F170" i="13"/>
  <c r="G170" i="13"/>
  <c r="H170" i="13"/>
  <c r="I170" i="13"/>
  <c r="J170" i="13"/>
  <c r="K170" i="13"/>
  <c r="L170" i="13"/>
  <c r="O170" i="13"/>
  <c r="P170" i="13"/>
  <c r="Q170" i="13"/>
  <c r="R170" i="13"/>
  <c r="S170" i="13"/>
  <c r="U170" i="13"/>
  <c r="V170" i="13"/>
  <c r="W170" i="13"/>
  <c r="Y170" i="13"/>
  <c r="Z170" i="13"/>
  <c r="AA170" i="13"/>
  <c r="AB170" i="13"/>
  <c r="AC170" i="13"/>
  <c r="AD170" i="13"/>
  <c r="AE170" i="13"/>
  <c r="AF170" i="13"/>
  <c r="AG170" i="13"/>
  <c r="AH170" i="13"/>
  <c r="AK170" i="13"/>
  <c r="AL170" i="13"/>
  <c r="AM170" i="13"/>
  <c r="AN170" i="13"/>
  <c r="AO170" i="13"/>
  <c r="AQ170" i="13"/>
  <c r="AR170" i="13"/>
  <c r="AS170" i="13"/>
  <c r="D171" i="13"/>
  <c r="E171" i="13"/>
  <c r="F171" i="13"/>
  <c r="G171" i="13"/>
  <c r="H171" i="13"/>
  <c r="I171" i="13"/>
  <c r="J171" i="13"/>
  <c r="K171" i="13"/>
  <c r="L171" i="13"/>
  <c r="M171" i="13"/>
  <c r="O171" i="13"/>
  <c r="P171" i="13"/>
  <c r="Q171" i="13"/>
  <c r="R171" i="13"/>
  <c r="S171" i="13"/>
  <c r="T171" i="13"/>
  <c r="U171" i="13"/>
  <c r="V171" i="13"/>
  <c r="W171" i="13"/>
  <c r="Z171" i="13"/>
  <c r="AA171" i="13"/>
  <c r="AB171" i="13"/>
  <c r="AC171" i="13"/>
  <c r="AD171" i="13"/>
  <c r="AE171" i="13"/>
  <c r="AF171" i="13"/>
  <c r="AG171" i="13"/>
  <c r="AH171" i="13"/>
  <c r="AK171" i="13"/>
  <c r="AL171" i="13"/>
  <c r="AM171" i="13"/>
  <c r="AN171" i="13"/>
  <c r="AO171" i="13"/>
  <c r="AP171" i="13"/>
  <c r="AQ171" i="13"/>
  <c r="AR171" i="13"/>
  <c r="AS171" i="13"/>
  <c r="D172" i="13"/>
  <c r="E172" i="13"/>
  <c r="F172" i="13"/>
  <c r="G172" i="13"/>
  <c r="H172" i="13"/>
  <c r="I172" i="13"/>
  <c r="J172" i="13"/>
  <c r="M172" i="13" s="1"/>
  <c r="K172" i="13"/>
  <c r="L172" i="13"/>
  <c r="O172" i="13"/>
  <c r="P172" i="13"/>
  <c r="Q172" i="13"/>
  <c r="R172" i="13"/>
  <c r="S172" i="13"/>
  <c r="Y172" i="13" s="1"/>
  <c r="T172" i="13"/>
  <c r="U172" i="13"/>
  <c r="V172" i="13"/>
  <c r="W172" i="13"/>
  <c r="Z172" i="13"/>
  <c r="AA172" i="13"/>
  <c r="AB172" i="13"/>
  <c r="AC172" i="13"/>
  <c r="AD172" i="13"/>
  <c r="AE172" i="13"/>
  <c r="AF172" i="13"/>
  <c r="AG172" i="13"/>
  <c r="AH172" i="13"/>
  <c r="AK172" i="13"/>
  <c r="AL172" i="13"/>
  <c r="AM172" i="13"/>
  <c r="AN172" i="13"/>
  <c r="AO172" i="13"/>
  <c r="AP172" i="13"/>
  <c r="AQ172" i="13"/>
  <c r="AR172" i="13"/>
  <c r="AS172" i="13"/>
  <c r="AY172" i="13"/>
  <c r="D173" i="13"/>
  <c r="E173" i="13"/>
  <c r="F173" i="13"/>
  <c r="G173" i="13"/>
  <c r="H173" i="13"/>
  <c r="J173" i="13"/>
  <c r="K173" i="13"/>
  <c r="L173" i="13"/>
  <c r="O173" i="13"/>
  <c r="P173" i="13"/>
  <c r="S173" i="13"/>
  <c r="V173" i="13"/>
  <c r="Y173" i="13"/>
  <c r="Z173" i="13"/>
  <c r="AA173" i="13"/>
  <c r="AC173" i="13"/>
  <c r="AD173" i="13"/>
  <c r="AF173" i="13"/>
  <c r="AG173" i="13"/>
  <c r="AK173" i="13"/>
  <c r="AL173" i="13"/>
  <c r="AM173" i="13"/>
  <c r="AO173" i="13"/>
  <c r="AR173" i="13"/>
  <c r="D174" i="13"/>
  <c r="E174" i="13"/>
  <c r="F174" i="13"/>
  <c r="G174" i="13"/>
  <c r="H174" i="13"/>
  <c r="I174" i="13"/>
  <c r="J174" i="13"/>
  <c r="K174" i="13"/>
  <c r="L174" i="13"/>
  <c r="M174" i="13"/>
  <c r="O174" i="13"/>
  <c r="P174" i="13"/>
  <c r="Q174" i="13"/>
  <c r="R174" i="13"/>
  <c r="S174" i="13"/>
  <c r="T174" i="13"/>
  <c r="U174" i="13"/>
  <c r="V174" i="13"/>
  <c r="W174" i="13"/>
  <c r="Z174" i="13"/>
  <c r="AA174" i="13"/>
  <c r="AC174" i="13"/>
  <c r="AD174" i="13"/>
  <c r="AF174" i="13"/>
  <c r="AG174" i="13"/>
  <c r="AK174" i="13"/>
  <c r="AL174" i="13"/>
  <c r="AM174" i="13"/>
  <c r="AN174" i="13"/>
  <c r="AO174" i="13"/>
  <c r="AP174" i="13"/>
  <c r="AQ174" i="13"/>
  <c r="AR174" i="13"/>
  <c r="AS174" i="13"/>
  <c r="D175" i="13"/>
  <c r="E175" i="13"/>
  <c r="G175" i="13"/>
  <c r="H175" i="13"/>
  <c r="J175" i="13"/>
  <c r="K175" i="13"/>
  <c r="M175" i="13"/>
  <c r="O175" i="13"/>
  <c r="P175" i="13"/>
  <c r="R175" i="13"/>
  <c r="S175" i="13"/>
  <c r="Y175" i="13" s="1"/>
  <c r="U175" i="13"/>
  <c r="V175" i="13"/>
  <c r="Z175" i="13"/>
  <c r="AA175" i="13"/>
  <c r="AB175" i="13"/>
  <c r="AC175" i="13"/>
  <c r="AD175" i="13"/>
  <c r="AE175" i="13"/>
  <c r="AF175" i="13"/>
  <c r="AG175" i="13"/>
  <c r="AH175" i="13"/>
  <c r="AK175" i="13"/>
  <c r="AL175" i="13"/>
  <c r="AM175" i="13"/>
  <c r="AN175" i="13"/>
  <c r="AO175" i="13"/>
  <c r="AP175" i="13"/>
  <c r="AQ175" i="13"/>
  <c r="AV175" i="13" s="1"/>
  <c r="AR175" i="13"/>
  <c r="AS175" i="13"/>
  <c r="D176" i="13"/>
  <c r="M176" i="13" s="1"/>
  <c r="E176" i="13"/>
  <c r="F176" i="13"/>
  <c r="G176" i="13"/>
  <c r="H176" i="13"/>
  <c r="I176" i="13"/>
  <c r="J176" i="13"/>
  <c r="K176" i="13"/>
  <c r="L176" i="13"/>
  <c r="O176" i="13"/>
  <c r="P176" i="13"/>
  <c r="Q176" i="13"/>
  <c r="R176" i="13"/>
  <c r="S176" i="13"/>
  <c r="T176" i="13"/>
  <c r="U176" i="13"/>
  <c r="V176" i="13"/>
  <c r="W176" i="13"/>
  <c r="Y176" i="13"/>
  <c r="Z176" i="13"/>
  <c r="AA176" i="13"/>
  <c r="AB176" i="13"/>
  <c r="AC176" i="13"/>
  <c r="AD176" i="13"/>
  <c r="AE176" i="13"/>
  <c r="AF176" i="13"/>
  <c r="AG176" i="13"/>
  <c r="AH176" i="13"/>
  <c r="AY176" i="13" s="1"/>
  <c r="AK176" i="13"/>
  <c r="AL176" i="13"/>
  <c r="AM176" i="13"/>
  <c r="AN176" i="13"/>
  <c r="AO176" i="13"/>
  <c r="AP176" i="13"/>
  <c r="AQ176" i="13"/>
  <c r="AR176" i="13"/>
  <c r="AW176" i="13" s="1"/>
  <c r="AS176" i="13"/>
  <c r="D177" i="13"/>
  <c r="M177" i="13" s="1"/>
  <c r="E177" i="13"/>
  <c r="F177" i="13"/>
  <c r="G177" i="13"/>
  <c r="H177" i="13"/>
  <c r="I177" i="13"/>
  <c r="J177" i="13"/>
  <c r="K177" i="13"/>
  <c r="L177" i="13"/>
  <c r="O177" i="13"/>
  <c r="P177" i="13"/>
  <c r="Q177" i="13"/>
  <c r="R177" i="13"/>
  <c r="S177" i="13"/>
  <c r="T177" i="13"/>
  <c r="U177" i="13"/>
  <c r="V177" i="13"/>
  <c r="W177" i="13"/>
  <c r="Y177" i="13"/>
  <c r="Z177" i="13"/>
  <c r="AA177" i="13"/>
  <c r="AB177" i="13"/>
  <c r="AC177" i="13"/>
  <c r="AD177" i="13"/>
  <c r="AE177" i="13"/>
  <c r="AF177" i="13"/>
  <c r="AG177" i="13"/>
  <c r="AH177" i="13"/>
  <c r="AY177" i="13" s="1"/>
  <c r="AK177" i="13"/>
  <c r="AL177" i="13"/>
  <c r="AM177" i="13"/>
  <c r="AN177" i="13"/>
  <c r="AO177" i="13"/>
  <c r="AP177" i="13"/>
  <c r="AQ177" i="13"/>
  <c r="AR177" i="13"/>
  <c r="AW177" i="13" s="1"/>
  <c r="AS177" i="13"/>
  <c r="D179" i="13"/>
  <c r="E179" i="13"/>
  <c r="N179" i="13" s="1"/>
  <c r="F179" i="13"/>
  <c r="G179" i="13"/>
  <c r="H179" i="13"/>
  <c r="I179" i="13"/>
  <c r="J179" i="13"/>
  <c r="M179" i="13" s="1"/>
  <c r="K179" i="13"/>
  <c r="L179" i="13"/>
  <c r="O179" i="13"/>
  <c r="X179" i="13" s="1"/>
  <c r="P179" i="13"/>
  <c r="Q179" i="13"/>
  <c r="R179" i="13"/>
  <c r="S179" i="13"/>
  <c r="Y179" i="13" s="1"/>
  <c r="T179" i="13"/>
  <c r="U179" i="13"/>
  <c r="V179" i="13"/>
  <c r="W179" i="13"/>
  <c r="Z179" i="13"/>
  <c r="AA179" i="13"/>
  <c r="AB179" i="13"/>
  <c r="AC179" i="13"/>
  <c r="AD179" i="13"/>
  <c r="AF179" i="13"/>
  <c r="AG179" i="13"/>
  <c r="AH179" i="13"/>
  <c r="AK179" i="13"/>
  <c r="AL179" i="13"/>
  <c r="AW179" i="13" s="1"/>
  <c r="AN179" i="13"/>
  <c r="AO179" i="13"/>
  <c r="AP179" i="13"/>
  <c r="AQ179" i="13"/>
  <c r="AR179" i="13"/>
  <c r="AS179" i="13"/>
  <c r="AX180" i="13"/>
  <c r="D6" i="12"/>
  <c r="M6" i="12" s="1"/>
  <c r="F6" i="12"/>
  <c r="G6" i="12"/>
  <c r="I6" i="12" s="1"/>
  <c r="J6" i="12"/>
  <c r="J12" i="12" s="1"/>
  <c r="L6" i="12"/>
  <c r="N6" i="12"/>
  <c r="O6" i="12"/>
  <c r="R6" i="12" s="1"/>
  <c r="R12" i="12" s="1"/>
  <c r="Q6" i="12"/>
  <c r="V6" i="12"/>
  <c r="AJ6" i="12"/>
  <c r="AU6" i="12"/>
  <c r="F7" i="12"/>
  <c r="I7" i="12"/>
  <c r="L7" i="12"/>
  <c r="M7" i="12"/>
  <c r="N7" i="12"/>
  <c r="Q7" i="12"/>
  <c r="T7" i="12"/>
  <c r="W7" i="12"/>
  <c r="X7" i="12"/>
  <c r="Y7" i="12"/>
  <c r="AB7" i="12"/>
  <c r="AE7" i="12"/>
  <c r="AH7" i="12"/>
  <c r="AI7" i="12"/>
  <c r="AJ7" i="12"/>
  <c r="AM7" i="12"/>
  <c r="AP7" i="12"/>
  <c r="AS7" i="12"/>
  <c r="AU7" i="12"/>
  <c r="AV7" i="12"/>
  <c r="AW7" i="12"/>
  <c r="AY7" i="12" s="1"/>
  <c r="AZ7" i="12" s="1"/>
  <c r="BA7" i="12" s="1"/>
  <c r="BB7" i="12" s="1"/>
  <c r="F8" i="12"/>
  <c r="I8" i="12"/>
  <c r="L8" i="12"/>
  <c r="M8" i="12"/>
  <c r="N8" i="12"/>
  <c r="N11" i="12" s="1"/>
  <c r="Q8" i="12"/>
  <c r="T8" i="12"/>
  <c r="W8" i="12"/>
  <c r="X8" i="12"/>
  <c r="Y8" i="12"/>
  <c r="AB8" i="12"/>
  <c r="AE8" i="12"/>
  <c r="AH8" i="12"/>
  <c r="AI8" i="12"/>
  <c r="AJ8" i="12"/>
  <c r="AM8" i="12"/>
  <c r="AP8" i="12"/>
  <c r="AS8" i="12"/>
  <c r="AU8" i="12"/>
  <c r="AV8" i="12"/>
  <c r="AW8" i="12"/>
  <c r="AY8" i="12"/>
  <c r="AZ8" i="12" s="1"/>
  <c r="BA8" i="12" s="1"/>
  <c r="BB8" i="12" s="1"/>
  <c r="J9" i="12"/>
  <c r="L9" i="12" s="1"/>
  <c r="N9" i="12"/>
  <c r="Y9" i="12"/>
  <c r="AJ9" i="12"/>
  <c r="AU9" i="12"/>
  <c r="AW9" i="12"/>
  <c r="AY9" i="12" s="1"/>
  <c r="AZ9" i="12" s="1"/>
  <c r="BA9" i="12" s="1"/>
  <c r="BB9" i="12" s="1"/>
  <c r="F10" i="12"/>
  <c r="I10" i="12"/>
  <c r="L10" i="12"/>
  <c r="M10" i="12"/>
  <c r="N10" i="12"/>
  <c r="Q10" i="12"/>
  <c r="T10" i="12"/>
  <c r="W10" i="12"/>
  <c r="X10" i="12"/>
  <c r="Y10" i="12"/>
  <c r="AB10" i="12"/>
  <c r="AE10" i="12"/>
  <c r="AH10" i="12"/>
  <c r="AI10" i="12"/>
  <c r="AJ10" i="12"/>
  <c r="AJ11" i="12" s="1"/>
  <c r="AM10" i="12"/>
  <c r="AP10" i="12"/>
  <c r="AS10" i="12"/>
  <c r="AU10" i="12"/>
  <c r="AV10" i="12"/>
  <c r="AW10" i="12"/>
  <c r="AY10" i="12"/>
  <c r="AZ10" i="12" s="1"/>
  <c r="BA10" i="12" s="1"/>
  <c r="BB10" i="12" s="1"/>
  <c r="E11" i="12"/>
  <c r="H11" i="12"/>
  <c r="J11" i="12"/>
  <c r="K11" i="12"/>
  <c r="P11" i="12"/>
  <c r="S11" i="12"/>
  <c r="AA11" i="12"/>
  <c r="AD11" i="12"/>
  <c r="AG11" i="12"/>
  <c r="AL11" i="12"/>
  <c r="AO11" i="12"/>
  <c r="AR11" i="12"/>
  <c r="AT11" i="12"/>
  <c r="E12" i="12"/>
  <c r="G12" i="12"/>
  <c r="O12" i="12"/>
  <c r="Q12" i="12" s="1"/>
  <c r="Y12" i="12"/>
  <c r="AJ12" i="12"/>
  <c r="AJ22" i="12" s="1"/>
  <c r="AU12" i="12"/>
  <c r="F13" i="12"/>
  <c r="I13" i="12"/>
  <c r="L13" i="12"/>
  <c r="M13" i="12"/>
  <c r="N13" i="12"/>
  <c r="Q13" i="12"/>
  <c r="T13" i="12"/>
  <c r="W13" i="12"/>
  <c r="X13" i="12"/>
  <c r="Y13" i="12"/>
  <c r="AB13" i="12"/>
  <c r="AE13" i="12"/>
  <c r="AH13" i="12"/>
  <c r="AI13" i="12"/>
  <c r="AJ13" i="12"/>
  <c r="AM13" i="12"/>
  <c r="AP13" i="12"/>
  <c r="AS13" i="12"/>
  <c r="AU13" i="12"/>
  <c r="AV13" i="12"/>
  <c r="AW13" i="12"/>
  <c r="AY13" i="12"/>
  <c r="AZ13" i="12" s="1"/>
  <c r="F14" i="12"/>
  <c r="I14" i="12"/>
  <c r="L14" i="12"/>
  <c r="M14" i="12"/>
  <c r="N14" i="12"/>
  <c r="Q14" i="12"/>
  <c r="T14" i="12"/>
  <c r="W14" i="12"/>
  <c r="X14" i="12"/>
  <c r="Y14" i="12"/>
  <c r="AB14" i="12"/>
  <c r="AE14" i="12"/>
  <c r="AH14" i="12"/>
  <c r="AI14" i="12"/>
  <c r="AJ14" i="12"/>
  <c r="AM14" i="12"/>
  <c r="AP14" i="12"/>
  <c r="AS14" i="12"/>
  <c r="AU14" i="12"/>
  <c r="AV14" i="12"/>
  <c r="AW14" i="12"/>
  <c r="AY14" i="12" s="1"/>
  <c r="AZ14" i="12" s="1"/>
  <c r="BA14" i="12" s="1"/>
  <c r="BB14" i="12" s="1"/>
  <c r="F15" i="12"/>
  <c r="I15" i="12"/>
  <c r="L15" i="12"/>
  <c r="M15" i="12"/>
  <c r="N15" i="12"/>
  <c r="Q15" i="12"/>
  <c r="T15" i="12"/>
  <c r="W15" i="12"/>
  <c r="X15" i="12"/>
  <c r="Y15" i="12"/>
  <c r="AB15" i="12"/>
  <c r="AE15" i="12"/>
  <c r="AH15" i="12"/>
  <c r="AI15" i="12"/>
  <c r="AJ15" i="12"/>
  <c r="AM15" i="12"/>
  <c r="AP15" i="12"/>
  <c r="AS15" i="12"/>
  <c r="AU15" i="12"/>
  <c r="AV15" i="12"/>
  <c r="AW15" i="12"/>
  <c r="AY15" i="12"/>
  <c r="AZ15" i="12" s="1"/>
  <c r="BA15" i="12" s="1"/>
  <c r="BB15" i="12" s="1"/>
  <c r="F16" i="12"/>
  <c r="I16" i="12"/>
  <c r="L16" i="12"/>
  <c r="M16" i="12"/>
  <c r="N16" i="12"/>
  <c r="Q16" i="12"/>
  <c r="T16" i="12"/>
  <c r="W16" i="12"/>
  <c r="X16" i="12"/>
  <c r="Y16" i="12"/>
  <c r="AB16" i="12"/>
  <c r="AE16" i="12"/>
  <c r="AH16" i="12"/>
  <c r="AI16" i="12"/>
  <c r="AJ16" i="12"/>
  <c r="AM16" i="12"/>
  <c r="AP16" i="12"/>
  <c r="AS16" i="12"/>
  <c r="AU16" i="12"/>
  <c r="AV16" i="12"/>
  <c r="AW16" i="12"/>
  <c r="AY16" i="12" s="1"/>
  <c r="AZ16" i="12" s="1"/>
  <c r="BA16" i="12" s="1"/>
  <c r="BB16" i="12" s="1"/>
  <c r="F17" i="12"/>
  <c r="I17" i="12"/>
  <c r="L17" i="12"/>
  <c r="M17" i="12"/>
  <c r="N17" i="12"/>
  <c r="Q17" i="12"/>
  <c r="T17" i="12"/>
  <c r="W17" i="12"/>
  <c r="X17" i="12"/>
  <c r="Y17" i="12"/>
  <c r="AB17" i="12"/>
  <c r="AC17" i="12"/>
  <c r="AE17" i="12"/>
  <c r="AH17" i="12"/>
  <c r="AI17" i="12"/>
  <c r="AJ17" i="12"/>
  <c r="AM17" i="12"/>
  <c r="AP17" i="12"/>
  <c r="AS17" i="12"/>
  <c r="AU17" i="12"/>
  <c r="AV17" i="12"/>
  <c r="AX17" i="12" s="1"/>
  <c r="AW17" i="12"/>
  <c r="AY17" i="12" s="1"/>
  <c r="AZ17" i="12" s="1"/>
  <c r="BA17" i="12" s="1"/>
  <c r="BB17" i="12" s="1"/>
  <c r="F18" i="12"/>
  <c r="I18" i="12"/>
  <c r="L18" i="12"/>
  <c r="M18" i="12"/>
  <c r="N18" i="12"/>
  <c r="Q18" i="12"/>
  <c r="T18" i="12"/>
  <c r="W18" i="12"/>
  <c r="X18" i="12"/>
  <c r="Y18" i="12"/>
  <c r="AB18" i="12"/>
  <c r="AC18" i="12"/>
  <c r="AE18" i="12" s="1"/>
  <c r="AH18" i="12"/>
  <c r="AJ18" i="12"/>
  <c r="AM18" i="12"/>
  <c r="AP18" i="12"/>
  <c r="AS18" i="12"/>
  <c r="AU18" i="12"/>
  <c r="AW18" i="12"/>
  <c r="AY18" i="12"/>
  <c r="AZ18" i="12" s="1"/>
  <c r="BA18" i="12" s="1"/>
  <c r="BB18" i="12" s="1"/>
  <c r="F19" i="12"/>
  <c r="G19" i="12"/>
  <c r="I19" i="12" s="1"/>
  <c r="L19" i="12"/>
  <c r="M19" i="12"/>
  <c r="N19" i="12"/>
  <c r="Q19" i="12"/>
  <c r="R19" i="12"/>
  <c r="X19" i="12" s="1"/>
  <c r="T19" i="12"/>
  <c r="W19" i="12"/>
  <c r="Y19" i="12"/>
  <c r="AB19" i="12"/>
  <c r="AC19" i="12"/>
  <c r="AE19" i="12" s="1"/>
  <c r="AH19" i="12"/>
  <c r="AI19" i="12"/>
  <c r="AJ19" i="12"/>
  <c r="AM19" i="12"/>
  <c r="AN19" i="12"/>
  <c r="AP19" i="12"/>
  <c r="AS19" i="12"/>
  <c r="AU19" i="12"/>
  <c r="AV19" i="12"/>
  <c r="AW19" i="12"/>
  <c r="AY19" i="12" s="1"/>
  <c r="AZ19" i="12" s="1"/>
  <c r="BA19" i="12" s="1"/>
  <c r="BB19" i="12" s="1"/>
  <c r="F20" i="12"/>
  <c r="I20" i="12"/>
  <c r="L20" i="12"/>
  <c r="M20" i="12"/>
  <c r="N20" i="12"/>
  <c r="Q20" i="12"/>
  <c r="T20" i="12"/>
  <c r="W20" i="12"/>
  <c r="X20" i="12"/>
  <c r="Y20" i="12"/>
  <c r="AB20" i="12"/>
  <c r="AE20" i="12"/>
  <c r="AH20" i="12"/>
  <c r="AI20" i="12"/>
  <c r="AJ20" i="12"/>
  <c r="AM20" i="12"/>
  <c r="AP20" i="12"/>
  <c r="AS20" i="12"/>
  <c r="AU20" i="12"/>
  <c r="AV20" i="12"/>
  <c r="AW20" i="12"/>
  <c r="AY20" i="12"/>
  <c r="AZ20" i="12" s="1"/>
  <c r="BA20" i="12" s="1"/>
  <c r="BB20" i="12" s="1"/>
  <c r="F21" i="12"/>
  <c r="I21" i="12"/>
  <c r="L21" i="12"/>
  <c r="M21" i="12"/>
  <c r="N21" i="12"/>
  <c r="Q21" i="12"/>
  <c r="R21" i="12"/>
  <c r="T21" i="12" s="1"/>
  <c r="W21" i="12"/>
  <c r="Y21" i="12"/>
  <c r="AB21" i="12"/>
  <c r="AE21" i="12"/>
  <c r="AH21" i="12"/>
  <c r="AI21" i="12"/>
  <c r="AJ21" i="12"/>
  <c r="AM21" i="12"/>
  <c r="AN21" i="12"/>
  <c r="AP21" i="12"/>
  <c r="AS21" i="12"/>
  <c r="AU21" i="12"/>
  <c r="AW21" i="12"/>
  <c r="AY21" i="12"/>
  <c r="AZ21" i="12" s="1"/>
  <c r="BA21" i="12" s="1"/>
  <c r="BB21" i="12" s="1"/>
  <c r="H22" i="12"/>
  <c r="K22" i="12"/>
  <c r="O22" i="12"/>
  <c r="P22" i="12"/>
  <c r="S22" i="12"/>
  <c r="V22" i="12"/>
  <c r="AA22" i="12"/>
  <c r="AD22" i="12"/>
  <c r="AG22" i="12"/>
  <c r="AL22" i="12"/>
  <c r="AO22" i="12"/>
  <c r="AR22" i="12"/>
  <c r="AT22" i="12"/>
  <c r="F23" i="12"/>
  <c r="I23" i="12"/>
  <c r="L23" i="12"/>
  <c r="M23" i="12"/>
  <c r="N23" i="12"/>
  <c r="Q23" i="12"/>
  <c r="T23" i="12"/>
  <c r="W23" i="12"/>
  <c r="X23" i="12"/>
  <c r="Y23" i="12"/>
  <c r="AB23" i="12"/>
  <c r="AE23" i="12"/>
  <c r="AH23" i="12"/>
  <c r="AJ23" i="12"/>
  <c r="AM23" i="12"/>
  <c r="AP23" i="12"/>
  <c r="AS23" i="12"/>
  <c r="AU23" i="12"/>
  <c r="AV23" i="12"/>
  <c r="AW23" i="12"/>
  <c r="F24" i="12"/>
  <c r="I24" i="12"/>
  <c r="L24" i="12"/>
  <c r="L32" i="12" s="1"/>
  <c r="M24" i="12"/>
  <c r="N24" i="12"/>
  <c r="Q24" i="12"/>
  <c r="T24" i="12"/>
  <c r="W24" i="12"/>
  <c r="X24" i="12"/>
  <c r="Y24" i="12"/>
  <c r="AB24" i="12"/>
  <c r="AE24" i="12"/>
  <c r="AH24" i="12"/>
  <c r="AI24" i="12"/>
  <c r="AJ24" i="12"/>
  <c r="AJ32" i="12" s="1"/>
  <c r="AM24" i="12"/>
  <c r="AP24" i="12"/>
  <c r="AS24" i="12"/>
  <c r="AU24" i="12"/>
  <c r="AV24" i="12"/>
  <c r="AW24" i="12"/>
  <c r="AY24" i="12"/>
  <c r="AZ24" i="12" s="1"/>
  <c r="F25" i="12"/>
  <c r="I25" i="12"/>
  <c r="L25" i="12"/>
  <c r="M25" i="12"/>
  <c r="N25" i="12"/>
  <c r="N32" i="12" s="1"/>
  <c r="Q25" i="12"/>
  <c r="T25" i="12"/>
  <c r="W25" i="12"/>
  <c r="X25" i="12"/>
  <c r="Y25" i="12"/>
  <c r="AB25" i="12"/>
  <c r="AE25" i="12"/>
  <c r="AH25" i="12"/>
  <c r="AI25" i="12"/>
  <c r="AJ25" i="12"/>
  <c r="AM25" i="12"/>
  <c r="AP25" i="12"/>
  <c r="AS25" i="12"/>
  <c r="AU25" i="12"/>
  <c r="AV25" i="12"/>
  <c r="AW25" i="12"/>
  <c r="AY25" i="12" s="1"/>
  <c r="AZ25" i="12" s="1"/>
  <c r="BA25" i="12" s="1"/>
  <c r="BB25" i="12" s="1"/>
  <c r="F26" i="12"/>
  <c r="I26" i="12"/>
  <c r="L26" i="12"/>
  <c r="M26" i="12"/>
  <c r="N26" i="12"/>
  <c r="Q26" i="12"/>
  <c r="T26" i="12"/>
  <c r="W26" i="12"/>
  <c r="X26" i="12"/>
  <c r="Y26" i="12"/>
  <c r="AB26" i="12"/>
  <c r="AE26" i="12"/>
  <c r="AH26" i="12"/>
  <c r="AI26" i="12"/>
  <c r="AJ26" i="12"/>
  <c r="AM26" i="12"/>
  <c r="AP26" i="12"/>
  <c r="AS26" i="12"/>
  <c r="AU26" i="12"/>
  <c r="AV26" i="12"/>
  <c r="AW26" i="12"/>
  <c r="AY26" i="12"/>
  <c r="AZ26" i="12" s="1"/>
  <c r="BA26" i="12" s="1"/>
  <c r="BB26" i="12" s="1"/>
  <c r="F27" i="12"/>
  <c r="I27" i="12"/>
  <c r="L27" i="12"/>
  <c r="M27" i="12"/>
  <c r="N27" i="12"/>
  <c r="Q27" i="12"/>
  <c r="T27" i="12"/>
  <c r="W27" i="12"/>
  <c r="X27" i="12"/>
  <c r="Y27" i="12"/>
  <c r="AB27" i="12"/>
  <c r="AE27" i="12"/>
  <c r="AH27" i="12"/>
  <c r="AI27" i="12"/>
  <c r="AJ27" i="12"/>
  <c r="AM27" i="12"/>
  <c r="AP27" i="12"/>
  <c r="AS27" i="12"/>
  <c r="AU27" i="12"/>
  <c r="AV27" i="12"/>
  <c r="AW27" i="12"/>
  <c r="AY27" i="12" s="1"/>
  <c r="AZ27" i="12" s="1"/>
  <c r="BA27" i="12" s="1"/>
  <c r="BB27" i="12" s="1"/>
  <c r="F28" i="12"/>
  <c r="I28" i="12"/>
  <c r="L28" i="12"/>
  <c r="M28" i="12"/>
  <c r="N28" i="12"/>
  <c r="Q28" i="12"/>
  <c r="T28" i="12"/>
  <c r="W28" i="12"/>
  <c r="X28" i="12"/>
  <c r="Y28" i="12"/>
  <c r="AB28" i="12"/>
  <c r="AE28" i="12"/>
  <c r="AH28" i="12"/>
  <c r="AI28" i="12"/>
  <c r="AJ28" i="12"/>
  <c r="AM28" i="12"/>
  <c r="AP28" i="12"/>
  <c r="AS28" i="12"/>
  <c r="AU28" i="12"/>
  <c r="AV28" i="12"/>
  <c r="AW28" i="12"/>
  <c r="AY28" i="12"/>
  <c r="AZ28" i="12" s="1"/>
  <c r="BA28" i="12" s="1"/>
  <c r="BB28" i="12" s="1"/>
  <c r="D29" i="12"/>
  <c r="G29" i="12"/>
  <c r="I29" i="12" s="1"/>
  <c r="L29" i="12"/>
  <c r="N29" i="12"/>
  <c r="O29" i="12"/>
  <c r="R29" i="12"/>
  <c r="T29" i="12"/>
  <c r="U29" i="12"/>
  <c r="Y29" i="12"/>
  <c r="Z29" i="12"/>
  <c r="AE29" i="12"/>
  <c r="AF29" i="12"/>
  <c r="AH29" i="12" s="1"/>
  <c r="AJ29" i="12"/>
  <c r="AK29" i="12"/>
  <c r="AM29" i="12" s="1"/>
  <c r="AN29" i="12"/>
  <c r="AP29" i="12" s="1"/>
  <c r="AQ29" i="12"/>
  <c r="AS29" i="12" s="1"/>
  <c r="AS32" i="12" s="1"/>
  <c r="AU29" i="12"/>
  <c r="AW29" i="12"/>
  <c r="AY29" i="12"/>
  <c r="AZ29" i="12" s="1"/>
  <c r="BA29" i="12" s="1"/>
  <c r="BB29" i="12" s="1"/>
  <c r="F30" i="12"/>
  <c r="I30" i="12"/>
  <c r="L30" i="12"/>
  <c r="M30" i="12"/>
  <c r="N30" i="12"/>
  <c r="Q30" i="12"/>
  <c r="T30" i="12"/>
  <c r="W30" i="12"/>
  <c r="X30" i="12"/>
  <c r="Y30" i="12"/>
  <c r="AB30" i="12"/>
  <c r="AE30" i="12"/>
  <c r="AH30" i="12"/>
  <c r="AI30" i="12"/>
  <c r="AJ30" i="12"/>
  <c r="AM30" i="12"/>
  <c r="AP30" i="12"/>
  <c r="AS30" i="12"/>
  <c r="AU30" i="12"/>
  <c r="AV30" i="12"/>
  <c r="AW30" i="12"/>
  <c r="AY30" i="12" s="1"/>
  <c r="AZ30" i="12" s="1"/>
  <c r="BA30" i="12" s="1"/>
  <c r="BB30" i="12" s="1"/>
  <c r="F31" i="12"/>
  <c r="G31" i="12"/>
  <c r="M31" i="12" s="1"/>
  <c r="I31" i="12"/>
  <c r="L31" i="12"/>
  <c r="N31" i="12"/>
  <c r="P31" i="12"/>
  <c r="R31" i="12"/>
  <c r="T31" i="12" s="1"/>
  <c r="W31" i="12"/>
  <c r="AB31" i="12"/>
  <c r="AC31" i="12"/>
  <c r="AE31" i="12" s="1"/>
  <c r="AH31" i="12"/>
  <c r="AJ31" i="12"/>
  <c r="AM31" i="12"/>
  <c r="AP31" i="12"/>
  <c r="AS31" i="12"/>
  <c r="AU31" i="12"/>
  <c r="E32" i="12"/>
  <c r="H32" i="12"/>
  <c r="J32" i="12"/>
  <c r="K32" i="12"/>
  <c r="R32" i="12"/>
  <c r="S32" i="12"/>
  <c r="V32" i="12"/>
  <c r="AA32" i="12"/>
  <c r="AD32" i="12"/>
  <c r="AF32" i="12"/>
  <c r="AG32" i="12"/>
  <c r="AL32" i="12"/>
  <c r="AN32" i="12"/>
  <c r="AO32" i="12"/>
  <c r="AR32" i="12"/>
  <c r="AT32" i="12"/>
  <c r="F33" i="12"/>
  <c r="H33" i="12"/>
  <c r="K33" i="12"/>
  <c r="L33" i="12" s="1"/>
  <c r="M33" i="12"/>
  <c r="Q33" i="12"/>
  <c r="T33" i="12"/>
  <c r="V33" i="12"/>
  <c r="W33" i="12" s="1"/>
  <c r="X33" i="12"/>
  <c r="AB33" i="12"/>
  <c r="AE33" i="12"/>
  <c r="AH33" i="12"/>
  <c r="AI33" i="12"/>
  <c r="AJ33" i="12"/>
  <c r="AM33" i="12"/>
  <c r="AP33" i="12"/>
  <c r="AS33" i="12"/>
  <c r="AU33" i="12"/>
  <c r="AV33" i="12"/>
  <c r="F34" i="12"/>
  <c r="I34" i="12"/>
  <c r="L34" i="12"/>
  <c r="M34" i="12"/>
  <c r="N34" i="12"/>
  <c r="Q34" i="12"/>
  <c r="T34" i="12"/>
  <c r="W34" i="12"/>
  <c r="X34" i="12"/>
  <c r="Y34" i="12"/>
  <c r="AB34" i="12"/>
  <c r="AE34" i="12"/>
  <c r="AH34" i="12"/>
  <c r="AI34" i="12"/>
  <c r="AI44" i="12" s="1"/>
  <c r="AJ34" i="12"/>
  <c r="AM34" i="12"/>
  <c r="AP34" i="12"/>
  <c r="AS34" i="12"/>
  <c r="AU34" i="12"/>
  <c r="AV34" i="12"/>
  <c r="AW34" i="12"/>
  <c r="AY34" i="12"/>
  <c r="AZ34" i="12" s="1"/>
  <c r="BA34" i="12" s="1"/>
  <c r="BB34" i="12" s="1"/>
  <c r="F35" i="12"/>
  <c r="I35" i="12"/>
  <c r="L35" i="12"/>
  <c r="M35" i="12"/>
  <c r="N35" i="12"/>
  <c r="Q35" i="12"/>
  <c r="T35" i="12"/>
  <c r="W35" i="12"/>
  <c r="X35" i="12"/>
  <c r="Y35" i="12"/>
  <c r="AB35" i="12"/>
  <c r="AE35" i="12"/>
  <c r="AH35" i="12"/>
  <c r="AI35" i="12"/>
  <c r="AJ35" i="12"/>
  <c r="AM35" i="12"/>
  <c r="AM144" i="12" s="1"/>
  <c r="AP35" i="12"/>
  <c r="AS35" i="12"/>
  <c r="AU35" i="12"/>
  <c r="AV35" i="12"/>
  <c r="AW35" i="12"/>
  <c r="AY35" i="12" s="1"/>
  <c r="AZ35" i="12" s="1"/>
  <c r="BA35" i="12" s="1"/>
  <c r="BB35" i="12" s="1"/>
  <c r="F36" i="12"/>
  <c r="I36" i="12"/>
  <c r="L36" i="12"/>
  <c r="M36" i="12"/>
  <c r="N36" i="12"/>
  <c r="Q36" i="12"/>
  <c r="T36" i="12"/>
  <c r="W36" i="12"/>
  <c r="X36" i="12"/>
  <c r="Y36" i="12"/>
  <c r="AB36" i="12"/>
  <c r="AE36" i="12"/>
  <c r="AH36" i="12"/>
  <c r="AI36" i="12"/>
  <c r="AJ36" i="12"/>
  <c r="AM36" i="12"/>
  <c r="AP36" i="12"/>
  <c r="AS36" i="12"/>
  <c r="AU36" i="12"/>
  <c r="AV36" i="12"/>
  <c r="AW36" i="12"/>
  <c r="AY36" i="12"/>
  <c r="AZ36" i="12" s="1"/>
  <c r="BA36" i="12" s="1"/>
  <c r="BB36" i="12" s="1"/>
  <c r="F37" i="12"/>
  <c r="I37" i="12"/>
  <c r="L37" i="12"/>
  <c r="M37" i="12"/>
  <c r="N37" i="12"/>
  <c r="Q37" i="12"/>
  <c r="T37" i="12"/>
  <c r="W37" i="12"/>
  <c r="X37" i="12"/>
  <c r="Y37" i="12"/>
  <c r="AB37" i="12"/>
  <c r="AE37" i="12"/>
  <c r="AH37" i="12"/>
  <c r="AI37" i="12"/>
  <c r="AJ37" i="12"/>
  <c r="AM37" i="12"/>
  <c r="AP37" i="12"/>
  <c r="AS37" i="12"/>
  <c r="AU37" i="12"/>
  <c r="AV37" i="12"/>
  <c r="AW37" i="12"/>
  <c r="AY37" i="12" s="1"/>
  <c r="AZ37" i="12" s="1"/>
  <c r="BA37" i="12" s="1"/>
  <c r="BB37" i="12" s="1"/>
  <c r="F38" i="12"/>
  <c r="I38" i="12"/>
  <c r="L38" i="12"/>
  <c r="M38" i="12"/>
  <c r="N38" i="12"/>
  <c r="Q38" i="12"/>
  <c r="T38" i="12"/>
  <c r="W38" i="12"/>
  <c r="X38" i="12"/>
  <c r="Y38" i="12"/>
  <c r="AB38" i="12"/>
  <c r="AE38" i="12"/>
  <c r="AH38" i="12"/>
  <c r="AI38" i="12"/>
  <c r="AJ38" i="12"/>
  <c r="AM38" i="12"/>
  <c r="AP38" i="12"/>
  <c r="AS38" i="12"/>
  <c r="AU38" i="12"/>
  <c r="AV38" i="12"/>
  <c r="AW38" i="12"/>
  <c r="AY38" i="12"/>
  <c r="AZ38" i="12" s="1"/>
  <c r="BA38" i="12" s="1"/>
  <c r="BB38" i="12" s="1"/>
  <c r="E39" i="12"/>
  <c r="F39" i="12" s="1"/>
  <c r="H39" i="12"/>
  <c r="I39" i="12" s="1"/>
  <c r="K39" i="12"/>
  <c r="L39" i="12" s="1"/>
  <c r="M39" i="12"/>
  <c r="Q39" i="12"/>
  <c r="T39" i="12"/>
  <c r="V39" i="12"/>
  <c r="W39" i="12" s="1"/>
  <c r="X39" i="12"/>
  <c r="AB39" i="12"/>
  <c r="AE39" i="12"/>
  <c r="AH39" i="12"/>
  <c r="AI39" i="12"/>
  <c r="AJ39" i="12"/>
  <c r="AM39" i="12"/>
  <c r="AP39" i="12"/>
  <c r="AS39" i="12"/>
  <c r="AU39" i="12"/>
  <c r="AV39" i="12"/>
  <c r="AW39" i="12"/>
  <c r="AY39" i="12"/>
  <c r="AZ39" i="12" s="1"/>
  <c r="BA39" i="12" s="1"/>
  <c r="BB39" i="12" s="1"/>
  <c r="D40" i="12"/>
  <c r="F40" i="12" s="1"/>
  <c r="I40" i="12"/>
  <c r="J40" i="12"/>
  <c r="L40" i="12"/>
  <c r="N40" i="12"/>
  <c r="Q40" i="12"/>
  <c r="T40" i="12"/>
  <c r="W40" i="12"/>
  <c r="X40" i="12"/>
  <c r="Y40" i="12"/>
  <c r="AB40" i="12"/>
  <c r="AE40" i="12"/>
  <c r="AH40" i="12"/>
  <c r="AI40" i="12"/>
  <c r="AJ40" i="12"/>
  <c r="AM40" i="12"/>
  <c r="AP40" i="12"/>
  <c r="AS40" i="12"/>
  <c r="AU40" i="12"/>
  <c r="AW40" i="12"/>
  <c r="AY40" i="12" s="1"/>
  <c r="AZ40" i="12" s="1"/>
  <c r="BA40" i="12" s="1"/>
  <c r="BB40" i="12" s="1"/>
  <c r="F41" i="12"/>
  <c r="I41" i="12"/>
  <c r="L41" i="12"/>
  <c r="M41" i="12"/>
  <c r="N41" i="12"/>
  <c r="Q41" i="12"/>
  <c r="T41" i="12"/>
  <c r="W41" i="12"/>
  <c r="X41" i="12"/>
  <c r="Y41" i="12"/>
  <c r="AB41" i="12"/>
  <c r="AE41" i="12"/>
  <c r="AH41" i="12"/>
  <c r="AI41" i="12"/>
  <c r="AJ41" i="12"/>
  <c r="AM41" i="12"/>
  <c r="AP41" i="12"/>
  <c r="AS41" i="12"/>
  <c r="AU41" i="12"/>
  <c r="AV41" i="12"/>
  <c r="AW41" i="12"/>
  <c r="AY41" i="12"/>
  <c r="AZ41" i="12" s="1"/>
  <c r="BA41" i="12" s="1"/>
  <c r="BB41" i="12" s="1"/>
  <c r="F42" i="12"/>
  <c r="I42" i="12"/>
  <c r="L42" i="12"/>
  <c r="M42" i="12"/>
  <c r="N42" i="12"/>
  <c r="Q42" i="12"/>
  <c r="T42" i="12"/>
  <c r="W42" i="12"/>
  <c r="X42" i="12"/>
  <c r="Y42" i="12"/>
  <c r="AB42" i="12"/>
  <c r="AE42" i="12"/>
  <c r="AH42" i="12"/>
  <c r="AI42" i="12"/>
  <c r="AJ42" i="12"/>
  <c r="AM42" i="12"/>
  <c r="AP42" i="12"/>
  <c r="AS42" i="12"/>
  <c r="AU42" i="12"/>
  <c r="AV42" i="12"/>
  <c r="AW42" i="12"/>
  <c r="AY42" i="12" s="1"/>
  <c r="AZ42" i="12" s="1"/>
  <c r="BA42" i="12" s="1"/>
  <c r="BB42" i="12" s="1"/>
  <c r="F43" i="12"/>
  <c r="I43" i="12"/>
  <c r="L43" i="12"/>
  <c r="L136" i="12" s="1"/>
  <c r="M43" i="12"/>
  <c r="N43" i="12"/>
  <c r="Q43" i="12"/>
  <c r="T43" i="12"/>
  <c r="T136" i="12" s="1"/>
  <c r="W43" i="12"/>
  <c r="X43" i="12"/>
  <c r="Y43" i="12"/>
  <c r="AB43" i="12"/>
  <c r="AE43" i="12"/>
  <c r="AH43" i="12"/>
  <c r="AI43" i="12"/>
  <c r="AJ43" i="12"/>
  <c r="AM43" i="12"/>
  <c r="AP43" i="12"/>
  <c r="AS43" i="12"/>
  <c r="AU43" i="12"/>
  <c r="AV43" i="12"/>
  <c r="AW43" i="12"/>
  <c r="AY43" i="12"/>
  <c r="AZ43" i="12" s="1"/>
  <c r="BA43" i="12" s="1"/>
  <c r="BB43" i="12" s="1"/>
  <c r="D44" i="12"/>
  <c r="G44" i="12"/>
  <c r="J44" i="12"/>
  <c r="O44" i="12"/>
  <c r="P44" i="12"/>
  <c r="R44" i="12"/>
  <c r="S44" i="12"/>
  <c r="U44" i="12"/>
  <c r="X44" i="12"/>
  <c r="Z44" i="12"/>
  <c r="AA44" i="12"/>
  <c r="AC44" i="12"/>
  <c r="AD44" i="12"/>
  <c r="AF44" i="12"/>
  <c r="AG44" i="12"/>
  <c r="AH44" i="12"/>
  <c r="AK44" i="12"/>
  <c r="AL44" i="12"/>
  <c r="AN44" i="12"/>
  <c r="AO44" i="12"/>
  <c r="AO57" i="12" s="1"/>
  <c r="AO118" i="12" s="1"/>
  <c r="AO123" i="12" s="1"/>
  <c r="AO130" i="12" s="1"/>
  <c r="AP44" i="12"/>
  <c r="AQ44" i="12"/>
  <c r="AR44" i="12"/>
  <c r="AS44" i="12"/>
  <c r="AT44" i="12"/>
  <c r="F45" i="12"/>
  <c r="H45" i="12"/>
  <c r="I45" i="12" s="1"/>
  <c r="L45" i="12"/>
  <c r="L151" i="12" s="1"/>
  <c r="M45" i="12"/>
  <c r="N45" i="12"/>
  <c r="Q45" i="12"/>
  <c r="T45" i="12"/>
  <c r="T151" i="12" s="1"/>
  <c r="W45" i="12"/>
  <c r="X45" i="12"/>
  <c r="Y45" i="12"/>
  <c r="AB45" i="12"/>
  <c r="AE45" i="12"/>
  <c r="AH45" i="12"/>
  <c r="AI45" i="12"/>
  <c r="AJ45" i="12"/>
  <c r="AJ56" i="12" s="1"/>
  <c r="AM45" i="12"/>
  <c r="AP45" i="12"/>
  <c r="AS45" i="12"/>
  <c r="AU45" i="12"/>
  <c r="AV45" i="12"/>
  <c r="AW45" i="12"/>
  <c r="AY45" i="12" s="1"/>
  <c r="AZ45" i="12" s="1"/>
  <c r="BA45" i="12" s="1"/>
  <c r="BB45" i="12" s="1"/>
  <c r="F46" i="12"/>
  <c r="I46" i="12"/>
  <c r="I161" i="12" s="1"/>
  <c r="L46" i="12"/>
  <c r="M46" i="12"/>
  <c r="N46" i="12"/>
  <c r="Q46" i="12"/>
  <c r="T46" i="12"/>
  <c r="W46" i="12"/>
  <c r="X46" i="12"/>
  <c r="Y46" i="12"/>
  <c r="AB46" i="12"/>
  <c r="AE46" i="12"/>
  <c r="AH46" i="12"/>
  <c r="AI46" i="12"/>
  <c r="AJ46" i="12"/>
  <c r="AM46" i="12"/>
  <c r="AP46" i="12"/>
  <c r="AS46" i="12"/>
  <c r="AS161" i="12" s="1"/>
  <c r="AU46" i="12"/>
  <c r="AV46" i="12"/>
  <c r="AW46" i="12"/>
  <c r="AY46" i="12"/>
  <c r="AZ46" i="12" s="1"/>
  <c r="BA46" i="12" s="1"/>
  <c r="BB46" i="12" s="1"/>
  <c r="F47" i="12"/>
  <c r="I47" i="12"/>
  <c r="L47" i="12"/>
  <c r="M47" i="12"/>
  <c r="N47" i="12"/>
  <c r="Q47" i="12"/>
  <c r="T47" i="12"/>
  <c r="V47" i="12"/>
  <c r="X47" i="12"/>
  <c r="AB47" i="12"/>
  <c r="AE47" i="12"/>
  <c r="AH47" i="12"/>
  <c r="AI47" i="12"/>
  <c r="AJ47" i="12"/>
  <c r="AM47" i="12"/>
  <c r="AP47" i="12"/>
  <c r="AS47" i="12"/>
  <c r="AU47" i="12"/>
  <c r="AV47" i="12"/>
  <c r="F48" i="12"/>
  <c r="I48" i="12"/>
  <c r="I142" i="12" s="1"/>
  <c r="L48" i="12"/>
  <c r="M48" i="12"/>
  <c r="N48" i="12"/>
  <c r="Q48" i="12"/>
  <c r="Q142" i="12" s="1"/>
  <c r="T48" i="12"/>
  <c r="W48" i="12"/>
  <c r="X48" i="12"/>
  <c r="Y48" i="12"/>
  <c r="AB48" i="12"/>
  <c r="AE48" i="12"/>
  <c r="AH48" i="12"/>
  <c r="AI48" i="12"/>
  <c r="AJ48" i="12"/>
  <c r="AM48" i="12"/>
  <c r="AP48" i="12"/>
  <c r="AS48" i="12"/>
  <c r="AS142" i="12" s="1"/>
  <c r="AU48" i="12"/>
  <c r="AV48" i="12"/>
  <c r="AW48" i="12"/>
  <c r="AX48" i="12"/>
  <c r="AY48" i="12"/>
  <c r="AZ48" i="12" s="1"/>
  <c r="BA48" i="12" s="1"/>
  <c r="BB48" i="12" s="1"/>
  <c r="F49" i="12"/>
  <c r="I49" i="12"/>
  <c r="L49" i="12"/>
  <c r="M49" i="12"/>
  <c r="N49" i="12"/>
  <c r="Q49" i="12"/>
  <c r="T49" i="12"/>
  <c r="V49" i="12"/>
  <c r="X49" i="12"/>
  <c r="AB49" i="12"/>
  <c r="AE49" i="12"/>
  <c r="AH49" i="12"/>
  <c r="AI49" i="12"/>
  <c r="AJ49" i="12"/>
  <c r="AM49" i="12"/>
  <c r="AP49" i="12"/>
  <c r="AS49" i="12"/>
  <c r="AU49" i="12"/>
  <c r="AV49" i="12"/>
  <c r="AW49" i="12"/>
  <c r="AY49" i="12" s="1"/>
  <c r="AZ49" i="12" s="1"/>
  <c r="BA49" i="12" s="1"/>
  <c r="F50" i="12"/>
  <c r="I50" i="12"/>
  <c r="L50" i="12"/>
  <c r="M50" i="12"/>
  <c r="N50" i="12"/>
  <c r="Q50" i="12"/>
  <c r="T50" i="12"/>
  <c r="V50" i="12"/>
  <c r="W50" i="12"/>
  <c r="X50" i="12"/>
  <c r="Y50" i="12"/>
  <c r="AB50" i="12"/>
  <c r="AE50" i="12"/>
  <c r="AH50" i="12"/>
  <c r="AI50" i="12"/>
  <c r="AJ50" i="12"/>
  <c r="AM50" i="12"/>
  <c r="AP50" i="12"/>
  <c r="AS50" i="12"/>
  <c r="AU50" i="12"/>
  <c r="AV50" i="12"/>
  <c r="AX50" i="12" s="1"/>
  <c r="AW50" i="12"/>
  <c r="AY50" i="12" s="1"/>
  <c r="AZ50" i="12"/>
  <c r="BA50" i="12" s="1"/>
  <c r="BB50" i="12" s="1"/>
  <c r="F51" i="12"/>
  <c r="I51" i="12"/>
  <c r="L51" i="12"/>
  <c r="M51" i="12"/>
  <c r="N51" i="12"/>
  <c r="Q51" i="12"/>
  <c r="S51" i="12"/>
  <c r="T51" i="12"/>
  <c r="W51" i="12"/>
  <c r="X51" i="12"/>
  <c r="Y51" i="12"/>
  <c r="AB51" i="12"/>
  <c r="AE51" i="12"/>
  <c r="AH51" i="12"/>
  <c r="AI51" i="12"/>
  <c r="AJ51" i="12"/>
  <c r="AM51" i="12"/>
  <c r="AP51" i="12"/>
  <c r="AS51" i="12"/>
  <c r="AU51" i="12"/>
  <c r="AV51" i="12"/>
  <c r="AW51" i="12"/>
  <c r="AY51" i="12" s="1"/>
  <c r="AZ51" i="12" s="1"/>
  <c r="BA51" i="12" s="1"/>
  <c r="BB51" i="12" s="1"/>
  <c r="F52" i="12"/>
  <c r="I52" i="12"/>
  <c r="L52" i="12"/>
  <c r="M52" i="12"/>
  <c r="N52" i="12"/>
  <c r="Q52" i="12"/>
  <c r="T52" i="12"/>
  <c r="W52" i="12"/>
  <c r="X52" i="12"/>
  <c r="Y52" i="12"/>
  <c r="AB52" i="12"/>
  <c r="AE52" i="12"/>
  <c r="AH52" i="12"/>
  <c r="AI52" i="12"/>
  <c r="AJ52" i="12"/>
  <c r="AM52" i="12"/>
  <c r="AP52" i="12"/>
  <c r="AS52" i="12"/>
  <c r="AU52" i="12"/>
  <c r="AV52" i="12"/>
  <c r="AW52" i="12"/>
  <c r="AY52" i="12" s="1"/>
  <c r="AZ52" i="12" s="1"/>
  <c r="F53" i="12"/>
  <c r="I53" i="12"/>
  <c r="L53" i="12"/>
  <c r="M53" i="12"/>
  <c r="N53" i="12"/>
  <c r="Q53" i="12"/>
  <c r="T53" i="12"/>
  <c r="V53" i="12"/>
  <c r="W53" i="12"/>
  <c r="X53" i="12"/>
  <c r="AB53" i="12"/>
  <c r="AE53" i="12"/>
  <c r="AH53" i="12"/>
  <c r="AI53" i="12"/>
  <c r="AJ53" i="12"/>
  <c r="AM53" i="12"/>
  <c r="AP53" i="12"/>
  <c r="AS53" i="12"/>
  <c r="AU53" i="12"/>
  <c r="AV53" i="12"/>
  <c r="E54" i="12"/>
  <c r="F54" i="12"/>
  <c r="H54" i="12"/>
  <c r="K54" i="12"/>
  <c r="L54" i="12"/>
  <c r="M54" i="12"/>
  <c r="P54" i="12"/>
  <c r="Q54" i="12"/>
  <c r="T54" i="12"/>
  <c r="V54" i="12"/>
  <c r="X54" i="12"/>
  <c r="AB54" i="12"/>
  <c r="AE54" i="12"/>
  <c r="AH54" i="12"/>
  <c r="AI54" i="12"/>
  <c r="AJ54" i="12"/>
  <c r="AM54" i="12"/>
  <c r="AP54" i="12"/>
  <c r="AS54" i="12"/>
  <c r="AU54" i="12"/>
  <c r="AV54" i="12"/>
  <c r="E55" i="12"/>
  <c r="I55" i="12"/>
  <c r="L55" i="12"/>
  <c r="M55" i="12"/>
  <c r="P55" i="12"/>
  <c r="S55" i="12"/>
  <c r="W55" i="12"/>
  <c r="X55" i="12"/>
  <c r="AB55" i="12"/>
  <c r="AE55" i="12"/>
  <c r="AE175" i="12" s="1"/>
  <c r="AH55" i="12"/>
  <c r="AI55" i="12"/>
  <c r="AJ55" i="12"/>
  <c r="AM55" i="12"/>
  <c r="AM175" i="12" s="1"/>
  <c r="AP55" i="12"/>
  <c r="AS55" i="12"/>
  <c r="AU55" i="12"/>
  <c r="AV55" i="12"/>
  <c r="D56" i="12"/>
  <c r="D57" i="12" s="1"/>
  <c r="E56" i="12"/>
  <c r="G56" i="12"/>
  <c r="H56" i="12"/>
  <c r="J56" i="12"/>
  <c r="K56" i="12"/>
  <c r="O56" i="12"/>
  <c r="R56" i="12"/>
  <c r="R57" i="12" s="1"/>
  <c r="U56" i="12"/>
  <c r="Z56" i="12"/>
  <c r="AA56" i="12"/>
  <c r="AA57" i="12" s="1"/>
  <c r="AC56" i="12"/>
  <c r="AC57" i="12" s="1"/>
  <c r="AD56" i="12"/>
  <c r="AF56" i="12"/>
  <c r="AF57" i="12" s="1"/>
  <c r="AG56" i="12"/>
  <c r="AG57" i="12" s="1"/>
  <c r="AK56" i="12"/>
  <c r="AK57" i="12" s="1"/>
  <c r="AL56" i="12"/>
  <c r="AL57" i="12" s="1"/>
  <c r="AN56" i="12"/>
  <c r="AN57" i="12" s="1"/>
  <c r="AO56" i="12"/>
  <c r="AP56" i="12"/>
  <c r="AP57" i="12" s="1"/>
  <c r="AQ56" i="12"/>
  <c r="AQ57" i="12" s="1"/>
  <c r="AR56" i="12"/>
  <c r="AR57" i="12" s="1"/>
  <c r="AT56" i="12"/>
  <c r="G57" i="12"/>
  <c r="J57" i="12"/>
  <c r="O57" i="12"/>
  <c r="U57" i="12"/>
  <c r="Z57" i="12"/>
  <c r="AD57" i="12"/>
  <c r="D58" i="12"/>
  <c r="F58" i="12" s="1"/>
  <c r="I58" i="12"/>
  <c r="J58" i="12"/>
  <c r="L58" i="12" s="1"/>
  <c r="N58" i="12"/>
  <c r="O58" i="12"/>
  <c r="T58" i="12"/>
  <c r="W58" i="12"/>
  <c r="X58" i="12"/>
  <c r="Y58" i="12"/>
  <c r="Z58" i="12"/>
  <c r="AB58" i="12" s="1"/>
  <c r="AE58" i="12"/>
  <c r="AH58" i="12"/>
  <c r="AH140" i="12" s="1"/>
  <c r="AI58" i="12"/>
  <c r="AJ58" i="12"/>
  <c r="AM58" i="12"/>
  <c r="AP58" i="12"/>
  <c r="AP140" i="12" s="1"/>
  <c r="AS58" i="12"/>
  <c r="AU58" i="12"/>
  <c r="AW58" i="12"/>
  <c r="AY58" i="12"/>
  <c r="AZ58" i="12" s="1"/>
  <c r="D59" i="12"/>
  <c r="F59" i="12" s="1"/>
  <c r="F139" i="12" s="1"/>
  <c r="G59" i="12"/>
  <c r="I59" i="12" s="1"/>
  <c r="J59" i="12"/>
  <c r="L59" i="12" s="1"/>
  <c r="M59" i="12"/>
  <c r="N59" i="12"/>
  <c r="N64" i="12" s="1"/>
  <c r="O59" i="12"/>
  <c r="Q59" i="12" s="1"/>
  <c r="R59" i="12"/>
  <c r="T59" i="12" s="1"/>
  <c r="U59" i="12"/>
  <c r="Y59" i="12"/>
  <c r="Z59" i="12"/>
  <c r="AB59" i="12" s="1"/>
  <c r="AC59" i="12"/>
  <c r="AF59" i="12"/>
  <c r="AJ59" i="12"/>
  <c r="AK59" i="12"/>
  <c r="AM59" i="12" s="1"/>
  <c r="AN59" i="12"/>
  <c r="AQ59" i="12"/>
  <c r="AS59" i="12" s="1"/>
  <c r="AU59" i="12"/>
  <c r="AW59" i="12"/>
  <c r="AY59" i="12"/>
  <c r="AZ59" i="12" s="1"/>
  <c r="BA59" i="12" s="1"/>
  <c r="BB59" i="12" s="1"/>
  <c r="D60" i="12"/>
  <c r="F60" i="12" s="1"/>
  <c r="F169" i="12" s="1"/>
  <c r="I60" i="12"/>
  <c r="L60" i="12"/>
  <c r="M60" i="12"/>
  <c r="N60" i="12"/>
  <c r="O60" i="12"/>
  <c r="R60" i="12"/>
  <c r="T60" i="12" s="1"/>
  <c r="T169" i="12" s="1"/>
  <c r="U60" i="12"/>
  <c r="Y60" i="12"/>
  <c r="AB60" i="12"/>
  <c r="AE60" i="12"/>
  <c r="AF60" i="12"/>
  <c r="AH60" i="12" s="1"/>
  <c r="AH169" i="12" s="1"/>
  <c r="AI60" i="12"/>
  <c r="AJ60" i="12"/>
  <c r="AM60" i="12"/>
  <c r="AN60" i="12"/>
  <c r="AP60" i="12"/>
  <c r="AQ60" i="12"/>
  <c r="AS60" i="12"/>
  <c r="AU60" i="12"/>
  <c r="AW60" i="12"/>
  <c r="AY60" i="12" s="1"/>
  <c r="AZ60" i="12"/>
  <c r="BA60" i="12" s="1"/>
  <c r="BB60" i="12" s="1"/>
  <c r="F61" i="12"/>
  <c r="I61" i="12"/>
  <c r="L61" i="12"/>
  <c r="M61" i="12"/>
  <c r="N61" i="12"/>
  <c r="Q61" i="12"/>
  <c r="T61" i="12"/>
  <c r="W61" i="12"/>
  <c r="X61" i="12"/>
  <c r="Y61" i="12"/>
  <c r="AB61" i="12"/>
  <c r="AE61" i="12"/>
  <c r="AH61" i="12"/>
  <c r="AI61" i="12"/>
  <c r="AJ61" i="12"/>
  <c r="AM61" i="12"/>
  <c r="AP61" i="12"/>
  <c r="AS61" i="12"/>
  <c r="AU61" i="12"/>
  <c r="AV61" i="12"/>
  <c r="AX61" i="12" s="1"/>
  <c r="AW61" i="12"/>
  <c r="AY61" i="12" s="1"/>
  <c r="AZ61" i="12"/>
  <c r="BA61" i="12" s="1"/>
  <c r="BB61" i="12" s="1"/>
  <c r="F62" i="12"/>
  <c r="I62" i="12"/>
  <c r="L62" i="12"/>
  <c r="M62" i="12"/>
  <c r="N62" i="12"/>
  <c r="Q62" i="12"/>
  <c r="T62" i="12"/>
  <c r="W62" i="12"/>
  <c r="X62" i="12"/>
  <c r="Y62" i="12"/>
  <c r="AB62" i="12"/>
  <c r="AE62" i="12"/>
  <c r="AE151" i="12" s="1"/>
  <c r="AH62" i="12"/>
  <c r="AI62" i="12"/>
  <c r="AJ62" i="12"/>
  <c r="AM62" i="12"/>
  <c r="AM151" i="12" s="1"/>
  <c r="AP62" i="12"/>
  <c r="AS62" i="12"/>
  <c r="AU62" i="12"/>
  <c r="AV62" i="12"/>
  <c r="AX62" i="12" s="1"/>
  <c r="AW62" i="12"/>
  <c r="AY62" i="12" s="1"/>
  <c r="AZ62" i="12" s="1"/>
  <c r="BA62" i="12" s="1"/>
  <c r="BB62" i="12" s="1"/>
  <c r="L63" i="12"/>
  <c r="M63" i="12"/>
  <c r="N63" i="12"/>
  <c r="T63" i="12"/>
  <c r="X63" i="12"/>
  <c r="Y63" i="12"/>
  <c r="AI63" i="12"/>
  <c r="AJ63" i="12"/>
  <c r="AJ64" i="12" s="1"/>
  <c r="AS63" i="12"/>
  <c r="AU63" i="12"/>
  <c r="AV63" i="12"/>
  <c r="AW63" i="12"/>
  <c r="AY63" i="12" s="1"/>
  <c r="AZ63" i="12" s="1"/>
  <c r="BA63" i="12" s="1"/>
  <c r="BB63" i="12" s="1"/>
  <c r="D64" i="12"/>
  <c r="E64" i="12"/>
  <c r="H64" i="12"/>
  <c r="J64" i="12"/>
  <c r="K64" i="12"/>
  <c r="P64" i="12"/>
  <c r="R64" i="12"/>
  <c r="S64" i="12"/>
  <c r="V64" i="12"/>
  <c r="Z64" i="12"/>
  <c r="AA64" i="12"/>
  <c r="AD64" i="12"/>
  <c r="AF64" i="12"/>
  <c r="AG64" i="12"/>
  <c r="AL64" i="12"/>
  <c r="AO64" i="12"/>
  <c r="AR64" i="12"/>
  <c r="AT64" i="12"/>
  <c r="F65" i="12"/>
  <c r="I65" i="12"/>
  <c r="L65" i="12"/>
  <c r="M65" i="12"/>
  <c r="N65" i="12"/>
  <c r="Q65" i="12"/>
  <c r="T65" i="12"/>
  <c r="W65" i="12"/>
  <c r="X65" i="12"/>
  <c r="Y65" i="12"/>
  <c r="AB65" i="12"/>
  <c r="AE65" i="12"/>
  <c r="AH65" i="12"/>
  <c r="AI65" i="12"/>
  <c r="AI67" i="12" s="1"/>
  <c r="AJ65" i="12"/>
  <c r="AM65" i="12"/>
  <c r="AP65" i="12"/>
  <c r="AS65" i="12"/>
  <c r="AU65" i="12"/>
  <c r="AV65" i="12"/>
  <c r="AW65" i="12"/>
  <c r="AY65" i="12" s="1"/>
  <c r="F66" i="12"/>
  <c r="I66" i="12"/>
  <c r="L66" i="12"/>
  <c r="M66" i="12"/>
  <c r="N66" i="12"/>
  <c r="Q66" i="12"/>
  <c r="T66" i="12"/>
  <c r="W66" i="12"/>
  <c r="X66" i="12"/>
  <c r="Y66" i="12"/>
  <c r="AB66" i="12"/>
  <c r="AE66" i="12"/>
  <c r="AH66" i="12"/>
  <c r="AH151" i="12" s="1"/>
  <c r="AI66" i="12"/>
  <c r="AJ66" i="12"/>
  <c r="AM66" i="12"/>
  <c r="AP66" i="12"/>
  <c r="AS66" i="12"/>
  <c r="AU66" i="12"/>
  <c r="AV66" i="12"/>
  <c r="AW66" i="12"/>
  <c r="AY66" i="12" s="1"/>
  <c r="AZ66" i="12" s="1"/>
  <c r="BA66" i="12" s="1"/>
  <c r="BB66" i="12" s="1"/>
  <c r="D67" i="12"/>
  <c r="E67" i="12"/>
  <c r="G67" i="12"/>
  <c r="H67" i="12"/>
  <c r="I67" i="12"/>
  <c r="J67" i="12"/>
  <c r="K67" i="12"/>
  <c r="L67" i="12"/>
  <c r="M67" i="12"/>
  <c r="O67" i="12"/>
  <c r="P67" i="12"/>
  <c r="Q67" i="12"/>
  <c r="R67" i="12"/>
  <c r="S67" i="12"/>
  <c r="T67" i="12"/>
  <c r="U67" i="12"/>
  <c r="V67" i="12"/>
  <c r="W67" i="12"/>
  <c r="Y67" i="12"/>
  <c r="Z67" i="12"/>
  <c r="AA67" i="12"/>
  <c r="AB67" i="12"/>
  <c r="AC67" i="12"/>
  <c r="AD67" i="12"/>
  <c r="AE67" i="12"/>
  <c r="AF67" i="12"/>
  <c r="AG67" i="12"/>
  <c r="AJ67" i="12"/>
  <c r="AK67" i="12"/>
  <c r="AL67" i="12"/>
  <c r="AM67" i="12"/>
  <c r="AN67" i="12"/>
  <c r="AO67" i="12"/>
  <c r="AQ67" i="12"/>
  <c r="AR67" i="12"/>
  <c r="AS67" i="12"/>
  <c r="AT67" i="12"/>
  <c r="AU67" i="12"/>
  <c r="AW67" i="12"/>
  <c r="D68" i="12"/>
  <c r="F68" i="12" s="1"/>
  <c r="I68" i="12"/>
  <c r="L68" i="12"/>
  <c r="M68" i="12"/>
  <c r="N68" i="12"/>
  <c r="Q68" i="12"/>
  <c r="T68" i="12"/>
  <c r="W68" i="12"/>
  <c r="X68" i="12"/>
  <c r="Y68" i="12"/>
  <c r="AB68" i="12"/>
  <c r="AE68" i="12"/>
  <c r="AH68" i="12"/>
  <c r="AI68" i="12"/>
  <c r="AJ68" i="12"/>
  <c r="AK68" i="12"/>
  <c r="AM68" i="12" s="1"/>
  <c r="AP68" i="12"/>
  <c r="AS68" i="12"/>
  <c r="AU68" i="12"/>
  <c r="AW68" i="12"/>
  <c r="AY68" i="12" s="1"/>
  <c r="F69" i="12"/>
  <c r="I69" i="12"/>
  <c r="I73" i="12" s="1"/>
  <c r="L69" i="12"/>
  <c r="M69" i="12"/>
  <c r="N69" i="12"/>
  <c r="Q69" i="12"/>
  <c r="Q73" i="12" s="1"/>
  <c r="T69" i="12"/>
  <c r="W69" i="12"/>
  <c r="X69" i="12"/>
  <c r="Y69" i="12"/>
  <c r="Y73" i="12" s="1"/>
  <c r="AB69" i="12"/>
  <c r="AE69" i="12"/>
  <c r="AH69" i="12"/>
  <c r="AI69" i="12"/>
  <c r="AI73" i="12" s="1"/>
  <c r="AJ69" i="12"/>
  <c r="AM69" i="12"/>
  <c r="AP69" i="12"/>
  <c r="AS69" i="12"/>
  <c r="AU69" i="12"/>
  <c r="AV69" i="12"/>
  <c r="AW69" i="12"/>
  <c r="AY69" i="12"/>
  <c r="AZ69" i="12" s="1"/>
  <c r="BA69" i="12" s="1"/>
  <c r="BB69" i="12" s="1"/>
  <c r="F70" i="12"/>
  <c r="G70" i="12"/>
  <c r="I70" i="12"/>
  <c r="L70" i="12"/>
  <c r="M70" i="12"/>
  <c r="N70" i="12"/>
  <c r="Q70" i="12"/>
  <c r="T70" i="12"/>
  <c r="W70" i="12"/>
  <c r="X70" i="12"/>
  <c r="Y70" i="12"/>
  <c r="AB70" i="12"/>
  <c r="AE70" i="12"/>
  <c r="AE73" i="12" s="1"/>
  <c r="AH70" i="12"/>
  <c r="AI70" i="12"/>
  <c r="AJ70" i="12"/>
  <c r="AM70" i="12"/>
  <c r="AP70" i="12"/>
  <c r="AS70" i="12"/>
  <c r="AU70" i="12"/>
  <c r="AV70" i="12"/>
  <c r="AX70" i="12" s="1"/>
  <c r="AW70" i="12"/>
  <c r="AY70" i="12"/>
  <c r="AZ70" i="12" s="1"/>
  <c r="BA70" i="12" s="1"/>
  <c r="BB70" i="12" s="1"/>
  <c r="F71" i="12"/>
  <c r="I71" i="12"/>
  <c r="L71" i="12"/>
  <c r="L141" i="12" s="1"/>
  <c r="M71" i="12"/>
  <c r="N71" i="12"/>
  <c r="Q71" i="12"/>
  <c r="T71" i="12"/>
  <c r="W71" i="12"/>
  <c r="X71" i="12"/>
  <c r="Y71" i="12"/>
  <c r="AB71" i="12"/>
  <c r="AE71" i="12"/>
  <c r="AH71" i="12"/>
  <c r="AI71" i="12"/>
  <c r="AJ71" i="12"/>
  <c r="AM71" i="12"/>
  <c r="AP71" i="12"/>
  <c r="AS71" i="12"/>
  <c r="AU71" i="12"/>
  <c r="AV71" i="12"/>
  <c r="AX71" i="12" s="1"/>
  <c r="AW71" i="12"/>
  <c r="AY71" i="12"/>
  <c r="AZ71" i="12" s="1"/>
  <c r="BA71" i="12" s="1"/>
  <c r="BB71" i="12" s="1"/>
  <c r="F72" i="12"/>
  <c r="I72" i="12"/>
  <c r="L72" i="12"/>
  <c r="M72" i="12"/>
  <c r="N72" i="12"/>
  <c r="Q72" i="12"/>
  <c r="T72" i="12"/>
  <c r="W72" i="12"/>
  <c r="X72" i="12"/>
  <c r="Y72" i="12"/>
  <c r="AB72" i="12"/>
  <c r="AE72" i="12"/>
  <c r="AH72" i="12"/>
  <c r="AI72" i="12"/>
  <c r="AJ72" i="12"/>
  <c r="AM72" i="12"/>
  <c r="AP72" i="12"/>
  <c r="AS72" i="12"/>
  <c r="AU72" i="12"/>
  <c r="AV72" i="12"/>
  <c r="AX72" i="12" s="1"/>
  <c r="AW72" i="12"/>
  <c r="AW73" i="12" s="1"/>
  <c r="AY72" i="12"/>
  <c r="AZ72" i="12" s="1"/>
  <c r="BA72" i="12" s="1"/>
  <c r="BB72" i="12" s="1"/>
  <c r="E73" i="12"/>
  <c r="G73" i="12"/>
  <c r="H73" i="12"/>
  <c r="J73" i="12"/>
  <c r="K73" i="12"/>
  <c r="M73" i="12"/>
  <c r="O73" i="12"/>
  <c r="P73" i="12"/>
  <c r="R73" i="12"/>
  <c r="S73" i="12"/>
  <c r="U73" i="12"/>
  <c r="V73" i="12"/>
  <c r="W73" i="12"/>
  <c r="Z73" i="12"/>
  <c r="AA73" i="12"/>
  <c r="AC73" i="12"/>
  <c r="AD73" i="12"/>
  <c r="AF73" i="12"/>
  <c r="AG73" i="12"/>
  <c r="AK73" i="12"/>
  <c r="AL73" i="12"/>
  <c r="AN73" i="12"/>
  <c r="AO73" i="12"/>
  <c r="AQ73" i="12"/>
  <c r="AR73" i="12"/>
  <c r="AS73" i="12"/>
  <c r="AT73" i="12"/>
  <c r="F74" i="12"/>
  <c r="I74" i="12"/>
  <c r="L74" i="12"/>
  <c r="M74" i="12"/>
  <c r="N74" i="12"/>
  <c r="Q74" i="12"/>
  <c r="T74" i="12"/>
  <c r="X74" i="12"/>
  <c r="Y74" i="12"/>
  <c r="AB74" i="12"/>
  <c r="AE74" i="12"/>
  <c r="AH74" i="12"/>
  <c r="AI74" i="12"/>
  <c r="AJ74" i="12"/>
  <c r="AM74" i="12"/>
  <c r="AP74" i="12"/>
  <c r="AP78" i="12" s="1"/>
  <c r="AS74" i="12"/>
  <c r="AU74" i="12"/>
  <c r="AV74" i="12"/>
  <c r="AW74" i="12"/>
  <c r="AY74" i="12" s="1"/>
  <c r="AZ74" i="12" s="1"/>
  <c r="BA74" i="12" s="1"/>
  <c r="F75" i="12"/>
  <c r="I75" i="12"/>
  <c r="L75" i="12"/>
  <c r="M75" i="12"/>
  <c r="N75" i="12"/>
  <c r="O75" i="12"/>
  <c r="Q75" i="12" s="1"/>
  <c r="T75" i="12"/>
  <c r="U75" i="12" s="1"/>
  <c r="Y75" i="12"/>
  <c r="Z75" i="12"/>
  <c r="AE75" i="12"/>
  <c r="AH75" i="12"/>
  <c r="AJ75" i="12"/>
  <c r="AJ78" i="12" s="1"/>
  <c r="AK75" i="12"/>
  <c r="AM75" i="12" s="1"/>
  <c r="AM136" i="12" s="1"/>
  <c r="AP75" i="12"/>
  <c r="AS75" i="12"/>
  <c r="AU75" i="12"/>
  <c r="AW75" i="12"/>
  <c r="AY75" i="12" s="1"/>
  <c r="AZ75" i="12" s="1"/>
  <c r="F76" i="12"/>
  <c r="H76" i="12"/>
  <c r="L76" i="12"/>
  <c r="M76" i="12"/>
  <c r="Q76" i="12"/>
  <c r="T76" i="12"/>
  <c r="W76" i="12"/>
  <c r="W78" i="12" s="1"/>
  <c r="X76" i="12"/>
  <c r="Y76" i="12"/>
  <c r="AB76" i="12"/>
  <c r="AE76" i="12"/>
  <c r="AH76" i="12"/>
  <c r="AI76" i="12"/>
  <c r="AJ76" i="12"/>
  <c r="AM76" i="12"/>
  <c r="AP76" i="12"/>
  <c r="AS76" i="12"/>
  <c r="AU76" i="12"/>
  <c r="AV76" i="12"/>
  <c r="M77" i="12"/>
  <c r="N77" i="12"/>
  <c r="Q77" i="12"/>
  <c r="X77" i="12"/>
  <c r="Y77" i="12"/>
  <c r="AI77" i="12"/>
  <c r="AJ77" i="12"/>
  <c r="AQ77" i="12"/>
  <c r="AS77" i="12" s="1"/>
  <c r="AS164" i="12" s="1"/>
  <c r="AU77" i="12"/>
  <c r="AW77" i="12"/>
  <c r="AY77" i="12" s="1"/>
  <c r="AZ77" i="12" s="1"/>
  <c r="BA77" i="12" s="1"/>
  <c r="BB77" i="12" s="1"/>
  <c r="D78" i="12"/>
  <c r="E78" i="12"/>
  <c r="G78" i="12"/>
  <c r="J78" i="12"/>
  <c r="K78" i="12"/>
  <c r="L78" i="12"/>
  <c r="P78" i="12"/>
  <c r="R78" i="12"/>
  <c r="S78" i="12"/>
  <c r="T78" i="12"/>
  <c r="V78" i="12"/>
  <c r="AA78" i="12"/>
  <c r="AC78" i="12"/>
  <c r="AD78" i="12"/>
  <c r="AF78" i="12"/>
  <c r="AG78" i="12"/>
  <c r="AL78" i="12"/>
  <c r="AN78" i="12"/>
  <c r="AO78" i="12"/>
  <c r="AR78" i="12"/>
  <c r="AT78" i="12"/>
  <c r="F79" i="12"/>
  <c r="I79" i="12"/>
  <c r="L79" i="12"/>
  <c r="M79" i="12"/>
  <c r="N79" i="12"/>
  <c r="Q79" i="12"/>
  <c r="T79" i="12"/>
  <c r="W79" i="12"/>
  <c r="X79" i="12"/>
  <c r="Y79" i="12"/>
  <c r="AB79" i="12"/>
  <c r="AE79" i="12"/>
  <c r="AH79" i="12"/>
  <c r="AI79" i="12"/>
  <c r="AJ79" i="12"/>
  <c r="AM79" i="12"/>
  <c r="AP79" i="12"/>
  <c r="AS79" i="12"/>
  <c r="AU79" i="12"/>
  <c r="AV79" i="12"/>
  <c r="AW79" i="12"/>
  <c r="AX79" i="12"/>
  <c r="AY79" i="12"/>
  <c r="AZ79" i="12" s="1"/>
  <c r="BA79" i="12" s="1"/>
  <c r="BB79" i="12" s="1"/>
  <c r="F80" i="12"/>
  <c r="I80" i="12"/>
  <c r="L80" i="12"/>
  <c r="M80" i="12"/>
  <c r="N80" i="12"/>
  <c r="Q80" i="12"/>
  <c r="T80" i="12"/>
  <c r="U80" i="12"/>
  <c r="W80" i="12" s="1"/>
  <c r="Y80" i="12"/>
  <c r="Y86" i="12" s="1"/>
  <c r="AB80" i="12"/>
  <c r="AE80" i="12"/>
  <c r="AH80" i="12"/>
  <c r="AI80" i="12"/>
  <c r="AJ80" i="12"/>
  <c r="AM80" i="12"/>
  <c r="AP80" i="12"/>
  <c r="AS80" i="12"/>
  <c r="AS136" i="12" s="1"/>
  <c r="AU80" i="12"/>
  <c r="AW80" i="12"/>
  <c r="AY80" i="12" s="1"/>
  <c r="AZ80" i="12" s="1"/>
  <c r="BA80" i="12" s="1"/>
  <c r="BB80" i="12" s="1"/>
  <c r="F81" i="12"/>
  <c r="I81" i="12"/>
  <c r="L81" i="12"/>
  <c r="M81" i="12"/>
  <c r="N81" i="12"/>
  <c r="O81" i="12"/>
  <c r="Q81" i="12" s="1"/>
  <c r="T81" i="12"/>
  <c r="W81" i="12"/>
  <c r="X81" i="12"/>
  <c r="Y81" i="12"/>
  <c r="AB81" i="12"/>
  <c r="AE81" i="12"/>
  <c r="AH81" i="12"/>
  <c r="AI81" i="12"/>
  <c r="AJ81" i="12"/>
  <c r="AM81" i="12"/>
  <c r="AP81" i="12"/>
  <c r="AQ81" i="12"/>
  <c r="AS81" i="12" s="1"/>
  <c r="AU81" i="12"/>
  <c r="AW81" i="12"/>
  <c r="AY81" i="12" s="1"/>
  <c r="AZ81" i="12" s="1"/>
  <c r="BA81" i="12" s="1"/>
  <c r="BB81" i="12" s="1"/>
  <c r="F82" i="12"/>
  <c r="I82" i="12"/>
  <c r="K82" i="12"/>
  <c r="L82" i="12" s="1"/>
  <c r="L146" i="12" s="1"/>
  <c r="M82" i="12"/>
  <c r="O82" i="12"/>
  <c r="Q82" i="12" s="1"/>
  <c r="T82" i="12"/>
  <c r="W82" i="12"/>
  <c r="X82" i="12"/>
  <c r="Y82" i="12"/>
  <c r="AE82" i="12" s="1"/>
  <c r="AI82" i="12"/>
  <c r="AM82" i="12"/>
  <c r="AP82" i="12"/>
  <c r="AS82" i="12"/>
  <c r="AU82" i="12"/>
  <c r="F83" i="12"/>
  <c r="I83" i="12"/>
  <c r="L83" i="12"/>
  <c r="M83" i="12"/>
  <c r="N83" i="12"/>
  <c r="Q83" i="12"/>
  <c r="T83" i="12"/>
  <c r="W83" i="12"/>
  <c r="X83" i="12"/>
  <c r="Y83" i="12"/>
  <c r="AB83" i="12"/>
  <c r="AE83" i="12"/>
  <c r="AH83" i="12"/>
  <c r="AH143" i="12" s="1"/>
  <c r="AI83" i="12"/>
  <c r="AJ83" i="12"/>
  <c r="AM83" i="12"/>
  <c r="AP83" i="12"/>
  <c r="AP143" i="12" s="1"/>
  <c r="AS83" i="12"/>
  <c r="AU83" i="12"/>
  <c r="AV83" i="12"/>
  <c r="AW83" i="12"/>
  <c r="AY83" i="12" s="1"/>
  <c r="AZ83" i="12" s="1"/>
  <c r="BA83" i="12" s="1"/>
  <c r="BB83" i="12" s="1"/>
  <c r="F84" i="12"/>
  <c r="I84" i="12"/>
  <c r="L84" i="12"/>
  <c r="M84" i="12"/>
  <c r="N84" i="12"/>
  <c r="Q84" i="12"/>
  <c r="T84" i="12"/>
  <c r="T162" i="12" s="1"/>
  <c r="W84" i="12"/>
  <c r="X84" i="12"/>
  <c r="Y84" i="12"/>
  <c r="Z84" i="12"/>
  <c r="AE84" i="12"/>
  <c r="AH84" i="12"/>
  <c r="AJ84" i="12"/>
  <c r="AM84" i="12"/>
  <c r="AP84" i="12"/>
  <c r="AS84" i="12"/>
  <c r="AU84" i="12"/>
  <c r="AW84" i="12"/>
  <c r="AY84" i="12"/>
  <c r="AZ84" i="12" s="1"/>
  <c r="BA84" i="12" s="1"/>
  <c r="BB84" i="12" s="1"/>
  <c r="E85" i="12"/>
  <c r="F85" i="12" s="1"/>
  <c r="H85" i="12"/>
  <c r="M85" i="12"/>
  <c r="X85" i="12"/>
  <c r="Y85" i="12"/>
  <c r="AI85" i="12"/>
  <c r="AJ85" i="12"/>
  <c r="AU85" i="12"/>
  <c r="AV85" i="12"/>
  <c r="D86" i="12"/>
  <c r="G86" i="12"/>
  <c r="J86" i="12"/>
  <c r="K86" i="12"/>
  <c r="M86" i="12"/>
  <c r="O86" i="12"/>
  <c r="P86" i="12"/>
  <c r="R86" i="12"/>
  <c r="S86" i="12"/>
  <c r="U86" i="12"/>
  <c r="V86" i="12"/>
  <c r="AA86" i="12"/>
  <c r="AC86" i="12"/>
  <c r="AD86" i="12"/>
  <c r="AF86" i="12"/>
  <c r="AG86" i="12"/>
  <c r="AK86" i="12"/>
  <c r="AL86" i="12"/>
  <c r="AN86" i="12"/>
  <c r="AO86" i="12"/>
  <c r="AR86" i="12"/>
  <c r="AT86" i="12"/>
  <c r="F87" i="12"/>
  <c r="I87" i="12"/>
  <c r="L87" i="12"/>
  <c r="M87" i="12"/>
  <c r="N87" i="12"/>
  <c r="Q87" i="12"/>
  <c r="T87" i="12"/>
  <c r="W87" i="12"/>
  <c r="X87" i="12"/>
  <c r="Y87" i="12"/>
  <c r="AB87" i="12"/>
  <c r="AE87" i="12"/>
  <c r="AH87" i="12"/>
  <c r="AI87" i="12"/>
  <c r="AJ87" i="12"/>
  <c r="AM87" i="12"/>
  <c r="AP87" i="12"/>
  <c r="AS87" i="12"/>
  <c r="AU87" i="12"/>
  <c r="AV87" i="12"/>
  <c r="AX87" i="12" s="1"/>
  <c r="AW87" i="12"/>
  <c r="AY87" i="12"/>
  <c r="AZ87" i="12" s="1"/>
  <c r="BA87" i="12" s="1"/>
  <c r="F88" i="12"/>
  <c r="I88" i="12"/>
  <c r="L88" i="12"/>
  <c r="M88" i="12"/>
  <c r="N88" i="12"/>
  <c r="Q88" i="12"/>
  <c r="T88" i="12"/>
  <c r="W88" i="12"/>
  <c r="X88" i="12"/>
  <c r="Y88" i="12"/>
  <c r="AB88" i="12"/>
  <c r="AE88" i="12"/>
  <c r="AH88" i="12"/>
  <c r="AI88" i="12"/>
  <c r="AJ88" i="12"/>
  <c r="AM88" i="12"/>
  <c r="AP88" i="12"/>
  <c r="AS88" i="12"/>
  <c r="AU88" i="12"/>
  <c r="AV88" i="12"/>
  <c r="AX88" i="12" s="1"/>
  <c r="AW88" i="12"/>
  <c r="AY88" i="12"/>
  <c r="AZ88" i="12" s="1"/>
  <c r="BA88" i="12" s="1"/>
  <c r="BB88" i="12" s="1"/>
  <c r="F89" i="12"/>
  <c r="I89" i="12"/>
  <c r="L89" i="12"/>
  <c r="M89" i="12"/>
  <c r="N89" i="12"/>
  <c r="Q89" i="12"/>
  <c r="T89" i="12"/>
  <c r="W89" i="12"/>
  <c r="X89" i="12"/>
  <c r="Y89" i="12"/>
  <c r="AB89" i="12"/>
  <c r="AE89" i="12"/>
  <c r="AH89" i="12"/>
  <c r="AI89" i="12"/>
  <c r="AJ89" i="12"/>
  <c r="AM89" i="12"/>
  <c r="AP89" i="12"/>
  <c r="AS89" i="12"/>
  <c r="AU89" i="12"/>
  <c r="AV89" i="12"/>
  <c r="AX89" i="12" s="1"/>
  <c r="AW89" i="12"/>
  <c r="AY89" i="12"/>
  <c r="AZ89" i="12" s="1"/>
  <c r="BA89" i="12" s="1"/>
  <c r="BB89" i="12" s="1"/>
  <c r="F90" i="12"/>
  <c r="I90" i="12"/>
  <c r="L90" i="12"/>
  <c r="M90" i="12"/>
  <c r="N90" i="12"/>
  <c r="Q90" i="12"/>
  <c r="T90" i="12"/>
  <c r="W90" i="12"/>
  <c r="X90" i="12"/>
  <c r="Y90" i="12"/>
  <c r="AB90" i="12"/>
  <c r="AE90" i="12"/>
  <c r="AH90" i="12"/>
  <c r="AI90" i="12"/>
  <c r="AJ90" i="12"/>
  <c r="AM90" i="12"/>
  <c r="AP90" i="12"/>
  <c r="AS90" i="12"/>
  <c r="AU90" i="12"/>
  <c r="AV90" i="12"/>
  <c r="AX90" i="12" s="1"/>
  <c r="AW90" i="12"/>
  <c r="AY90" i="12"/>
  <c r="AZ90" i="12" s="1"/>
  <c r="BA90" i="12" s="1"/>
  <c r="BB90" i="12" s="1"/>
  <c r="F91" i="12"/>
  <c r="F93" i="12" s="1"/>
  <c r="I91" i="12"/>
  <c r="L91" i="12"/>
  <c r="L137" i="12" s="1"/>
  <c r="M91" i="12"/>
  <c r="N91" i="12"/>
  <c r="Q91" i="12"/>
  <c r="T91" i="12"/>
  <c r="W91" i="12"/>
  <c r="X91" i="12"/>
  <c r="Y91" i="12"/>
  <c r="AB91" i="12"/>
  <c r="AB137" i="12" s="1"/>
  <c r="AE91" i="12"/>
  <c r="AH91" i="12"/>
  <c r="AI91" i="12"/>
  <c r="AJ91" i="12"/>
  <c r="AM91" i="12"/>
  <c r="AP91" i="12"/>
  <c r="AP93" i="12" s="1"/>
  <c r="AS91" i="12"/>
  <c r="AU91" i="12"/>
  <c r="AV91" i="12"/>
  <c r="AX91" i="12" s="1"/>
  <c r="AW91" i="12"/>
  <c r="AY91" i="12"/>
  <c r="AZ91" i="12" s="1"/>
  <c r="BA91" i="12" s="1"/>
  <c r="BB91" i="12" s="1"/>
  <c r="F92" i="12"/>
  <c r="I92" i="12"/>
  <c r="L92" i="12"/>
  <c r="M92" i="12"/>
  <c r="N92" i="12"/>
  <c r="Q92" i="12"/>
  <c r="T92" i="12"/>
  <c r="W92" i="12"/>
  <c r="X92" i="12"/>
  <c r="Y92" i="12"/>
  <c r="Z92" i="12"/>
  <c r="AE92" i="12"/>
  <c r="AH92" i="12"/>
  <c r="AJ92" i="12"/>
  <c r="AM92" i="12"/>
  <c r="AP92" i="12"/>
  <c r="AS92" i="12"/>
  <c r="AU92" i="12"/>
  <c r="AW92" i="12"/>
  <c r="AY92" i="12"/>
  <c r="AZ92" i="12" s="1"/>
  <c r="D93" i="12"/>
  <c r="E93" i="12"/>
  <c r="G93" i="12"/>
  <c r="H93" i="12"/>
  <c r="J93" i="12"/>
  <c r="K93" i="12"/>
  <c r="L93" i="12"/>
  <c r="N93" i="12"/>
  <c r="O93" i="12"/>
  <c r="P93" i="12"/>
  <c r="R93" i="12"/>
  <c r="S93" i="12"/>
  <c r="U93" i="12"/>
  <c r="V93" i="12"/>
  <c r="X93" i="12"/>
  <c r="AA93" i="12"/>
  <c r="AC93" i="12"/>
  <c r="AD93" i="12"/>
  <c r="AF93" i="12"/>
  <c r="AG93" i="12"/>
  <c r="AH93" i="12"/>
  <c r="AK93" i="12"/>
  <c r="AL93" i="12"/>
  <c r="AN93" i="12"/>
  <c r="AO93" i="12"/>
  <c r="AQ93" i="12"/>
  <c r="AR93" i="12"/>
  <c r="AT93" i="12"/>
  <c r="F94" i="12"/>
  <c r="I94" i="12"/>
  <c r="L94" i="12"/>
  <c r="M94" i="12"/>
  <c r="N94" i="12"/>
  <c r="Q94" i="12"/>
  <c r="T94" i="12"/>
  <c r="W94" i="12"/>
  <c r="X94" i="12"/>
  <c r="Y94" i="12"/>
  <c r="AB94" i="12"/>
  <c r="AE94" i="12"/>
  <c r="AH94" i="12"/>
  <c r="AI94" i="12"/>
  <c r="AI96" i="12" s="1"/>
  <c r="AJ94" i="12"/>
  <c r="AM94" i="12"/>
  <c r="AP94" i="12"/>
  <c r="AS94" i="12"/>
  <c r="AU94" i="12"/>
  <c r="AV94" i="12"/>
  <c r="AW94" i="12"/>
  <c r="AY94" i="12" s="1"/>
  <c r="F95" i="12"/>
  <c r="I95" i="12"/>
  <c r="L95" i="12"/>
  <c r="M95" i="12"/>
  <c r="N95" i="12"/>
  <c r="Q95" i="12"/>
  <c r="T95" i="12"/>
  <c r="W95" i="12"/>
  <c r="X95" i="12"/>
  <c r="Y95" i="12"/>
  <c r="AB95" i="12"/>
  <c r="AE95" i="12"/>
  <c r="AH95" i="12"/>
  <c r="AI95" i="12"/>
  <c r="AJ95" i="12"/>
  <c r="AM95" i="12"/>
  <c r="AP95" i="12"/>
  <c r="AS95" i="12"/>
  <c r="AU95" i="12"/>
  <c r="AU96" i="12" s="1"/>
  <c r="AV95" i="12"/>
  <c r="AW95" i="12"/>
  <c r="D96" i="12"/>
  <c r="E96" i="12"/>
  <c r="G96" i="12"/>
  <c r="H96" i="12"/>
  <c r="I96" i="12"/>
  <c r="J96" i="12"/>
  <c r="K96" i="12"/>
  <c r="L96" i="12"/>
  <c r="M96" i="12"/>
  <c r="O96" i="12"/>
  <c r="P96" i="12"/>
  <c r="Q96" i="12"/>
  <c r="R96" i="12"/>
  <c r="S96" i="12"/>
  <c r="T96" i="12"/>
  <c r="U96" i="12"/>
  <c r="V96" i="12"/>
  <c r="W96" i="12"/>
  <c r="Y96" i="12"/>
  <c r="Z96" i="12"/>
  <c r="AA96" i="12"/>
  <c r="AB96" i="12"/>
  <c r="AC96" i="12"/>
  <c r="AD96" i="12"/>
  <c r="AE96" i="12"/>
  <c r="AF96" i="12"/>
  <c r="AG96" i="12"/>
  <c r="AJ96" i="12"/>
  <c r="AK96" i="12"/>
  <c r="AL96" i="12"/>
  <c r="AM96" i="12"/>
  <c r="AN96" i="12"/>
  <c r="AO96" i="12"/>
  <c r="AQ96" i="12"/>
  <c r="AR96" i="12"/>
  <c r="AS96" i="12"/>
  <c r="AT96" i="12"/>
  <c r="F97" i="12"/>
  <c r="H97" i="12"/>
  <c r="I97" i="12"/>
  <c r="I99" i="12" s="1"/>
  <c r="L97" i="12"/>
  <c r="M97" i="12"/>
  <c r="N97" i="12"/>
  <c r="Q97" i="12"/>
  <c r="Q99" i="12" s="1"/>
  <c r="T97" i="12"/>
  <c r="W97" i="12"/>
  <c r="X97" i="12"/>
  <c r="Y97" i="12"/>
  <c r="Y99" i="12" s="1"/>
  <c r="AB97" i="12"/>
  <c r="AE97" i="12"/>
  <c r="AH97" i="12"/>
  <c r="AI97" i="12"/>
  <c r="AI99" i="12" s="1"/>
  <c r="AJ97" i="12"/>
  <c r="AM97" i="12"/>
  <c r="AP97" i="12"/>
  <c r="AS97" i="12"/>
  <c r="AS99" i="12" s="1"/>
  <c r="AT97" i="12"/>
  <c r="AU97" i="12"/>
  <c r="AV97" i="12"/>
  <c r="AW97" i="12"/>
  <c r="F98" i="12"/>
  <c r="I98" i="12"/>
  <c r="L98" i="12"/>
  <c r="L99" i="12" s="1"/>
  <c r="M98" i="12"/>
  <c r="M99" i="12" s="1"/>
  <c r="N98" i="12"/>
  <c r="N99" i="12" s="1"/>
  <c r="Q98" i="12"/>
  <c r="T98" i="12"/>
  <c r="T99" i="12" s="1"/>
  <c r="W98" i="12"/>
  <c r="W99" i="12" s="1"/>
  <c r="X98" i="12"/>
  <c r="X99" i="12" s="1"/>
  <c r="Y98" i="12"/>
  <c r="AB98" i="12"/>
  <c r="AB99" i="12" s="1"/>
  <c r="AE98" i="12"/>
  <c r="AH98" i="12"/>
  <c r="AH99" i="12" s="1"/>
  <c r="AI98" i="12"/>
  <c r="AJ98" i="12"/>
  <c r="AJ99" i="12" s="1"/>
  <c r="AM98" i="12"/>
  <c r="AM99" i="12" s="1"/>
  <c r="AP98" i="12"/>
  <c r="AP99" i="12" s="1"/>
  <c r="AS98" i="12"/>
  <c r="AT98" i="12"/>
  <c r="AT99" i="12" s="1"/>
  <c r="AU98" i="12"/>
  <c r="AV98" i="12"/>
  <c r="AV99" i="12" s="1"/>
  <c r="AW98" i="12"/>
  <c r="AX98" i="12"/>
  <c r="AY98" i="12"/>
  <c r="AZ98" i="12" s="1"/>
  <c r="BA98" i="12" s="1"/>
  <c r="BB98" i="12" s="1"/>
  <c r="D99" i="12"/>
  <c r="E99" i="12"/>
  <c r="G99" i="12"/>
  <c r="H99" i="12"/>
  <c r="J99" i="12"/>
  <c r="K99" i="12"/>
  <c r="O99" i="12"/>
  <c r="P99" i="12"/>
  <c r="R99" i="12"/>
  <c r="S99" i="12"/>
  <c r="U99" i="12"/>
  <c r="V99" i="12"/>
  <c r="Z99" i="12"/>
  <c r="AA99" i="12"/>
  <c r="AC99" i="12"/>
  <c r="AD99" i="12"/>
  <c r="AE99" i="12"/>
  <c r="AF99" i="12"/>
  <c r="AG99" i="12"/>
  <c r="AK99" i="12"/>
  <c r="AL99" i="12"/>
  <c r="AN99" i="12"/>
  <c r="AO99" i="12"/>
  <c r="AQ99" i="12"/>
  <c r="AR99" i="12"/>
  <c r="AU99" i="12"/>
  <c r="F100" i="12"/>
  <c r="I100" i="12"/>
  <c r="L100" i="12"/>
  <c r="M100" i="12"/>
  <c r="N100" i="12"/>
  <c r="Q100" i="12"/>
  <c r="T100" i="12"/>
  <c r="W100" i="12"/>
  <c r="X100" i="12"/>
  <c r="Y100" i="12"/>
  <c r="AB100" i="12"/>
  <c r="AE100" i="12"/>
  <c r="AH100" i="12"/>
  <c r="AI100" i="12"/>
  <c r="AJ100" i="12"/>
  <c r="AM100" i="12"/>
  <c r="AP100" i="12"/>
  <c r="AS100" i="12"/>
  <c r="AU100" i="12"/>
  <c r="AV100" i="12"/>
  <c r="AW100" i="12"/>
  <c r="AY100" i="12"/>
  <c r="AZ100" i="12" s="1"/>
  <c r="F101" i="12"/>
  <c r="H101" i="12"/>
  <c r="I101" i="12" s="1"/>
  <c r="K101" i="12"/>
  <c r="AW101" i="12" s="1"/>
  <c r="M101" i="12"/>
  <c r="Q101" i="12"/>
  <c r="Q138" i="12" s="1"/>
  <c r="T101" i="12"/>
  <c r="V101" i="12"/>
  <c r="W101" i="12" s="1"/>
  <c r="X101" i="12"/>
  <c r="Y101" i="12"/>
  <c r="AB101" i="12"/>
  <c r="AE101" i="12"/>
  <c r="AH101" i="12"/>
  <c r="AH138" i="12" s="1"/>
  <c r="AI101" i="12"/>
  <c r="AJ101" i="12"/>
  <c r="AM101" i="12"/>
  <c r="AP101" i="12"/>
  <c r="AP138" i="12" s="1"/>
  <c r="AS101" i="12"/>
  <c r="AU101" i="12"/>
  <c r="AV101" i="12"/>
  <c r="F102" i="12"/>
  <c r="I102" i="12"/>
  <c r="L102" i="12"/>
  <c r="M102" i="12"/>
  <c r="N102" i="12"/>
  <c r="Q102" i="12"/>
  <c r="T102" i="12"/>
  <c r="W102" i="12"/>
  <c r="X102" i="12"/>
  <c r="Y102" i="12"/>
  <c r="AB102" i="12"/>
  <c r="AE102" i="12"/>
  <c r="AH102" i="12"/>
  <c r="AI102" i="12"/>
  <c r="AJ102" i="12"/>
  <c r="AM102" i="12"/>
  <c r="AP102" i="12"/>
  <c r="AS102" i="12"/>
  <c r="AU102" i="12"/>
  <c r="AV102" i="12"/>
  <c r="AW102" i="12"/>
  <c r="AY102" i="12" s="1"/>
  <c r="AZ102" i="12" s="1"/>
  <c r="BA102" i="12" s="1"/>
  <c r="BB102" i="12" s="1"/>
  <c r="F103" i="12"/>
  <c r="I103" i="12"/>
  <c r="L103" i="12"/>
  <c r="M103" i="12"/>
  <c r="N103" i="12"/>
  <c r="Q103" i="12"/>
  <c r="T103" i="12"/>
  <c r="W103" i="12"/>
  <c r="X103" i="12"/>
  <c r="Y103" i="12"/>
  <c r="AB103" i="12"/>
  <c r="AE103" i="12"/>
  <c r="AH103" i="12"/>
  <c r="AI103" i="12"/>
  <c r="AJ103" i="12"/>
  <c r="AM103" i="12"/>
  <c r="AP103" i="12"/>
  <c r="AS103" i="12"/>
  <c r="AU103" i="12"/>
  <c r="AV103" i="12"/>
  <c r="AW103" i="12"/>
  <c r="AY103" i="12" s="1"/>
  <c r="AZ103" i="12" s="1"/>
  <c r="BA103" i="12" s="1"/>
  <c r="BB103" i="12" s="1"/>
  <c r="F104" i="12"/>
  <c r="F137" i="12" s="1"/>
  <c r="I104" i="12"/>
  <c r="L104" i="12"/>
  <c r="M104" i="12"/>
  <c r="N104" i="12"/>
  <c r="Q104" i="12"/>
  <c r="T104" i="12"/>
  <c r="W104" i="12"/>
  <c r="X104" i="12"/>
  <c r="Y104" i="12"/>
  <c r="AB104" i="12"/>
  <c r="AE104" i="12"/>
  <c r="AH104" i="12"/>
  <c r="AH137" i="12" s="1"/>
  <c r="AI104" i="12"/>
  <c r="AJ104" i="12"/>
  <c r="AM104" i="12"/>
  <c r="AP104" i="12"/>
  <c r="AP137" i="12" s="1"/>
  <c r="AS104" i="12"/>
  <c r="AU104" i="12"/>
  <c r="AV104" i="12"/>
  <c r="AW104" i="12"/>
  <c r="AY104" i="12" s="1"/>
  <c r="AZ104" i="12" s="1"/>
  <c r="BA104" i="12" s="1"/>
  <c r="BB104" i="12" s="1"/>
  <c r="F105" i="12"/>
  <c r="I105" i="12"/>
  <c r="L105" i="12"/>
  <c r="M105" i="12"/>
  <c r="N105" i="12"/>
  <c r="Q105" i="12"/>
  <c r="T105" i="12"/>
  <c r="W105" i="12"/>
  <c r="X105" i="12"/>
  <c r="Y105" i="12"/>
  <c r="AB105" i="12"/>
  <c r="AE105" i="12"/>
  <c r="AH105" i="12"/>
  <c r="AI105" i="12"/>
  <c r="AJ105" i="12"/>
  <c r="AM105" i="12"/>
  <c r="AP105" i="12"/>
  <c r="AS105" i="12"/>
  <c r="AU105" i="12"/>
  <c r="AV105" i="12"/>
  <c r="AW105" i="12"/>
  <c r="AY105" i="12" s="1"/>
  <c r="AZ105" i="12" s="1"/>
  <c r="BA105" i="12" s="1"/>
  <c r="BB105" i="12" s="1"/>
  <c r="D106" i="12"/>
  <c r="E106" i="12"/>
  <c r="G106" i="12"/>
  <c r="H106" i="12"/>
  <c r="J106" i="12"/>
  <c r="M106" i="12"/>
  <c r="O106" i="12"/>
  <c r="P106" i="12"/>
  <c r="R106" i="12"/>
  <c r="S106" i="12"/>
  <c r="U106" i="12"/>
  <c r="V106" i="12"/>
  <c r="Y106" i="12"/>
  <c r="Z106" i="12"/>
  <c r="AA106" i="12"/>
  <c r="AC106" i="12"/>
  <c r="AD106" i="12"/>
  <c r="AD118" i="12" s="1"/>
  <c r="AD123" i="12" s="1"/>
  <c r="AD130" i="12" s="1"/>
  <c r="AE106" i="12"/>
  <c r="AF106" i="12"/>
  <c r="AG106" i="12"/>
  <c r="AI106" i="12"/>
  <c r="AK106" i="12"/>
  <c r="AL106" i="12"/>
  <c r="AM106" i="12"/>
  <c r="AN106" i="12"/>
  <c r="AO106" i="12"/>
  <c r="AQ106" i="12"/>
  <c r="AR106" i="12"/>
  <c r="AS106" i="12"/>
  <c r="AT106" i="12"/>
  <c r="AU106" i="12"/>
  <c r="F107" i="12"/>
  <c r="I107" i="12"/>
  <c r="L107" i="12"/>
  <c r="M107" i="12"/>
  <c r="N107" i="12"/>
  <c r="Q107" i="12"/>
  <c r="T107" i="12"/>
  <c r="W107" i="12"/>
  <c r="X107" i="12"/>
  <c r="Y107" i="12"/>
  <c r="AB107" i="12"/>
  <c r="AC107" i="12"/>
  <c r="AH107" i="12"/>
  <c r="AJ107" i="12"/>
  <c r="AJ117" i="12" s="1"/>
  <c r="AM107" i="12"/>
  <c r="AP107" i="12"/>
  <c r="AQ107" i="12"/>
  <c r="AS107" i="12" s="1"/>
  <c r="AU107" i="12"/>
  <c r="AU117" i="12" s="1"/>
  <c r="AW107" i="12"/>
  <c r="AY107" i="12" s="1"/>
  <c r="AZ107" i="12" s="1"/>
  <c r="E108" i="12"/>
  <c r="F108" i="12" s="1"/>
  <c r="I108" i="12"/>
  <c r="K108" i="12"/>
  <c r="L108" i="12" s="1"/>
  <c r="M108" i="12"/>
  <c r="N108" i="12"/>
  <c r="Q108" i="12"/>
  <c r="T108" i="12"/>
  <c r="W108" i="12"/>
  <c r="X108" i="12"/>
  <c r="X117" i="12" s="1"/>
  <c r="Y108" i="12"/>
  <c r="AB108" i="12"/>
  <c r="AC108" i="12"/>
  <c r="AE108" i="12"/>
  <c r="AH108" i="12"/>
  <c r="AI108" i="12"/>
  <c r="AJ108" i="12"/>
  <c r="AM108" i="12"/>
  <c r="AP108" i="12"/>
  <c r="AS108" i="12"/>
  <c r="AU108" i="12"/>
  <c r="AV108" i="12"/>
  <c r="E109" i="12"/>
  <c r="F109" i="12" s="1"/>
  <c r="F151" i="12" s="1"/>
  <c r="I109" i="12"/>
  <c r="L109" i="12"/>
  <c r="M109" i="12"/>
  <c r="Q109" i="12"/>
  <c r="T109" i="12"/>
  <c r="T117" i="12" s="1"/>
  <c r="V109" i="12"/>
  <c r="W109" i="12" s="1"/>
  <c r="X109" i="12"/>
  <c r="Y109" i="12"/>
  <c r="AB109" i="12"/>
  <c r="AE109" i="12"/>
  <c r="AH109" i="12"/>
  <c r="AI109" i="12"/>
  <c r="AJ109" i="12"/>
  <c r="AM109" i="12"/>
  <c r="AP109" i="12"/>
  <c r="AS109" i="12"/>
  <c r="AS151" i="12" s="1"/>
  <c r="AU109" i="12"/>
  <c r="AV109" i="12"/>
  <c r="E110" i="12"/>
  <c r="F110" i="12"/>
  <c r="H110" i="12"/>
  <c r="I110" i="12" s="1"/>
  <c r="K110" i="12"/>
  <c r="L110" i="12"/>
  <c r="M110" i="12"/>
  <c r="Q110" i="12"/>
  <c r="T110" i="12"/>
  <c r="V110" i="12"/>
  <c r="W110" i="12" s="1"/>
  <c r="W161" i="12" s="1"/>
  <c r="X110" i="12"/>
  <c r="Y110" i="12"/>
  <c r="AB110" i="12"/>
  <c r="AE110" i="12"/>
  <c r="AH110" i="12"/>
  <c r="AI110" i="12"/>
  <c r="AJ110" i="12"/>
  <c r="AM110" i="12"/>
  <c r="AP110" i="12"/>
  <c r="AS110" i="12"/>
  <c r="AU110" i="12"/>
  <c r="AV110" i="12"/>
  <c r="F111" i="12"/>
  <c r="I111" i="12"/>
  <c r="I146" i="12" s="1"/>
  <c r="L111" i="12"/>
  <c r="M111" i="12"/>
  <c r="N111" i="12"/>
  <c r="Q111" i="12"/>
  <c r="T111" i="12"/>
  <c r="W111" i="12"/>
  <c r="X111" i="12"/>
  <c r="Y111" i="12"/>
  <c r="AB111" i="12"/>
  <c r="AE111" i="12"/>
  <c r="AH111" i="12"/>
  <c r="AI111" i="12"/>
  <c r="AJ111" i="12"/>
  <c r="AM111" i="12"/>
  <c r="AP111" i="12"/>
  <c r="AS111" i="12"/>
  <c r="AS146" i="12" s="1"/>
  <c r="AU111" i="12"/>
  <c r="AV111" i="12"/>
  <c r="AW111" i="12"/>
  <c r="AX111" i="12"/>
  <c r="AY111" i="12"/>
  <c r="AZ111" i="12" s="1"/>
  <c r="BA111" i="12" s="1"/>
  <c r="BB111" i="12" s="1"/>
  <c r="F112" i="12"/>
  <c r="I112" i="12"/>
  <c r="L112" i="12"/>
  <c r="M112" i="12"/>
  <c r="N112" i="12"/>
  <c r="Q112" i="12"/>
  <c r="T112" i="12"/>
  <c r="V112" i="12"/>
  <c r="W112" i="12" s="1"/>
  <c r="W145" i="12" s="1"/>
  <c r="X112" i="12"/>
  <c r="AB112" i="12"/>
  <c r="AB117" i="12" s="1"/>
  <c r="AE112" i="12"/>
  <c r="AH112" i="12"/>
  <c r="AI112" i="12"/>
  <c r="AJ112" i="12"/>
  <c r="AM112" i="12"/>
  <c r="AP112" i="12"/>
  <c r="AS112" i="12"/>
  <c r="AU112" i="12"/>
  <c r="AV112" i="12"/>
  <c r="AW112" i="12"/>
  <c r="AY112" i="12" s="1"/>
  <c r="AZ112" i="12" s="1"/>
  <c r="BA112" i="12" s="1"/>
  <c r="BB112" i="12" s="1"/>
  <c r="E113" i="12"/>
  <c r="F113" i="12" s="1"/>
  <c r="F174" i="12" s="1"/>
  <c r="H113" i="12"/>
  <c r="I113" i="12" s="1"/>
  <c r="I174" i="12" s="1"/>
  <c r="K113" i="12"/>
  <c r="L113" i="12" s="1"/>
  <c r="M113" i="12"/>
  <c r="Q113" i="12"/>
  <c r="T113" i="12"/>
  <c r="W113" i="12"/>
  <c r="X113" i="12"/>
  <c r="Y113" i="12"/>
  <c r="AB113" i="12"/>
  <c r="AE113" i="12"/>
  <c r="AH113" i="12"/>
  <c r="AI113" i="12"/>
  <c r="AJ113" i="12"/>
  <c r="AM113" i="12"/>
  <c r="AP113" i="12"/>
  <c r="AS113" i="12"/>
  <c r="AU113" i="12"/>
  <c r="AV113" i="12"/>
  <c r="F114" i="12"/>
  <c r="H114" i="12"/>
  <c r="L114" i="12"/>
  <c r="M114" i="12"/>
  <c r="Q114" i="12"/>
  <c r="Q141" i="12" s="1"/>
  <c r="T114" i="12"/>
  <c r="W114" i="12"/>
  <c r="X114" i="12"/>
  <c r="Y114" i="12"/>
  <c r="AB114" i="12"/>
  <c r="AE114" i="12"/>
  <c r="AH114" i="12"/>
  <c r="AI114" i="12"/>
  <c r="AJ114" i="12"/>
  <c r="AM114" i="12"/>
  <c r="AP114" i="12"/>
  <c r="AS114" i="12"/>
  <c r="AU114" i="12"/>
  <c r="AV114" i="12"/>
  <c r="F115" i="12"/>
  <c r="I115" i="12"/>
  <c r="L115" i="12"/>
  <c r="M115" i="12"/>
  <c r="N115" i="12"/>
  <c r="Q115" i="12"/>
  <c r="T115" i="12"/>
  <c r="W115" i="12"/>
  <c r="X115" i="12"/>
  <c r="Y115" i="12"/>
  <c r="AB115" i="12"/>
  <c r="AE115" i="12"/>
  <c r="AH115" i="12"/>
  <c r="AH117" i="12" s="1"/>
  <c r="AI115" i="12"/>
  <c r="AJ115" i="12"/>
  <c r="AM115" i="12"/>
  <c r="AP115" i="12"/>
  <c r="AS115" i="12"/>
  <c r="AU115" i="12"/>
  <c r="AV115" i="12"/>
  <c r="AW115" i="12"/>
  <c r="AY115" i="12" s="1"/>
  <c r="AZ115" i="12" s="1"/>
  <c r="BA115" i="12" s="1"/>
  <c r="BB115" i="12" s="1"/>
  <c r="E116" i="12"/>
  <c r="F116" i="12" s="1"/>
  <c r="H116" i="12"/>
  <c r="K116" i="12"/>
  <c r="L116" i="12" s="1"/>
  <c r="M116" i="12"/>
  <c r="Q116" i="12"/>
  <c r="T116" i="12"/>
  <c r="V116" i="12"/>
  <c r="W116" i="12" s="1"/>
  <c r="X116" i="12"/>
  <c r="AB116" i="12"/>
  <c r="AE116" i="12"/>
  <c r="AH116" i="12"/>
  <c r="AI116" i="12"/>
  <c r="AJ116" i="12"/>
  <c r="AM116" i="12"/>
  <c r="AP116" i="12"/>
  <c r="AS116" i="12"/>
  <c r="AU116" i="12"/>
  <c r="AV116" i="12"/>
  <c r="D117" i="12"/>
  <c r="G117" i="12"/>
  <c r="J117" i="12"/>
  <c r="O117" i="12"/>
  <c r="P117" i="12"/>
  <c r="R117" i="12"/>
  <c r="S117" i="12"/>
  <c r="U117" i="12"/>
  <c r="V117" i="12"/>
  <c r="Z117" i="12"/>
  <c r="AA117" i="12"/>
  <c r="AD117" i="12"/>
  <c r="AF117" i="12"/>
  <c r="AG117" i="12"/>
  <c r="AG118" i="12" s="1"/>
  <c r="AG123" i="12" s="1"/>
  <c r="AG130" i="12" s="1"/>
  <c r="AK117" i="12"/>
  <c r="AL117" i="12"/>
  <c r="AN117" i="12"/>
  <c r="AO117" i="12"/>
  <c r="AP117" i="12"/>
  <c r="AR117" i="12"/>
  <c r="AT117" i="12"/>
  <c r="AA118" i="12"/>
  <c r="AA123" i="12" s="1"/>
  <c r="AA130" i="12" s="1"/>
  <c r="M119" i="12"/>
  <c r="N119" i="12"/>
  <c r="X119" i="12"/>
  <c r="Y119" i="12"/>
  <c r="AI119" i="12"/>
  <c r="AJ119" i="12"/>
  <c r="AU119" i="12"/>
  <c r="AX119" i="12"/>
  <c r="F120" i="12"/>
  <c r="F122" i="12" s="1"/>
  <c r="I120" i="12"/>
  <c r="L120" i="12"/>
  <c r="M120" i="12"/>
  <c r="M122" i="12" s="1"/>
  <c r="N120" i="12"/>
  <c r="N122" i="12" s="1"/>
  <c r="Q120" i="12"/>
  <c r="T120" i="12"/>
  <c r="W120" i="12"/>
  <c r="W122" i="12" s="1"/>
  <c r="X120" i="12"/>
  <c r="Y120" i="12"/>
  <c r="AB120" i="12"/>
  <c r="AE120" i="12"/>
  <c r="AE122" i="12" s="1"/>
  <c r="AH120" i="12"/>
  <c r="AH122" i="12" s="1"/>
  <c r="AI120" i="12"/>
  <c r="AJ120" i="12"/>
  <c r="AM120" i="12"/>
  <c r="AP120" i="12"/>
  <c r="AP122" i="12" s="1"/>
  <c r="AS120" i="12"/>
  <c r="AU120" i="12"/>
  <c r="AV120" i="12"/>
  <c r="AW120" i="12"/>
  <c r="AY120" i="12" s="1"/>
  <c r="AZ120" i="12"/>
  <c r="BA120" i="12" s="1"/>
  <c r="F121" i="12"/>
  <c r="I121" i="12"/>
  <c r="L121" i="12"/>
  <c r="M121" i="12"/>
  <c r="N121" i="12"/>
  <c r="Q121" i="12"/>
  <c r="T121" i="12"/>
  <c r="W121" i="12"/>
  <c r="X121" i="12"/>
  <c r="Y121" i="12"/>
  <c r="AB121" i="12"/>
  <c r="AE121" i="12"/>
  <c r="AH121" i="12"/>
  <c r="AI121" i="12"/>
  <c r="AJ121" i="12"/>
  <c r="AM121" i="12"/>
  <c r="AP121" i="12"/>
  <c r="AS121" i="12"/>
  <c r="AU121" i="12"/>
  <c r="AV121" i="12"/>
  <c r="AX121" i="12" s="1"/>
  <c r="AW121" i="12"/>
  <c r="AY121" i="12" s="1"/>
  <c r="AZ121" i="12" s="1"/>
  <c r="BA121" i="12" s="1"/>
  <c r="BB121" i="12" s="1"/>
  <c r="D122" i="12"/>
  <c r="E122" i="12"/>
  <c r="G122" i="12"/>
  <c r="H122" i="12"/>
  <c r="I122" i="12"/>
  <c r="J122" i="12"/>
  <c r="K122" i="12"/>
  <c r="L122" i="12"/>
  <c r="O122" i="12"/>
  <c r="P122" i="12"/>
  <c r="Q122" i="12"/>
  <c r="R122" i="12"/>
  <c r="S122" i="12"/>
  <c r="T122" i="12"/>
  <c r="U122" i="12"/>
  <c r="V122" i="12"/>
  <c r="X122" i="12"/>
  <c r="Y122" i="12"/>
  <c r="Z122" i="12"/>
  <c r="AA122" i="12"/>
  <c r="AB122" i="12"/>
  <c r="AC122" i="12"/>
  <c r="AD122" i="12"/>
  <c r="AF122" i="12"/>
  <c r="AG122" i="12"/>
  <c r="AI122" i="12"/>
  <c r="AJ122" i="12"/>
  <c r="AK122" i="12"/>
  <c r="AL122" i="12"/>
  <c r="AM122" i="12"/>
  <c r="AN122" i="12"/>
  <c r="AO122" i="12"/>
  <c r="AQ122" i="12"/>
  <c r="AR122" i="12"/>
  <c r="AS122" i="12"/>
  <c r="AT122" i="12"/>
  <c r="AU122" i="12"/>
  <c r="AW122" i="12"/>
  <c r="M124" i="12"/>
  <c r="AX124" i="12" s="1"/>
  <c r="N124" i="12"/>
  <c r="X124" i="12"/>
  <c r="Y124" i="12"/>
  <c r="AI124" i="12"/>
  <c r="AJ124" i="12"/>
  <c r="AU124" i="12"/>
  <c r="F125" i="12"/>
  <c r="I125" i="12"/>
  <c r="I128" i="12" s="1"/>
  <c r="L125" i="12"/>
  <c r="M125" i="12"/>
  <c r="N125" i="12"/>
  <c r="Q125" i="12"/>
  <c r="Q128" i="12" s="1"/>
  <c r="T125" i="12"/>
  <c r="W125" i="12"/>
  <c r="X125" i="12"/>
  <c r="Y125" i="12"/>
  <c r="Y128" i="12" s="1"/>
  <c r="AB125" i="12"/>
  <c r="AE125" i="12"/>
  <c r="AH125" i="12"/>
  <c r="AI125" i="12"/>
  <c r="AJ125" i="12"/>
  <c r="AM125" i="12"/>
  <c r="AP125" i="12"/>
  <c r="AS125" i="12"/>
  <c r="AS128" i="12" s="1"/>
  <c r="AU125" i="12"/>
  <c r="AV125" i="12"/>
  <c r="AW125" i="12"/>
  <c r="F126" i="12"/>
  <c r="I126" i="12"/>
  <c r="L126" i="12"/>
  <c r="L128" i="12" s="1"/>
  <c r="M126" i="12"/>
  <c r="M128" i="12" s="1"/>
  <c r="N126" i="12"/>
  <c r="Q126" i="12"/>
  <c r="T126" i="12"/>
  <c r="T128" i="12" s="1"/>
  <c r="W126" i="12"/>
  <c r="X126" i="12"/>
  <c r="Y126" i="12"/>
  <c r="AB126" i="12"/>
  <c r="AB128" i="12" s="1"/>
  <c r="AE126" i="12"/>
  <c r="AH126" i="12"/>
  <c r="AI126" i="12"/>
  <c r="AJ126" i="12"/>
  <c r="AJ128" i="12" s="1"/>
  <c r="AM126" i="12"/>
  <c r="AP126" i="12"/>
  <c r="AS126" i="12"/>
  <c r="AU126" i="12"/>
  <c r="AV126" i="12"/>
  <c r="AW126" i="12"/>
  <c r="AY126" i="12" s="1"/>
  <c r="AZ126" i="12" s="1"/>
  <c r="BA126" i="12" s="1"/>
  <c r="BB126" i="12" s="1"/>
  <c r="F127" i="12"/>
  <c r="I127" i="12"/>
  <c r="L127" i="12"/>
  <c r="M127" i="12"/>
  <c r="N127" i="12"/>
  <c r="N128" i="12" s="1"/>
  <c r="Q127" i="12"/>
  <c r="T127" i="12"/>
  <c r="W127" i="12"/>
  <c r="X127" i="12"/>
  <c r="Y127" i="12"/>
  <c r="AB127" i="12"/>
  <c r="AE127" i="12"/>
  <c r="AH127" i="12"/>
  <c r="AI127" i="12"/>
  <c r="AJ127" i="12"/>
  <c r="AM127" i="12"/>
  <c r="AP127" i="12"/>
  <c r="AP128" i="12" s="1"/>
  <c r="AS127" i="12"/>
  <c r="AU127" i="12"/>
  <c r="AV127" i="12"/>
  <c r="AW127" i="12"/>
  <c r="AY127" i="12" s="1"/>
  <c r="AZ127" i="12" s="1"/>
  <c r="BA127" i="12" s="1"/>
  <c r="BB127" i="12" s="1"/>
  <c r="D128" i="12"/>
  <c r="E128" i="12"/>
  <c r="G128" i="12"/>
  <c r="H128" i="12"/>
  <c r="J128" i="12"/>
  <c r="K128" i="12"/>
  <c r="O128" i="12"/>
  <c r="P128" i="12"/>
  <c r="R128" i="12"/>
  <c r="S128" i="12"/>
  <c r="U128" i="12"/>
  <c r="V128" i="12"/>
  <c r="W128" i="12"/>
  <c r="Z128" i="12"/>
  <c r="AA128" i="12"/>
  <c r="AC128" i="12"/>
  <c r="AD128" i="12"/>
  <c r="AE128" i="12"/>
  <c r="AF128" i="12"/>
  <c r="AG128" i="12"/>
  <c r="AI128" i="12"/>
  <c r="AK128" i="12"/>
  <c r="AL128" i="12"/>
  <c r="AM128" i="12"/>
  <c r="AN128" i="12"/>
  <c r="AO128" i="12"/>
  <c r="AQ128" i="12"/>
  <c r="AR128" i="12"/>
  <c r="AT128" i="12"/>
  <c r="AV128" i="12"/>
  <c r="M129" i="12"/>
  <c r="N129" i="12"/>
  <c r="X129" i="12"/>
  <c r="Y129" i="12"/>
  <c r="AI129" i="12"/>
  <c r="AJ129" i="12"/>
  <c r="AT129" i="12"/>
  <c r="AU129" i="12"/>
  <c r="M131" i="12"/>
  <c r="N131" i="12"/>
  <c r="X131" i="12"/>
  <c r="Y131" i="12"/>
  <c r="AI131" i="12"/>
  <c r="AJ131" i="12"/>
  <c r="AT131" i="12"/>
  <c r="AU131" i="12"/>
  <c r="AX131" i="12"/>
  <c r="F132" i="12"/>
  <c r="I132" i="12"/>
  <c r="L132" i="12"/>
  <c r="M132" i="12"/>
  <c r="N132" i="12"/>
  <c r="Q132" i="12"/>
  <c r="T132" i="12"/>
  <c r="W132" i="12"/>
  <c r="X132" i="12"/>
  <c r="Y132" i="12"/>
  <c r="AB132" i="12"/>
  <c r="AE132" i="12"/>
  <c r="AH132" i="12"/>
  <c r="AJ132" i="12"/>
  <c r="AM132" i="12"/>
  <c r="AP132" i="12"/>
  <c r="AS132" i="12"/>
  <c r="AV132" i="12"/>
  <c r="AW132" i="12"/>
  <c r="AX132" i="12"/>
  <c r="AY132" i="12"/>
  <c r="AZ132" i="12" s="1"/>
  <c r="BA132" i="12" s="1"/>
  <c r="BB132" i="12" s="1"/>
  <c r="D136" i="12"/>
  <c r="E136" i="12"/>
  <c r="N136" i="12" s="1"/>
  <c r="G136" i="12"/>
  <c r="H136" i="12"/>
  <c r="I136" i="12"/>
  <c r="J136" i="12"/>
  <c r="K136" i="12"/>
  <c r="M136" i="12"/>
  <c r="O136" i="12"/>
  <c r="P136" i="12"/>
  <c r="R136" i="12"/>
  <c r="S136" i="12"/>
  <c r="V136" i="12"/>
  <c r="Z136" i="12"/>
  <c r="AA136" i="12"/>
  <c r="AC136" i="12"/>
  <c r="AD136" i="12"/>
  <c r="AE136" i="12"/>
  <c r="AF136" i="12"/>
  <c r="AG136" i="12"/>
  <c r="AK136" i="12"/>
  <c r="AL136" i="12"/>
  <c r="AN136" i="12"/>
  <c r="AO136" i="12"/>
  <c r="AP136" i="12"/>
  <c r="AQ136" i="12"/>
  <c r="AR136" i="12"/>
  <c r="AW136" i="12"/>
  <c r="D137" i="12"/>
  <c r="M137" i="12" s="1"/>
  <c r="E137" i="12"/>
  <c r="G137" i="12"/>
  <c r="H137" i="12"/>
  <c r="I137" i="12"/>
  <c r="J137" i="12"/>
  <c r="K137" i="12"/>
  <c r="O137" i="12"/>
  <c r="P137" i="12"/>
  <c r="Q137" i="12"/>
  <c r="R137" i="12"/>
  <c r="S137" i="12"/>
  <c r="T137" i="12"/>
  <c r="U137" i="12"/>
  <c r="V137" i="12"/>
  <c r="W137" i="12"/>
  <c r="Y137" i="12"/>
  <c r="Z137" i="12"/>
  <c r="AA137" i="12"/>
  <c r="AC137" i="12"/>
  <c r="AD137" i="12"/>
  <c r="AE137" i="12"/>
  <c r="AF137" i="12"/>
  <c r="AG137" i="12"/>
  <c r="AK137" i="12"/>
  <c r="AL137" i="12"/>
  <c r="AM137" i="12"/>
  <c r="AN137" i="12"/>
  <c r="AO137" i="12"/>
  <c r="AQ137" i="12"/>
  <c r="AR137" i="12"/>
  <c r="AS137" i="12"/>
  <c r="AY137" i="12"/>
  <c r="D138" i="12"/>
  <c r="E138" i="12"/>
  <c r="F138" i="12"/>
  <c r="G138" i="12"/>
  <c r="H138" i="12"/>
  <c r="J138" i="12"/>
  <c r="K138" i="12"/>
  <c r="O138" i="12"/>
  <c r="P138" i="12"/>
  <c r="R138" i="12"/>
  <c r="S138" i="12"/>
  <c r="T138" i="12"/>
  <c r="U138" i="12"/>
  <c r="V138" i="12"/>
  <c r="Y138" i="12"/>
  <c r="Z138" i="12"/>
  <c r="AA138" i="12"/>
  <c r="AB138" i="12"/>
  <c r="AC138" i="12"/>
  <c r="AD138" i="12"/>
  <c r="AE138" i="12"/>
  <c r="AF138" i="12"/>
  <c r="AG138" i="12"/>
  <c r="AK138" i="12"/>
  <c r="AL138" i="12"/>
  <c r="AM138" i="12"/>
  <c r="AN138" i="12"/>
  <c r="AO138" i="12"/>
  <c r="AQ138" i="12"/>
  <c r="AR138" i="12"/>
  <c r="AS138" i="12"/>
  <c r="D139" i="12"/>
  <c r="M139" i="12" s="1"/>
  <c r="E139" i="12"/>
  <c r="G139" i="12"/>
  <c r="H139" i="12"/>
  <c r="J139" i="12"/>
  <c r="K139" i="12"/>
  <c r="O139" i="12"/>
  <c r="X139" i="12" s="1"/>
  <c r="P139" i="12"/>
  <c r="Y139" i="12" s="1"/>
  <c r="R139" i="12"/>
  <c r="S139" i="12"/>
  <c r="U139" i="12"/>
  <c r="V139" i="12"/>
  <c r="Z139" i="12"/>
  <c r="AA139" i="12"/>
  <c r="AD139" i="12"/>
  <c r="AF139" i="12"/>
  <c r="AG139" i="12"/>
  <c r="AK139" i="12"/>
  <c r="AL139" i="12"/>
  <c r="AO139" i="12"/>
  <c r="AQ139" i="12"/>
  <c r="AR139" i="12"/>
  <c r="D140" i="12"/>
  <c r="E140" i="12"/>
  <c r="N140" i="12" s="1"/>
  <c r="G140" i="12"/>
  <c r="H140" i="12"/>
  <c r="I140" i="12"/>
  <c r="J140" i="12"/>
  <c r="K140" i="12"/>
  <c r="L140" i="12"/>
  <c r="M140" i="12"/>
  <c r="P140" i="12"/>
  <c r="R140" i="12"/>
  <c r="S140" i="12"/>
  <c r="Y140" i="12" s="1"/>
  <c r="T140" i="12"/>
  <c r="U140" i="12"/>
  <c r="V140" i="12"/>
  <c r="W140" i="12"/>
  <c r="Z140" i="12"/>
  <c r="AA140" i="12"/>
  <c r="AB140" i="12"/>
  <c r="AC140" i="12"/>
  <c r="AD140" i="12"/>
  <c r="AE140" i="12"/>
  <c r="AF140" i="12"/>
  <c r="AG140" i="12"/>
  <c r="AK140" i="12"/>
  <c r="AL140" i="12"/>
  <c r="AM140" i="12"/>
  <c r="AN140" i="12"/>
  <c r="AO140" i="12"/>
  <c r="AW140" i="12" s="1"/>
  <c r="AQ140" i="12"/>
  <c r="AR140" i="12"/>
  <c r="AS140" i="12"/>
  <c r="D141" i="12"/>
  <c r="E141" i="12"/>
  <c r="G141" i="12"/>
  <c r="M141" i="12" s="1"/>
  <c r="J141" i="12"/>
  <c r="K141" i="12"/>
  <c r="O141" i="12"/>
  <c r="P141" i="12"/>
  <c r="R141" i="12"/>
  <c r="S141" i="12"/>
  <c r="Y141" i="12" s="1"/>
  <c r="U141" i="12"/>
  <c r="V141" i="12"/>
  <c r="Z141" i="12"/>
  <c r="AA141" i="12"/>
  <c r="AC141" i="12"/>
  <c r="AD141" i="12"/>
  <c r="AF141" i="12"/>
  <c r="AG141" i="12"/>
  <c r="AK141" i="12"/>
  <c r="AL141" i="12"/>
  <c r="AN141" i="12"/>
  <c r="AO141" i="12"/>
  <c r="AQ141" i="12"/>
  <c r="AR141" i="12"/>
  <c r="D142" i="12"/>
  <c r="M142" i="12" s="1"/>
  <c r="E142" i="12"/>
  <c r="F142" i="12"/>
  <c r="G142" i="12"/>
  <c r="H142" i="12"/>
  <c r="J142" i="12"/>
  <c r="K142" i="12"/>
  <c r="L142" i="12"/>
  <c r="O142" i="12"/>
  <c r="P142" i="12"/>
  <c r="R142" i="12"/>
  <c r="S142" i="12"/>
  <c r="T142" i="12"/>
  <c r="U142" i="12"/>
  <c r="V142" i="12"/>
  <c r="W142" i="12"/>
  <c r="Z142" i="12"/>
  <c r="AA142" i="12"/>
  <c r="AB142" i="12"/>
  <c r="AC142" i="12"/>
  <c r="AD142" i="12"/>
  <c r="AE142" i="12"/>
  <c r="AF142" i="12"/>
  <c r="AG142" i="12"/>
  <c r="AH142" i="12"/>
  <c r="AK142" i="12"/>
  <c r="AL142" i="12"/>
  <c r="AM142" i="12"/>
  <c r="AN142" i="12"/>
  <c r="AO142" i="12"/>
  <c r="AP142" i="12"/>
  <c r="AQ142" i="12"/>
  <c r="AV142" i="12" s="1"/>
  <c r="AR142" i="12"/>
  <c r="AW142" i="12" s="1"/>
  <c r="AY142" i="12"/>
  <c r="D143" i="12"/>
  <c r="M143" i="12" s="1"/>
  <c r="E143" i="12"/>
  <c r="G143" i="12"/>
  <c r="H143" i="12"/>
  <c r="J143" i="12"/>
  <c r="K143" i="12"/>
  <c r="O143" i="12"/>
  <c r="X143" i="12" s="1"/>
  <c r="R143" i="12"/>
  <c r="S143" i="12"/>
  <c r="U143" i="12"/>
  <c r="V143" i="12"/>
  <c r="Z143" i="12"/>
  <c r="AA143" i="12"/>
  <c r="AC143" i="12"/>
  <c r="AD143" i="12"/>
  <c r="AF143" i="12"/>
  <c r="AG143" i="12"/>
  <c r="AK143" i="12"/>
  <c r="AL143" i="12"/>
  <c r="AM143" i="12"/>
  <c r="AN143" i="12"/>
  <c r="AO143" i="12"/>
  <c r="AQ143" i="12"/>
  <c r="AR143" i="12"/>
  <c r="AS143" i="12"/>
  <c r="D144" i="12"/>
  <c r="M144" i="12" s="1"/>
  <c r="E144" i="12"/>
  <c r="F144" i="12"/>
  <c r="G144" i="12"/>
  <c r="H144" i="12"/>
  <c r="I144" i="12"/>
  <c r="J144" i="12"/>
  <c r="K144" i="12"/>
  <c r="L144" i="12"/>
  <c r="O144" i="12"/>
  <c r="P144" i="12"/>
  <c r="Q144" i="12"/>
  <c r="R144" i="12"/>
  <c r="S144" i="12"/>
  <c r="T144" i="12"/>
  <c r="U144" i="12"/>
  <c r="V144" i="12"/>
  <c r="W144" i="12"/>
  <c r="Z144" i="12"/>
  <c r="AA144" i="12"/>
  <c r="AB144" i="12"/>
  <c r="AC144" i="12"/>
  <c r="AD144" i="12"/>
  <c r="AE144" i="12"/>
  <c r="AF144" i="12"/>
  <c r="AG144" i="12"/>
  <c r="AH144" i="12"/>
  <c r="AK144" i="12"/>
  <c r="AL144" i="12"/>
  <c r="AN144" i="12"/>
  <c r="AO144" i="12"/>
  <c r="AP144" i="12"/>
  <c r="AQ144" i="12"/>
  <c r="AR144" i="12"/>
  <c r="AS144" i="12"/>
  <c r="AW144" i="12"/>
  <c r="D145" i="12"/>
  <c r="M145" i="12" s="1"/>
  <c r="E145" i="12"/>
  <c r="F145" i="12"/>
  <c r="G145" i="12"/>
  <c r="H145" i="12"/>
  <c r="I145" i="12"/>
  <c r="J145" i="12"/>
  <c r="K145" i="12"/>
  <c r="L145" i="12"/>
  <c r="O145" i="12"/>
  <c r="P145" i="12"/>
  <c r="Q145" i="12"/>
  <c r="R145" i="12"/>
  <c r="S145" i="12"/>
  <c r="T145" i="12"/>
  <c r="U145" i="12"/>
  <c r="V145" i="12"/>
  <c r="Y145" i="12"/>
  <c r="Z145" i="12"/>
  <c r="AA145" i="12"/>
  <c r="AB145" i="12"/>
  <c r="AC145" i="12"/>
  <c r="AD145" i="12"/>
  <c r="AE145" i="12"/>
  <c r="AF145" i="12"/>
  <c r="AG145" i="12"/>
  <c r="AH145" i="12"/>
  <c r="AK145" i="12"/>
  <c r="AL145" i="12"/>
  <c r="AM145" i="12"/>
  <c r="AN145" i="12"/>
  <c r="AO145" i="12"/>
  <c r="AW145" i="12" s="1"/>
  <c r="AP145" i="12"/>
  <c r="AQ145" i="12"/>
  <c r="AR145" i="12"/>
  <c r="AS145" i="12"/>
  <c r="D146" i="12"/>
  <c r="E146" i="12"/>
  <c r="F146" i="12"/>
  <c r="G146" i="12"/>
  <c r="H146" i="12"/>
  <c r="J146" i="12"/>
  <c r="K146" i="12"/>
  <c r="O146" i="12"/>
  <c r="P146" i="12"/>
  <c r="Y146" i="12" s="1"/>
  <c r="R146" i="12"/>
  <c r="S146" i="12"/>
  <c r="T146" i="12"/>
  <c r="U146" i="12"/>
  <c r="V146" i="12"/>
  <c r="W146" i="12"/>
  <c r="Z146" i="12"/>
  <c r="AA146" i="12"/>
  <c r="AC146" i="12"/>
  <c r="AD146" i="12"/>
  <c r="AE146" i="12"/>
  <c r="AF146" i="12"/>
  <c r="AG146" i="12"/>
  <c r="AK146" i="12"/>
  <c r="AL146" i="12"/>
  <c r="AM146" i="12"/>
  <c r="AN146" i="12"/>
  <c r="AO146" i="12"/>
  <c r="AP146" i="12"/>
  <c r="AQ146" i="12"/>
  <c r="AR146" i="12"/>
  <c r="AW146" i="12" s="1"/>
  <c r="D147" i="12"/>
  <c r="E147" i="12"/>
  <c r="F147" i="12"/>
  <c r="G147" i="12"/>
  <c r="H147" i="12"/>
  <c r="I147" i="12"/>
  <c r="J147" i="12"/>
  <c r="K147" i="12"/>
  <c r="L147" i="12"/>
  <c r="M147" i="12"/>
  <c r="O147" i="12"/>
  <c r="P147" i="12"/>
  <c r="Q147" i="12"/>
  <c r="R147" i="12"/>
  <c r="S147" i="12"/>
  <c r="T147" i="12"/>
  <c r="U147" i="12"/>
  <c r="V147" i="12"/>
  <c r="Y147" i="12" s="1"/>
  <c r="W147" i="12"/>
  <c r="Z147" i="12"/>
  <c r="AA147" i="12"/>
  <c r="AB147" i="12"/>
  <c r="AC147" i="12"/>
  <c r="AD147" i="12"/>
  <c r="AE147" i="12"/>
  <c r="AF147" i="12"/>
  <c r="AG147" i="12"/>
  <c r="AH147" i="12"/>
  <c r="AK147" i="12"/>
  <c r="AL147" i="12"/>
  <c r="AM147" i="12"/>
  <c r="AN147" i="12"/>
  <c r="AO147" i="12"/>
  <c r="AP147" i="12"/>
  <c r="AQ147" i="12"/>
  <c r="AR147" i="12"/>
  <c r="AS147" i="12"/>
  <c r="AY147" i="12" s="1"/>
  <c r="D148" i="12"/>
  <c r="E148" i="12"/>
  <c r="N148" i="12" s="1"/>
  <c r="F148" i="12"/>
  <c r="G148" i="12"/>
  <c r="H148" i="12"/>
  <c r="I148" i="12"/>
  <c r="J148" i="12"/>
  <c r="M148" i="12" s="1"/>
  <c r="K148" i="12"/>
  <c r="L148" i="12"/>
  <c r="O148" i="12"/>
  <c r="X148" i="12" s="1"/>
  <c r="P148" i="12"/>
  <c r="Q148" i="12"/>
  <c r="R148" i="12"/>
  <c r="S148" i="12"/>
  <c r="Y148" i="12" s="1"/>
  <c r="T148" i="12"/>
  <c r="U148" i="12"/>
  <c r="V148" i="12"/>
  <c r="W148" i="12"/>
  <c r="Z148" i="12"/>
  <c r="AA148" i="12"/>
  <c r="AB148" i="12"/>
  <c r="AC148" i="12"/>
  <c r="AD148" i="12"/>
  <c r="AE148" i="12"/>
  <c r="AF148" i="12"/>
  <c r="AG148" i="12"/>
  <c r="AH148" i="12"/>
  <c r="AK148" i="12"/>
  <c r="AL148" i="12"/>
  <c r="AM148" i="12"/>
  <c r="AN148" i="12"/>
  <c r="AO148" i="12"/>
  <c r="AP148" i="12"/>
  <c r="AQ148" i="12"/>
  <c r="AR148" i="12"/>
  <c r="AS148" i="12"/>
  <c r="AW148" i="12"/>
  <c r="D149" i="12"/>
  <c r="E149" i="12"/>
  <c r="G149" i="12"/>
  <c r="H149" i="12"/>
  <c r="I149" i="12"/>
  <c r="J149" i="12"/>
  <c r="M149" i="12" s="1"/>
  <c r="K149" i="12"/>
  <c r="L149" i="12"/>
  <c r="O149" i="12"/>
  <c r="X149" i="12" s="1"/>
  <c r="P149" i="12"/>
  <c r="R149" i="12"/>
  <c r="S149" i="12"/>
  <c r="Y149" i="12" s="1"/>
  <c r="T149" i="12"/>
  <c r="U149" i="12"/>
  <c r="V149" i="12"/>
  <c r="Z149" i="12"/>
  <c r="AA149" i="12"/>
  <c r="AC149" i="12"/>
  <c r="AD149" i="12"/>
  <c r="AE149" i="12"/>
  <c r="AF149" i="12"/>
  <c r="AG149" i="12"/>
  <c r="AH149" i="12"/>
  <c r="AK149" i="12"/>
  <c r="AL149" i="12"/>
  <c r="AM149" i="12"/>
  <c r="AN149" i="12"/>
  <c r="AO149" i="12"/>
  <c r="AP149" i="12"/>
  <c r="AQ149" i="12"/>
  <c r="AR149" i="12"/>
  <c r="AS149" i="12"/>
  <c r="AW149" i="12"/>
  <c r="D150" i="12"/>
  <c r="E150" i="12"/>
  <c r="N150" i="12" s="1"/>
  <c r="F150" i="12"/>
  <c r="G150" i="12"/>
  <c r="H150" i="12"/>
  <c r="I150" i="12"/>
  <c r="J150" i="12"/>
  <c r="M150" i="12" s="1"/>
  <c r="K150" i="12"/>
  <c r="L150" i="12"/>
  <c r="O150" i="12"/>
  <c r="X150" i="12" s="1"/>
  <c r="P150" i="12"/>
  <c r="Q150" i="12"/>
  <c r="R150" i="12"/>
  <c r="S150" i="12"/>
  <c r="Y150" i="12" s="1"/>
  <c r="T150" i="12"/>
  <c r="U150" i="12"/>
  <c r="V150" i="12"/>
  <c r="W150" i="12"/>
  <c r="Z150" i="12"/>
  <c r="AA150" i="12"/>
  <c r="AB150" i="12"/>
  <c r="AC150" i="12"/>
  <c r="AD150" i="12"/>
  <c r="AE150" i="12"/>
  <c r="AF150" i="12"/>
  <c r="AG150" i="12"/>
  <c r="AH150" i="12"/>
  <c r="AK150" i="12"/>
  <c r="AL150" i="12"/>
  <c r="AM150" i="12"/>
  <c r="AN150" i="12"/>
  <c r="AO150" i="12"/>
  <c r="AP150" i="12"/>
  <c r="AQ150" i="12"/>
  <c r="AR150" i="12"/>
  <c r="AS150" i="12"/>
  <c r="D151" i="12"/>
  <c r="E151" i="12"/>
  <c r="G151" i="12"/>
  <c r="H151" i="12"/>
  <c r="J151" i="12"/>
  <c r="M151" i="12" s="1"/>
  <c r="K151" i="12"/>
  <c r="O151" i="12"/>
  <c r="X151" i="12" s="1"/>
  <c r="P151" i="12"/>
  <c r="Q151" i="12"/>
  <c r="R151" i="12"/>
  <c r="S151" i="12"/>
  <c r="Y151" i="12" s="1"/>
  <c r="U151" i="12"/>
  <c r="V151" i="12"/>
  <c r="W151" i="12"/>
  <c r="Z151" i="12"/>
  <c r="AA151" i="12"/>
  <c r="AB151" i="12"/>
  <c r="AC151" i="12"/>
  <c r="AD151" i="12"/>
  <c r="AF151" i="12"/>
  <c r="AG151" i="12"/>
  <c r="AK151" i="12"/>
  <c r="AL151" i="12"/>
  <c r="AN151" i="12"/>
  <c r="AO151" i="12"/>
  <c r="AP151" i="12"/>
  <c r="AQ151" i="12"/>
  <c r="AR151" i="12"/>
  <c r="AW151" i="12"/>
  <c r="D152" i="12"/>
  <c r="E152" i="12"/>
  <c r="N152" i="12" s="1"/>
  <c r="F152" i="12"/>
  <c r="G152" i="12"/>
  <c r="H152" i="12"/>
  <c r="I152" i="12"/>
  <c r="J152" i="12"/>
  <c r="M152" i="12" s="1"/>
  <c r="K152" i="12"/>
  <c r="L152" i="12"/>
  <c r="O152" i="12"/>
  <c r="X152" i="12" s="1"/>
  <c r="P152" i="12"/>
  <c r="Q152" i="12"/>
  <c r="R152" i="12"/>
  <c r="S152" i="12"/>
  <c r="Y152" i="12" s="1"/>
  <c r="T152" i="12"/>
  <c r="U152" i="12"/>
  <c r="V152" i="12"/>
  <c r="W152" i="12"/>
  <c r="Z152" i="12"/>
  <c r="AA152" i="12"/>
  <c r="AB152" i="12"/>
  <c r="AC152" i="12"/>
  <c r="AD152" i="12"/>
  <c r="AE152" i="12"/>
  <c r="AF152" i="12"/>
  <c r="AG152" i="12"/>
  <c r="AH152" i="12"/>
  <c r="AK152" i="12"/>
  <c r="AL152" i="12"/>
  <c r="AM152" i="12"/>
  <c r="AN152" i="12"/>
  <c r="AO152" i="12"/>
  <c r="AP152" i="12"/>
  <c r="AQ152" i="12"/>
  <c r="AR152" i="12"/>
  <c r="AS152" i="12"/>
  <c r="AW152" i="12"/>
  <c r="E153" i="12"/>
  <c r="G153" i="12"/>
  <c r="J153" i="12"/>
  <c r="K153" i="12"/>
  <c r="O153" i="12"/>
  <c r="P153" i="12"/>
  <c r="Y153" i="12" s="1"/>
  <c r="Q153" i="12"/>
  <c r="R153" i="12"/>
  <c r="S153" i="12"/>
  <c r="V153" i="12"/>
  <c r="AA153" i="12"/>
  <c r="AD153" i="12"/>
  <c r="AG153" i="12"/>
  <c r="AL153" i="12"/>
  <c r="AO153" i="12"/>
  <c r="AR153" i="12"/>
  <c r="D154" i="12"/>
  <c r="M154" i="12" s="1"/>
  <c r="E154" i="12"/>
  <c r="F154" i="12"/>
  <c r="G154" i="12"/>
  <c r="H154" i="12"/>
  <c r="I154" i="12"/>
  <c r="J154" i="12"/>
  <c r="K154" i="12"/>
  <c r="L154" i="12"/>
  <c r="O154" i="12"/>
  <c r="P154" i="12"/>
  <c r="Q154" i="12"/>
  <c r="R154" i="12"/>
  <c r="S154" i="12"/>
  <c r="T154" i="12"/>
  <c r="U154" i="12"/>
  <c r="V154" i="12"/>
  <c r="W154" i="12"/>
  <c r="Y154" i="12"/>
  <c r="Z154" i="12"/>
  <c r="AA154" i="12"/>
  <c r="AC154" i="12"/>
  <c r="AD154" i="12"/>
  <c r="AE154" i="12"/>
  <c r="AF154" i="12"/>
  <c r="AG154" i="12"/>
  <c r="AH154" i="12"/>
  <c r="AK154" i="12"/>
  <c r="AL154" i="12"/>
  <c r="AM154" i="12"/>
  <c r="AN154" i="12"/>
  <c r="AO154" i="12"/>
  <c r="AP154" i="12"/>
  <c r="AQ154" i="12"/>
  <c r="AR154" i="12"/>
  <c r="AS154" i="12"/>
  <c r="D155" i="12"/>
  <c r="M155" i="12" s="1"/>
  <c r="E155" i="12"/>
  <c r="F155" i="12"/>
  <c r="G155" i="12"/>
  <c r="H155" i="12"/>
  <c r="I155" i="12"/>
  <c r="J155" i="12"/>
  <c r="K155" i="12"/>
  <c r="L155" i="12"/>
  <c r="O155" i="12"/>
  <c r="P155" i="12"/>
  <c r="Q155" i="12"/>
  <c r="R155" i="12"/>
  <c r="S155" i="12"/>
  <c r="T155" i="12"/>
  <c r="U155" i="12"/>
  <c r="V155" i="12"/>
  <c r="W155" i="12"/>
  <c r="Y155" i="12"/>
  <c r="Z155" i="12"/>
  <c r="AA155" i="12"/>
  <c r="AB155" i="12"/>
  <c r="AC155" i="12"/>
  <c r="AD155" i="12"/>
  <c r="AE155" i="12"/>
  <c r="AF155" i="12"/>
  <c r="AG155" i="12"/>
  <c r="AH155" i="12"/>
  <c r="AK155" i="12"/>
  <c r="AL155" i="12"/>
  <c r="AM155" i="12"/>
  <c r="AN155" i="12"/>
  <c r="AO155" i="12"/>
  <c r="AP155" i="12"/>
  <c r="AQ155" i="12"/>
  <c r="AR155" i="12"/>
  <c r="AS155" i="12"/>
  <c r="D156" i="12"/>
  <c r="M156" i="12" s="1"/>
  <c r="E156" i="12"/>
  <c r="F156" i="12"/>
  <c r="G156" i="12"/>
  <c r="H156" i="12"/>
  <c r="I156" i="12"/>
  <c r="J156" i="12"/>
  <c r="K156" i="12"/>
  <c r="L156" i="12"/>
  <c r="O156" i="12"/>
  <c r="P156" i="12"/>
  <c r="Q156" i="12"/>
  <c r="R156" i="12"/>
  <c r="S156" i="12"/>
  <c r="T156" i="12"/>
  <c r="U156" i="12"/>
  <c r="V156" i="12"/>
  <c r="W156" i="12"/>
  <c r="Y156" i="12"/>
  <c r="Z156" i="12"/>
  <c r="AA156" i="12"/>
  <c r="AB156" i="12"/>
  <c r="AC156" i="12"/>
  <c r="AD156" i="12"/>
  <c r="AE156" i="12"/>
  <c r="AF156" i="12"/>
  <c r="AG156" i="12"/>
  <c r="AH156" i="12"/>
  <c r="AY156" i="12" s="1"/>
  <c r="AK156" i="12"/>
  <c r="AL156" i="12"/>
  <c r="AM156" i="12"/>
  <c r="AN156" i="12"/>
  <c r="AO156" i="12"/>
  <c r="AP156" i="12"/>
  <c r="AQ156" i="12"/>
  <c r="AR156" i="12"/>
  <c r="AW156" i="12" s="1"/>
  <c r="AS156" i="12"/>
  <c r="D157" i="12"/>
  <c r="M157" i="12" s="1"/>
  <c r="E157" i="12"/>
  <c r="F157" i="12"/>
  <c r="G157" i="12"/>
  <c r="H157" i="12"/>
  <c r="I157" i="12"/>
  <c r="J157" i="12"/>
  <c r="K157" i="12"/>
  <c r="L157" i="12"/>
  <c r="O157" i="12"/>
  <c r="P157" i="12"/>
  <c r="Q157" i="12"/>
  <c r="R157" i="12"/>
  <c r="S157" i="12"/>
  <c r="T157" i="12"/>
  <c r="U157" i="12"/>
  <c r="Z157" i="12"/>
  <c r="AA157" i="12"/>
  <c r="AB157" i="12"/>
  <c r="AC157" i="12"/>
  <c r="AD157" i="12"/>
  <c r="AE157" i="12"/>
  <c r="AF157" i="12"/>
  <c r="AG157" i="12"/>
  <c r="AH157" i="12"/>
  <c r="AK157" i="12"/>
  <c r="AL157" i="12"/>
  <c r="AM157" i="12"/>
  <c r="AN157" i="12"/>
  <c r="AO157" i="12"/>
  <c r="AP157" i="12"/>
  <c r="AQ157" i="12"/>
  <c r="AR157" i="12"/>
  <c r="AS157" i="12"/>
  <c r="D158" i="12"/>
  <c r="M158" i="12" s="1"/>
  <c r="E158" i="12"/>
  <c r="F158" i="12"/>
  <c r="G158" i="12"/>
  <c r="H158" i="12"/>
  <c r="I158" i="12"/>
  <c r="J158" i="12"/>
  <c r="K158" i="12"/>
  <c r="L158" i="12"/>
  <c r="O158" i="12"/>
  <c r="P158" i="12"/>
  <c r="Q158" i="12"/>
  <c r="R158" i="12"/>
  <c r="S158" i="12"/>
  <c r="T158" i="12"/>
  <c r="U158" i="12"/>
  <c r="V158" i="12"/>
  <c r="W158" i="12"/>
  <c r="Y158" i="12"/>
  <c r="Z158" i="12"/>
  <c r="AA158" i="12"/>
  <c r="AB158" i="12"/>
  <c r="AC158" i="12"/>
  <c r="AD158" i="12"/>
  <c r="AE158" i="12"/>
  <c r="AF158" i="12"/>
  <c r="AG158" i="12"/>
  <c r="AH158" i="12"/>
  <c r="AK158" i="12"/>
  <c r="AL158" i="12"/>
  <c r="AM158" i="12"/>
  <c r="AN158" i="12"/>
  <c r="AO158" i="12"/>
  <c r="AP158" i="12"/>
  <c r="AQ158" i="12"/>
  <c r="AR158" i="12"/>
  <c r="AS158" i="12"/>
  <c r="D159" i="12"/>
  <c r="M159" i="12" s="1"/>
  <c r="E159" i="12"/>
  <c r="F159" i="12"/>
  <c r="G159" i="12"/>
  <c r="H159" i="12"/>
  <c r="I159" i="12"/>
  <c r="J159" i="12"/>
  <c r="K159" i="12"/>
  <c r="L159" i="12"/>
  <c r="O159" i="12"/>
  <c r="P159" i="12"/>
  <c r="Q159" i="12"/>
  <c r="R159" i="12"/>
  <c r="S159" i="12"/>
  <c r="T159" i="12"/>
  <c r="U159" i="12"/>
  <c r="V159" i="12"/>
  <c r="W159" i="12"/>
  <c r="Y159" i="12"/>
  <c r="Z159" i="12"/>
  <c r="AA159" i="12"/>
  <c r="AB159" i="12"/>
  <c r="AC159" i="12"/>
  <c r="AD159" i="12"/>
  <c r="AE159" i="12"/>
  <c r="AF159" i="12"/>
  <c r="AG159" i="12"/>
  <c r="AH159" i="12"/>
  <c r="AY159" i="12" s="1"/>
  <c r="AK159" i="12"/>
  <c r="AL159" i="12"/>
  <c r="AM159" i="12"/>
  <c r="AN159" i="12"/>
  <c r="AO159" i="12"/>
  <c r="AP159" i="12"/>
  <c r="AQ159" i="12"/>
  <c r="AR159" i="12"/>
  <c r="AW159" i="12" s="1"/>
  <c r="AS159" i="12"/>
  <c r="D160" i="12"/>
  <c r="M160" i="12" s="1"/>
  <c r="E160" i="12"/>
  <c r="F160" i="12"/>
  <c r="G160" i="12"/>
  <c r="H160" i="12"/>
  <c r="I160" i="12"/>
  <c r="J160" i="12"/>
  <c r="K160" i="12"/>
  <c r="L160" i="12"/>
  <c r="O160" i="12"/>
  <c r="P160" i="12"/>
  <c r="Q160" i="12"/>
  <c r="R160" i="12"/>
  <c r="S160" i="12"/>
  <c r="T160" i="12"/>
  <c r="U160" i="12"/>
  <c r="V160" i="12"/>
  <c r="W160" i="12"/>
  <c r="Y160" i="12"/>
  <c r="Z160" i="12"/>
  <c r="AA160" i="12"/>
  <c r="AB160" i="12"/>
  <c r="AC160" i="12"/>
  <c r="AD160" i="12"/>
  <c r="AE160" i="12"/>
  <c r="AF160" i="12"/>
  <c r="AG160" i="12"/>
  <c r="AH160" i="12"/>
  <c r="AK160" i="12"/>
  <c r="AL160" i="12"/>
  <c r="AM160" i="12"/>
  <c r="AN160" i="12"/>
  <c r="AO160" i="12"/>
  <c r="AP160" i="12"/>
  <c r="AQ160" i="12"/>
  <c r="AR160" i="12"/>
  <c r="AS160" i="12"/>
  <c r="D161" i="12"/>
  <c r="M161" i="12" s="1"/>
  <c r="E161" i="12"/>
  <c r="F161" i="12"/>
  <c r="G161" i="12"/>
  <c r="H161" i="12"/>
  <c r="J161" i="12"/>
  <c r="K161" i="12"/>
  <c r="L161" i="12"/>
  <c r="O161" i="12"/>
  <c r="P161" i="12"/>
  <c r="Q161" i="12"/>
  <c r="R161" i="12"/>
  <c r="S161" i="12"/>
  <c r="T161" i="12"/>
  <c r="U161" i="12"/>
  <c r="V161" i="12"/>
  <c r="Y161" i="12"/>
  <c r="Z161" i="12"/>
  <c r="AA161" i="12"/>
  <c r="AB161" i="12"/>
  <c r="AC161" i="12"/>
  <c r="AD161" i="12"/>
  <c r="AE161" i="12"/>
  <c r="AF161" i="12"/>
  <c r="AG161" i="12"/>
  <c r="AH161" i="12"/>
  <c r="AK161" i="12"/>
  <c r="AL161" i="12"/>
  <c r="AM161" i="12"/>
  <c r="AN161" i="12"/>
  <c r="AO161" i="12"/>
  <c r="AP161" i="12"/>
  <c r="AQ161" i="12"/>
  <c r="AR161" i="12"/>
  <c r="AW161" i="12" s="1"/>
  <c r="D162" i="12"/>
  <c r="M162" i="12" s="1"/>
  <c r="E162" i="12"/>
  <c r="F162" i="12"/>
  <c r="G162" i="12"/>
  <c r="H162" i="12"/>
  <c r="I162" i="12"/>
  <c r="J162" i="12"/>
  <c r="K162" i="12"/>
  <c r="L162" i="12"/>
  <c r="O162" i="12"/>
  <c r="P162" i="12"/>
  <c r="Q162" i="12"/>
  <c r="R162" i="12"/>
  <c r="S162" i="12"/>
  <c r="U162" i="12"/>
  <c r="V162" i="12"/>
  <c r="W162" i="12"/>
  <c r="Y162" i="12"/>
  <c r="Z162" i="12"/>
  <c r="AA162" i="12"/>
  <c r="AC162" i="12"/>
  <c r="AD162" i="12"/>
  <c r="AE162" i="12"/>
  <c r="AF162" i="12"/>
  <c r="AG162" i="12"/>
  <c r="AH162" i="12"/>
  <c r="AK162" i="12"/>
  <c r="AL162" i="12"/>
  <c r="AM162" i="12"/>
  <c r="AN162" i="12"/>
  <c r="AO162" i="12"/>
  <c r="AP162" i="12"/>
  <c r="AQ162" i="12"/>
  <c r="AR162" i="12"/>
  <c r="AW162" i="12" s="1"/>
  <c r="AS162" i="12"/>
  <c r="D163" i="12"/>
  <c r="E163" i="12"/>
  <c r="N163" i="12" s="1"/>
  <c r="F163" i="12"/>
  <c r="G163" i="12"/>
  <c r="H163" i="12"/>
  <c r="I163" i="12"/>
  <c r="J163" i="12"/>
  <c r="M163" i="12" s="1"/>
  <c r="K163" i="12"/>
  <c r="L163" i="12"/>
  <c r="O163" i="12"/>
  <c r="X163" i="12" s="1"/>
  <c r="P163" i="12"/>
  <c r="Q163" i="12"/>
  <c r="R163" i="12"/>
  <c r="S163" i="12"/>
  <c r="Y163" i="12" s="1"/>
  <c r="T163" i="12"/>
  <c r="U163" i="12"/>
  <c r="V163" i="12"/>
  <c r="W163" i="12"/>
  <c r="Z163" i="12"/>
  <c r="AA163" i="12"/>
  <c r="AB163" i="12"/>
  <c r="AC163" i="12"/>
  <c r="AD163" i="12"/>
  <c r="AE163" i="12"/>
  <c r="AF163" i="12"/>
  <c r="AG163" i="12"/>
  <c r="AH163" i="12"/>
  <c r="AK163" i="12"/>
  <c r="AL163" i="12"/>
  <c r="AM163" i="12"/>
  <c r="AN163" i="12"/>
  <c r="AO163" i="12"/>
  <c r="AP163" i="12"/>
  <c r="AQ163" i="12"/>
  <c r="AR163" i="12"/>
  <c r="AS163" i="12"/>
  <c r="AW163" i="12"/>
  <c r="D164" i="12"/>
  <c r="E164" i="12"/>
  <c r="N164" i="12" s="1"/>
  <c r="F164" i="12"/>
  <c r="G164" i="12"/>
  <c r="H164" i="12"/>
  <c r="I164" i="12"/>
  <c r="J164" i="12"/>
  <c r="M164" i="12" s="1"/>
  <c r="K164" i="12"/>
  <c r="L164" i="12"/>
  <c r="O164" i="12"/>
  <c r="X164" i="12" s="1"/>
  <c r="P164" i="12"/>
  <c r="Q164" i="12"/>
  <c r="R164" i="12"/>
  <c r="S164" i="12"/>
  <c r="Y164" i="12" s="1"/>
  <c r="T164" i="12"/>
  <c r="U164" i="12"/>
  <c r="V164" i="12"/>
  <c r="W164" i="12"/>
  <c r="Z164" i="12"/>
  <c r="AA164" i="12"/>
  <c r="AB164" i="12"/>
  <c r="AC164" i="12"/>
  <c r="AD164" i="12"/>
  <c r="AE164" i="12"/>
  <c r="AF164" i="12"/>
  <c r="AG164" i="12"/>
  <c r="AH164" i="12"/>
  <c r="AK164" i="12"/>
  <c r="AL164" i="12"/>
  <c r="AM164" i="12"/>
  <c r="AN164" i="12"/>
  <c r="AO164" i="12"/>
  <c r="AP164" i="12"/>
  <c r="AQ164" i="12"/>
  <c r="AR164" i="12"/>
  <c r="D165" i="12"/>
  <c r="M165" i="12" s="1"/>
  <c r="E165" i="12"/>
  <c r="F165" i="12"/>
  <c r="G165" i="12"/>
  <c r="H165" i="12"/>
  <c r="I165" i="12"/>
  <c r="J165" i="12"/>
  <c r="K165" i="12"/>
  <c r="L165" i="12"/>
  <c r="O165" i="12"/>
  <c r="P165" i="12"/>
  <c r="Q165" i="12"/>
  <c r="R165" i="12"/>
  <c r="S165" i="12"/>
  <c r="T165" i="12"/>
  <c r="U165" i="12"/>
  <c r="V165" i="12"/>
  <c r="W165" i="12"/>
  <c r="Y165" i="12"/>
  <c r="Z165" i="12"/>
  <c r="AA165" i="12"/>
  <c r="AB165" i="12"/>
  <c r="AC165" i="12"/>
  <c r="AD165" i="12"/>
  <c r="AE165" i="12"/>
  <c r="AF165" i="12"/>
  <c r="AG165" i="12"/>
  <c r="AH165" i="12"/>
  <c r="AK165" i="12"/>
  <c r="AL165" i="12"/>
  <c r="AM165" i="12"/>
  <c r="AN165" i="12"/>
  <c r="AO165" i="12"/>
  <c r="AP165" i="12"/>
  <c r="AQ165" i="12"/>
  <c r="AR165" i="12"/>
  <c r="AS165" i="12"/>
  <c r="D166" i="12"/>
  <c r="M166" i="12" s="1"/>
  <c r="E166" i="12"/>
  <c r="F166" i="12"/>
  <c r="G166" i="12"/>
  <c r="H166" i="12"/>
  <c r="I166" i="12"/>
  <c r="J166" i="12"/>
  <c r="K166" i="12"/>
  <c r="L166" i="12"/>
  <c r="O166" i="12"/>
  <c r="P166" i="12"/>
  <c r="Q166" i="12"/>
  <c r="R166" i="12"/>
  <c r="S166" i="12"/>
  <c r="T166" i="12"/>
  <c r="U166" i="12"/>
  <c r="V166" i="12"/>
  <c r="W166" i="12"/>
  <c r="Y166" i="12"/>
  <c r="Z166" i="12"/>
  <c r="AA166" i="12"/>
  <c r="AB166" i="12"/>
  <c r="AC166" i="12"/>
  <c r="AD166" i="12"/>
  <c r="AE166" i="12"/>
  <c r="AF166" i="12"/>
  <c r="AG166" i="12"/>
  <c r="AH166" i="12"/>
  <c r="AY166" i="12" s="1"/>
  <c r="AK166" i="12"/>
  <c r="AL166" i="12"/>
  <c r="AM166" i="12"/>
  <c r="AN166" i="12"/>
  <c r="AO166" i="12"/>
  <c r="AP166" i="12"/>
  <c r="AQ166" i="12"/>
  <c r="AR166" i="12"/>
  <c r="AW166" i="12" s="1"/>
  <c r="AS166" i="12"/>
  <c r="D167" i="12"/>
  <c r="M167" i="12" s="1"/>
  <c r="E167" i="12"/>
  <c r="F167" i="12"/>
  <c r="G167" i="12"/>
  <c r="H167" i="12"/>
  <c r="I167" i="12"/>
  <c r="J167" i="12"/>
  <c r="K167" i="12"/>
  <c r="L167" i="12"/>
  <c r="O167" i="12"/>
  <c r="P167" i="12"/>
  <c r="Q167" i="12"/>
  <c r="R167" i="12"/>
  <c r="S167" i="12"/>
  <c r="V167" i="12"/>
  <c r="Y167" i="12"/>
  <c r="AA167" i="12"/>
  <c r="AD167" i="12"/>
  <c r="AG167" i="12"/>
  <c r="AL167" i="12"/>
  <c r="AO167" i="12"/>
  <c r="AR167" i="12"/>
  <c r="D168" i="12"/>
  <c r="E168" i="12"/>
  <c r="N168" i="12" s="1"/>
  <c r="F168" i="12"/>
  <c r="G168" i="12"/>
  <c r="H168" i="12"/>
  <c r="I168" i="12"/>
  <c r="J168" i="12"/>
  <c r="M168" i="12" s="1"/>
  <c r="K168" i="12"/>
  <c r="L168" i="12"/>
  <c r="O168" i="12"/>
  <c r="X168" i="12" s="1"/>
  <c r="P168" i="12"/>
  <c r="Q168" i="12"/>
  <c r="R168" i="12"/>
  <c r="S168" i="12"/>
  <c r="Y168" i="12" s="1"/>
  <c r="T168" i="12"/>
  <c r="U168" i="12"/>
  <c r="V168" i="12"/>
  <c r="W168" i="12"/>
  <c r="Z168" i="12"/>
  <c r="AA168" i="12"/>
  <c r="AB168" i="12"/>
  <c r="AC168" i="12"/>
  <c r="AD168" i="12"/>
  <c r="AE168" i="12"/>
  <c r="AF168" i="12"/>
  <c r="AG168" i="12"/>
  <c r="AH168" i="12"/>
  <c r="AK168" i="12"/>
  <c r="AL168" i="12"/>
  <c r="AM168" i="12"/>
  <c r="AN168" i="12"/>
  <c r="AO168" i="12"/>
  <c r="AP168" i="12"/>
  <c r="AQ168" i="12"/>
  <c r="AR168" i="12"/>
  <c r="AS168" i="12"/>
  <c r="AW168" i="12"/>
  <c r="D169" i="12"/>
  <c r="E169" i="12"/>
  <c r="G169" i="12"/>
  <c r="M169" i="12" s="1"/>
  <c r="H169" i="12"/>
  <c r="I169" i="12"/>
  <c r="J169" i="12"/>
  <c r="K169" i="12"/>
  <c r="L169" i="12"/>
  <c r="O169" i="12"/>
  <c r="P169" i="12"/>
  <c r="Y169" i="12" s="1"/>
  <c r="R169" i="12"/>
  <c r="S169" i="12"/>
  <c r="V169" i="12"/>
  <c r="Z169" i="12"/>
  <c r="AA169" i="12"/>
  <c r="AB169" i="12"/>
  <c r="AC169" i="12"/>
  <c r="AD169" i="12"/>
  <c r="AE169" i="12"/>
  <c r="AF169" i="12"/>
  <c r="AG169" i="12"/>
  <c r="AK169" i="12"/>
  <c r="AL169" i="12"/>
  <c r="AM169" i="12"/>
  <c r="AN169" i="12"/>
  <c r="AO169" i="12"/>
  <c r="AP169" i="12"/>
  <c r="AQ169" i="12"/>
  <c r="AR169" i="12"/>
  <c r="AS169" i="12"/>
  <c r="D170" i="12"/>
  <c r="M170" i="12" s="1"/>
  <c r="E170" i="12"/>
  <c r="F170" i="12"/>
  <c r="G170" i="12"/>
  <c r="H170" i="12"/>
  <c r="I170" i="12"/>
  <c r="J170" i="12"/>
  <c r="K170" i="12"/>
  <c r="L170" i="12"/>
  <c r="O170" i="12"/>
  <c r="P170" i="12"/>
  <c r="Q170" i="12"/>
  <c r="R170" i="12"/>
  <c r="S170" i="12"/>
  <c r="T170" i="12"/>
  <c r="U170" i="12"/>
  <c r="V170" i="12"/>
  <c r="W170" i="12"/>
  <c r="Y170" i="12"/>
  <c r="Z170" i="12"/>
  <c r="AA170" i="12"/>
  <c r="AB170" i="12"/>
  <c r="AC170" i="12"/>
  <c r="AD170" i="12"/>
  <c r="AE170" i="12"/>
  <c r="AF170" i="12"/>
  <c r="AG170" i="12"/>
  <c r="AH170" i="12"/>
  <c r="AY170" i="12" s="1"/>
  <c r="AK170" i="12"/>
  <c r="AL170" i="12"/>
  <c r="AM170" i="12"/>
  <c r="AN170" i="12"/>
  <c r="AO170" i="12"/>
  <c r="AP170" i="12"/>
  <c r="AQ170" i="12"/>
  <c r="AR170" i="12"/>
  <c r="AW170" i="12" s="1"/>
  <c r="AS170" i="12"/>
  <c r="D171" i="12"/>
  <c r="M171" i="12" s="1"/>
  <c r="E171" i="12"/>
  <c r="F171" i="12"/>
  <c r="G171" i="12"/>
  <c r="H171" i="12"/>
  <c r="I171" i="12"/>
  <c r="J171" i="12"/>
  <c r="K171" i="12"/>
  <c r="L171" i="12"/>
  <c r="O171" i="12"/>
  <c r="P171" i="12"/>
  <c r="Q171" i="12"/>
  <c r="R171" i="12"/>
  <c r="S171" i="12"/>
  <c r="T171" i="12"/>
  <c r="U171" i="12"/>
  <c r="V171" i="12"/>
  <c r="W171" i="12"/>
  <c r="Y171" i="12"/>
  <c r="Z171" i="12"/>
  <c r="AA171" i="12"/>
  <c r="AB171" i="12"/>
  <c r="AC171" i="12"/>
  <c r="AD171" i="12"/>
  <c r="AE171" i="12"/>
  <c r="AF171" i="12"/>
  <c r="AG171" i="12"/>
  <c r="AH171" i="12"/>
  <c r="AK171" i="12"/>
  <c r="AL171" i="12"/>
  <c r="AM171" i="12"/>
  <c r="AN171" i="12"/>
  <c r="AO171" i="12"/>
  <c r="AP171" i="12"/>
  <c r="AQ171" i="12"/>
  <c r="AR171" i="12"/>
  <c r="AS171" i="12"/>
  <c r="D172" i="12"/>
  <c r="M172" i="12" s="1"/>
  <c r="E172" i="12"/>
  <c r="F172" i="12"/>
  <c r="G172" i="12"/>
  <c r="H172" i="12"/>
  <c r="I172" i="12"/>
  <c r="J172" i="12"/>
  <c r="K172" i="12"/>
  <c r="L172" i="12"/>
  <c r="O172" i="12"/>
  <c r="P172" i="12"/>
  <c r="Y172" i="12" s="1"/>
  <c r="Q172" i="12"/>
  <c r="R172" i="12"/>
  <c r="S172" i="12"/>
  <c r="T172" i="12"/>
  <c r="U172" i="12"/>
  <c r="V172" i="12"/>
  <c r="Z172" i="12"/>
  <c r="AA172" i="12"/>
  <c r="AB172" i="12"/>
  <c r="AC172" i="12"/>
  <c r="AD172" i="12"/>
  <c r="AE172" i="12"/>
  <c r="AF172" i="12"/>
  <c r="AG172" i="12"/>
  <c r="AH172" i="12"/>
  <c r="AK172" i="12"/>
  <c r="AL172" i="12"/>
  <c r="AM172" i="12"/>
  <c r="AN172" i="12"/>
  <c r="AO172" i="12"/>
  <c r="AP172" i="12"/>
  <c r="AQ172" i="12"/>
  <c r="AR172" i="12"/>
  <c r="AW172" i="12" s="1"/>
  <c r="AS172" i="12"/>
  <c r="E173" i="12"/>
  <c r="N173" i="12" s="1"/>
  <c r="H173" i="12"/>
  <c r="J173" i="12"/>
  <c r="K173" i="12"/>
  <c r="L173" i="12"/>
  <c r="P173" i="12"/>
  <c r="S173" i="12"/>
  <c r="Y173" i="12" s="1"/>
  <c r="V173" i="12"/>
  <c r="AA173" i="12"/>
  <c r="AD173" i="12"/>
  <c r="AG173" i="12"/>
  <c r="AL173" i="12"/>
  <c r="AO173" i="12"/>
  <c r="AR173" i="12"/>
  <c r="AW173" i="12"/>
  <c r="D174" i="12"/>
  <c r="E174" i="12"/>
  <c r="G174" i="12"/>
  <c r="H174" i="12"/>
  <c r="J174" i="12"/>
  <c r="K174" i="12"/>
  <c r="M174" i="12"/>
  <c r="O174" i="12"/>
  <c r="P174" i="12"/>
  <c r="Q174" i="12"/>
  <c r="R174" i="12"/>
  <c r="S174" i="12"/>
  <c r="Y174" i="12" s="1"/>
  <c r="T174" i="12"/>
  <c r="U174" i="12"/>
  <c r="V174" i="12"/>
  <c r="W174" i="12"/>
  <c r="Z174" i="12"/>
  <c r="AA174" i="12"/>
  <c r="AB174" i="12"/>
  <c r="AC174" i="12"/>
  <c r="AD174" i="12"/>
  <c r="AE174" i="12"/>
  <c r="AF174" i="12"/>
  <c r="AG174" i="12"/>
  <c r="AH174" i="12"/>
  <c r="AK174" i="12"/>
  <c r="AL174" i="12"/>
  <c r="AM174" i="12"/>
  <c r="AN174" i="12"/>
  <c r="AO174" i="12"/>
  <c r="AP174" i="12"/>
  <c r="AQ174" i="12"/>
  <c r="AR174" i="12"/>
  <c r="AS174" i="12"/>
  <c r="D175" i="12"/>
  <c r="E175" i="12"/>
  <c r="G175" i="12"/>
  <c r="M175" i="12" s="1"/>
  <c r="J175" i="12"/>
  <c r="K175" i="12"/>
  <c r="L175" i="12"/>
  <c r="O175" i="12"/>
  <c r="P175" i="12"/>
  <c r="R175" i="12"/>
  <c r="U175" i="12"/>
  <c r="V175" i="12"/>
  <c r="Z175" i="12"/>
  <c r="AA175" i="12"/>
  <c r="AB175" i="12"/>
  <c r="AC175" i="12"/>
  <c r="AD175" i="12"/>
  <c r="AF175" i="12"/>
  <c r="AG175" i="12"/>
  <c r="AH175" i="12"/>
  <c r="AK175" i="12"/>
  <c r="AL175" i="12"/>
  <c r="AN175" i="12"/>
  <c r="AO175" i="12"/>
  <c r="AP175" i="12"/>
  <c r="AQ175" i="12"/>
  <c r="AR175" i="12"/>
  <c r="AS175" i="12"/>
  <c r="D176" i="12"/>
  <c r="E176" i="12"/>
  <c r="F176" i="12"/>
  <c r="G176" i="12"/>
  <c r="H176" i="12"/>
  <c r="I176" i="12"/>
  <c r="J176" i="12"/>
  <c r="K176" i="12"/>
  <c r="L176" i="12"/>
  <c r="O176" i="12"/>
  <c r="P176" i="12"/>
  <c r="Q176" i="12"/>
  <c r="R176" i="12"/>
  <c r="S176" i="12"/>
  <c r="T176" i="12"/>
  <c r="U176" i="12"/>
  <c r="V176" i="12"/>
  <c r="W176" i="12"/>
  <c r="Z176" i="12"/>
  <c r="AA176" i="12"/>
  <c r="AB176" i="12"/>
  <c r="AC176" i="12"/>
  <c r="AD176" i="12"/>
  <c r="AE176" i="12"/>
  <c r="AF176" i="12"/>
  <c r="AG176" i="12"/>
  <c r="AH176" i="12"/>
  <c r="AK176" i="12"/>
  <c r="AL176" i="12"/>
  <c r="AM176" i="12"/>
  <c r="AN176" i="12"/>
  <c r="AO176" i="12"/>
  <c r="AP176" i="12"/>
  <c r="AQ176" i="12"/>
  <c r="AR176" i="12"/>
  <c r="AS176" i="12"/>
  <c r="D177" i="12"/>
  <c r="E177" i="12"/>
  <c r="F177" i="12"/>
  <c r="G177" i="12"/>
  <c r="H177" i="12"/>
  <c r="I177" i="12"/>
  <c r="J177" i="12"/>
  <c r="K177" i="12"/>
  <c r="L177" i="12"/>
  <c r="M177" i="12"/>
  <c r="O177" i="12"/>
  <c r="P177" i="12"/>
  <c r="Q177" i="12"/>
  <c r="R177" i="12"/>
  <c r="S177" i="12"/>
  <c r="T177" i="12"/>
  <c r="U177" i="12"/>
  <c r="V177" i="12"/>
  <c r="W177" i="12"/>
  <c r="Z177" i="12"/>
  <c r="AA177" i="12"/>
  <c r="AB177" i="12"/>
  <c r="AC177" i="12"/>
  <c r="AD177" i="12"/>
  <c r="AE177" i="12"/>
  <c r="AF177" i="12"/>
  <c r="AG177" i="12"/>
  <c r="AH177" i="12"/>
  <c r="AK177" i="12"/>
  <c r="AL177" i="12"/>
  <c r="AM177" i="12"/>
  <c r="AN177" i="12"/>
  <c r="AO177" i="12"/>
  <c r="AP177" i="12"/>
  <c r="AQ177" i="12"/>
  <c r="AR177" i="12"/>
  <c r="AS177" i="12"/>
  <c r="AW177" i="12"/>
  <c r="D179" i="12"/>
  <c r="E179" i="12"/>
  <c r="G179" i="12"/>
  <c r="H179" i="12"/>
  <c r="I179" i="12"/>
  <c r="J179" i="12"/>
  <c r="K179" i="12"/>
  <c r="L179" i="12"/>
  <c r="M179" i="12"/>
  <c r="O179" i="12"/>
  <c r="P179" i="12"/>
  <c r="Q179" i="12"/>
  <c r="R179" i="12"/>
  <c r="S179" i="12"/>
  <c r="T179" i="12"/>
  <c r="U179" i="12"/>
  <c r="V179" i="12"/>
  <c r="AW179" i="12" s="1"/>
  <c r="W179" i="12"/>
  <c r="Z179" i="12"/>
  <c r="AA179" i="12"/>
  <c r="AB179" i="12"/>
  <c r="AC179" i="12"/>
  <c r="AD179" i="12"/>
  <c r="AE179" i="12"/>
  <c r="AF179" i="12"/>
  <c r="AG179" i="12"/>
  <c r="AK179" i="12"/>
  <c r="AL179" i="12"/>
  <c r="AM179" i="12"/>
  <c r="AN179" i="12"/>
  <c r="AO179" i="12"/>
  <c r="AQ179" i="12"/>
  <c r="AR179" i="12"/>
  <c r="AS179" i="12"/>
  <c r="X180" i="12"/>
  <c r="Y180" i="12"/>
  <c r="AX180" i="12"/>
  <c r="F23" i="11"/>
  <c r="N7" i="10"/>
  <c r="N8" i="10"/>
  <c r="N9" i="10"/>
  <c r="N10" i="10"/>
  <c r="N11" i="10"/>
  <c r="N12" i="10"/>
  <c r="N13" i="10"/>
  <c r="B14" i="10"/>
  <c r="C14" i="10"/>
  <c r="D14" i="10"/>
  <c r="D33" i="10" s="1"/>
  <c r="E14" i="10"/>
  <c r="F14" i="10"/>
  <c r="G14" i="10"/>
  <c r="H14" i="10"/>
  <c r="H33" i="10" s="1"/>
  <c r="I14" i="10"/>
  <c r="J14" i="10"/>
  <c r="K14" i="10"/>
  <c r="L14" i="10"/>
  <c r="L33" i="10" s="1"/>
  <c r="M14" i="10"/>
  <c r="N17" i="10"/>
  <c r="N18" i="10"/>
  <c r="N19" i="10"/>
  <c r="N20" i="10"/>
  <c r="N21" i="10"/>
  <c r="N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6" i="10"/>
  <c r="N27" i="10"/>
  <c r="N28" i="10"/>
  <c r="N30" i="10" s="1"/>
  <c r="N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C33" i="10"/>
  <c r="G33" i="10"/>
  <c r="K33" i="10"/>
  <c r="D9" i="16"/>
  <c r="D14" i="16"/>
  <c r="K16" i="16"/>
  <c r="M16" i="16"/>
  <c r="D18" i="16"/>
  <c r="D22" i="16"/>
  <c r="D6" i="5"/>
  <c r="D13" i="5"/>
  <c r="F13" i="5"/>
  <c r="H13" i="5"/>
  <c r="J13" i="5"/>
  <c r="K13" i="5"/>
  <c r="L13" i="5"/>
  <c r="M13" i="5"/>
  <c r="N13" i="5"/>
  <c r="O13" i="5"/>
  <c r="P13" i="5"/>
  <c r="Q13" i="5"/>
  <c r="R13" i="5"/>
  <c r="D14" i="5"/>
  <c r="F14" i="5"/>
  <c r="H14" i="5"/>
  <c r="J14" i="5"/>
  <c r="K14" i="5"/>
  <c r="L14" i="5"/>
  <c r="M14" i="5"/>
  <c r="N14" i="5"/>
  <c r="O14" i="5"/>
  <c r="P14" i="5"/>
  <c r="Q14" i="5"/>
  <c r="R14" i="5"/>
  <c r="D16" i="5"/>
  <c r="D17" i="5"/>
  <c r="F17" i="5"/>
  <c r="H17" i="5"/>
  <c r="J17" i="5"/>
  <c r="K17" i="5"/>
  <c r="L17" i="5"/>
  <c r="M17" i="5"/>
  <c r="N17" i="5"/>
  <c r="O17" i="5"/>
  <c r="P17" i="5"/>
  <c r="Q17" i="5"/>
  <c r="R17" i="5"/>
  <c r="D18" i="5"/>
  <c r="F18" i="5"/>
  <c r="H18" i="5"/>
  <c r="J18" i="5"/>
  <c r="K18" i="5"/>
  <c r="L18" i="5"/>
  <c r="M18" i="5"/>
  <c r="N18" i="5"/>
  <c r="O18" i="5"/>
  <c r="P18" i="5"/>
  <c r="Q18" i="5"/>
  <c r="R18" i="5"/>
  <c r="D19" i="5"/>
  <c r="D165" i="5" s="1"/>
  <c r="F20" i="5"/>
  <c r="F168" i="5" s="1"/>
  <c r="H20" i="5"/>
  <c r="H168" i="5" s="1"/>
  <c r="J20" i="5"/>
  <c r="J168" i="5" s="1"/>
  <c r="D23" i="5"/>
  <c r="D162" i="5" s="1"/>
  <c r="D62" i="5"/>
  <c r="D65" i="5"/>
  <c r="F65" i="5"/>
  <c r="H65" i="5"/>
  <c r="J65" i="5"/>
  <c r="J67" i="5" s="1"/>
  <c r="K65" i="5"/>
  <c r="L65" i="5"/>
  <c r="M65" i="5"/>
  <c r="N65" i="5"/>
  <c r="O65" i="5"/>
  <c r="Q65" i="5"/>
  <c r="R65" i="5"/>
  <c r="D66" i="5"/>
  <c r="F66" i="5"/>
  <c r="H66" i="5"/>
  <c r="J66" i="5"/>
  <c r="K66" i="5"/>
  <c r="L66" i="5"/>
  <c r="M66" i="5"/>
  <c r="N66" i="5"/>
  <c r="P66" i="5"/>
  <c r="Q66" i="5"/>
  <c r="R66" i="5"/>
  <c r="R67" i="5" s="1"/>
  <c r="J75" i="5"/>
  <c r="D79" i="5"/>
  <c r="F79" i="5"/>
  <c r="H79" i="5"/>
  <c r="J79" i="5"/>
  <c r="K79" i="5"/>
  <c r="L79" i="5"/>
  <c r="M79" i="5"/>
  <c r="N79" i="5"/>
  <c r="O79" i="5"/>
  <c r="P79" i="5"/>
  <c r="Q79" i="5"/>
  <c r="R79" i="5"/>
  <c r="D80" i="5"/>
  <c r="F80" i="5"/>
  <c r="H80" i="5"/>
  <c r="J80" i="5"/>
  <c r="K80" i="5"/>
  <c r="L80" i="5"/>
  <c r="M80" i="5"/>
  <c r="N80" i="5"/>
  <c r="O80" i="5"/>
  <c r="P80" i="5"/>
  <c r="Q80" i="5"/>
  <c r="R80" i="5"/>
  <c r="D81" i="5"/>
  <c r="F81" i="5"/>
  <c r="H81" i="5"/>
  <c r="J81" i="5"/>
  <c r="K81" i="5"/>
  <c r="L81" i="5"/>
  <c r="M81" i="5"/>
  <c r="N81" i="5"/>
  <c r="O81" i="5"/>
  <c r="P81" i="5"/>
  <c r="Q81" i="5"/>
  <c r="R81" i="5"/>
  <c r="D82" i="5"/>
  <c r="F82" i="5"/>
  <c r="H82" i="5"/>
  <c r="J82" i="5"/>
  <c r="K82" i="5"/>
  <c r="L82" i="5"/>
  <c r="M82" i="5"/>
  <c r="N82" i="5"/>
  <c r="O82" i="5"/>
  <c r="P82" i="5"/>
  <c r="Q82" i="5"/>
  <c r="R82" i="5"/>
  <c r="D83" i="5"/>
  <c r="F83" i="5"/>
  <c r="H83" i="5"/>
  <c r="J83" i="5"/>
  <c r="K83" i="5"/>
  <c r="L83" i="5"/>
  <c r="M83" i="5"/>
  <c r="N83" i="5"/>
  <c r="O83" i="5"/>
  <c r="P83" i="5"/>
  <c r="Q83" i="5"/>
  <c r="R83" i="5"/>
  <c r="D84" i="5"/>
  <c r="F84" i="5"/>
  <c r="H84" i="5"/>
  <c r="J84" i="5"/>
  <c r="K84" i="5"/>
  <c r="L84" i="5"/>
  <c r="M84" i="5"/>
  <c r="N84" i="5"/>
  <c r="O84" i="5"/>
  <c r="P84" i="5"/>
  <c r="Q84" i="5"/>
  <c r="R84" i="5"/>
  <c r="D85" i="5"/>
  <c r="F85" i="5"/>
  <c r="H85" i="5"/>
  <c r="J85" i="5"/>
  <c r="K85" i="5"/>
  <c r="L85" i="5"/>
  <c r="M85" i="5"/>
  <c r="N85" i="5"/>
  <c r="O85" i="5"/>
  <c r="P85" i="5"/>
  <c r="Q85" i="5"/>
  <c r="R85" i="5"/>
  <c r="D86" i="5"/>
  <c r="J86" i="5"/>
  <c r="K86" i="5"/>
  <c r="R86" i="5"/>
  <c r="D87" i="5"/>
  <c r="F87" i="5"/>
  <c r="H87" i="5"/>
  <c r="J87" i="5"/>
  <c r="K87" i="5"/>
  <c r="L87" i="5"/>
  <c r="M87" i="5"/>
  <c r="N87" i="5"/>
  <c r="O87" i="5"/>
  <c r="P87" i="5"/>
  <c r="Q87" i="5"/>
  <c r="R87" i="5"/>
  <c r="D88" i="5"/>
  <c r="F88" i="5"/>
  <c r="H88" i="5"/>
  <c r="J88" i="5"/>
  <c r="K88" i="5"/>
  <c r="L88" i="5"/>
  <c r="M88" i="5"/>
  <c r="N88" i="5"/>
  <c r="O88" i="5"/>
  <c r="P88" i="5"/>
  <c r="Q88" i="5"/>
  <c r="R88" i="5"/>
  <c r="D89" i="5"/>
  <c r="D90" i="5"/>
  <c r="F90" i="5"/>
  <c r="H90" i="5"/>
  <c r="J90" i="5"/>
  <c r="K90" i="5"/>
  <c r="L90" i="5"/>
  <c r="M90" i="5"/>
  <c r="N90" i="5"/>
  <c r="O90" i="5"/>
  <c r="P90" i="5"/>
  <c r="Q90" i="5"/>
  <c r="R90" i="5"/>
  <c r="D91" i="5"/>
  <c r="D92" i="5"/>
  <c r="D156" i="5" s="1"/>
  <c r="D94" i="5"/>
  <c r="F94" i="5"/>
  <c r="H94" i="5"/>
  <c r="J94" i="5"/>
  <c r="K94" i="5"/>
  <c r="L94" i="5"/>
  <c r="M94" i="5"/>
  <c r="N94" i="5"/>
  <c r="O94" i="5"/>
  <c r="P94" i="5"/>
  <c r="Q94" i="5"/>
  <c r="R94" i="5"/>
  <c r="D95" i="5"/>
  <c r="F95" i="5"/>
  <c r="H95" i="5"/>
  <c r="J95" i="5"/>
  <c r="K95" i="5"/>
  <c r="L95" i="5"/>
  <c r="M95" i="5"/>
  <c r="N95" i="5"/>
  <c r="O95" i="5"/>
  <c r="P95" i="5"/>
  <c r="Q95" i="5"/>
  <c r="R95" i="5"/>
  <c r="D96" i="5"/>
  <c r="K96" i="5"/>
  <c r="D97" i="5"/>
  <c r="F97" i="5"/>
  <c r="H97" i="5"/>
  <c r="J97" i="5"/>
  <c r="K97" i="5"/>
  <c r="L97" i="5"/>
  <c r="M97" i="5"/>
  <c r="N97" i="5"/>
  <c r="O97" i="5"/>
  <c r="P97" i="5"/>
  <c r="Q97" i="5"/>
  <c r="R97" i="5"/>
  <c r="D98" i="5"/>
  <c r="F98" i="5"/>
  <c r="H98" i="5"/>
  <c r="J98" i="5"/>
  <c r="K98" i="5"/>
  <c r="L98" i="5"/>
  <c r="M98" i="5"/>
  <c r="N98" i="5"/>
  <c r="O98" i="5"/>
  <c r="P98" i="5"/>
  <c r="Q98" i="5"/>
  <c r="R98" i="5"/>
  <c r="D99" i="5"/>
  <c r="F99" i="5"/>
  <c r="H99" i="5"/>
  <c r="J99" i="5"/>
  <c r="K99" i="5"/>
  <c r="L99" i="5"/>
  <c r="M99" i="5"/>
  <c r="N99" i="5"/>
  <c r="O99" i="5"/>
  <c r="P99" i="5"/>
  <c r="Q99" i="5"/>
  <c r="R99" i="5"/>
  <c r="D100" i="5"/>
  <c r="F100" i="5"/>
  <c r="H100" i="5"/>
  <c r="J100" i="5"/>
  <c r="K100" i="5"/>
  <c r="L100" i="5"/>
  <c r="M100" i="5"/>
  <c r="N100" i="5"/>
  <c r="O100" i="5"/>
  <c r="P100" i="5"/>
  <c r="Q100" i="5"/>
  <c r="R100" i="5"/>
  <c r="D101" i="5"/>
  <c r="D102" i="5"/>
  <c r="D103" i="5"/>
  <c r="D140" i="5" s="1"/>
  <c r="D104" i="5"/>
  <c r="F104" i="5"/>
  <c r="H104" i="5"/>
  <c r="J104" i="5"/>
  <c r="K104" i="5"/>
  <c r="L104" i="5"/>
  <c r="M104" i="5"/>
  <c r="N104" i="5"/>
  <c r="O104" i="5"/>
  <c r="P104" i="5"/>
  <c r="Q104" i="5"/>
  <c r="R104" i="5"/>
  <c r="D105" i="5"/>
  <c r="D106" i="5"/>
  <c r="F106" i="5"/>
  <c r="H106" i="5"/>
  <c r="J106" i="5"/>
  <c r="K106" i="5"/>
  <c r="L106" i="5"/>
  <c r="M106" i="5"/>
  <c r="N106" i="5"/>
  <c r="O106" i="5"/>
  <c r="P106" i="5"/>
  <c r="Q106" i="5"/>
  <c r="R106" i="5"/>
  <c r="D107" i="5"/>
  <c r="D161" i="5" s="1"/>
  <c r="F107" i="5"/>
  <c r="H107" i="5"/>
  <c r="J107" i="5"/>
  <c r="K107" i="5"/>
  <c r="L107" i="5"/>
  <c r="M107" i="5"/>
  <c r="N107" i="5"/>
  <c r="O107" i="5"/>
  <c r="P107" i="5"/>
  <c r="Q107" i="5"/>
  <c r="R107" i="5"/>
  <c r="D110" i="5"/>
  <c r="D111" i="5"/>
  <c r="D112" i="5"/>
  <c r="D113" i="5"/>
  <c r="D114" i="5"/>
  <c r="D147" i="5" s="1"/>
  <c r="D115" i="5"/>
  <c r="D176" i="5" s="1"/>
  <c r="D116" i="5"/>
  <c r="D117" i="5"/>
  <c r="D118" i="5"/>
  <c r="T121" i="5"/>
  <c r="U121" i="5" s="1"/>
  <c r="V121" i="5" s="1"/>
  <c r="D122" i="5"/>
  <c r="D123" i="5"/>
  <c r="F123" i="5"/>
  <c r="H123" i="5"/>
  <c r="J123" i="5"/>
  <c r="K123" i="5"/>
  <c r="L123" i="5"/>
  <c r="M123" i="5"/>
  <c r="N123" i="5"/>
  <c r="O123" i="5"/>
  <c r="P123" i="5"/>
  <c r="Q123" i="5"/>
  <c r="R123" i="5"/>
  <c r="T126" i="5"/>
  <c r="U126" i="5" s="1"/>
  <c r="V126" i="5" s="1"/>
  <c r="D127" i="5"/>
  <c r="D128" i="5"/>
  <c r="D129" i="5"/>
  <c r="D134" i="5"/>
  <c r="F134" i="5"/>
  <c r="H134" i="5"/>
  <c r="J134" i="5"/>
  <c r="K134" i="5"/>
  <c r="L134" i="5"/>
  <c r="M134" i="5"/>
  <c r="N134" i="5"/>
  <c r="O134" i="5"/>
  <c r="P134" i="5"/>
  <c r="Q134" i="5"/>
  <c r="R134" i="5"/>
  <c r="F6" i="4"/>
  <c r="H6" i="4" s="1"/>
  <c r="D7" i="4"/>
  <c r="D7" i="5" s="1"/>
  <c r="D150" i="5" s="1"/>
  <c r="D8" i="4"/>
  <c r="D9" i="4"/>
  <c r="D9" i="5" s="1"/>
  <c r="D175" i="5" s="1"/>
  <c r="F9" i="4"/>
  <c r="H9" i="4"/>
  <c r="H9" i="5" s="1"/>
  <c r="H175" i="5" s="1"/>
  <c r="J9" i="4"/>
  <c r="U9" i="18" s="1"/>
  <c r="T44" i="19" s="1"/>
  <c r="L9" i="4"/>
  <c r="L175" i="4" s="1"/>
  <c r="N9" i="4"/>
  <c r="L9" i="5" s="1"/>
  <c r="L175" i="5" s="1"/>
  <c r="P9" i="4"/>
  <c r="R9" i="4"/>
  <c r="T9" i="4"/>
  <c r="T175" i="4" s="1"/>
  <c r="V9" i="4"/>
  <c r="X9" i="4"/>
  <c r="AB9" i="18" s="1"/>
  <c r="AA44" i="19" s="1"/>
  <c r="Z9" i="4"/>
  <c r="AC9" i="18" s="1"/>
  <c r="AB44" i="19" s="1"/>
  <c r="D10" i="4"/>
  <c r="D169" i="4" s="1"/>
  <c r="P10" i="4"/>
  <c r="X10" i="18" s="1"/>
  <c r="R10" i="4"/>
  <c r="N10" i="5" s="1"/>
  <c r="V10" i="4"/>
  <c r="AA10" i="18" s="1"/>
  <c r="X10" i="4"/>
  <c r="H10" i="18" s="1"/>
  <c r="Z10" i="4"/>
  <c r="D12" i="4"/>
  <c r="F12" i="4" s="1"/>
  <c r="AB13" i="4"/>
  <c r="AC13" i="4" s="1"/>
  <c r="AD13" i="4" s="1"/>
  <c r="AE13" i="4" s="1"/>
  <c r="AB14" i="4"/>
  <c r="AC14" i="4" s="1"/>
  <c r="AD14" i="4" s="1"/>
  <c r="AE14" i="4" s="1"/>
  <c r="D15" i="4"/>
  <c r="D15" i="5" s="1"/>
  <c r="F16" i="4"/>
  <c r="H16" i="4"/>
  <c r="J16" i="4" s="1"/>
  <c r="AB17" i="4"/>
  <c r="AC17" i="4" s="1"/>
  <c r="AD17" i="4" s="1"/>
  <c r="AE17" i="4" s="1"/>
  <c r="AB18" i="4"/>
  <c r="AC18" i="4" s="1"/>
  <c r="AD18" i="4" s="1"/>
  <c r="AE18" i="4" s="1"/>
  <c r="F19" i="4"/>
  <c r="H19" i="4" s="1"/>
  <c r="D20" i="4"/>
  <c r="L20" i="4"/>
  <c r="N20" i="4"/>
  <c r="P20" i="4"/>
  <c r="M20" i="5" s="1"/>
  <c r="M168" i="5" s="1"/>
  <c r="R20" i="4"/>
  <c r="T20" i="4"/>
  <c r="V20" i="4"/>
  <c r="AA20" i="18" s="1"/>
  <c r="Z37" i="19" s="1"/>
  <c r="X20" i="4"/>
  <c r="Q20" i="5" s="1"/>
  <c r="Q168" i="5" s="1"/>
  <c r="Z20" i="4"/>
  <c r="D21" i="4"/>
  <c r="D21" i="5" s="1"/>
  <c r="F21" i="4"/>
  <c r="F21" i="5" s="1"/>
  <c r="H21" i="4"/>
  <c r="H21" i="5" s="1"/>
  <c r="J21" i="4"/>
  <c r="U21" i="18" s="1"/>
  <c r="L21" i="4"/>
  <c r="V21" i="18" s="1"/>
  <c r="N21" i="4"/>
  <c r="L21" i="5" s="1"/>
  <c r="P21" i="4"/>
  <c r="X21" i="18" s="1"/>
  <c r="R21" i="4"/>
  <c r="T21" i="4"/>
  <c r="Z21" i="18" s="1"/>
  <c r="V21" i="4"/>
  <c r="X21" i="4"/>
  <c r="H21" i="18" s="1"/>
  <c r="Z21" i="4"/>
  <c r="F23" i="4"/>
  <c r="F162" i="4" s="1"/>
  <c r="D24" i="4"/>
  <c r="F24" i="4"/>
  <c r="F164" i="4" s="1"/>
  <c r="H24" i="4"/>
  <c r="J24" i="4"/>
  <c r="L24" i="4"/>
  <c r="N24" i="4"/>
  <c r="L24" i="5" s="1"/>
  <c r="P24" i="4"/>
  <c r="R24" i="4"/>
  <c r="T24" i="4"/>
  <c r="Z24" i="18" s="1"/>
  <c r="V24" i="4"/>
  <c r="D24" i="18" s="1"/>
  <c r="X24" i="4"/>
  <c r="Z24" i="4"/>
  <c r="D25" i="4"/>
  <c r="F25" i="4"/>
  <c r="F25" i="5" s="1"/>
  <c r="H25" i="4"/>
  <c r="H25" i="5" s="1"/>
  <c r="J25" i="4"/>
  <c r="U25" i="18" s="1"/>
  <c r="L25" i="4"/>
  <c r="N25" i="4"/>
  <c r="W25" i="18" s="1"/>
  <c r="P25" i="4"/>
  <c r="M25" i="5" s="1"/>
  <c r="R25" i="4"/>
  <c r="Y25" i="18" s="1"/>
  <c r="T25" i="4"/>
  <c r="V25" i="4"/>
  <c r="AA25" i="18" s="1"/>
  <c r="X25" i="4"/>
  <c r="AB25" i="18" s="1"/>
  <c r="D26" i="4"/>
  <c r="F26" i="4"/>
  <c r="F26" i="5" s="1"/>
  <c r="H26" i="4"/>
  <c r="J26" i="4"/>
  <c r="L26" i="4"/>
  <c r="N26" i="4"/>
  <c r="L26" i="5" s="1"/>
  <c r="P26" i="4"/>
  <c r="X26" i="18" s="1"/>
  <c r="R26" i="4"/>
  <c r="T26" i="4"/>
  <c r="V26" i="4"/>
  <c r="X26" i="4"/>
  <c r="H26" i="18" s="1"/>
  <c r="Z26" i="4"/>
  <c r="D27" i="4"/>
  <c r="D27" i="5" s="1"/>
  <c r="F27" i="4"/>
  <c r="F27" i="5" s="1"/>
  <c r="H27" i="4"/>
  <c r="H27" i="5" s="1"/>
  <c r="J27" i="4"/>
  <c r="U27" i="18" s="1"/>
  <c r="L27" i="4"/>
  <c r="K27" i="5" s="1"/>
  <c r="N27" i="4"/>
  <c r="L27" i="5" s="1"/>
  <c r="P27" i="4"/>
  <c r="X27" i="18" s="1"/>
  <c r="R27" i="4"/>
  <c r="V27" i="4"/>
  <c r="X27" i="4"/>
  <c r="D28" i="4"/>
  <c r="D28" i="5" s="1"/>
  <c r="F28" i="4"/>
  <c r="H28" i="4"/>
  <c r="H28" i="5" s="1"/>
  <c r="J28" i="4"/>
  <c r="L28" i="4"/>
  <c r="K28" i="5" s="1"/>
  <c r="N28" i="4"/>
  <c r="P28" i="4"/>
  <c r="M28" i="5" s="1"/>
  <c r="R28" i="4"/>
  <c r="T28" i="4"/>
  <c r="Z28" i="18" s="1"/>
  <c r="V28" i="4"/>
  <c r="X28" i="4"/>
  <c r="Z28" i="4"/>
  <c r="AC28" i="18" s="1"/>
  <c r="D29" i="4"/>
  <c r="D29" i="5" s="1"/>
  <c r="D30" i="4"/>
  <c r="F30" i="4"/>
  <c r="F30" i="5" s="1"/>
  <c r="H30" i="4"/>
  <c r="H30" i="5" s="1"/>
  <c r="J30" i="4"/>
  <c r="U30" i="18" s="1"/>
  <c r="L30" i="4"/>
  <c r="N30" i="4"/>
  <c r="W30" i="18" s="1"/>
  <c r="P30" i="4"/>
  <c r="X30" i="18" s="1"/>
  <c r="R30" i="4"/>
  <c r="Y30" i="18" s="1"/>
  <c r="T30" i="4"/>
  <c r="Z30" i="18" s="1"/>
  <c r="V30" i="4"/>
  <c r="P30" i="5" s="1"/>
  <c r="X30" i="4"/>
  <c r="Z30" i="4"/>
  <c r="D31" i="4"/>
  <c r="F31" i="4"/>
  <c r="H31" i="4"/>
  <c r="H31" i="5" s="1"/>
  <c r="J31" i="4"/>
  <c r="J31" i="5" s="1"/>
  <c r="L31" i="4"/>
  <c r="N31" i="4"/>
  <c r="W31" i="18" s="1"/>
  <c r="P31" i="4"/>
  <c r="R31" i="4"/>
  <c r="N31" i="5" s="1"/>
  <c r="T31" i="4"/>
  <c r="V31" i="4"/>
  <c r="X31" i="4"/>
  <c r="Z31" i="4"/>
  <c r="R31" i="5" s="1"/>
  <c r="D33" i="4"/>
  <c r="D34" i="4"/>
  <c r="D34" i="5" s="1"/>
  <c r="D160" i="5" s="1"/>
  <c r="D35" i="4"/>
  <c r="D35" i="5" s="1"/>
  <c r="D36" i="4"/>
  <c r="D173" i="4" s="1"/>
  <c r="D37" i="4"/>
  <c r="D38" i="4"/>
  <c r="D157" i="4" s="1"/>
  <c r="D39" i="4"/>
  <c r="D40" i="4"/>
  <c r="F40" i="4"/>
  <c r="F178" i="4" s="1"/>
  <c r="H40" i="4"/>
  <c r="J40" i="4"/>
  <c r="L40" i="4"/>
  <c r="V40" i="18" s="1"/>
  <c r="U47" i="19" s="1"/>
  <c r="N40" i="4"/>
  <c r="W40" i="18" s="1"/>
  <c r="V47" i="19" s="1"/>
  <c r="P40" i="4"/>
  <c r="R40" i="4"/>
  <c r="N40" i="5" s="1"/>
  <c r="N178" i="5" s="1"/>
  <c r="T40" i="4"/>
  <c r="Z40" i="18" s="1"/>
  <c r="Y47" i="19" s="1"/>
  <c r="V40" i="4"/>
  <c r="X40" i="4"/>
  <c r="Z40" i="4"/>
  <c r="D41" i="4"/>
  <c r="D41" i="5" s="1"/>
  <c r="F41" i="4"/>
  <c r="F41" i="5" s="1"/>
  <c r="H41" i="4"/>
  <c r="J41" i="4"/>
  <c r="U41" i="18" s="1"/>
  <c r="L41" i="4"/>
  <c r="V41" i="18" s="1"/>
  <c r="N41" i="4"/>
  <c r="P41" i="4"/>
  <c r="X41" i="18" s="1"/>
  <c r="R41" i="4"/>
  <c r="T41" i="4"/>
  <c r="O41" i="5" s="1"/>
  <c r="V41" i="4"/>
  <c r="X41" i="4"/>
  <c r="Z41" i="4"/>
  <c r="D42" i="4"/>
  <c r="D42" i="5" s="1"/>
  <c r="F42" i="4"/>
  <c r="F42" i="5" s="1"/>
  <c r="H42" i="4"/>
  <c r="J42" i="4"/>
  <c r="L42" i="4"/>
  <c r="K42" i="5" s="1"/>
  <c r="N42" i="4"/>
  <c r="P42" i="4"/>
  <c r="M42" i="5" s="1"/>
  <c r="R42" i="4"/>
  <c r="T42" i="4"/>
  <c r="Z42" i="18" s="1"/>
  <c r="V42" i="4"/>
  <c r="X42" i="4"/>
  <c r="Z42" i="4"/>
  <c r="D43" i="4"/>
  <c r="D43" i="5" s="1"/>
  <c r="F43" i="4"/>
  <c r="F43" i="5" s="1"/>
  <c r="H43" i="4"/>
  <c r="H43" i="5" s="1"/>
  <c r="J43" i="4"/>
  <c r="L43" i="4"/>
  <c r="V43" i="18" s="1"/>
  <c r="N43" i="4"/>
  <c r="W43" i="18" s="1"/>
  <c r="P43" i="4"/>
  <c r="X43" i="18" s="1"/>
  <c r="R43" i="4"/>
  <c r="Y43" i="18" s="1"/>
  <c r="T43" i="4"/>
  <c r="V43" i="4"/>
  <c r="P43" i="5" s="1"/>
  <c r="X43" i="4"/>
  <c r="Z43" i="4"/>
  <c r="D45" i="4"/>
  <c r="D45" i="5" s="1"/>
  <c r="D46" i="4"/>
  <c r="F46" i="4"/>
  <c r="H46" i="4"/>
  <c r="H46" i="5" s="1"/>
  <c r="J46" i="4"/>
  <c r="U46" i="18" s="1"/>
  <c r="L46" i="4"/>
  <c r="N46" i="4"/>
  <c r="L46" i="5" s="1"/>
  <c r="P46" i="4"/>
  <c r="R46" i="4"/>
  <c r="Y46" i="18" s="1"/>
  <c r="T46" i="4"/>
  <c r="V46" i="4"/>
  <c r="D46" i="18" s="1"/>
  <c r="F46" i="18" s="1"/>
  <c r="X46" i="4"/>
  <c r="Z46" i="4"/>
  <c r="D47" i="4"/>
  <c r="D48" i="4"/>
  <c r="D49" i="4"/>
  <c r="D50" i="4"/>
  <c r="D51" i="4"/>
  <c r="D167" i="4" s="1"/>
  <c r="D52" i="4"/>
  <c r="D172" i="4" s="1"/>
  <c r="D53" i="4"/>
  <c r="D54" i="4"/>
  <c r="D54" i="5" s="1"/>
  <c r="F54" i="4"/>
  <c r="F54" i="5" s="1"/>
  <c r="H54" i="4"/>
  <c r="H54" i="5" s="1"/>
  <c r="J54" i="4"/>
  <c r="L54" i="4"/>
  <c r="N54" i="4"/>
  <c r="P54" i="4"/>
  <c r="M54" i="5" s="1"/>
  <c r="R54" i="4"/>
  <c r="T54" i="4"/>
  <c r="Z54" i="18" s="1"/>
  <c r="V54" i="4"/>
  <c r="X54" i="4"/>
  <c r="AB54" i="18" s="1"/>
  <c r="Z54" i="4"/>
  <c r="D55" i="4"/>
  <c r="F55" i="4"/>
  <c r="F55" i="5" s="1"/>
  <c r="H55" i="4"/>
  <c r="H55" i="5" s="1"/>
  <c r="J55" i="4"/>
  <c r="L55" i="4"/>
  <c r="V55" i="18" s="1"/>
  <c r="N55" i="4"/>
  <c r="T55" i="4"/>
  <c r="V55" i="4"/>
  <c r="AA55" i="18" s="1"/>
  <c r="X55" i="4"/>
  <c r="Z55" i="4"/>
  <c r="D58" i="4"/>
  <c r="F58" i="4"/>
  <c r="H58" i="4"/>
  <c r="J58" i="4"/>
  <c r="J142" i="4" s="1"/>
  <c r="L58" i="4"/>
  <c r="N58" i="4"/>
  <c r="P58" i="4"/>
  <c r="R58" i="4"/>
  <c r="R142" i="4" s="1"/>
  <c r="T58" i="4"/>
  <c r="V58" i="4"/>
  <c r="X58" i="4"/>
  <c r="Z58" i="4"/>
  <c r="Z142" i="4" s="1"/>
  <c r="D59" i="4"/>
  <c r="F59" i="4"/>
  <c r="H59" i="4"/>
  <c r="J59" i="4"/>
  <c r="J141" i="4" s="1"/>
  <c r="L59" i="4"/>
  <c r="N59" i="4"/>
  <c r="P59" i="4"/>
  <c r="R59" i="4"/>
  <c r="R141" i="4" s="1"/>
  <c r="T59" i="4"/>
  <c r="V59" i="4"/>
  <c r="X59" i="4"/>
  <c r="Z59" i="4"/>
  <c r="Z141" i="4" s="1"/>
  <c r="D60" i="4"/>
  <c r="F60" i="4"/>
  <c r="H60" i="4"/>
  <c r="J60" i="4"/>
  <c r="L60" i="4"/>
  <c r="N60" i="4"/>
  <c r="P60" i="4"/>
  <c r="R60" i="4"/>
  <c r="T60" i="4"/>
  <c r="V60" i="4"/>
  <c r="X60" i="4"/>
  <c r="Z60" i="4"/>
  <c r="AB60" i="4" s="1"/>
  <c r="AC60" i="4" s="1"/>
  <c r="AD60" i="4" s="1"/>
  <c r="AE60" i="4" s="1"/>
  <c r="D61" i="4"/>
  <c r="F61" i="4"/>
  <c r="H61" i="4"/>
  <c r="H61" i="5" s="1"/>
  <c r="J61" i="4"/>
  <c r="L61" i="4"/>
  <c r="N61" i="4"/>
  <c r="P61" i="4"/>
  <c r="M61" i="5" s="1"/>
  <c r="R61" i="4"/>
  <c r="T61" i="4"/>
  <c r="V61" i="4"/>
  <c r="X61" i="4"/>
  <c r="Q61" i="5" s="1"/>
  <c r="Z61" i="4"/>
  <c r="F62" i="4"/>
  <c r="H62" i="4"/>
  <c r="J62" i="4"/>
  <c r="J62" i="5" s="1"/>
  <c r="L62" i="4"/>
  <c r="N62" i="4"/>
  <c r="P62" i="4"/>
  <c r="R62" i="4"/>
  <c r="N62" i="5" s="1"/>
  <c r="T62" i="4"/>
  <c r="V62" i="4"/>
  <c r="X62" i="4"/>
  <c r="Z62" i="4"/>
  <c r="Z64" i="4" s="1"/>
  <c r="AB63" i="4"/>
  <c r="AC63" i="4" s="1"/>
  <c r="AD63" i="4" s="1"/>
  <c r="AE63" i="4" s="1"/>
  <c r="AB65" i="4"/>
  <c r="AC65" i="4" s="1"/>
  <c r="AB66" i="4"/>
  <c r="AC66" i="4" s="1"/>
  <c r="AD66" i="4" s="1"/>
  <c r="AE66" i="4" s="1"/>
  <c r="D67" i="4"/>
  <c r="J67" i="4"/>
  <c r="L67" i="4"/>
  <c r="N67" i="4"/>
  <c r="P67" i="4"/>
  <c r="R67" i="4"/>
  <c r="T67" i="4"/>
  <c r="V67" i="4"/>
  <c r="X67" i="4"/>
  <c r="Z67" i="4"/>
  <c r="AB67" i="4"/>
  <c r="D68" i="4"/>
  <c r="D68" i="5" s="1"/>
  <c r="D69" i="4"/>
  <c r="D69" i="5" s="1"/>
  <c r="F69" i="4"/>
  <c r="F69" i="5" s="1"/>
  <c r="H69" i="4"/>
  <c r="H69" i="5" s="1"/>
  <c r="J69" i="4"/>
  <c r="L69" i="4"/>
  <c r="V68" i="18" s="1"/>
  <c r="N69" i="4"/>
  <c r="W68" i="18" s="1"/>
  <c r="P69" i="4"/>
  <c r="X68" i="18" s="1"/>
  <c r="R69" i="4"/>
  <c r="T69" i="4"/>
  <c r="Z68" i="18" s="1"/>
  <c r="V69" i="4"/>
  <c r="P69" i="5" s="1"/>
  <c r="X69" i="4"/>
  <c r="Z69" i="4"/>
  <c r="D70" i="4"/>
  <c r="F70" i="4"/>
  <c r="H70" i="4"/>
  <c r="H70" i="5" s="1"/>
  <c r="J70" i="4"/>
  <c r="L70" i="4"/>
  <c r="N70" i="4"/>
  <c r="P70" i="4"/>
  <c r="R70" i="4"/>
  <c r="Y69" i="18" s="1"/>
  <c r="T70" i="4"/>
  <c r="Z69" i="18" s="1"/>
  <c r="V70" i="4"/>
  <c r="AA69" i="18" s="1"/>
  <c r="X70" i="4"/>
  <c r="Q70" i="5" s="1"/>
  <c r="Z70" i="4"/>
  <c r="D71" i="4"/>
  <c r="D71" i="5" s="1"/>
  <c r="F71" i="4"/>
  <c r="F71" i="5" s="1"/>
  <c r="H71" i="4"/>
  <c r="J71" i="4"/>
  <c r="L71" i="4"/>
  <c r="N71" i="4"/>
  <c r="P71" i="4"/>
  <c r="R71" i="4"/>
  <c r="T71" i="4"/>
  <c r="Z70" i="18" s="1"/>
  <c r="V71" i="4"/>
  <c r="X71" i="4"/>
  <c r="Z71" i="4"/>
  <c r="R71" i="5" s="1"/>
  <c r="D72" i="4"/>
  <c r="D74" i="4"/>
  <c r="F74" i="4"/>
  <c r="F74" i="5" s="1"/>
  <c r="H74" i="4"/>
  <c r="H74" i="5" s="1"/>
  <c r="J74" i="4"/>
  <c r="J74" i="5" s="1"/>
  <c r="L74" i="4"/>
  <c r="N74" i="4"/>
  <c r="P74" i="4"/>
  <c r="R74" i="4"/>
  <c r="Y73" i="18" s="1"/>
  <c r="T74" i="4"/>
  <c r="O74" i="5" s="1"/>
  <c r="V74" i="4"/>
  <c r="D75" i="4"/>
  <c r="D75" i="5" s="1"/>
  <c r="F75" i="4"/>
  <c r="F75" i="5" s="1"/>
  <c r="H75" i="4"/>
  <c r="L75" i="4"/>
  <c r="N75" i="4"/>
  <c r="P75" i="4"/>
  <c r="X74" i="18" s="1"/>
  <c r="R75" i="4"/>
  <c r="Y74" i="18" s="1"/>
  <c r="T75" i="4"/>
  <c r="V75" i="4"/>
  <c r="X75" i="4"/>
  <c r="AB74" i="18" s="1"/>
  <c r="Z75" i="4"/>
  <c r="AC74" i="18" s="1"/>
  <c r="D76" i="4"/>
  <c r="D76" i="5" s="1"/>
  <c r="D77" i="4"/>
  <c r="AB79" i="4"/>
  <c r="AC79" i="4" s="1"/>
  <c r="AB80" i="4"/>
  <c r="AC80" i="4" s="1"/>
  <c r="AD80" i="4" s="1"/>
  <c r="AE80" i="4" s="1"/>
  <c r="AB81" i="4"/>
  <c r="AC81" i="4" s="1"/>
  <c r="AD81" i="4" s="1"/>
  <c r="AE81" i="4" s="1"/>
  <c r="AB82" i="4"/>
  <c r="AB83" i="4"/>
  <c r="AC83" i="4" s="1"/>
  <c r="AD83" i="4" s="1"/>
  <c r="AE83" i="4" s="1"/>
  <c r="AB84" i="4"/>
  <c r="AC84" i="4" s="1"/>
  <c r="AD84" i="4" s="1"/>
  <c r="AE84" i="4" s="1"/>
  <c r="AB85" i="4"/>
  <c r="AC85" i="4" s="1"/>
  <c r="AD85" i="4" s="1"/>
  <c r="AE85" i="4" s="1"/>
  <c r="D86" i="4"/>
  <c r="J86" i="4"/>
  <c r="L86" i="4"/>
  <c r="N86" i="4"/>
  <c r="P86" i="4"/>
  <c r="R86" i="4"/>
  <c r="T86" i="4"/>
  <c r="V86" i="4"/>
  <c r="X86" i="4"/>
  <c r="Z86" i="4"/>
  <c r="AB87" i="4"/>
  <c r="AC87" i="4" s="1"/>
  <c r="AD87" i="4" s="1"/>
  <c r="AE87" i="4" s="1"/>
  <c r="AB88" i="4"/>
  <c r="AC88" i="4" s="1"/>
  <c r="AD88" i="4" s="1"/>
  <c r="AE88" i="4" s="1"/>
  <c r="F89" i="4"/>
  <c r="AB90" i="4"/>
  <c r="AC90" i="4" s="1"/>
  <c r="AD90" i="4" s="1"/>
  <c r="AE90" i="4" s="1"/>
  <c r="F91" i="4"/>
  <c r="F92" i="4"/>
  <c r="G25" i="19" s="1"/>
  <c r="D93" i="4"/>
  <c r="AB94" i="4"/>
  <c r="AC94" i="4"/>
  <c r="AD94" i="4" s="1"/>
  <c r="AB95" i="4"/>
  <c r="AC95" i="4"/>
  <c r="AD95" i="4" s="1"/>
  <c r="AE95" i="4" s="1"/>
  <c r="D96" i="4"/>
  <c r="J96" i="4"/>
  <c r="L96" i="4"/>
  <c r="N96" i="4"/>
  <c r="P96" i="4"/>
  <c r="R96" i="4"/>
  <c r="T96" i="4"/>
  <c r="V96" i="4"/>
  <c r="X96" i="4"/>
  <c r="Z96" i="4"/>
  <c r="AB96" i="4"/>
  <c r="AC96" i="4"/>
  <c r="AB97" i="4"/>
  <c r="AC97" i="4"/>
  <c r="AD97" i="4" s="1"/>
  <c r="AB98" i="4"/>
  <c r="AC98" i="4"/>
  <c r="AD98" i="4" s="1"/>
  <c r="AE98" i="4" s="1"/>
  <c r="AB99" i="4"/>
  <c r="AC99" i="4"/>
  <c r="AD99" i="4" s="1"/>
  <c r="AE99" i="4" s="1"/>
  <c r="AB100" i="4"/>
  <c r="AC100" i="4"/>
  <c r="AD100" i="4" s="1"/>
  <c r="AE100" i="4" s="1"/>
  <c r="D101" i="4"/>
  <c r="J101" i="4"/>
  <c r="L101" i="4"/>
  <c r="N101" i="4"/>
  <c r="P101" i="4"/>
  <c r="R101" i="4"/>
  <c r="T101" i="4"/>
  <c r="V101" i="4"/>
  <c r="X101" i="4"/>
  <c r="Z101" i="4"/>
  <c r="AB101" i="4"/>
  <c r="AC101" i="4"/>
  <c r="AB102" i="4"/>
  <c r="AC102" i="4"/>
  <c r="AD102" i="4" s="1"/>
  <c r="AE102" i="4" s="1"/>
  <c r="F103" i="4"/>
  <c r="F108" i="4" s="1"/>
  <c r="H103" i="4"/>
  <c r="AB104" i="4"/>
  <c r="AC104" i="4"/>
  <c r="AD104" i="4" s="1"/>
  <c r="AE104" i="4" s="1"/>
  <c r="AB105" i="4"/>
  <c r="AC105" i="4"/>
  <c r="AD105" i="4" s="1"/>
  <c r="AE105" i="4" s="1"/>
  <c r="AB106" i="4"/>
  <c r="AC106" i="4"/>
  <c r="AD106" i="4" s="1"/>
  <c r="AE106" i="4" s="1"/>
  <c r="AB107" i="4"/>
  <c r="AC107" i="4"/>
  <c r="AD107" i="4" s="1"/>
  <c r="AE107" i="4" s="1"/>
  <c r="D108" i="4"/>
  <c r="F109" i="4"/>
  <c r="H109" i="4" s="1"/>
  <c r="F110" i="4"/>
  <c r="H110" i="4"/>
  <c r="AB111" i="4"/>
  <c r="AC111" i="4" s="1"/>
  <c r="AD111" i="4" s="1"/>
  <c r="AE111" i="4" s="1"/>
  <c r="F112" i="4"/>
  <c r="H112" i="4"/>
  <c r="F113" i="4"/>
  <c r="H113" i="4" s="1"/>
  <c r="F114" i="4"/>
  <c r="H114" i="4" s="1"/>
  <c r="F115" i="4"/>
  <c r="H115" i="4"/>
  <c r="H176" i="4" s="1"/>
  <c r="AB116" i="4"/>
  <c r="AC116" i="4" s="1"/>
  <c r="AD116" i="4" s="1"/>
  <c r="AE116" i="4" s="1"/>
  <c r="F117" i="4"/>
  <c r="H117" i="4"/>
  <c r="F118" i="4"/>
  <c r="H118" i="4" s="1"/>
  <c r="J118" i="4" s="1"/>
  <c r="L118" i="4" s="1"/>
  <c r="N118" i="4" s="1"/>
  <c r="D119" i="4"/>
  <c r="AC121" i="4"/>
  <c r="AD121" i="4"/>
  <c r="AE121" i="4" s="1"/>
  <c r="F122" i="4"/>
  <c r="F124" i="4" s="1"/>
  <c r="AB123" i="4"/>
  <c r="AC123" i="4" s="1"/>
  <c r="AD123" i="4" s="1"/>
  <c r="AE123" i="4" s="1"/>
  <c r="D124" i="4"/>
  <c r="AC126" i="4"/>
  <c r="AD126" i="4" s="1"/>
  <c r="AE126" i="4" s="1"/>
  <c r="F127" i="4"/>
  <c r="F130" i="4" s="1"/>
  <c r="AB128" i="4"/>
  <c r="AC128" i="4" s="1"/>
  <c r="AD128" i="4" s="1"/>
  <c r="AE128" i="4" s="1"/>
  <c r="AB129" i="4"/>
  <c r="AC129" i="4" s="1"/>
  <c r="AD129" i="4" s="1"/>
  <c r="AE129" i="4" s="1"/>
  <c r="D130" i="4"/>
  <c r="AB134" i="4"/>
  <c r="AC134" i="4" s="1"/>
  <c r="AD134" i="4" s="1"/>
  <c r="AE134" i="4" s="1"/>
  <c r="D139" i="4"/>
  <c r="D140" i="4"/>
  <c r="F140" i="4"/>
  <c r="D141" i="4"/>
  <c r="F141" i="4"/>
  <c r="H141" i="4"/>
  <c r="L141" i="4"/>
  <c r="N141" i="4"/>
  <c r="P141" i="4"/>
  <c r="T141" i="4"/>
  <c r="V141" i="4"/>
  <c r="X141" i="4"/>
  <c r="D142" i="4"/>
  <c r="F142" i="4"/>
  <c r="H142" i="4"/>
  <c r="L142" i="4"/>
  <c r="N142" i="4"/>
  <c r="P142" i="4"/>
  <c r="AB142" i="4" s="1"/>
  <c r="T142" i="4"/>
  <c r="V142" i="4"/>
  <c r="X142" i="4"/>
  <c r="D147" i="4"/>
  <c r="F147" i="4"/>
  <c r="D148" i="4"/>
  <c r="F148" i="4"/>
  <c r="D156" i="4"/>
  <c r="F156" i="4"/>
  <c r="D161" i="4"/>
  <c r="F161" i="4"/>
  <c r="D162" i="4"/>
  <c r="D165" i="4"/>
  <c r="F165" i="4"/>
  <c r="F168" i="4"/>
  <c r="H168" i="4"/>
  <c r="J168" i="4"/>
  <c r="D171" i="4"/>
  <c r="F171" i="4"/>
  <c r="H171" i="4"/>
  <c r="J171" i="4"/>
  <c r="L171" i="4"/>
  <c r="N171" i="4"/>
  <c r="P171" i="4"/>
  <c r="R171" i="4"/>
  <c r="T171" i="4"/>
  <c r="V171" i="4"/>
  <c r="X171" i="4"/>
  <c r="Z171" i="4"/>
  <c r="AB171" i="4" s="1"/>
  <c r="D175" i="4"/>
  <c r="H175" i="4"/>
  <c r="D176" i="4"/>
  <c r="F176" i="4"/>
  <c r="D179" i="4"/>
  <c r="F179" i="4"/>
  <c r="D181" i="4"/>
  <c r="F181" i="4"/>
  <c r="F6" i="3"/>
  <c r="F12" i="3" s="1"/>
  <c r="F7" i="3"/>
  <c r="F8" i="3"/>
  <c r="F8" i="4" s="1"/>
  <c r="AB9" i="3"/>
  <c r="F10" i="3"/>
  <c r="T10" i="3"/>
  <c r="T10" i="4" s="1"/>
  <c r="D11" i="3"/>
  <c r="D12" i="3"/>
  <c r="AB13" i="3"/>
  <c r="AB14" i="3"/>
  <c r="F15" i="3"/>
  <c r="F15" i="4" s="1"/>
  <c r="F16" i="3"/>
  <c r="AB17" i="3"/>
  <c r="AB18" i="3"/>
  <c r="F19" i="3"/>
  <c r="AB20" i="3"/>
  <c r="AB21" i="3"/>
  <c r="F23" i="3"/>
  <c r="H23" i="3" s="1"/>
  <c r="AB24" i="3"/>
  <c r="Z25" i="3"/>
  <c r="Z25" i="4" s="1"/>
  <c r="L25" i="18" s="1"/>
  <c r="AB26" i="3"/>
  <c r="AB28" i="3"/>
  <c r="F29" i="3"/>
  <c r="F32" i="3" s="1"/>
  <c r="AB30" i="3"/>
  <c r="AB31" i="3"/>
  <c r="D32" i="3"/>
  <c r="F33" i="3"/>
  <c r="H33" i="3" s="1"/>
  <c r="F34" i="3"/>
  <c r="F35" i="3"/>
  <c r="F35" i="4" s="1"/>
  <c r="F36" i="3"/>
  <c r="F37" i="3"/>
  <c r="F38" i="3"/>
  <c r="F38" i="4" s="1"/>
  <c r="F39" i="3"/>
  <c r="AB40" i="3"/>
  <c r="AB41" i="3"/>
  <c r="AB42" i="3"/>
  <c r="AB43" i="3"/>
  <c r="D44" i="3"/>
  <c r="F45" i="3"/>
  <c r="AB46" i="3"/>
  <c r="F47" i="3"/>
  <c r="F47" i="4" s="1"/>
  <c r="F48" i="3"/>
  <c r="F48" i="4" s="1"/>
  <c r="F49" i="3"/>
  <c r="F50" i="3"/>
  <c r="F50" i="4" s="1"/>
  <c r="F51" i="3"/>
  <c r="F51" i="4" s="1"/>
  <c r="F52" i="3"/>
  <c r="F52" i="4" s="1"/>
  <c r="F53" i="3"/>
  <c r="F53" i="4" s="1"/>
  <c r="AB54" i="3"/>
  <c r="P55" i="3"/>
  <c r="P55" i="4" s="1"/>
  <c r="D56" i="3"/>
  <c r="D57" i="3" s="1"/>
  <c r="D58" i="3"/>
  <c r="F58" i="3"/>
  <c r="F142" i="3" s="1"/>
  <c r="H58" i="3"/>
  <c r="H142" i="3" s="1"/>
  <c r="N142" i="3"/>
  <c r="P58" i="3"/>
  <c r="X57" i="18" s="1"/>
  <c r="W11" i="19" s="1"/>
  <c r="R58" i="3"/>
  <c r="R142" i="3" s="1"/>
  <c r="T58" i="3"/>
  <c r="V58" i="3"/>
  <c r="P58" i="5" s="1"/>
  <c r="X58" i="3"/>
  <c r="Z58" i="3"/>
  <c r="L57" i="18" s="1"/>
  <c r="D59" i="3"/>
  <c r="D141" i="3" s="1"/>
  <c r="F59" i="3"/>
  <c r="F141" i="3" s="1"/>
  <c r="H59" i="3"/>
  <c r="H59" i="5" s="1"/>
  <c r="H141" i="5" s="1"/>
  <c r="J141" i="3"/>
  <c r="N141" i="3"/>
  <c r="P59" i="3"/>
  <c r="P141" i="3" s="1"/>
  <c r="R59" i="3"/>
  <c r="T59" i="3"/>
  <c r="V59" i="3"/>
  <c r="X59" i="3"/>
  <c r="AB58" i="18" s="1"/>
  <c r="AA10" i="19" s="1"/>
  <c r="Z59" i="3"/>
  <c r="D60" i="3"/>
  <c r="F60" i="3"/>
  <c r="F171" i="3" s="1"/>
  <c r="H60" i="3"/>
  <c r="H171" i="3" s="1"/>
  <c r="P60" i="3"/>
  <c r="R60" i="3"/>
  <c r="T60" i="3"/>
  <c r="V60" i="3"/>
  <c r="D59" i="18" s="1"/>
  <c r="C40" i="19" s="1"/>
  <c r="X60" i="3"/>
  <c r="Z60" i="3"/>
  <c r="L59" i="18" s="1"/>
  <c r="AB61" i="3"/>
  <c r="AB62" i="3"/>
  <c r="D63" i="3"/>
  <c r="F63" i="3"/>
  <c r="H63" i="3"/>
  <c r="U62" i="18"/>
  <c r="V62" i="18"/>
  <c r="W62" i="18"/>
  <c r="P63" i="3"/>
  <c r="X62" i="18" s="1"/>
  <c r="R63" i="3"/>
  <c r="Y62" i="18" s="1"/>
  <c r="T63" i="3"/>
  <c r="V63" i="3"/>
  <c r="X63" i="3"/>
  <c r="Z63" i="3"/>
  <c r="L62" i="18" s="1"/>
  <c r="V65" i="3"/>
  <c r="T66" i="3"/>
  <c r="Z65" i="18" s="1"/>
  <c r="D67" i="3"/>
  <c r="P67" i="3"/>
  <c r="R67" i="3"/>
  <c r="X67" i="3"/>
  <c r="Z67" i="3"/>
  <c r="F68" i="3"/>
  <c r="F68" i="4" s="1"/>
  <c r="AB69" i="3"/>
  <c r="AB70" i="3"/>
  <c r="AB71" i="3"/>
  <c r="F72" i="3"/>
  <c r="F72" i="4" s="1"/>
  <c r="D73" i="3"/>
  <c r="X74" i="3"/>
  <c r="AB75" i="3"/>
  <c r="F76" i="3"/>
  <c r="H76" i="3" s="1"/>
  <c r="H76" i="4" s="1"/>
  <c r="F77" i="3"/>
  <c r="D78" i="3"/>
  <c r="AB79" i="3"/>
  <c r="AB80" i="3"/>
  <c r="AB81" i="3"/>
  <c r="AB82" i="3"/>
  <c r="AB83" i="3"/>
  <c r="AB84" i="3"/>
  <c r="AB85" i="3"/>
  <c r="D86" i="3"/>
  <c r="P86" i="3"/>
  <c r="R86" i="3"/>
  <c r="T86" i="3"/>
  <c r="V86" i="3"/>
  <c r="X86" i="3"/>
  <c r="Z86" i="3"/>
  <c r="AB87" i="3"/>
  <c r="AB88" i="3"/>
  <c r="F89" i="3"/>
  <c r="H89" i="3" s="1"/>
  <c r="AB90" i="3"/>
  <c r="F91" i="3"/>
  <c r="F139" i="3" s="1"/>
  <c r="AB92" i="3"/>
  <c r="D93" i="3"/>
  <c r="AB94" i="3"/>
  <c r="AB95" i="3"/>
  <c r="D96" i="3"/>
  <c r="P96" i="3"/>
  <c r="R96" i="3"/>
  <c r="T96" i="3"/>
  <c r="V96" i="3"/>
  <c r="X96" i="3"/>
  <c r="Z96" i="3"/>
  <c r="AB97" i="3"/>
  <c r="AB98" i="3"/>
  <c r="AB99" i="3"/>
  <c r="AB100" i="3"/>
  <c r="D101" i="3"/>
  <c r="P101" i="3"/>
  <c r="R101" i="3"/>
  <c r="T101" i="3"/>
  <c r="V101" i="3"/>
  <c r="X101" i="3"/>
  <c r="Z101" i="3"/>
  <c r="F102" i="3"/>
  <c r="H102" i="3" s="1"/>
  <c r="F103" i="3"/>
  <c r="H103" i="3" s="1"/>
  <c r="AB104" i="3"/>
  <c r="F105" i="3"/>
  <c r="H105" i="3" s="1"/>
  <c r="AB106" i="3"/>
  <c r="AB107" i="3"/>
  <c r="D108" i="3"/>
  <c r="D109" i="3"/>
  <c r="F110" i="3"/>
  <c r="F111" i="3"/>
  <c r="H112" i="3"/>
  <c r="F113" i="3"/>
  <c r="F114" i="3"/>
  <c r="F115" i="3"/>
  <c r="F176" i="3" s="1"/>
  <c r="F116" i="3"/>
  <c r="F117" i="3"/>
  <c r="F118" i="3"/>
  <c r="F122" i="3"/>
  <c r="AB123" i="3"/>
  <c r="D124" i="3"/>
  <c r="F127" i="3"/>
  <c r="H127" i="3" s="1"/>
  <c r="F128" i="3"/>
  <c r="F129" i="3"/>
  <c r="D130" i="3"/>
  <c r="AB134" i="3"/>
  <c r="D138" i="3"/>
  <c r="F138" i="3"/>
  <c r="H138" i="3"/>
  <c r="J138" i="3"/>
  <c r="L138" i="3"/>
  <c r="N138" i="3"/>
  <c r="P138" i="3"/>
  <c r="R138" i="3"/>
  <c r="T138" i="3"/>
  <c r="V138" i="3"/>
  <c r="X138" i="3"/>
  <c r="D139" i="3"/>
  <c r="D140" i="3"/>
  <c r="H141" i="3"/>
  <c r="L141" i="3"/>
  <c r="T141" i="3"/>
  <c r="L142" i="3"/>
  <c r="X142" i="3"/>
  <c r="D143" i="3"/>
  <c r="D144" i="3"/>
  <c r="F144" i="3"/>
  <c r="D146" i="3"/>
  <c r="D147" i="3"/>
  <c r="D148" i="3"/>
  <c r="D149" i="3"/>
  <c r="F149" i="3"/>
  <c r="D150" i="3"/>
  <c r="D151" i="3"/>
  <c r="F151" i="3"/>
  <c r="D152" i="3"/>
  <c r="F152" i="3"/>
  <c r="D153" i="3"/>
  <c r="D154" i="3"/>
  <c r="D156" i="3"/>
  <c r="F156" i="3"/>
  <c r="H156" i="3"/>
  <c r="J156" i="3"/>
  <c r="L156" i="3"/>
  <c r="N156" i="3"/>
  <c r="P156" i="3"/>
  <c r="R156" i="3"/>
  <c r="T156" i="3"/>
  <c r="V156" i="3"/>
  <c r="X156" i="3"/>
  <c r="Z156" i="3"/>
  <c r="D157" i="3"/>
  <c r="D158" i="3"/>
  <c r="D159" i="3"/>
  <c r="F159" i="3"/>
  <c r="D160" i="3"/>
  <c r="D161" i="3"/>
  <c r="D162" i="3"/>
  <c r="F162" i="3"/>
  <c r="D163" i="3"/>
  <c r="F163" i="3"/>
  <c r="D164" i="3"/>
  <c r="D165" i="3"/>
  <c r="D166" i="3"/>
  <c r="D167" i="3"/>
  <c r="F167" i="3"/>
  <c r="D168" i="3"/>
  <c r="F168" i="3"/>
  <c r="H168" i="3"/>
  <c r="J168" i="3"/>
  <c r="L168" i="3"/>
  <c r="N168" i="3"/>
  <c r="P168" i="3"/>
  <c r="R168" i="3"/>
  <c r="T168" i="3"/>
  <c r="V168" i="3"/>
  <c r="X168" i="3"/>
  <c r="Z168" i="3"/>
  <c r="D170" i="3"/>
  <c r="D171" i="3"/>
  <c r="J171" i="3"/>
  <c r="L171" i="3"/>
  <c r="N171" i="3"/>
  <c r="R171" i="3"/>
  <c r="Z171" i="3"/>
  <c r="D172" i="3"/>
  <c r="D173" i="3"/>
  <c r="D174" i="3"/>
  <c r="D175" i="3"/>
  <c r="F175" i="3"/>
  <c r="H175" i="3"/>
  <c r="J175" i="3"/>
  <c r="L175" i="3"/>
  <c r="N175" i="3"/>
  <c r="P175" i="3"/>
  <c r="R175" i="3"/>
  <c r="T175" i="3"/>
  <c r="V175" i="3"/>
  <c r="X175" i="3"/>
  <c r="Z175" i="3"/>
  <c r="D176" i="3"/>
  <c r="D177" i="3"/>
  <c r="F177" i="3"/>
  <c r="D178" i="3"/>
  <c r="F178" i="3"/>
  <c r="H178" i="3"/>
  <c r="J178" i="3"/>
  <c r="L178" i="3"/>
  <c r="N178" i="3"/>
  <c r="P178" i="3"/>
  <c r="R178" i="3"/>
  <c r="T178" i="3"/>
  <c r="V178" i="3"/>
  <c r="X178" i="3"/>
  <c r="Z178" i="3"/>
  <c r="D179" i="3"/>
  <c r="D181" i="3"/>
  <c r="AB6" i="2"/>
  <c r="D7" i="2"/>
  <c r="J7" i="2"/>
  <c r="J10" i="2" s="1"/>
  <c r="L7" i="2"/>
  <c r="N7" i="2"/>
  <c r="N10" i="2" s="1"/>
  <c r="P7" i="2"/>
  <c r="R7" i="2"/>
  <c r="R10" i="2" s="1"/>
  <c r="T7" i="2"/>
  <c r="V7" i="2"/>
  <c r="V10" i="2" s="1"/>
  <c r="X7" i="2"/>
  <c r="Z7" i="2"/>
  <c r="Z10" i="2" s="1"/>
  <c r="D10" i="2"/>
  <c r="L10" i="2"/>
  <c r="P10" i="2"/>
  <c r="T10" i="2"/>
  <c r="X10" i="2"/>
  <c r="D7" i="1"/>
  <c r="D10" i="1" s="1"/>
  <c r="J7" i="1"/>
  <c r="L7" i="1"/>
  <c r="L10" i="1" s="1"/>
  <c r="N7" i="1"/>
  <c r="N10" i="1" s="1"/>
  <c r="P7" i="1"/>
  <c r="P10" i="1" s="1"/>
  <c r="R7" i="1"/>
  <c r="T7" i="1"/>
  <c r="T10" i="1" s="1"/>
  <c r="V7" i="1"/>
  <c r="V10" i="1" s="1"/>
  <c r="X7" i="1"/>
  <c r="X10" i="1" s="1"/>
  <c r="Z7" i="1"/>
  <c r="AC10" i="1"/>
  <c r="F10" i="1"/>
  <c r="H10" i="1"/>
  <c r="J10" i="1"/>
  <c r="R10" i="1"/>
  <c r="Z10" i="1"/>
  <c r="D30" i="17"/>
  <c r="D32" i="17" s="1"/>
  <c r="D34" i="17" s="1"/>
  <c r="F29" i="4"/>
  <c r="F29" i="5" s="1"/>
  <c r="P65" i="18"/>
  <c r="M101" i="18"/>
  <c r="M72" i="18"/>
  <c r="I101" i="18"/>
  <c r="I77" i="18"/>
  <c r="I86" i="18"/>
  <c r="H15" i="19"/>
  <c r="L66" i="18"/>
  <c r="O64" i="18"/>
  <c r="N64" i="18"/>
  <c r="O65" i="18"/>
  <c r="N65" i="18"/>
  <c r="P87" i="18"/>
  <c r="N87" i="18"/>
  <c r="O87" i="18"/>
  <c r="P88" i="18"/>
  <c r="N88" i="18"/>
  <c r="O88" i="18"/>
  <c r="P90" i="18"/>
  <c r="N90" i="18"/>
  <c r="O90" i="18"/>
  <c r="C25" i="19"/>
  <c r="D96" i="18"/>
  <c r="P94" i="18"/>
  <c r="L96" i="18"/>
  <c r="N94" i="18"/>
  <c r="O94" i="18"/>
  <c r="P95" i="18"/>
  <c r="N95" i="18"/>
  <c r="O95" i="18"/>
  <c r="D101" i="18"/>
  <c r="P97" i="18"/>
  <c r="L101" i="18"/>
  <c r="O97" i="18"/>
  <c r="N97" i="18"/>
  <c r="P98" i="18"/>
  <c r="O98" i="18"/>
  <c r="N98" i="18"/>
  <c r="P99" i="18"/>
  <c r="O99" i="18"/>
  <c r="N99" i="18"/>
  <c r="P100" i="18"/>
  <c r="O100" i="18"/>
  <c r="N100" i="18"/>
  <c r="P104" i="18"/>
  <c r="N104" i="18"/>
  <c r="O104" i="18"/>
  <c r="P106" i="18"/>
  <c r="N106" i="18"/>
  <c r="O106" i="18"/>
  <c r="P107" i="18"/>
  <c r="N107" i="18"/>
  <c r="O107" i="18"/>
  <c r="G65" i="18"/>
  <c r="G80" i="18"/>
  <c r="G81" i="18"/>
  <c r="G83" i="18"/>
  <c r="G84" i="18"/>
  <c r="G85" i="18"/>
  <c r="G87" i="18"/>
  <c r="G88" i="18"/>
  <c r="G90" i="18"/>
  <c r="G92" i="18"/>
  <c r="G94" i="18"/>
  <c r="G95" i="18"/>
  <c r="G97" i="18"/>
  <c r="G98" i="18"/>
  <c r="G99" i="18"/>
  <c r="G100" i="18"/>
  <c r="G104" i="18"/>
  <c r="G106" i="18"/>
  <c r="G107" i="18"/>
  <c r="K13" i="18"/>
  <c r="K14" i="18"/>
  <c r="K17" i="18"/>
  <c r="K18" i="18"/>
  <c r="K64" i="18"/>
  <c r="K65" i="18"/>
  <c r="K79" i="18"/>
  <c r="K80" i="18"/>
  <c r="K81" i="18"/>
  <c r="K82" i="18"/>
  <c r="K83" i="18"/>
  <c r="K84" i="18"/>
  <c r="K85" i="18"/>
  <c r="J87" i="18"/>
  <c r="J88" i="18"/>
  <c r="J90" i="18"/>
  <c r="J92" i="18"/>
  <c r="J94" i="18"/>
  <c r="J95" i="18"/>
  <c r="K97" i="18"/>
  <c r="K98" i="18"/>
  <c r="K99" i="18"/>
  <c r="K100" i="18"/>
  <c r="J104" i="18"/>
  <c r="J107" i="18"/>
  <c r="O13" i="18"/>
  <c r="O17" i="18"/>
  <c r="O18" i="18"/>
  <c r="P13" i="18"/>
  <c r="P14" i="18"/>
  <c r="P17" i="18"/>
  <c r="P18" i="18"/>
  <c r="D86" i="18"/>
  <c r="P79" i="18"/>
  <c r="L86" i="18"/>
  <c r="O79" i="18"/>
  <c r="N79" i="18"/>
  <c r="O80" i="18"/>
  <c r="N80" i="18"/>
  <c r="O81" i="18"/>
  <c r="N81" i="18"/>
  <c r="P82" i="18"/>
  <c r="O82" i="18"/>
  <c r="N82" i="18"/>
  <c r="O83" i="18"/>
  <c r="N83" i="18"/>
  <c r="O84" i="18"/>
  <c r="N84" i="18"/>
  <c r="O85" i="18"/>
  <c r="N85" i="18"/>
  <c r="F13" i="18"/>
  <c r="F14" i="18"/>
  <c r="F17" i="18"/>
  <c r="F18" i="18"/>
  <c r="F61" i="18"/>
  <c r="F65" i="18"/>
  <c r="F79" i="18"/>
  <c r="F80" i="18"/>
  <c r="F81" i="18"/>
  <c r="F82" i="18"/>
  <c r="F83" i="18"/>
  <c r="F84" i="18"/>
  <c r="F85" i="18"/>
  <c r="F87" i="18"/>
  <c r="F88" i="18"/>
  <c r="F90" i="18"/>
  <c r="F92" i="18"/>
  <c r="F94" i="18"/>
  <c r="F95" i="18"/>
  <c r="F97" i="18"/>
  <c r="F98" i="18"/>
  <c r="F99" i="18"/>
  <c r="F100" i="18"/>
  <c r="F104" i="18"/>
  <c r="F106" i="18"/>
  <c r="F107" i="18"/>
  <c r="J14" i="18"/>
  <c r="J64" i="18"/>
  <c r="J79" i="18"/>
  <c r="J82" i="18"/>
  <c r="K87" i="18"/>
  <c r="K92" i="18"/>
  <c r="K94" i="18"/>
  <c r="J97" i="18"/>
  <c r="K106" i="18"/>
  <c r="K107" i="18"/>
  <c r="N14" i="18"/>
  <c r="M108" i="18"/>
  <c r="L30" i="19"/>
  <c r="M93" i="18"/>
  <c r="L25" i="19"/>
  <c r="M63" i="18"/>
  <c r="L32" i="19"/>
  <c r="L26" i="19"/>
  <c r="L33" i="19"/>
  <c r="L14" i="19"/>
  <c r="Q114" i="18"/>
  <c r="Q106" i="18"/>
  <c r="Q76" i="18"/>
  <c r="Q67" i="18"/>
  <c r="Q59" i="18"/>
  <c r="Q57" i="18"/>
  <c r="Q52" i="18"/>
  <c r="Q50" i="18"/>
  <c r="Q48" i="18"/>
  <c r="Q46" i="18"/>
  <c r="Q39" i="18"/>
  <c r="Q37" i="18"/>
  <c r="Q26" i="18"/>
  <c r="Q19" i="18"/>
  <c r="Q8" i="18"/>
  <c r="D30" i="19"/>
  <c r="E93" i="18"/>
  <c r="D25" i="19"/>
  <c r="E77" i="18"/>
  <c r="D35" i="19"/>
  <c r="D32" i="19"/>
  <c r="D26" i="19"/>
  <c r="D33" i="19"/>
  <c r="D14" i="19"/>
  <c r="H7" i="19"/>
  <c r="H20" i="19"/>
  <c r="H22" i="19"/>
  <c r="H12" i="19"/>
  <c r="M96" i="18"/>
  <c r="O96" i="18" s="1"/>
  <c r="M66" i="18"/>
  <c r="L7" i="19"/>
  <c r="L46" i="19"/>
  <c r="L20" i="19"/>
  <c r="L22" i="19"/>
  <c r="L12" i="19"/>
  <c r="Q115" i="18"/>
  <c r="Q107" i="18"/>
  <c r="Q103" i="18"/>
  <c r="Q92" i="18"/>
  <c r="Q82" i="18"/>
  <c r="Q60" i="18"/>
  <c r="Q58" i="18"/>
  <c r="Q53" i="18"/>
  <c r="Q51" i="18"/>
  <c r="Q49" i="18"/>
  <c r="Q47" i="18"/>
  <c r="Q40" i="18"/>
  <c r="Q38" i="18"/>
  <c r="Q36" i="18"/>
  <c r="Q34" i="18"/>
  <c r="Q27" i="18"/>
  <c r="Q25" i="18"/>
  <c r="Q20" i="18"/>
  <c r="Q16" i="18"/>
  <c r="Q14" i="18"/>
  <c r="Q12" i="18"/>
  <c r="Q9" i="18"/>
  <c r="Q7" i="18"/>
  <c r="E108" i="18"/>
  <c r="D7" i="19"/>
  <c r="D46" i="19"/>
  <c r="D20" i="19"/>
  <c r="D22" i="19"/>
  <c r="D12" i="19"/>
  <c r="E11" i="18"/>
  <c r="I108" i="18"/>
  <c r="H30" i="19"/>
  <c r="I93" i="18"/>
  <c r="H25" i="19"/>
  <c r="I63" i="18"/>
  <c r="H32" i="19"/>
  <c r="H26" i="19"/>
  <c r="H14" i="19"/>
  <c r="H33" i="19"/>
  <c r="H38" i="19"/>
  <c r="H46" i="19"/>
  <c r="F109" i="3"/>
  <c r="H109" i="3" s="1"/>
  <c r="P63" i="5"/>
  <c r="N63" i="5"/>
  <c r="L63" i="5"/>
  <c r="J63" i="5"/>
  <c r="F63" i="5"/>
  <c r="AC62" i="18"/>
  <c r="Q63" i="5"/>
  <c r="M63" i="5"/>
  <c r="K63" i="5"/>
  <c r="H63" i="5"/>
  <c r="F23" i="5"/>
  <c r="F162" i="5" s="1"/>
  <c r="AB58" i="4"/>
  <c r="AC58" i="4" s="1"/>
  <c r="AD58" i="4" s="1"/>
  <c r="J115" i="4"/>
  <c r="J110" i="4"/>
  <c r="L110" i="4" s="1"/>
  <c r="N110" i="4" s="1"/>
  <c r="P110" i="4" s="1"/>
  <c r="R110" i="4" s="1"/>
  <c r="T110" i="4" s="1"/>
  <c r="V110" i="4" s="1"/>
  <c r="X110" i="4" s="1"/>
  <c r="J103" i="4"/>
  <c r="U73" i="18"/>
  <c r="N70" i="5"/>
  <c r="F70" i="5"/>
  <c r="AC61" i="18"/>
  <c r="AA61" i="18"/>
  <c r="P62" i="5"/>
  <c r="Y61" i="18"/>
  <c r="W61" i="18"/>
  <c r="L62" i="5"/>
  <c r="U61" i="18"/>
  <c r="F62" i="5"/>
  <c r="AB60" i="18"/>
  <c r="Z60" i="18"/>
  <c r="O61" i="5"/>
  <c r="X60" i="18"/>
  <c r="V60" i="18"/>
  <c r="K61" i="5"/>
  <c r="O60" i="18"/>
  <c r="D61" i="5"/>
  <c r="Q60" i="5"/>
  <c r="Q171" i="5" s="1"/>
  <c r="O60" i="5"/>
  <c r="O171" i="5" s="1"/>
  <c r="M60" i="5"/>
  <c r="M171" i="5" s="1"/>
  <c r="V59" i="18"/>
  <c r="U40" i="19" s="1"/>
  <c r="K60" i="5"/>
  <c r="K171" i="5" s="1"/>
  <c r="N59" i="18"/>
  <c r="D60" i="5"/>
  <c r="D171" i="5" s="1"/>
  <c r="Q59" i="5"/>
  <c r="Q141" i="5" s="1"/>
  <c r="Z58" i="18"/>
  <c r="Y10" i="19" s="1"/>
  <c r="O59" i="5"/>
  <c r="O141" i="5" s="1"/>
  <c r="M59" i="5"/>
  <c r="M141" i="5" s="1"/>
  <c r="V58" i="18"/>
  <c r="U10" i="19" s="1"/>
  <c r="K59" i="5"/>
  <c r="K141" i="5" s="1"/>
  <c r="D59" i="5"/>
  <c r="D141" i="5" s="1"/>
  <c r="Q58" i="5"/>
  <c r="Q142" i="5" s="1"/>
  <c r="O58" i="5"/>
  <c r="O142" i="5" s="1"/>
  <c r="M58" i="5"/>
  <c r="V57" i="18"/>
  <c r="U11" i="19" s="1"/>
  <c r="K58" i="5"/>
  <c r="K11" i="19"/>
  <c r="H58" i="5"/>
  <c r="D55" i="5"/>
  <c r="X54" i="18"/>
  <c r="D52" i="5"/>
  <c r="D172" i="5" s="1"/>
  <c r="Q43" i="5"/>
  <c r="K43" i="5"/>
  <c r="H42" i="5"/>
  <c r="Z41" i="18"/>
  <c r="H41" i="5"/>
  <c r="D38" i="5"/>
  <c r="D157" i="5" s="1"/>
  <c r="U31" i="18"/>
  <c r="F31" i="5"/>
  <c r="N30" i="5"/>
  <c r="P28" i="5"/>
  <c r="F28" i="5"/>
  <c r="R26" i="5"/>
  <c r="W26" i="18"/>
  <c r="L25" i="5"/>
  <c r="J25" i="5"/>
  <c r="W24" i="18"/>
  <c r="K21" i="5"/>
  <c r="Z20" i="18"/>
  <c r="Y37" i="19" s="1"/>
  <c r="V20" i="18"/>
  <c r="U37" i="19" s="1"/>
  <c r="Y9" i="18"/>
  <c r="X44" i="19" s="1"/>
  <c r="K74" i="5"/>
  <c r="H71" i="5"/>
  <c r="M69" i="5"/>
  <c r="T64" i="4"/>
  <c r="L64" i="4"/>
  <c r="D64" i="4"/>
  <c r="AB61" i="18"/>
  <c r="Q62" i="5"/>
  <c r="Z61" i="18"/>
  <c r="O62" i="5"/>
  <c r="X61" i="18"/>
  <c r="M62" i="5"/>
  <c r="V61" i="18"/>
  <c r="K62" i="5"/>
  <c r="H62" i="5"/>
  <c r="AC60" i="18"/>
  <c r="R61" i="5"/>
  <c r="AA60" i="18"/>
  <c r="P61" i="5"/>
  <c r="Y60" i="18"/>
  <c r="N61" i="5"/>
  <c r="W60" i="18"/>
  <c r="L61" i="5"/>
  <c r="U60" i="18"/>
  <c r="J61" i="5"/>
  <c r="F61" i="5"/>
  <c r="AC59" i="18"/>
  <c r="AB40" i="19" s="1"/>
  <c r="R60" i="5"/>
  <c r="R171" i="5" s="1"/>
  <c r="Y59" i="18"/>
  <c r="X40" i="19" s="1"/>
  <c r="N60" i="5"/>
  <c r="N171" i="5" s="1"/>
  <c r="W59" i="18"/>
  <c r="V40" i="19" s="1"/>
  <c r="L60" i="5"/>
  <c r="L171" i="5" s="1"/>
  <c r="U59" i="18"/>
  <c r="T40" i="19" s="1"/>
  <c r="J60" i="5"/>
  <c r="J171" i="5" s="1"/>
  <c r="F60" i="5"/>
  <c r="F171" i="5" s="1"/>
  <c r="R59" i="5"/>
  <c r="R141" i="5" s="1"/>
  <c r="P59" i="5"/>
  <c r="P141" i="5" s="1"/>
  <c r="N59" i="5"/>
  <c r="N141" i="5" s="1"/>
  <c r="W58" i="18"/>
  <c r="V10" i="19" s="1"/>
  <c r="L59" i="5"/>
  <c r="L141" i="5" s="1"/>
  <c r="U58" i="18"/>
  <c r="T10" i="19" s="1"/>
  <c r="J59" i="5"/>
  <c r="J141" i="5" s="1"/>
  <c r="AC57" i="18"/>
  <c r="AB11" i="19" s="1"/>
  <c r="R58" i="5"/>
  <c r="R142" i="5" s="1"/>
  <c r="Y57" i="18"/>
  <c r="X11" i="19" s="1"/>
  <c r="N58" i="5"/>
  <c r="N142" i="5" s="1"/>
  <c r="W57" i="18"/>
  <c r="V11" i="19" s="1"/>
  <c r="L58" i="5"/>
  <c r="U57" i="18"/>
  <c r="T11" i="19" s="1"/>
  <c r="J58" i="5"/>
  <c r="F58" i="5"/>
  <c r="AA46" i="18"/>
  <c r="N46" i="5"/>
  <c r="F46" i="5"/>
  <c r="L43" i="5"/>
  <c r="AA40" i="18"/>
  <c r="Z47" i="19" s="1"/>
  <c r="Z31" i="18"/>
  <c r="D31" i="5"/>
  <c r="AB28" i="18"/>
  <c r="O28" i="5"/>
  <c r="V27" i="18"/>
  <c r="H26" i="5"/>
  <c r="D26" i="5"/>
  <c r="X25" i="18"/>
  <c r="N25" i="18"/>
  <c r="R21" i="5"/>
  <c r="W21" i="18"/>
  <c r="Z9" i="18"/>
  <c r="Y44" i="19" s="1"/>
  <c r="V9" i="18"/>
  <c r="U44" i="19" s="1"/>
  <c r="N67" i="5"/>
  <c r="O61" i="18"/>
  <c r="N61" i="18"/>
  <c r="O25" i="18"/>
  <c r="J60" i="18"/>
  <c r="K60" i="18"/>
  <c r="F59" i="18"/>
  <c r="O59" i="18"/>
  <c r="F60" i="18"/>
  <c r="G60" i="18"/>
  <c r="J61" i="18"/>
  <c r="K61" i="18"/>
  <c r="P61" i="18"/>
  <c r="F109" i="5"/>
  <c r="J108" i="4"/>
  <c r="L103" i="4"/>
  <c r="L108" i="4" s="1"/>
  <c r="J140" i="4"/>
  <c r="J176" i="4"/>
  <c r="L115" i="4"/>
  <c r="L176" i="4" s="1"/>
  <c r="J142" i="5"/>
  <c r="H142" i="5"/>
  <c r="M142" i="5"/>
  <c r="AE58" i="4"/>
  <c r="L140" i="4"/>
  <c r="N115" i="4"/>
  <c r="P115" i="4" s="1"/>
  <c r="P118" i="4"/>
  <c r="R118" i="4" s="1"/>
  <c r="Q109" i="18"/>
  <c r="D38" i="19"/>
  <c r="I11" i="18"/>
  <c r="M56" i="18"/>
  <c r="I57" i="4"/>
  <c r="I120" i="4" s="1"/>
  <c r="I125" i="4" s="1"/>
  <c r="I132" i="4" s="1"/>
  <c r="E56" i="18"/>
  <c r="I56" i="18"/>
  <c r="E57" i="4"/>
  <c r="E120" i="4" s="1"/>
  <c r="E125" i="4" s="1"/>
  <c r="E132" i="4" s="1"/>
  <c r="G57" i="4"/>
  <c r="G120" i="4" s="1"/>
  <c r="G125" i="4" s="1"/>
  <c r="G132" i="4" s="1"/>
  <c r="Q45" i="18"/>
  <c r="G180" i="4"/>
  <c r="G183" i="4" s="1"/>
  <c r="E180" i="4"/>
  <c r="E183" i="4" s="1"/>
  <c r="Q118" i="18"/>
  <c r="E63" i="18"/>
  <c r="I44" i="18"/>
  <c r="E44" i="18"/>
  <c r="I57" i="3"/>
  <c r="L15" i="19"/>
  <c r="D15" i="19"/>
  <c r="M44" i="18"/>
  <c r="M11" i="18"/>
  <c r="J80" i="18"/>
  <c r="E185" i="4" l="1"/>
  <c r="I120" i="3"/>
  <c r="I125" i="3" s="1"/>
  <c r="I132" i="3" s="1"/>
  <c r="F169" i="3"/>
  <c r="G59" i="18"/>
  <c r="V28" i="18"/>
  <c r="J46" i="5"/>
  <c r="AA57" i="18"/>
  <c r="Z11" i="19" s="1"/>
  <c r="O71" i="5"/>
  <c r="Y10" i="18"/>
  <c r="AB21" i="18"/>
  <c r="J30" i="5"/>
  <c r="D36" i="5"/>
  <c r="D173" i="5" s="1"/>
  <c r="O42" i="5"/>
  <c r="O54" i="5"/>
  <c r="H60" i="5"/>
  <c r="H171" i="5" s="1"/>
  <c r="F170" i="3"/>
  <c r="F157" i="3"/>
  <c r="H53" i="3"/>
  <c r="H50" i="3"/>
  <c r="H35" i="3"/>
  <c r="S83" i="5"/>
  <c r="T83" i="5" s="1"/>
  <c r="U83" i="5" s="1"/>
  <c r="V83" i="5" s="1"/>
  <c r="S17" i="5"/>
  <c r="T17" i="5" s="1"/>
  <c r="U17" i="5" s="1"/>
  <c r="V17" i="5" s="1"/>
  <c r="U120" i="3"/>
  <c r="P60" i="5"/>
  <c r="P171" i="5" s="1"/>
  <c r="S171" i="5" s="1"/>
  <c r="V171" i="3"/>
  <c r="T178" i="4"/>
  <c r="D148" i="5"/>
  <c r="Q9" i="5"/>
  <c r="Q175" i="5" s="1"/>
  <c r="M26" i="5"/>
  <c r="M27" i="5"/>
  <c r="M21" i="5"/>
  <c r="P24" i="5"/>
  <c r="Y31" i="18"/>
  <c r="K55" i="5"/>
  <c r="X58" i="18"/>
  <c r="W10" i="19" s="1"/>
  <c r="N74" i="5"/>
  <c r="Q26" i="5"/>
  <c r="F59" i="5"/>
  <c r="F141" i="5" s="1"/>
  <c r="AA59" i="18"/>
  <c r="Z40" i="19" s="1"/>
  <c r="Q21" i="5"/>
  <c r="AA24" i="18"/>
  <c r="O40" i="5"/>
  <c r="O178" i="5" s="1"/>
  <c r="R63" i="5"/>
  <c r="S63" i="5" s="1"/>
  <c r="T63" i="5" s="1"/>
  <c r="U63" i="5" s="1"/>
  <c r="V63" i="5" s="1"/>
  <c r="P33" i="19"/>
  <c r="F172" i="3"/>
  <c r="F146" i="3"/>
  <c r="F143" i="3"/>
  <c r="F140" i="3"/>
  <c r="P168" i="4"/>
  <c r="D23" i="16"/>
  <c r="D36" i="16" s="1"/>
  <c r="D39" i="16" s="1"/>
  <c r="D43" i="16" s="1"/>
  <c r="AA10" i="1"/>
  <c r="M113" i="18" s="1"/>
  <c r="L17" i="19" s="1"/>
  <c r="M110" i="18"/>
  <c r="Y10" i="1"/>
  <c r="I113" i="18" s="1"/>
  <c r="H17" i="19" s="1"/>
  <c r="I110" i="18"/>
  <c r="W10" i="1"/>
  <c r="E113" i="18" s="1"/>
  <c r="D17" i="19" s="1"/>
  <c r="E110" i="18"/>
  <c r="F147" i="3"/>
  <c r="F119" i="3"/>
  <c r="P142" i="3"/>
  <c r="D169" i="3"/>
  <c r="D119" i="3"/>
  <c r="D109" i="5"/>
  <c r="D119" i="5" s="1"/>
  <c r="AB62" i="18"/>
  <c r="H62" i="18"/>
  <c r="Z59" i="18"/>
  <c r="Y40" i="19" s="1"/>
  <c r="T171" i="3"/>
  <c r="AB171" i="3" s="1"/>
  <c r="V141" i="3"/>
  <c r="D58" i="18"/>
  <c r="AA58" i="18"/>
  <c r="T142" i="3"/>
  <c r="Z57" i="18"/>
  <c r="Y11" i="19" s="1"/>
  <c r="F37" i="4"/>
  <c r="F154" i="3"/>
  <c r="H16" i="3"/>
  <c r="F164" i="3"/>
  <c r="D22" i="3"/>
  <c r="D12" i="5"/>
  <c r="J54" i="5"/>
  <c r="U54" i="18"/>
  <c r="Y42" i="18"/>
  <c r="N42" i="5"/>
  <c r="P96" i="5"/>
  <c r="O86" i="5"/>
  <c r="AC22" i="3"/>
  <c r="AC64" i="3"/>
  <c r="AC73" i="3"/>
  <c r="AC86" i="3"/>
  <c r="AC96" i="3"/>
  <c r="AC108" i="3"/>
  <c r="K119" i="3"/>
  <c r="AC114" i="3"/>
  <c r="T114" i="18" s="1"/>
  <c r="E124" i="18"/>
  <c r="J112" i="3"/>
  <c r="J112" i="5" s="1"/>
  <c r="J163" i="5" s="1"/>
  <c r="H112" i="5"/>
  <c r="H163" i="3"/>
  <c r="H19" i="3"/>
  <c r="F165" i="3"/>
  <c r="Q101" i="5"/>
  <c r="H111" i="3"/>
  <c r="F77" i="4"/>
  <c r="F166" i="4" s="1"/>
  <c r="F166" i="3"/>
  <c r="P65" i="5"/>
  <c r="D64" i="18"/>
  <c r="Z62" i="18"/>
  <c r="O63" i="5"/>
  <c r="D145" i="3"/>
  <c r="D63" i="5"/>
  <c r="H59" i="18"/>
  <c r="X171" i="3"/>
  <c r="AB59" i="18"/>
  <c r="AA40" i="19" s="1"/>
  <c r="P171" i="3"/>
  <c r="X59" i="18"/>
  <c r="W40" i="19" s="1"/>
  <c r="L58" i="18"/>
  <c r="K10" i="19" s="1"/>
  <c r="N10" i="19" s="1"/>
  <c r="AC58" i="18"/>
  <c r="AB10" i="19" s="1"/>
  <c r="R141" i="3"/>
  <c r="Y58" i="18"/>
  <c r="X10" i="19" s="1"/>
  <c r="H57" i="18"/>
  <c r="AB57" i="18"/>
  <c r="AA11" i="19" s="1"/>
  <c r="D142" i="3"/>
  <c r="D58" i="5"/>
  <c r="D142" i="5" s="1"/>
  <c r="L70" i="5"/>
  <c r="W69" i="18"/>
  <c r="K31" i="5"/>
  <c r="V31" i="18"/>
  <c r="K30" i="5"/>
  <c r="V30" i="18"/>
  <c r="W28" i="18"/>
  <c r="L28" i="5"/>
  <c r="Y27" i="18"/>
  <c r="N27" i="5"/>
  <c r="Y26" i="18"/>
  <c r="N26" i="5"/>
  <c r="U26" i="18"/>
  <c r="J26" i="5"/>
  <c r="Y21" i="18"/>
  <c r="N21" i="5"/>
  <c r="S65" i="5"/>
  <c r="T65" i="5" s="1"/>
  <c r="U65" i="5" s="1"/>
  <c r="V65" i="5" s="1"/>
  <c r="K130" i="3"/>
  <c r="X141" i="3"/>
  <c r="H58" i="18"/>
  <c r="V142" i="3"/>
  <c r="D57" i="18"/>
  <c r="S100" i="5"/>
  <c r="T100" i="5" s="1"/>
  <c r="U100" i="5" s="1"/>
  <c r="V100" i="5" s="1"/>
  <c r="S99" i="5"/>
  <c r="T99" i="5" s="1"/>
  <c r="U99" i="5" s="1"/>
  <c r="V99" i="5" s="1"/>
  <c r="S98" i="5"/>
  <c r="T98" i="5" s="1"/>
  <c r="T101" i="5" s="1"/>
  <c r="S97" i="5"/>
  <c r="T97" i="5" s="1"/>
  <c r="U97" i="5" s="1"/>
  <c r="S94" i="5"/>
  <c r="T94" i="5" s="1"/>
  <c r="AC56" i="3"/>
  <c r="AC67" i="3"/>
  <c r="AC101" i="3"/>
  <c r="O23" i="3"/>
  <c r="O162" i="3" s="1"/>
  <c r="AC23" i="3"/>
  <c r="T23" i="18" s="1"/>
  <c r="G8" i="16" s="1"/>
  <c r="K124" i="3"/>
  <c r="P30" i="19"/>
  <c r="AA62" i="18"/>
  <c r="D62" i="18"/>
  <c r="S106" i="5"/>
  <c r="T106" i="5" s="1"/>
  <c r="U106" i="5" s="1"/>
  <c r="V106" i="5" s="1"/>
  <c r="AC32" i="3"/>
  <c r="AC78" i="3"/>
  <c r="AC93" i="3"/>
  <c r="P44" i="19"/>
  <c r="M44" i="3"/>
  <c r="AC44" i="3" s="1"/>
  <c r="AC39" i="3"/>
  <c r="T39" i="18" s="1"/>
  <c r="M145" i="3"/>
  <c r="AC118" i="3"/>
  <c r="T118" i="18" s="1"/>
  <c r="M129" i="3"/>
  <c r="O129" i="3" s="1"/>
  <c r="Q129" i="3" s="1"/>
  <c r="S129" i="3" s="1"/>
  <c r="U129" i="3" s="1"/>
  <c r="W129" i="3" s="1"/>
  <c r="H74" i="18"/>
  <c r="J74" i="18" s="1"/>
  <c r="Q75" i="5"/>
  <c r="V70" i="18"/>
  <c r="K71" i="5"/>
  <c r="K70" i="5"/>
  <c r="V69" i="18"/>
  <c r="H55" i="18"/>
  <c r="Q55" i="5"/>
  <c r="V54" i="18"/>
  <c r="K54" i="5"/>
  <c r="D170" i="4"/>
  <c r="D50" i="5"/>
  <c r="D170" i="5" s="1"/>
  <c r="L46" i="18"/>
  <c r="R46" i="5"/>
  <c r="Z43" i="18"/>
  <c r="O43" i="5"/>
  <c r="K40" i="5"/>
  <c r="K178" i="5" s="1"/>
  <c r="L178" i="4"/>
  <c r="D178" i="4"/>
  <c r="D40" i="5"/>
  <c r="D178" i="5" s="1"/>
  <c r="L31" i="18"/>
  <c r="AC31" i="18"/>
  <c r="L30" i="18"/>
  <c r="AC30" i="18"/>
  <c r="D25" i="18"/>
  <c r="P25" i="5"/>
  <c r="H20" i="18"/>
  <c r="AB20" i="18"/>
  <c r="AA37" i="19" s="1"/>
  <c r="H9" i="18"/>
  <c r="J9" i="18" s="1"/>
  <c r="X175" i="4"/>
  <c r="P175" i="4"/>
  <c r="X9" i="18"/>
  <c r="W44" i="19" s="1"/>
  <c r="M101" i="5"/>
  <c r="M9" i="5"/>
  <c r="M175" i="5" s="1"/>
  <c r="AB26" i="18"/>
  <c r="AC46" i="18"/>
  <c r="X20" i="18"/>
  <c r="W37" i="19" s="1"/>
  <c r="F24" i="5"/>
  <c r="R30" i="5"/>
  <c r="K41" i="5"/>
  <c r="K138" i="5" s="1"/>
  <c r="V42" i="18"/>
  <c r="AB55" i="18"/>
  <c r="K142" i="5"/>
  <c r="K64" i="5"/>
  <c r="M75" i="5"/>
  <c r="P25" i="19"/>
  <c r="X168" i="4"/>
  <c r="Y68" i="18"/>
  <c r="N69" i="5"/>
  <c r="H163" i="5"/>
  <c r="F151" i="5"/>
  <c r="D139" i="5"/>
  <c r="S107" i="18"/>
  <c r="P18" i="19"/>
  <c r="P19" i="19"/>
  <c r="K174" i="4"/>
  <c r="AF174" i="4" s="1"/>
  <c r="AF49" i="4"/>
  <c r="T49" i="18" s="1"/>
  <c r="AB10" i="18"/>
  <c r="W46" i="18"/>
  <c r="L31" i="5"/>
  <c r="F25" i="19"/>
  <c r="S79" i="18"/>
  <c r="AD65" i="18"/>
  <c r="AE65" i="18" s="1"/>
  <c r="AF65" i="18" s="1"/>
  <c r="AG65" i="18" s="1"/>
  <c r="AD82" i="18"/>
  <c r="AE82" i="18" s="1"/>
  <c r="AF82" i="18" s="1"/>
  <c r="AG82" i="18" s="1"/>
  <c r="X96" i="18"/>
  <c r="AB96" i="18"/>
  <c r="P28" i="19"/>
  <c r="E40" i="19"/>
  <c r="K162" i="4"/>
  <c r="AF162" i="4" s="1"/>
  <c r="AF23" i="4"/>
  <c r="AF155" i="4"/>
  <c r="AF179" i="4"/>
  <c r="S79" i="5"/>
  <c r="T79" i="5" s="1"/>
  <c r="Q86" i="5"/>
  <c r="AD106" i="18"/>
  <c r="AE106" i="18" s="1"/>
  <c r="AF106" i="18" s="1"/>
  <c r="AG106" i="18" s="1"/>
  <c r="P75" i="5"/>
  <c r="AA74" i="18"/>
  <c r="W74" i="18"/>
  <c r="L75" i="5"/>
  <c r="N71" i="5"/>
  <c r="Y70" i="18"/>
  <c r="L68" i="18"/>
  <c r="R69" i="5"/>
  <c r="AC68" i="18"/>
  <c r="U55" i="18"/>
  <c r="J55" i="5"/>
  <c r="L43" i="18"/>
  <c r="R43" i="5"/>
  <c r="AC43" i="18"/>
  <c r="R178" i="4"/>
  <c r="Y40" i="18"/>
  <c r="X47" i="19" s="1"/>
  <c r="Y28" i="18"/>
  <c r="N28" i="5"/>
  <c r="Z25" i="18"/>
  <c r="O25" i="5"/>
  <c r="V25" i="18"/>
  <c r="K25" i="5"/>
  <c r="D153" i="4"/>
  <c r="D25" i="5"/>
  <c r="D153" i="5" s="1"/>
  <c r="V24" i="18"/>
  <c r="K24" i="5"/>
  <c r="D21" i="18"/>
  <c r="AA21" i="18"/>
  <c r="P21" i="5"/>
  <c r="L10" i="18"/>
  <c r="AC10" i="18"/>
  <c r="D9" i="18"/>
  <c r="P9" i="5"/>
  <c r="P175" i="5" s="1"/>
  <c r="V175" i="4"/>
  <c r="AA9" i="18"/>
  <c r="Z44" i="19" s="1"/>
  <c r="F9" i="5"/>
  <c r="F175" i="5" s="1"/>
  <c r="F175" i="4"/>
  <c r="AD81" i="18"/>
  <c r="AE81" i="18" s="1"/>
  <c r="P10" i="19"/>
  <c r="P20" i="5"/>
  <c r="P168" i="5" s="1"/>
  <c r="N43" i="5"/>
  <c r="Z10" i="19"/>
  <c r="D31" i="19"/>
  <c r="Q23" i="18"/>
  <c r="I8" i="16" s="1"/>
  <c r="H8" i="17" s="1"/>
  <c r="D166" i="4"/>
  <c r="D77" i="5"/>
  <c r="D166" i="5" s="1"/>
  <c r="X73" i="18"/>
  <c r="M74" i="5"/>
  <c r="L70" i="18"/>
  <c r="AC70" i="18"/>
  <c r="U70" i="18"/>
  <c r="J71" i="5"/>
  <c r="L69" i="18"/>
  <c r="R70" i="5"/>
  <c r="AC69" i="18"/>
  <c r="U69" i="18"/>
  <c r="J70" i="5"/>
  <c r="J69" i="5"/>
  <c r="U68" i="18"/>
  <c r="D55" i="18"/>
  <c r="F55" i="18" s="1"/>
  <c r="P55" i="5"/>
  <c r="L54" i="18"/>
  <c r="AC54" i="18"/>
  <c r="R54" i="5"/>
  <c r="Y54" i="18"/>
  <c r="N54" i="5"/>
  <c r="D152" i="4"/>
  <c r="D53" i="5"/>
  <c r="D152" i="5" s="1"/>
  <c r="D49" i="5"/>
  <c r="D174" i="5" s="1"/>
  <c r="D174" i="4"/>
  <c r="H46" i="18"/>
  <c r="AB46" i="18"/>
  <c r="Q46" i="5"/>
  <c r="X46" i="18"/>
  <c r="M46" i="5"/>
  <c r="U43" i="18"/>
  <c r="T7" i="19" s="1"/>
  <c r="J43" i="5"/>
  <c r="L42" i="18"/>
  <c r="R42" i="5"/>
  <c r="AC42" i="18"/>
  <c r="J42" i="5"/>
  <c r="U42" i="18"/>
  <c r="L41" i="18"/>
  <c r="AC41" i="18"/>
  <c r="R41" i="5"/>
  <c r="N41" i="5"/>
  <c r="Y41" i="18"/>
  <c r="X7" i="19" s="1"/>
  <c r="L40" i="18"/>
  <c r="O40" i="18" s="1"/>
  <c r="R40" i="5"/>
  <c r="AC40" i="18"/>
  <c r="AB47" i="19" s="1"/>
  <c r="J178" i="4"/>
  <c r="U40" i="18"/>
  <c r="T47" i="19" s="1"/>
  <c r="J40" i="5"/>
  <c r="J178" i="5" s="1"/>
  <c r="D158" i="4"/>
  <c r="D39" i="5"/>
  <c r="D158" i="5" s="1"/>
  <c r="H31" i="18"/>
  <c r="Q31" i="5"/>
  <c r="AB31" i="18"/>
  <c r="X31" i="18"/>
  <c r="M31" i="5"/>
  <c r="H30" i="18"/>
  <c r="AB30" i="18"/>
  <c r="Q30" i="5"/>
  <c r="L28" i="18"/>
  <c r="O28" i="18" s="1"/>
  <c r="R28" i="5"/>
  <c r="AB28" i="4"/>
  <c r="AC28" i="4" s="1"/>
  <c r="AD28" i="4" s="1"/>
  <c r="AE28" i="4" s="1"/>
  <c r="U28" i="18"/>
  <c r="J28" i="5"/>
  <c r="H27" i="18"/>
  <c r="J27" i="18" s="1"/>
  <c r="AB27" i="18"/>
  <c r="D26" i="18"/>
  <c r="F26" i="18" s="1"/>
  <c r="AA26" i="18"/>
  <c r="P26" i="5"/>
  <c r="D164" i="4"/>
  <c r="D24" i="5"/>
  <c r="N168" i="4"/>
  <c r="W20" i="18"/>
  <c r="V37" i="19" s="1"/>
  <c r="L20" i="5"/>
  <c r="L168" i="5" s="1"/>
  <c r="N175" i="4"/>
  <c r="W9" i="18"/>
  <c r="V44" i="19" s="1"/>
  <c r="F40" i="19"/>
  <c r="M10" i="5"/>
  <c r="O24" i="5"/>
  <c r="Q27" i="5"/>
  <c r="M30" i="5"/>
  <c r="J41" i="5"/>
  <c r="J138" i="5" s="1"/>
  <c r="R10" i="5"/>
  <c r="W27" i="18"/>
  <c r="V74" i="18"/>
  <c r="K75" i="5"/>
  <c r="D73" i="18"/>
  <c r="G73" i="18" s="1"/>
  <c r="AA73" i="18"/>
  <c r="P74" i="5"/>
  <c r="W73" i="18"/>
  <c r="L74" i="5"/>
  <c r="H70" i="18"/>
  <c r="AB70" i="18"/>
  <c r="X69" i="18"/>
  <c r="M70" i="5"/>
  <c r="H68" i="18"/>
  <c r="AB68" i="18"/>
  <c r="Q69" i="5"/>
  <c r="H54" i="18"/>
  <c r="Q54" i="5"/>
  <c r="H42" i="18"/>
  <c r="Q42" i="5"/>
  <c r="H41" i="18"/>
  <c r="AB41" i="18"/>
  <c r="H28" i="18"/>
  <c r="Q28" i="5"/>
  <c r="Y24" i="18"/>
  <c r="N24" i="5"/>
  <c r="L168" i="4"/>
  <c r="K20" i="5"/>
  <c r="K168" i="5" s="1"/>
  <c r="AD85" i="18"/>
  <c r="AE85" i="18" s="1"/>
  <c r="AF85" i="18" s="1"/>
  <c r="AG85" i="18" s="1"/>
  <c r="AD98" i="18"/>
  <c r="AD107" i="18"/>
  <c r="AE107" i="18" s="1"/>
  <c r="AF107" i="18" s="1"/>
  <c r="AG107" i="18" s="1"/>
  <c r="O64" i="5"/>
  <c r="G46" i="18"/>
  <c r="X28" i="18"/>
  <c r="P138" i="4"/>
  <c r="Q41" i="5"/>
  <c r="AB42" i="18"/>
  <c r="M43" i="5"/>
  <c r="R90" i="18"/>
  <c r="D155" i="4"/>
  <c r="O96" i="5"/>
  <c r="D146" i="5"/>
  <c r="Z74" i="18"/>
  <c r="O75" i="5"/>
  <c r="X70" i="18"/>
  <c r="M71" i="5"/>
  <c r="H69" i="18"/>
  <c r="AB69" i="18"/>
  <c r="Z55" i="18"/>
  <c r="O55" i="5"/>
  <c r="D144" i="4"/>
  <c r="D48" i="5"/>
  <c r="D144" i="5" s="1"/>
  <c r="H43" i="18"/>
  <c r="AB43" i="18"/>
  <c r="AB40" i="18"/>
  <c r="AA47" i="19" s="1"/>
  <c r="Q40" i="5"/>
  <c r="Q178" i="5" s="1"/>
  <c r="P178" i="4"/>
  <c r="X40" i="18"/>
  <c r="W47" i="19" s="1"/>
  <c r="M40" i="5"/>
  <c r="M178" i="5" s="1"/>
  <c r="H178" i="4"/>
  <c r="H40" i="5"/>
  <c r="H178" i="5" s="1"/>
  <c r="D31" i="18"/>
  <c r="G31" i="18" s="1"/>
  <c r="AA31" i="18"/>
  <c r="D30" i="18"/>
  <c r="P30" i="18" s="1"/>
  <c r="AA30" i="18"/>
  <c r="D27" i="18"/>
  <c r="AA27" i="18"/>
  <c r="P27" i="5"/>
  <c r="Z26" i="18"/>
  <c r="O26" i="5"/>
  <c r="V26" i="18"/>
  <c r="K26" i="5"/>
  <c r="L24" i="18"/>
  <c r="N24" i="18" s="1"/>
  <c r="AC24" i="18"/>
  <c r="R24" i="5"/>
  <c r="U24" i="18"/>
  <c r="J24" i="5"/>
  <c r="T168" i="4"/>
  <c r="O20" i="5"/>
  <c r="O168" i="5" s="1"/>
  <c r="S107" i="5"/>
  <c r="T107" i="5" s="1"/>
  <c r="U107" i="5" s="1"/>
  <c r="V107" i="5" s="1"/>
  <c r="S104" i="5"/>
  <c r="T104" i="5" s="1"/>
  <c r="U104" i="5" s="1"/>
  <c r="V104" i="5" s="1"/>
  <c r="L96" i="5"/>
  <c r="K9" i="5"/>
  <c r="K175" i="5" s="1"/>
  <c r="O9" i="5"/>
  <c r="O175" i="5" s="1"/>
  <c r="D10" i="5"/>
  <c r="Q10" i="5"/>
  <c r="P46" i="5"/>
  <c r="Q71" i="5"/>
  <c r="O21" i="5"/>
  <c r="N25" i="5"/>
  <c r="L30" i="5"/>
  <c r="P31" i="5"/>
  <c r="M41" i="5"/>
  <c r="X42" i="18"/>
  <c r="W7" i="19" s="1"/>
  <c r="H23" i="4"/>
  <c r="H162" i="4" s="1"/>
  <c r="U63" i="18"/>
  <c r="O101" i="5"/>
  <c r="K101" i="5"/>
  <c r="AD60" i="18"/>
  <c r="AE60" i="18" s="1"/>
  <c r="AF60" i="18" s="1"/>
  <c r="AG60" i="18" s="1"/>
  <c r="W63" i="18"/>
  <c r="AD61" i="18"/>
  <c r="AE61" i="18" s="1"/>
  <c r="AF61" i="18" s="1"/>
  <c r="AG61" i="18" s="1"/>
  <c r="P20" i="19"/>
  <c r="R106" i="18"/>
  <c r="D78" i="4"/>
  <c r="AB71" i="4"/>
  <c r="AC71" i="4" s="1"/>
  <c r="AD71" i="4" s="1"/>
  <c r="AE71" i="4" s="1"/>
  <c r="F151" i="4"/>
  <c r="AB24" i="4"/>
  <c r="AC24" i="4" s="1"/>
  <c r="AD24" i="4" s="1"/>
  <c r="AE24" i="4" s="1"/>
  <c r="S90" i="5"/>
  <c r="T90" i="5" s="1"/>
  <c r="U90" i="5" s="1"/>
  <c r="V90" i="5" s="1"/>
  <c r="S88" i="5"/>
  <c r="T88" i="5" s="1"/>
  <c r="U88" i="5" s="1"/>
  <c r="V88" i="5" s="1"/>
  <c r="S87" i="5"/>
  <c r="T87" i="5" s="1"/>
  <c r="U87" i="5" s="1"/>
  <c r="V87" i="5" s="1"/>
  <c r="S95" i="5"/>
  <c r="T95" i="5" s="1"/>
  <c r="U95" i="5" s="1"/>
  <c r="V95" i="5" s="1"/>
  <c r="Q96" i="5"/>
  <c r="N86" i="5"/>
  <c r="X66" i="18"/>
  <c r="AC66" i="18"/>
  <c r="U86" i="18"/>
  <c r="Y86" i="18"/>
  <c r="X101" i="18"/>
  <c r="N101" i="5"/>
  <c r="J101" i="5"/>
  <c r="M86" i="5"/>
  <c r="AD13" i="18"/>
  <c r="AE13" i="18" s="1"/>
  <c r="AF13" i="18" s="1"/>
  <c r="AG13" i="18" s="1"/>
  <c r="AD14" i="18"/>
  <c r="AE14" i="18" s="1"/>
  <c r="AD17" i="18"/>
  <c r="AE17" i="18" s="1"/>
  <c r="AF17" i="18" s="1"/>
  <c r="AG17" i="18" s="1"/>
  <c r="AD18" i="18"/>
  <c r="AE18" i="18" s="1"/>
  <c r="AF18" i="18" s="1"/>
  <c r="AG18" i="18" s="1"/>
  <c r="D51" i="5"/>
  <c r="D167" i="5" s="1"/>
  <c r="AB75" i="4"/>
  <c r="AC75" i="4" s="1"/>
  <c r="AD75" i="4" s="1"/>
  <c r="AE75" i="4" s="1"/>
  <c r="N96" i="18"/>
  <c r="V63" i="18"/>
  <c r="AC63" i="18"/>
  <c r="J21" i="5"/>
  <c r="F40" i="5"/>
  <c r="F178" i="5" s="1"/>
  <c r="J27" i="5"/>
  <c r="L69" i="5"/>
  <c r="L74" i="18"/>
  <c r="O74" i="18" s="1"/>
  <c r="R75" i="5"/>
  <c r="R138" i="4"/>
  <c r="N75" i="5"/>
  <c r="H138" i="4"/>
  <c r="H75" i="5"/>
  <c r="H138" i="5" s="1"/>
  <c r="T138" i="4"/>
  <c r="Z73" i="18"/>
  <c r="L138" i="4"/>
  <c r="V73" i="18"/>
  <c r="D138" i="4"/>
  <c r="D74" i="5"/>
  <c r="D138" i="5" s="1"/>
  <c r="D70" i="18"/>
  <c r="G70" i="18" s="1"/>
  <c r="AA70" i="18"/>
  <c r="P71" i="5"/>
  <c r="W70" i="18"/>
  <c r="L71" i="5"/>
  <c r="D69" i="18"/>
  <c r="F69" i="18" s="1"/>
  <c r="P70" i="5"/>
  <c r="D68" i="18"/>
  <c r="AA68" i="18"/>
  <c r="L55" i="18"/>
  <c r="AC55" i="18"/>
  <c r="R55" i="5"/>
  <c r="W55" i="18"/>
  <c r="L55" i="5"/>
  <c r="AB54" i="4"/>
  <c r="AC54" i="4" s="1"/>
  <c r="AD54" i="4" s="1"/>
  <c r="AE54" i="4" s="1"/>
  <c r="D54" i="18"/>
  <c r="AA54" i="18"/>
  <c r="P54" i="5"/>
  <c r="W54" i="18"/>
  <c r="L54" i="5"/>
  <c r="D159" i="4"/>
  <c r="D47" i="5"/>
  <c r="D159" i="5" s="1"/>
  <c r="Z46" i="18"/>
  <c r="AB46" i="4"/>
  <c r="AC46" i="4" s="1"/>
  <c r="AD46" i="4" s="1"/>
  <c r="AE46" i="4" s="1"/>
  <c r="O46" i="5"/>
  <c r="V46" i="18"/>
  <c r="K46" i="5"/>
  <c r="D56" i="4"/>
  <c r="D46" i="5"/>
  <c r="D163" i="5" s="1"/>
  <c r="D163" i="4"/>
  <c r="D43" i="18"/>
  <c r="P43" i="18" s="1"/>
  <c r="AB43" i="4"/>
  <c r="AC43" i="4" s="1"/>
  <c r="AD43" i="4" s="1"/>
  <c r="AE43" i="4" s="1"/>
  <c r="AA43" i="18"/>
  <c r="D42" i="18"/>
  <c r="AB42" i="4"/>
  <c r="AC42" i="4" s="1"/>
  <c r="AD42" i="4" s="1"/>
  <c r="AE42" i="4" s="1"/>
  <c r="AA42" i="18"/>
  <c r="P42" i="5"/>
  <c r="W42" i="18"/>
  <c r="L42" i="5"/>
  <c r="D41" i="18"/>
  <c r="F41" i="18" s="1"/>
  <c r="AA41" i="18"/>
  <c r="P41" i="5"/>
  <c r="AB41" i="4"/>
  <c r="AC41" i="4" s="1"/>
  <c r="AD41" i="4" s="1"/>
  <c r="AE41" i="4" s="1"/>
  <c r="W41" i="18"/>
  <c r="L41" i="5"/>
  <c r="V178" i="4"/>
  <c r="D40" i="18"/>
  <c r="G40" i="18" s="1"/>
  <c r="P40" i="5"/>
  <c r="P178" i="5" s="1"/>
  <c r="N178" i="4"/>
  <c r="L40" i="5"/>
  <c r="L178" i="5" s="1"/>
  <c r="D154" i="4"/>
  <c r="D37" i="5"/>
  <c r="D154" i="5" s="1"/>
  <c r="D33" i="5"/>
  <c r="D177" i="4"/>
  <c r="AB31" i="4"/>
  <c r="AC31" i="4" s="1"/>
  <c r="AD31" i="4" s="1"/>
  <c r="AE31" i="4" s="1"/>
  <c r="O31" i="5"/>
  <c r="AB30" i="4"/>
  <c r="AC30" i="4" s="1"/>
  <c r="AD30" i="4" s="1"/>
  <c r="AE30" i="4" s="1"/>
  <c r="O30" i="5"/>
  <c r="D32" i="4"/>
  <c r="D30" i="5"/>
  <c r="D28" i="18"/>
  <c r="AA28" i="18"/>
  <c r="L26" i="18"/>
  <c r="N26" i="18" s="1"/>
  <c r="AB26" i="4"/>
  <c r="AC26" i="4" s="1"/>
  <c r="AD26" i="4" s="1"/>
  <c r="AE26" i="4" s="1"/>
  <c r="AC26" i="18"/>
  <c r="H25" i="18"/>
  <c r="K25" i="18" s="1"/>
  <c r="Q25" i="5"/>
  <c r="H24" i="18"/>
  <c r="K24" i="18" s="1"/>
  <c r="AB24" i="18"/>
  <c r="Q24" i="5"/>
  <c r="X24" i="18"/>
  <c r="M24" i="5"/>
  <c r="H164" i="4"/>
  <c r="H24" i="5"/>
  <c r="L21" i="18"/>
  <c r="P21" i="18" s="1"/>
  <c r="AC21" i="18"/>
  <c r="L20" i="18"/>
  <c r="AC20" i="18"/>
  <c r="AB37" i="19" s="1"/>
  <c r="R20" i="5"/>
  <c r="R168" i="4"/>
  <c r="Y20" i="18"/>
  <c r="X37" i="19" s="1"/>
  <c r="N20" i="5"/>
  <c r="N168" i="5" s="1"/>
  <c r="D168" i="4"/>
  <c r="D20" i="5"/>
  <c r="D168" i="5" s="1"/>
  <c r="D22" i="4"/>
  <c r="D10" i="18"/>
  <c r="F10" i="18" s="1"/>
  <c r="P10" i="5"/>
  <c r="L9" i="18"/>
  <c r="R9" i="5"/>
  <c r="R175" i="5" s="1"/>
  <c r="AB9" i="4"/>
  <c r="AC9" i="4" s="1"/>
  <c r="AD9" i="4" s="1"/>
  <c r="AE9" i="4" s="1"/>
  <c r="Z175" i="4"/>
  <c r="N9" i="5"/>
  <c r="N175" i="5" s="1"/>
  <c r="R175" i="4"/>
  <c r="J9" i="5"/>
  <c r="J175" i="5" s="1"/>
  <c r="J175" i="4"/>
  <c r="D149" i="4"/>
  <c r="D8" i="5"/>
  <c r="D149" i="5" s="1"/>
  <c r="R101" i="5"/>
  <c r="M96" i="5"/>
  <c r="D93" i="5"/>
  <c r="AC86" i="18"/>
  <c r="AD79" i="18"/>
  <c r="AE79" i="18" s="1"/>
  <c r="AF79" i="18" s="1"/>
  <c r="AG79" i="18" s="1"/>
  <c r="AD80" i="18"/>
  <c r="AE80" i="18" s="1"/>
  <c r="AF80" i="18" s="1"/>
  <c r="AG80" i="18" s="1"/>
  <c r="AD83" i="18"/>
  <c r="AD84" i="18"/>
  <c r="AD87" i="18"/>
  <c r="AE87" i="18" s="1"/>
  <c r="AD88" i="18"/>
  <c r="AE88" i="18" s="1"/>
  <c r="AF88" i="18" s="1"/>
  <c r="AG88" i="18" s="1"/>
  <c r="AD90" i="18"/>
  <c r="AD94" i="18"/>
  <c r="AE94" i="18" s="1"/>
  <c r="AF94" i="18" s="1"/>
  <c r="AG94" i="18" s="1"/>
  <c r="AD95" i="18"/>
  <c r="AB101" i="18"/>
  <c r="AD97" i="18"/>
  <c r="AD99" i="18"/>
  <c r="AD100" i="18"/>
  <c r="AE100" i="18" s="1"/>
  <c r="AF100" i="18" s="1"/>
  <c r="AG100" i="18" s="1"/>
  <c r="AD104" i="18"/>
  <c r="AE104" i="18" s="1"/>
  <c r="AF104" i="18" s="1"/>
  <c r="AG104" i="18" s="1"/>
  <c r="R82" i="18"/>
  <c r="J101" i="18"/>
  <c r="AB70" i="4"/>
  <c r="AC70" i="4" s="1"/>
  <c r="AD70" i="4" s="1"/>
  <c r="AE70" i="4" s="1"/>
  <c r="D145" i="4"/>
  <c r="N64" i="5"/>
  <c r="J64" i="5"/>
  <c r="M64" i="5"/>
  <c r="S123" i="5"/>
  <c r="T123" i="5" s="1"/>
  <c r="U123" i="5" s="1"/>
  <c r="V123" i="5" s="1"/>
  <c r="S85" i="5"/>
  <c r="T85" i="5" s="1"/>
  <c r="U85" i="5" s="1"/>
  <c r="V85" i="5" s="1"/>
  <c r="S84" i="5"/>
  <c r="T84" i="5" s="1"/>
  <c r="U84" i="5" s="1"/>
  <c r="V84" i="5" s="1"/>
  <c r="S82" i="5"/>
  <c r="T82" i="5" s="1"/>
  <c r="U82" i="5" s="1"/>
  <c r="V82" i="5" s="1"/>
  <c r="S81" i="5"/>
  <c r="T81" i="5" s="1"/>
  <c r="U81" i="5" s="1"/>
  <c r="V81" i="5" s="1"/>
  <c r="S80" i="5"/>
  <c r="T80" i="5" s="1"/>
  <c r="U80" i="5" s="1"/>
  <c r="V80" i="5" s="1"/>
  <c r="Q67" i="5"/>
  <c r="L67" i="5"/>
  <c r="S13" i="5"/>
  <c r="T13" i="5" s="1"/>
  <c r="U13" i="5" s="1"/>
  <c r="V13" i="5" s="1"/>
  <c r="V86" i="18"/>
  <c r="Z86" i="18"/>
  <c r="U101" i="18"/>
  <c r="Y101" i="18"/>
  <c r="AC101" i="18"/>
  <c r="P16" i="19"/>
  <c r="P23" i="19"/>
  <c r="L64" i="5"/>
  <c r="F96" i="18"/>
  <c r="V138" i="4"/>
  <c r="D74" i="18"/>
  <c r="N138" i="4"/>
  <c r="V168" i="4"/>
  <c r="D20" i="18"/>
  <c r="G20" i="18" s="1"/>
  <c r="D130" i="5"/>
  <c r="V66" i="18"/>
  <c r="W86" i="18"/>
  <c r="AA86" i="18"/>
  <c r="V101" i="18"/>
  <c r="Z101" i="18"/>
  <c r="F64" i="5"/>
  <c r="P17" i="19"/>
  <c r="X178" i="4"/>
  <c r="H40" i="18"/>
  <c r="X86" i="18"/>
  <c r="AB86" i="18"/>
  <c r="V96" i="18"/>
  <c r="Z96" i="18"/>
  <c r="W101" i="18"/>
  <c r="AA101" i="18"/>
  <c r="P35" i="19"/>
  <c r="P47" i="19"/>
  <c r="P41" i="19"/>
  <c r="P36" i="19"/>
  <c r="P43" i="19"/>
  <c r="P27" i="19"/>
  <c r="P29" i="19"/>
  <c r="P45" i="19"/>
  <c r="P9" i="19"/>
  <c r="S106" i="18"/>
  <c r="R107" i="18"/>
  <c r="P26" i="19"/>
  <c r="R100" i="18"/>
  <c r="P101" i="18"/>
  <c r="H33" i="16" s="1"/>
  <c r="G28" i="17" s="1"/>
  <c r="S100" i="18"/>
  <c r="P96" i="18"/>
  <c r="H29" i="16" s="1"/>
  <c r="G26" i="17" s="1"/>
  <c r="E25" i="19"/>
  <c r="I25" i="19"/>
  <c r="P7" i="19"/>
  <c r="P12" i="19"/>
  <c r="P40" i="19"/>
  <c r="P11" i="19"/>
  <c r="P13" i="19"/>
  <c r="P21" i="19"/>
  <c r="P32" i="19"/>
  <c r="P39" i="19"/>
  <c r="P42" i="19"/>
  <c r="P46" i="19"/>
  <c r="P22" i="19"/>
  <c r="P14" i="19"/>
  <c r="R14" i="18"/>
  <c r="S14" i="18"/>
  <c r="V97" i="5"/>
  <c r="M11" i="19"/>
  <c r="Q64" i="5"/>
  <c r="S61" i="5"/>
  <c r="T61" i="5" s="1"/>
  <c r="U61" i="5" s="1"/>
  <c r="V61" i="5" s="1"/>
  <c r="R115" i="4"/>
  <c r="T115" i="4" s="1"/>
  <c r="P176" i="4"/>
  <c r="L86" i="5"/>
  <c r="AY101" i="12"/>
  <c r="AW106" i="12"/>
  <c r="M10" i="19"/>
  <c r="N103" i="4"/>
  <c r="S59" i="5"/>
  <c r="T59" i="5" s="1"/>
  <c r="U59" i="5" s="1"/>
  <c r="V59" i="5" s="1"/>
  <c r="P142" i="5"/>
  <c r="L142" i="5"/>
  <c r="F142" i="5"/>
  <c r="R79" i="18"/>
  <c r="K40" i="19"/>
  <c r="N57" i="18"/>
  <c r="F42" i="18"/>
  <c r="P64" i="4"/>
  <c r="D72" i="5"/>
  <c r="D143" i="5" s="1"/>
  <c r="J64" i="4"/>
  <c r="X74" i="4"/>
  <c r="H73" i="18" s="1"/>
  <c r="Z74" i="3"/>
  <c r="F36" i="4"/>
  <c r="F173" i="4" s="1"/>
  <c r="H36" i="3"/>
  <c r="F173" i="3"/>
  <c r="F10" i="4"/>
  <c r="F10" i="5" s="1"/>
  <c r="H10" i="3"/>
  <c r="H10" i="4" s="1"/>
  <c r="H10" i="5" s="1"/>
  <c r="F155" i="3"/>
  <c r="H108" i="4"/>
  <c r="H140" i="4"/>
  <c r="AC82" i="4"/>
  <c r="AD82" i="4" s="1"/>
  <c r="AE82" i="4" s="1"/>
  <c r="AB86" i="4"/>
  <c r="P101" i="5"/>
  <c r="L101" i="5"/>
  <c r="M176" i="12"/>
  <c r="AW171" i="12"/>
  <c r="AY171" i="12"/>
  <c r="AY168" i="12"/>
  <c r="AW167" i="12"/>
  <c r="AW165" i="12"/>
  <c r="AY165" i="12"/>
  <c r="AY163" i="12"/>
  <c r="AW158" i="12"/>
  <c r="AY158" i="12"/>
  <c r="AW155" i="12"/>
  <c r="AY155" i="12"/>
  <c r="AW150" i="12"/>
  <c r="AV146" i="12"/>
  <c r="M146" i="12"/>
  <c r="AX146" i="12" s="1"/>
  <c r="AD178" i="12"/>
  <c r="AD181" i="12" s="1"/>
  <c r="AD183" i="12" s="1"/>
  <c r="I138" i="12"/>
  <c r="I106" i="12"/>
  <c r="AX66" i="12"/>
  <c r="X67" i="12"/>
  <c r="F49" i="4"/>
  <c r="F174" i="4" s="1"/>
  <c r="H49" i="3"/>
  <c r="F174" i="3"/>
  <c r="F45" i="4"/>
  <c r="F45" i="5" s="1"/>
  <c r="F153" i="3"/>
  <c r="F34" i="4"/>
  <c r="F160" i="4" s="1"/>
  <c r="F160" i="3"/>
  <c r="J178" i="12"/>
  <c r="J181" i="12" s="1"/>
  <c r="AH179" i="12"/>
  <c r="AY179" i="12" s="1"/>
  <c r="AH128" i="12"/>
  <c r="F179" i="12"/>
  <c r="F128" i="12"/>
  <c r="AB63" i="18"/>
  <c r="L63" i="18"/>
  <c r="O63" i="18" s="1"/>
  <c r="K74" i="18"/>
  <c r="N60" i="18"/>
  <c r="P60" i="18"/>
  <c r="R60" i="18" s="1"/>
  <c r="N58" i="18"/>
  <c r="O57" i="18"/>
  <c r="P57" i="18"/>
  <c r="F138" i="5"/>
  <c r="AB62" i="4"/>
  <c r="AC62" i="4" s="1"/>
  <c r="AD62" i="4" s="1"/>
  <c r="AE62" i="4" s="1"/>
  <c r="K69" i="5"/>
  <c r="O69" i="5"/>
  <c r="AB69" i="4"/>
  <c r="AC69" i="4" s="1"/>
  <c r="AD69" i="4" s="1"/>
  <c r="AE69" i="4" s="1"/>
  <c r="R64" i="4"/>
  <c r="H128" i="3"/>
  <c r="J50" i="3"/>
  <c r="H170" i="3"/>
  <c r="F39" i="4"/>
  <c r="F39" i="5" s="1"/>
  <c r="F158" i="5" s="1"/>
  <c r="H39" i="3"/>
  <c r="F158" i="3"/>
  <c r="D155" i="3"/>
  <c r="D180" i="3" s="1"/>
  <c r="D183" i="3" s="1"/>
  <c r="J112" i="4"/>
  <c r="H163" i="4"/>
  <c r="D44" i="4"/>
  <c r="D57" i="4" s="1"/>
  <c r="D160" i="4"/>
  <c r="R96" i="5"/>
  <c r="N96" i="5"/>
  <c r="J96" i="5"/>
  <c r="AW154" i="12"/>
  <c r="AR178" i="12"/>
  <c r="AR181" i="12" s="1"/>
  <c r="AY150" i="12"/>
  <c r="AL178" i="12"/>
  <c r="AL181" i="12" s="1"/>
  <c r="N147" i="12"/>
  <c r="E178" i="12"/>
  <c r="AA178" i="12"/>
  <c r="AA181" i="12" s="1"/>
  <c r="AA183" i="12" s="1"/>
  <c r="AX103" i="12"/>
  <c r="AZ68" i="12"/>
  <c r="AY73" i="12"/>
  <c r="W47" i="12"/>
  <c r="W157" i="12" s="1"/>
  <c r="AY157" i="12" s="1"/>
  <c r="AW47" i="12"/>
  <c r="AY47" i="12" s="1"/>
  <c r="AZ47" i="12" s="1"/>
  <c r="BA47" i="12" s="1"/>
  <c r="BB47" i="12" s="1"/>
  <c r="Y47" i="12"/>
  <c r="V157" i="12"/>
  <c r="AY161" i="12"/>
  <c r="F7" i="4"/>
  <c r="F7" i="5" s="1"/>
  <c r="H7" i="3"/>
  <c r="H7" i="4" s="1"/>
  <c r="F150" i="3"/>
  <c r="D73" i="4"/>
  <c r="P86" i="5"/>
  <c r="AX127" i="12"/>
  <c r="AB93" i="12"/>
  <c r="L138" i="13"/>
  <c r="L106" i="13"/>
  <c r="N176" i="4"/>
  <c r="AD57" i="18"/>
  <c r="AE57" i="18" s="1"/>
  <c r="AF57" i="18" s="1"/>
  <c r="AG57" i="18" s="1"/>
  <c r="O58" i="18"/>
  <c r="X64" i="4"/>
  <c r="D70" i="5"/>
  <c r="O70" i="5"/>
  <c r="R62" i="5"/>
  <c r="F181" i="3"/>
  <c r="H122" i="3"/>
  <c r="H179" i="3" s="1"/>
  <c r="F179" i="3"/>
  <c r="F161" i="3"/>
  <c r="F148" i="3"/>
  <c r="T27" i="4"/>
  <c r="Z27" i="3"/>
  <c r="J23" i="3"/>
  <c r="H162" i="3"/>
  <c r="J117" i="4"/>
  <c r="H161" i="4"/>
  <c r="H91" i="4"/>
  <c r="F139" i="4"/>
  <c r="M33" i="10"/>
  <c r="I33" i="10"/>
  <c r="E33" i="10"/>
  <c r="N14" i="10"/>
  <c r="AP179" i="12"/>
  <c r="AO178" i="12"/>
  <c r="AW176" i="12"/>
  <c r="AW174" i="12"/>
  <c r="AW169" i="12"/>
  <c r="AW164" i="12"/>
  <c r="AW160" i="12"/>
  <c r="AY160" i="12"/>
  <c r="AY152" i="12"/>
  <c r="AY148" i="12"/>
  <c r="Y142" i="12"/>
  <c r="K178" i="12"/>
  <c r="K181" i="12" s="1"/>
  <c r="AY95" i="12"/>
  <c r="AZ95" i="12" s="1"/>
  <c r="BA95" i="12" s="1"/>
  <c r="BB95" i="12" s="1"/>
  <c r="AW96" i="12"/>
  <c r="AH141" i="12"/>
  <c r="AX95" i="12"/>
  <c r="X96" i="12"/>
  <c r="AB84" i="12"/>
  <c r="AB162" i="12" s="1"/>
  <c r="AY162" i="12" s="1"/>
  <c r="AV84" i="12"/>
  <c r="AX84" i="12" s="1"/>
  <c r="AI84" i="12"/>
  <c r="I76" i="12"/>
  <c r="H78" i="12"/>
  <c r="H153" i="12"/>
  <c r="AW153" i="12" s="1"/>
  <c r="N76" i="12"/>
  <c r="AW76" i="12"/>
  <c r="AY76" i="12" s="1"/>
  <c r="AZ76" i="12" s="1"/>
  <c r="BA76" i="12" s="1"/>
  <c r="BB76" i="12" s="1"/>
  <c r="W60" i="12"/>
  <c r="W169" i="12" s="1"/>
  <c r="AV60" i="12"/>
  <c r="U169" i="12"/>
  <c r="AV169" i="12" s="1"/>
  <c r="AX169" i="12" s="1"/>
  <c r="AP59" i="12"/>
  <c r="AN139" i="12"/>
  <c r="AN64" i="12"/>
  <c r="AE59" i="12"/>
  <c r="AC139" i="12"/>
  <c r="S56" i="12"/>
  <c r="S57" i="12" s="1"/>
  <c r="S175" i="12"/>
  <c r="I54" i="12"/>
  <c r="I56" i="12" s="1"/>
  <c r="N54" i="12"/>
  <c r="AW54" i="12"/>
  <c r="AY54" i="12" s="1"/>
  <c r="AZ54" i="12" s="1"/>
  <c r="BA54" i="12" s="1"/>
  <c r="BB54" i="12" s="1"/>
  <c r="H175" i="12"/>
  <c r="I12" i="12"/>
  <c r="G22" i="12"/>
  <c r="K101" i="18"/>
  <c r="AB156" i="3"/>
  <c r="H129" i="3"/>
  <c r="T67" i="3"/>
  <c r="AB66" i="3"/>
  <c r="H6" i="3"/>
  <c r="H92" i="4"/>
  <c r="D179" i="5"/>
  <c r="AY176" i="12"/>
  <c r="Y176" i="12"/>
  <c r="X175" i="12"/>
  <c r="N175" i="12"/>
  <c r="N174" i="12"/>
  <c r="AV171" i="12"/>
  <c r="AX171" i="12" s="1"/>
  <c r="AV170" i="12"/>
  <c r="X169" i="12"/>
  <c r="N169" i="12"/>
  <c r="AV166" i="12"/>
  <c r="AV165" i="12"/>
  <c r="AV161" i="12"/>
  <c r="AV160" i="12"/>
  <c r="AV159" i="12"/>
  <c r="AX159" i="12" s="1"/>
  <c r="AV158" i="12"/>
  <c r="AV157" i="12"/>
  <c r="AV156" i="12"/>
  <c r="AV155" i="12"/>
  <c r="AX155" i="12" s="1"/>
  <c r="AV154" i="12"/>
  <c r="N153" i="12"/>
  <c r="N151" i="12"/>
  <c r="N149" i="12"/>
  <c r="AW147" i="12"/>
  <c r="AV145" i="12"/>
  <c r="X145" i="12"/>
  <c r="AY144" i="12"/>
  <c r="AW139" i="12"/>
  <c r="AW138" i="12"/>
  <c r="AW137" i="12"/>
  <c r="AX137" i="12" s="1"/>
  <c r="Q117" i="12"/>
  <c r="AE107" i="12"/>
  <c r="AE117" i="12" s="1"/>
  <c r="AC117" i="12"/>
  <c r="AI107" i="12"/>
  <c r="AI117" i="12" s="1"/>
  <c r="AX102" i="12"/>
  <c r="AY96" i="12"/>
  <c r="AZ94" i="12"/>
  <c r="BA94" i="12" s="1"/>
  <c r="BB94" i="12" s="1"/>
  <c r="BB96" i="12" s="1"/>
  <c r="AP96" i="12"/>
  <c r="AH96" i="12"/>
  <c r="AX94" i="12"/>
  <c r="AX96" i="12" s="1"/>
  <c r="N96" i="12"/>
  <c r="F96" i="12"/>
  <c r="AB92" i="12"/>
  <c r="AB154" i="12" s="1"/>
  <c r="AY154" i="12" s="1"/>
  <c r="AV92" i="12"/>
  <c r="Z93" i="12"/>
  <c r="I85" i="12"/>
  <c r="I151" i="12" s="1"/>
  <c r="AY151" i="12" s="1"/>
  <c r="H86" i="12"/>
  <c r="AW85" i="12"/>
  <c r="AY85" i="12" s="1"/>
  <c r="AZ85" i="12" s="1"/>
  <c r="BA85" i="12" s="1"/>
  <c r="BB85" i="12" s="1"/>
  <c r="AP86" i="12"/>
  <c r="F86" i="12"/>
  <c r="AX76" i="12"/>
  <c r="AU73" i="12"/>
  <c r="AB141" i="12"/>
  <c r="T141" i="12"/>
  <c r="AY67" i="12"/>
  <c r="AZ65" i="12"/>
  <c r="BA65" i="12" s="1"/>
  <c r="AP141" i="12"/>
  <c r="AP67" i="12"/>
  <c r="AH67" i="12"/>
  <c r="AX65" i="12"/>
  <c r="N67" i="12"/>
  <c r="F67" i="12"/>
  <c r="AX25" i="12"/>
  <c r="AE143" i="12"/>
  <c r="T12" i="12"/>
  <c r="T153" i="12" s="1"/>
  <c r="R22" i="12"/>
  <c r="AD178" i="13"/>
  <c r="AD181" i="13" s="1"/>
  <c r="AY151" i="13"/>
  <c r="J33" i="10"/>
  <c r="F33" i="10"/>
  <c r="B33" i="10"/>
  <c r="AV174" i="12"/>
  <c r="AV172" i="12"/>
  <c r="X172" i="12"/>
  <c r="X171" i="12"/>
  <c r="X170" i="12"/>
  <c r="X166" i="12"/>
  <c r="X165" i="12"/>
  <c r="AV162" i="12"/>
  <c r="AX162" i="12" s="1"/>
  <c r="X162" i="12"/>
  <c r="X161" i="12"/>
  <c r="X160" i="12"/>
  <c r="X159" i="12"/>
  <c r="X158" i="12"/>
  <c r="X157" i="12"/>
  <c r="X156" i="12"/>
  <c r="X155" i="12"/>
  <c r="X154" i="12"/>
  <c r="AV147" i="12"/>
  <c r="AX147" i="12" s="1"/>
  <c r="N145" i="12"/>
  <c r="Y144" i="12"/>
  <c r="X144" i="12"/>
  <c r="AW143" i="12"/>
  <c r="AV138" i="12"/>
  <c r="M138" i="12"/>
  <c r="AV137" i="12"/>
  <c r="Y136" i="12"/>
  <c r="AW128" i="12"/>
  <c r="AY125" i="12"/>
  <c r="AZ125" i="12" s="1"/>
  <c r="AX125" i="12"/>
  <c r="X128" i="12"/>
  <c r="AY122" i="12"/>
  <c r="I116" i="12"/>
  <c r="I143" i="12" s="1"/>
  <c r="AW116" i="12"/>
  <c r="AY116" i="12" s="1"/>
  <c r="AZ116" i="12" s="1"/>
  <c r="BA116" i="12" s="1"/>
  <c r="BB116" i="12" s="1"/>
  <c r="AX105" i="12"/>
  <c r="AX101" i="12"/>
  <c r="Q106" i="12"/>
  <c r="AY97" i="12"/>
  <c r="AW99" i="12"/>
  <c r="AI92" i="12"/>
  <c r="AX85" i="12"/>
  <c r="AI86" i="12"/>
  <c r="I86" i="12"/>
  <c r="AB75" i="12"/>
  <c r="Z78" i="12"/>
  <c r="AI75" i="12"/>
  <c r="F78" i="12"/>
  <c r="F136" i="12"/>
  <c r="N78" i="12"/>
  <c r="AB143" i="12"/>
  <c r="T143" i="12"/>
  <c r="AE141" i="12"/>
  <c r="W141" i="12"/>
  <c r="Q58" i="12"/>
  <c r="Q140" i="12" s="1"/>
  <c r="O140" i="12"/>
  <c r="X140" i="12" s="1"/>
  <c r="T44" i="12"/>
  <c r="Q31" i="12"/>
  <c r="Q143" i="12" s="1"/>
  <c r="P32" i="12"/>
  <c r="Y31" i="12"/>
  <c r="Y32" i="12" s="1"/>
  <c r="P143" i="12"/>
  <c r="Y143" i="12" s="1"/>
  <c r="AW31" i="12"/>
  <c r="AY31" i="12" s="1"/>
  <c r="AZ31" i="12" s="1"/>
  <c r="BA31" i="12" s="1"/>
  <c r="BB31" i="12" s="1"/>
  <c r="M170" i="13"/>
  <c r="D178" i="13"/>
  <c r="D181" i="13" s="1"/>
  <c r="AY168" i="13"/>
  <c r="AV163" i="13"/>
  <c r="BB125" i="13"/>
  <c r="BA128" i="13"/>
  <c r="AB59" i="3"/>
  <c r="F93" i="4"/>
  <c r="AB61" i="4"/>
  <c r="AC61" i="4" s="1"/>
  <c r="AD61" i="4" s="1"/>
  <c r="AE61" i="4" s="1"/>
  <c r="D108" i="5"/>
  <c r="Y179" i="12"/>
  <c r="AY177" i="12"/>
  <c r="Y177" i="12"/>
  <c r="AV175" i="12"/>
  <c r="X174" i="12"/>
  <c r="AX174" i="12" s="1"/>
  <c r="N172" i="12"/>
  <c r="N171" i="12"/>
  <c r="N170" i="12"/>
  <c r="AV168" i="12"/>
  <c r="AX168" i="12" s="1"/>
  <c r="N167" i="12"/>
  <c r="N166" i="12"/>
  <c r="N165" i="12"/>
  <c r="AV164" i="12"/>
  <c r="AX164" i="12" s="1"/>
  <c r="AV163" i="12"/>
  <c r="AX163" i="12" s="1"/>
  <c r="N162" i="12"/>
  <c r="N161" i="12"/>
  <c r="N160" i="12"/>
  <c r="N159" i="12"/>
  <c r="N158" i="12"/>
  <c r="N157" i="12"/>
  <c r="N156" i="12"/>
  <c r="N155" i="12"/>
  <c r="N154" i="12"/>
  <c r="AV152" i="12"/>
  <c r="AX152" i="12" s="1"/>
  <c r="AV151" i="12"/>
  <c r="AX151" i="12" s="1"/>
  <c r="AV150" i="12"/>
  <c r="AX150" i="12" s="1"/>
  <c r="AV149" i="12"/>
  <c r="AX149" i="12" s="1"/>
  <c r="AV148" i="12"/>
  <c r="AX148" i="12" s="1"/>
  <c r="N144" i="12"/>
  <c r="AV143" i="12"/>
  <c r="AV122" i="12"/>
  <c r="AX120" i="12"/>
  <c r="AX122" i="12" s="1"/>
  <c r="S118" i="12"/>
  <c r="S123" i="12" s="1"/>
  <c r="S130" i="12" s="1"/>
  <c r="I114" i="12"/>
  <c r="I141" i="12" s="1"/>
  <c r="H117" i="12"/>
  <c r="H141" i="12"/>
  <c r="H178" i="12" s="1"/>
  <c r="H181" i="12" s="1"/>
  <c r="N114" i="12"/>
  <c r="AW114" i="12"/>
  <c r="AY114" i="12" s="1"/>
  <c r="AZ114" i="12" s="1"/>
  <c r="BA114" i="12" s="1"/>
  <c r="BB114" i="12" s="1"/>
  <c r="AX104" i="12"/>
  <c r="W106" i="12"/>
  <c r="W138" i="12"/>
  <c r="L101" i="12"/>
  <c r="L138" i="12" s="1"/>
  <c r="K106" i="12"/>
  <c r="AJ93" i="12"/>
  <c r="T93" i="12"/>
  <c r="AX83" i="12"/>
  <c r="AU78" i="12"/>
  <c r="AH78" i="12"/>
  <c r="AH136" i="12"/>
  <c r="AX74" i="12"/>
  <c r="W59" i="12"/>
  <c r="X59" i="12"/>
  <c r="X64" i="12" s="1"/>
  <c r="AV56" i="12"/>
  <c r="AE56" i="12"/>
  <c r="Y147" i="13"/>
  <c r="AW147" i="13"/>
  <c r="Y144" i="13"/>
  <c r="AW144" i="13"/>
  <c r="X144" i="13"/>
  <c r="O178" i="13"/>
  <c r="O181" i="13" s="1"/>
  <c r="J178" i="13"/>
  <c r="J181" i="13" s="1"/>
  <c r="AG178" i="13"/>
  <c r="Y140" i="13"/>
  <c r="S178" i="13"/>
  <c r="S181" i="13" s="1"/>
  <c r="K178" i="13"/>
  <c r="K181" i="13" s="1"/>
  <c r="G178" i="13"/>
  <c r="G181" i="13" s="1"/>
  <c r="AL178" i="13"/>
  <c r="AL181" i="13" s="1"/>
  <c r="AF178" i="13"/>
  <c r="AF181" i="13" s="1"/>
  <c r="V178" i="13"/>
  <c r="V181" i="13" s="1"/>
  <c r="X147" i="12"/>
  <c r="X146" i="12"/>
  <c r="N146" i="12"/>
  <c r="AV144" i="12"/>
  <c r="AX144" i="12" s="1"/>
  <c r="X142" i="12"/>
  <c r="N141" i="12"/>
  <c r="X138" i="12"/>
  <c r="X137" i="12"/>
  <c r="AX129" i="12"/>
  <c r="F143" i="12"/>
  <c r="AX114" i="12"/>
  <c r="AW110" i="12"/>
  <c r="AW109" i="12"/>
  <c r="AV106" i="12"/>
  <c r="N101" i="12"/>
  <c r="AP106" i="12"/>
  <c r="AH106" i="12"/>
  <c r="AX100" i="12"/>
  <c r="AX106" i="12" s="1"/>
  <c r="N106" i="12"/>
  <c r="F106" i="12"/>
  <c r="AV96" i="12"/>
  <c r="AV93" i="12"/>
  <c r="AW93" i="12"/>
  <c r="AS93" i="12"/>
  <c r="AI93" i="12"/>
  <c r="Y93" i="12"/>
  <c r="Q93" i="12"/>
  <c r="I93" i="12"/>
  <c r="E86" i="12"/>
  <c r="N85" i="12"/>
  <c r="T86" i="12"/>
  <c r="X80" i="12"/>
  <c r="X86" i="12" s="1"/>
  <c r="AY164" i="12"/>
  <c r="M78" i="12"/>
  <c r="AE78" i="12"/>
  <c r="AH73" i="12"/>
  <c r="AX69" i="12"/>
  <c r="N73" i="12"/>
  <c r="AV67" i="12"/>
  <c r="AW64" i="12"/>
  <c r="AW53" i="12"/>
  <c r="AY53" i="12" s="1"/>
  <c r="AZ53" i="12" s="1"/>
  <c r="BA53" i="12" s="1"/>
  <c r="BB53" i="12" s="1"/>
  <c r="Y53" i="12"/>
  <c r="AX46" i="12"/>
  <c r="AB29" i="12"/>
  <c r="AB149" i="12" s="1"/>
  <c r="Z32" i="12"/>
  <c r="AX27" i="12"/>
  <c r="AU32" i="12"/>
  <c r="V11" i="12"/>
  <c r="AW6" i="12"/>
  <c r="AY171" i="13"/>
  <c r="AW171" i="13"/>
  <c r="AV164" i="13"/>
  <c r="AX164" i="13" s="1"/>
  <c r="AW160" i="13"/>
  <c r="AV157" i="13"/>
  <c r="AV156" i="13"/>
  <c r="E178" i="13"/>
  <c r="AW151" i="13"/>
  <c r="AW149" i="13"/>
  <c r="AY147" i="13"/>
  <c r="AV128" i="13"/>
  <c r="AX125" i="13"/>
  <c r="AX128" i="13" s="1"/>
  <c r="AM179" i="13"/>
  <c r="AM128" i="13"/>
  <c r="AE128" i="13"/>
  <c r="AE179" i="13"/>
  <c r="AY179" i="13" s="1"/>
  <c r="AS96" i="13"/>
  <c r="AS141" i="13"/>
  <c r="Q141" i="13"/>
  <c r="Q96" i="13"/>
  <c r="I96" i="13"/>
  <c r="I141" i="13"/>
  <c r="I9" i="13"/>
  <c r="I173" i="13" s="1"/>
  <c r="M9" i="13"/>
  <c r="AP167" i="13"/>
  <c r="N143" i="12"/>
  <c r="N142" i="12"/>
  <c r="AV141" i="12"/>
  <c r="X141" i="12"/>
  <c r="N139" i="12"/>
  <c r="N138" i="12"/>
  <c r="N137" i="12"/>
  <c r="AX126" i="12"/>
  <c r="AU128" i="12"/>
  <c r="AX116" i="12"/>
  <c r="AY145" i="12"/>
  <c r="AX112" i="12"/>
  <c r="M117" i="12"/>
  <c r="N110" i="12"/>
  <c r="N109" i="12"/>
  <c r="AX97" i="12"/>
  <c r="AX99" i="12" s="1"/>
  <c r="F99" i="12"/>
  <c r="AS141" i="12"/>
  <c r="AM86" i="12"/>
  <c r="AE86" i="12"/>
  <c r="AP73" i="12"/>
  <c r="AX63" i="12"/>
  <c r="Y64" i="12"/>
  <c r="Q60" i="12"/>
  <c r="Q169" i="12" s="1"/>
  <c r="X60" i="12"/>
  <c r="AU64" i="12"/>
  <c r="AL118" i="12"/>
  <c r="AL123" i="12" s="1"/>
  <c r="AL130" i="12" s="1"/>
  <c r="AM56" i="12"/>
  <c r="AX39" i="12"/>
  <c r="AM44" i="12"/>
  <c r="AE44" i="12"/>
  <c r="I33" i="12"/>
  <c r="I175" i="12" s="1"/>
  <c r="AW33" i="12"/>
  <c r="AY33" i="12" s="1"/>
  <c r="AZ33" i="12" s="1"/>
  <c r="H44" i="12"/>
  <c r="H57" i="12" s="1"/>
  <c r="AX30" i="12"/>
  <c r="AI29" i="12"/>
  <c r="Q29" i="12"/>
  <c r="O32" i="12"/>
  <c r="X29" i="12"/>
  <c r="F29" i="12"/>
  <c r="D32" i="12"/>
  <c r="AX19" i="12"/>
  <c r="L12" i="12"/>
  <c r="J22" i="12"/>
  <c r="J118" i="12" s="1"/>
  <c r="J123" i="12" s="1"/>
  <c r="J130" i="12" s="1"/>
  <c r="AX175" i="13"/>
  <c r="AW175" i="13"/>
  <c r="AW173" i="13"/>
  <c r="AV161" i="13"/>
  <c r="AX161" i="13" s="1"/>
  <c r="X161" i="13"/>
  <c r="AV160" i="13"/>
  <c r="AX157" i="13"/>
  <c r="AA178" i="13"/>
  <c r="AA181" i="13" s="1"/>
  <c r="Y152" i="13"/>
  <c r="AW152" i="13"/>
  <c r="Y146" i="13"/>
  <c r="AW146" i="13"/>
  <c r="W143" i="12"/>
  <c r="AY143" i="12" s="1"/>
  <c r="L143" i="12"/>
  <c r="AX115" i="12"/>
  <c r="AM117" i="12"/>
  <c r="AJ106" i="12"/>
  <c r="AB106" i="12"/>
  <c r="T106" i="12"/>
  <c r="L106" i="12"/>
  <c r="AU93" i="12"/>
  <c r="AX92" i="12"/>
  <c r="AX93" i="12" s="1"/>
  <c r="AM93" i="12"/>
  <c r="AE93" i="12"/>
  <c r="W93" i="12"/>
  <c r="M93" i="12"/>
  <c r="AU86" i="12"/>
  <c r="AW78" i="12"/>
  <c r="I78" i="12"/>
  <c r="AI78" i="12"/>
  <c r="Y78" i="12"/>
  <c r="AJ73" i="12"/>
  <c r="AB73" i="12"/>
  <c r="T73" i="12"/>
  <c r="L73" i="12"/>
  <c r="AH59" i="12"/>
  <c r="AI59" i="12"/>
  <c r="AI64" i="12" s="1"/>
  <c r="M56" i="12"/>
  <c r="AX42" i="12"/>
  <c r="AJ44" i="12"/>
  <c r="AJ57" i="12" s="1"/>
  <c r="AB44" i="12"/>
  <c r="W29" i="12"/>
  <c r="U32" i="12"/>
  <c r="T6" i="12"/>
  <c r="T167" i="12" s="1"/>
  <c r="U6" i="12"/>
  <c r="R9" i="12"/>
  <c r="R11" i="12"/>
  <c r="R118" i="12" s="1"/>
  <c r="R123" i="12" s="1"/>
  <c r="R130" i="12" s="1"/>
  <c r="M173" i="13"/>
  <c r="Y171" i="13"/>
  <c r="N167" i="13"/>
  <c r="N160" i="13"/>
  <c r="N156" i="13"/>
  <c r="AW153" i="13"/>
  <c r="AW150" i="13"/>
  <c r="AR178" i="13"/>
  <c r="AR181" i="13" s="1"/>
  <c r="Y142" i="13"/>
  <c r="AW142" i="13"/>
  <c r="P178" i="13"/>
  <c r="P181" i="13" s="1"/>
  <c r="AY161" i="13"/>
  <c r="F110" i="13"/>
  <c r="F161" i="13" s="1"/>
  <c r="E117" i="13"/>
  <c r="AX38" i="12"/>
  <c r="AU44" i="12"/>
  <c r="AX36" i="12"/>
  <c r="AX34" i="12"/>
  <c r="AP32" i="12"/>
  <c r="AH32" i="12"/>
  <c r="AU22" i="12"/>
  <c r="AX15" i="12"/>
  <c r="AX13" i="12"/>
  <c r="Q22" i="12"/>
  <c r="L11" i="12"/>
  <c r="AX8" i="12"/>
  <c r="AV177" i="13"/>
  <c r="AV176" i="13"/>
  <c r="AV174" i="13"/>
  <c r="AW172" i="13"/>
  <c r="AV170" i="13"/>
  <c r="AW168" i="13"/>
  <c r="AW167" i="13"/>
  <c r="AW165" i="13"/>
  <c r="AX165" i="13"/>
  <c r="AW161" i="13"/>
  <c r="AW158" i="13"/>
  <c r="AX158" i="13"/>
  <c r="AY156" i="13"/>
  <c r="AW154" i="13"/>
  <c r="AX154" i="13"/>
  <c r="AV150" i="13"/>
  <c r="AY145" i="13"/>
  <c r="AV143" i="13"/>
  <c r="M143" i="13"/>
  <c r="AY142" i="13"/>
  <c r="AW141" i="13"/>
  <c r="AV139" i="13"/>
  <c r="AW136" i="13"/>
  <c r="AX131" i="13"/>
  <c r="AX121" i="13"/>
  <c r="X122" i="13"/>
  <c r="M117" i="13"/>
  <c r="T146" i="13"/>
  <c r="X106" i="13"/>
  <c r="AM93" i="13"/>
  <c r="AM141" i="13"/>
  <c r="W141" i="13"/>
  <c r="W93" i="13"/>
  <c r="W77" i="13"/>
  <c r="W164" i="13" s="1"/>
  <c r="AV77" i="13"/>
  <c r="X77" i="13"/>
  <c r="AB73" i="13"/>
  <c r="T141" i="13"/>
  <c r="T73" i="13"/>
  <c r="AH64" i="13"/>
  <c r="AH151" i="13"/>
  <c r="N64" i="13"/>
  <c r="H57" i="13"/>
  <c r="AJ56" i="13"/>
  <c r="AT57" i="12"/>
  <c r="V44" i="12"/>
  <c r="AX43" i="12"/>
  <c r="AX41" i="12"/>
  <c r="AX33" i="12"/>
  <c r="AM32" i="12"/>
  <c r="AX28" i="12"/>
  <c r="AW32" i="12"/>
  <c r="AX26" i="12"/>
  <c r="AX24" i="12"/>
  <c r="E22" i="12"/>
  <c r="AX20" i="12"/>
  <c r="D12" i="12"/>
  <c r="AX10" i="12"/>
  <c r="O9" i="12"/>
  <c r="G9" i="12"/>
  <c r="AU11" i="12"/>
  <c r="X177" i="13"/>
  <c r="X176" i="13"/>
  <c r="N175" i="13"/>
  <c r="AV171" i="13"/>
  <c r="AW169" i="13"/>
  <c r="AW166" i="13"/>
  <c r="M166" i="13"/>
  <c r="AX166" i="13" s="1"/>
  <c r="Y165" i="13"/>
  <c r="AY164" i="13"/>
  <c r="AW162" i="13"/>
  <c r="M162" i="13"/>
  <c r="AX162" i="13" s="1"/>
  <c r="Y161" i="13"/>
  <c r="AW159" i="13"/>
  <c r="M159" i="13"/>
  <c r="AX159" i="13" s="1"/>
  <c r="Y158" i="13"/>
  <c r="AY157" i="13"/>
  <c r="AW155" i="13"/>
  <c r="M155" i="13"/>
  <c r="AX155" i="13" s="1"/>
  <c r="Y154" i="13"/>
  <c r="Y153" i="13"/>
  <c r="AY152" i="13"/>
  <c r="X151" i="13"/>
  <c r="M150" i="13"/>
  <c r="AV149" i="13"/>
  <c r="M147" i="13"/>
  <c r="AY146" i="13"/>
  <c r="M144" i="13"/>
  <c r="M142" i="13"/>
  <c r="Y141" i="13"/>
  <c r="AW137" i="13"/>
  <c r="M136" i="13"/>
  <c r="T116" i="13"/>
  <c r="T117" i="13" s="1"/>
  <c r="Y116" i="13"/>
  <c r="AB116" i="13" s="1"/>
  <c r="AB143" i="13" s="1"/>
  <c r="AE116" i="13" s="1"/>
  <c r="AE143" i="13" s="1"/>
  <c r="AH116" i="13" s="1"/>
  <c r="AH143" i="13" s="1"/>
  <c r="S117" i="13"/>
  <c r="I116" i="13"/>
  <c r="I143" i="13" s="1"/>
  <c r="AY143" i="13" s="1"/>
  <c r="H143" i="13"/>
  <c r="H178" i="13" s="1"/>
  <c r="H181" i="13" s="1"/>
  <c r="AW99" i="13"/>
  <c r="AJ93" i="13"/>
  <c r="AB93" i="13"/>
  <c r="T93" i="13"/>
  <c r="N86" i="13"/>
  <c r="AR118" i="12"/>
  <c r="AR123" i="12" s="1"/>
  <c r="AR130" i="12" s="1"/>
  <c r="AU56" i="12"/>
  <c r="AS56" i="12"/>
  <c r="AS57" i="12" s="1"/>
  <c r="AI56" i="12"/>
  <c r="AI57" i="12" s="1"/>
  <c r="AX45" i="12"/>
  <c r="Q44" i="12"/>
  <c r="AW44" i="12"/>
  <c r="AX37" i="12"/>
  <c r="AX35" i="12"/>
  <c r="AE32" i="12"/>
  <c r="T32" i="12"/>
  <c r="I32" i="12"/>
  <c r="AX23" i="12"/>
  <c r="Y22" i="12"/>
  <c r="AW22" i="12"/>
  <c r="AX16" i="12"/>
  <c r="AX14" i="12"/>
  <c r="AW12" i="12"/>
  <c r="AY12" i="12" s="1"/>
  <c r="AZ12" i="12" s="1"/>
  <c r="D9" i="12"/>
  <c r="AX7" i="12"/>
  <c r="AV179" i="13"/>
  <c r="AX179" i="13" s="1"/>
  <c r="AO178" i="13"/>
  <c r="AO181" i="13" s="1"/>
  <c r="N177" i="13"/>
  <c r="AK178" i="13"/>
  <c r="AK181" i="13" s="1"/>
  <c r="N176" i="13"/>
  <c r="X175" i="13"/>
  <c r="Y174" i="13"/>
  <c r="AV172" i="13"/>
  <c r="AW170" i="13"/>
  <c r="AV168" i="13"/>
  <c r="M167" i="13"/>
  <c r="Y166" i="13"/>
  <c r="AY165" i="13"/>
  <c r="AW163" i="13"/>
  <c r="M163" i="13"/>
  <c r="AX163" i="13" s="1"/>
  <c r="Y162" i="13"/>
  <c r="M160" i="13"/>
  <c r="AX160" i="13" s="1"/>
  <c r="Y159" i="13"/>
  <c r="AY158" i="13"/>
  <c r="AW156" i="13"/>
  <c r="M156" i="13"/>
  <c r="Y155" i="13"/>
  <c r="AY154" i="13"/>
  <c r="N153" i="13"/>
  <c r="Y151" i="13"/>
  <c r="M148" i="13"/>
  <c r="AX148" i="13" s="1"/>
  <c r="AV147" i="13"/>
  <c r="AW140" i="13"/>
  <c r="M139" i="13"/>
  <c r="AY137" i="13"/>
  <c r="AY128" i="13"/>
  <c r="P118" i="13"/>
  <c r="P123" i="13" s="1"/>
  <c r="P130" i="13" s="1"/>
  <c r="AS107" i="13"/>
  <c r="AS117" i="13" s="1"/>
  <c r="AV107" i="13"/>
  <c r="AQ117" i="13"/>
  <c r="AW106" i="13"/>
  <c r="AY102" i="13"/>
  <c r="AZ102" i="13" s="1"/>
  <c r="BA102" i="13" s="1"/>
  <c r="BB102" i="13" s="1"/>
  <c r="AP106" i="13"/>
  <c r="AH106" i="13"/>
  <c r="F138" i="13"/>
  <c r="F106" i="13"/>
  <c r="AL123" i="13"/>
  <c r="AL130" i="13" s="1"/>
  <c r="AY99" i="13"/>
  <c r="AZ98" i="13"/>
  <c r="BA98" i="13" s="1"/>
  <c r="BB98" i="13" s="1"/>
  <c r="AX98" i="13"/>
  <c r="AI99" i="13"/>
  <c r="AX97" i="13"/>
  <c r="M99" i="13"/>
  <c r="AM96" i="13"/>
  <c r="AM151" i="13"/>
  <c r="AX90" i="13"/>
  <c r="AS93" i="13"/>
  <c r="AI93" i="13"/>
  <c r="T143" i="13"/>
  <c r="L143" i="13"/>
  <c r="Q67" i="13"/>
  <c r="Q151" i="13"/>
  <c r="N150" i="13"/>
  <c r="N149" i="13"/>
  <c r="N148" i="13"/>
  <c r="N147" i="13"/>
  <c r="N146" i="13"/>
  <c r="N145" i="13"/>
  <c r="N144" i="13"/>
  <c r="AW143" i="13"/>
  <c r="N143" i="13"/>
  <c r="AX143" i="13" s="1"/>
  <c r="N142" i="13"/>
  <c r="M140" i="13"/>
  <c r="AW138" i="13"/>
  <c r="Y136" i="13"/>
  <c r="AD123" i="13"/>
  <c r="AD130" i="13" s="1"/>
  <c r="AX114" i="13"/>
  <c r="W117" i="13"/>
  <c r="AV99" i="13"/>
  <c r="AP99" i="13"/>
  <c r="AH99" i="13"/>
  <c r="X99" i="13"/>
  <c r="N99" i="13"/>
  <c r="F99" i="13"/>
  <c r="H93" i="13"/>
  <c r="AW86" i="13"/>
  <c r="AY85" i="13"/>
  <c r="AZ85" i="13" s="1"/>
  <c r="BA85" i="13" s="1"/>
  <c r="BB85" i="13" s="1"/>
  <c r="AX84" i="13"/>
  <c r="L81" i="13"/>
  <c r="L86" i="13" s="1"/>
  <c r="J86" i="13"/>
  <c r="J118" i="13" s="1"/>
  <c r="J123" i="13" s="1"/>
  <c r="J130" i="13" s="1"/>
  <c r="AM75" i="13"/>
  <c r="AM136" i="13" s="1"/>
  <c r="AK78" i="13"/>
  <c r="AM78" i="13"/>
  <c r="I33" i="13"/>
  <c r="H44" i="13"/>
  <c r="AW33" i="13"/>
  <c r="AY33" i="13" s="1"/>
  <c r="AZ33" i="13" s="1"/>
  <c r="BA33" i="13" s="1"/>
  <c r="Q9" i="13"/>
  <c r="Q173" i="13" s="1"/>
  <c r="O11" i="13"/>
  <c r="AV152" i="13"/>
  <c r="AX152" i="13" s="1"/>
  <c r="AV151" i="13"/>
  <c r="AX151" i="13" s="1"/>
  <c r="AV141" i="13"/>
  <c r="N141" i="13"/>
  <c r="AW139" i="13"/>
  <c r="Y137" i="13"/>
  <c r="AW122" i="13"/>
  <c r="AX120" i="13"/>
  <c r="AO118" i="13"/>
  <c r="AO123" i="13" s="1"/>
  <c r="AO130" i="13" s="1"/>
  <c r="AC117" i="13"/>
  <c r="AP117" i="13"/>
  <c r="AX111" i="13"/>
  <c r="AX109" i="13"/>
  <c r="AX105" i="13"/>
  <c r="AX103" i="13"/>
  <c r="AU106" i="13"/>
  <c r="AX101" i="13"/>
  <c r="AX106" i="13" s="1"/>
  <c r="N101" i="13"/>
  <c r="N106" i="13" s="1"/>
  <c r="AX100" i="13"/>
  <c r="Q99" i="13"/>
  <c r="AY94" i="13"/>
  <c r="AZ94" i="13" s="1"/>
  <c r="BA94" i="13" s="1"/>
  <c r="AB81" i="13"/>
  <c r="AB141" i="13" s="1"/>
  <c r="AV81" i="13"/>
  <c r="AJ86" i="13"/>
  <c r="T86" i="13"/>
  <c r="AY78" i="13"/>
  <c r="X73" i="13"/>
  <c r="AZ65" i="13"/>
  <c r="I58" i="13"/>
  <c r="M58" i="13"/>
  <c r="M64" i="13" s="1"/>
  <c r="G64" i="13"/>
  <c r="AI44" i="13"/>
  <c r="AE9" i="13"/>
  <c r="AE173" i="13" s="1"/>
  <c r="AC11" i="13"/>
  <c r="AV146" i="13"/>
  <c r="AV145" i="13"/>
  <c r="AX145" i="13" s="1"/>
  <c r="AV144" i="13"/>
  <c r="AV142" i="13"/>
  <c r="AX142" i="13" s="1"/>
  <c r="X141" i="13"/>
  <c r="AV138" i="13"/>
  <c r="Y138" i="13"/>
  <c r="AX119" i="13"/>
  <c r="AG118" i="13"/>
  <c r="AG123" i="13" s="1"/>
  <c r="AG130" i="13" s="1"/>
  <c r="AA118" i="13"/>
  <c r="AA123" i="13" s="1"/>
  <c r="AA130" i="13" s="1"/>
  <c r="AX115" i="13"/>
  <c r="AT118" i="13"/>
  <c r="AT123" i="13" s="1"/>
  <c r="AT130" i="13" s="1"/>
  <c r="AX94" i="13"/>
  <c r="I93" i="13"/>
  <c r="AP93" i="13"/>
  <c r="AH93" i="13"/>
  <c r="AU86" i="13"/>
  <c r="AX85" i="13"/>
  <c r="W80" i="13"/>
  <c r="W86" i="13" s="1"/>
  <c r="X80" i="13"/>
  <c r="X86" i="13" s="1"/>
  <c r="Q75" i="13"/>
  <c r="O78" i="13"/>
  <c r="O118" i="13" s="1"/>
  <c r="O123" i="13" s="1"/>
  <c r="O130" i="13" s="1"/>
  <c r="AY70" i="13"/>
  <c r="AW73" i="13"/>
  <c r="L73" i="13"/>
  <c r="Q58" i="13"/>
  <c r="O64" i="13"/>
  <c r="AB53" i="13"/>
  <c r="AB150" i="13" s="1"/>
  <c r="Z56" i="13"/>
  <c r="Z57" i="13" s="1"/>
  <c r="AP52" i="13"/>
  <c r="AP170" i="13" s="1"/>
  <c r="AY170" i="13" s="1"/>
  <c r="AV52" i="13"/>
  <c r="AN56" i="13"/>
  <c r="AN57" i="13" s="1"/>
  <c r="T52" i="13"/>
  <c r="T170" i="13" s="1"/>
  <c r="R56" i="13"/>
  <c r="R57" i="13" s="1"/>
  <c r="AP19" i="13"/>
  <c r="AP163" i="13" s="1"/>
  <c r="AV19" i="13"/>
  <c r="AE19" i="13"/>
  <c r="AE163" i="13" s="1"/>
  <c r="AI19" i="13"/>
  <c r="X19" i="13"/>
  <c r="T19" i="13"/>
  <c r="T163" i="13" s="1"/>
  <c r="I19" i="13"/>
  <c r="I163" i="13" s="1"/>
  <c r="M19" i="13"/>
  <c r="AU22" i="13"/>
  <c r="AP12" i="13"/>
  <c r="AQ12" i="13"/>
  <c r="AN22" i="13"/>
  <c r="AE86" i="13"/>
  <c r="AP73" i="13"/>
  <c r="AH73" i="13"/>
  <c r="AV67" i="13"/>
  <c r="AX62" i="13"/>
  <c r="F64" i="13"/>
  <c r="Y35" i="13"/>
  <c r="AX35" i="13" s="1"/>
  <c r="W35" i="13"/>
  <c r="W144" i="13" s="1"/>
  <c r="AY144" i="13" s="1"/>
  <c r="AS44" i="13"/>
  <c r="AF32" i="13"/>
  <c r="AH29" i="13"/>
  <c r="AV29" i="13"/>
  <c r="N32" i="13"/>
  <c r="AY58" i="13"/>
  <c r="AW64" i="13"/>
  <c r="V64" i="13"/>
  <c r="W58" i="13"/>
  <c r="O57" i="13"/>
  <c r="AW55" i="13"/>
  <c r="AY55" i="13" s="1"/>
  <c r="AZ55" i="13" s="1"/>
  <c r="BA55" i="13" s="1"/>
  <c r="BB55" i="13" s="1"/>
  <c r="L55" i="13"/>
  <c r="AH53" i="13"/>
  <c r="AH150" i="13" s="1"/>
  <c r="AF56" i="13"/>
  <c r="AF57" i="13" s="1"/>
  <c r="AF118" i="13" s="1"/>
  <c r="AF123" i="13" s="1"/>
  <c r="AF130" i="13" s="1"/>
  <c r="AX42" i="13"/>
  <c r="I44" i="13"/>
  <c r="T44" i="13"/>
  <c r="X44" i="13"/>
  <c r="AX30" i="13"/>
  <c r="AX13" i="13"/>
  <c r="AH12" i="13"/>
  <c r="AH153" i="13" s="1"/>
  <c r="AF22" i="13"/>
  <c r="Q22" i="13"/>
  <c r="AQ6" i="13"/>
  <c r="AN9" i="13"/>
  <c r="AX95" i="13"/>
  <c r="AU96" i="13"/>
  <c r="AV93" i="13"/>
  <c r="L93" i="13"/>
  <c r="AX79" i="13"/>
  <c r="AP78" i="13"/>
  <c r="I73" i="13"/>
  <c r="N73" i="13"/>
  <c r="AX65" i="13"/>
  <c r="AX67" i="13" s="1"/>
  <c r="AX61" i="13"/>
  <c r="AX59" i="13"/>
  <c r="AU64" i="13"/>
  <c r="T64" i="13"/>
  <c r="V56" i="13"/>
  <c r="V57" i="13" s="1"/>
  <c r="I55" i="13"/>
  <c r="N55" i="13"/>
  <c r="AH56" i="13"/>
  <c r="AJ44" i="13"/>
  <c r="AE44" i="13"/>
  <c r="AE57" i="13" s="1"/>
  <c r="AU32" i="13"/>
  <c r="AB29" i="13"/>
  <c r="Z32" i="13"/>
  <c r="T32" i="13"/>
  <c r="L32" i="13"/>
  <c r="F32" i="13"/>
  <c r="AI11" i="13"/>
  <c r="AX83" i="13"/>
  <c r="Q86" i="13"/>
  <c r="AP86" i="13"/>
  <c r="AW78" i="13"/>
  <c r="AX77" i="13"/>
  <c r="AX71" i="13"/>
  <c r="J64" i="13"/>
  <c r="AR57" i="13"/>
  <c r="AR118" i="13" s="1"/>
  <c r="AR123" i="13" s="1"/>
  <c r="AR130" i="13" s="1"/>
  <c r="AX46" i="13"/>
  <c r="K44" i="13"/>
  <c r="AW44" i="13"/>
  <c r="AY41" i="13"/>
  <c r="AZ41" i="13" s="1"/>
  <c r="BA41" i="13" s="1"/>
  <c r="BB41" i="13" s="1"/>
  <c r="AX41" i="13"/>
  <c r="F33" i="13"/>
  <c r="F44" i="13" s="1"/>
  <c r="N33" i="13"/>
  <c r="AX33" i="13" s="1"/>
  <c r="G22" i="13"/>
  <c r="AX16" i="13"/>
  <c r="AB12" i="13"/>
  <c r="AC12" i="13"/>
  <c r="Z22" i="13"/>
  <c r="M12" i="13"/>
  <c r="M22" i="13" s="1"/>
  <c r="G11" i="13"/>
  <c r="AB9" i="13"/>
  <c r="AB173" i="13" s="1"/>
  <c r="Z11" i="13"/>
  <c r="AU11" i="13"/>
  <c r="AM11" i="13"/>
  <c r="AE11" i="13"/>
  <c r="M6" i="13"/>
  <c r="M11" i="13" s="1"/>
  <c r="Q18" i="18"/>
  <c r="R18" i="18" s="1"/>
  <c r="O119" i="3"/>
  <c r="J57" i="13"/>
  <c r="AX47" i="13"/>
  <c r="AU44" i="13"/>
  <c r="AP44" i="13"/>
  <c r="AH44" i="13"/>
  <c r="Y33" i="13"/>
  <c r="W33" i="13"/>
  <c r="W175" i="13" s="1"/>
  <c r="L12" i="13"/>
  <c r="AW12" i="13"/>
  <c r="AH9" i="13"/>
  <c r="AH173" i="13" s="1"/>
  <c r="AI9" i="13"/>
  <c r="Q6" i="13"/>
  <c r="R6" i="13"/>
  <c r="I11" i="13"/>
  <c r="Q105" i="18"/>
  <c r="Q104" i="18"/>
  <c r="AX39" i="13"/>
  <c r="L44" i="13"/>
  <c r="AW32" i="13"/>
  <c r="AE32" i="13"/>
  <c r="M32" i="13"/>
  <c r="AW11" i="13"/>
  <c r="AK11" i="13"/>
  <c r="L11" i="13"/>
  <c r="J18" i="18"/>
  <c r="G79" i="18"/>
  <c r="J99" i="18"/>
  <c r="I180" i="5"/>
  <c r="I183" i="5" s="1"/>
  <c r="Q99" i="18"/>
  <c r="S99" i="18" s="1"/>
  <c r="Q94" i="18"/>
  <c r="R94" i="18" s="1"/>
  <c r="Q89" i="18"/>
  <c r="Q84" i="18"/>
  <c r="Q74" i="18"/>
  <c r="Q69" i="18"/>
  <c r="Q64" i="18"/>
  <c r="Q54" i="18"/>
  <c r="Q41" i="18"/>
  <c r="P34" i="19"/>
  <c r="Q15" i="18"/>
  <c r="AX38" i="13"/>
  <c r="AX34" i="13"/>
  <c r="AS32" i="13"/>
  <c r="Y32" i="13"/>
  <c r="Q32" i="13"/>
  <c r="I32" i="13"/>
  <c r="W32" i="13"/>
  <c r="AX20" i="13"/>
  <c r="AM22" i="13"/>
  <c r="F12" i="13"/>
  <c r="F11" i="13"/>
  <c r="K104" i="18"/>
  <c r="E57" i="5"/>
  <c r="E120" i="5" s="1"/>
  <c r="E125" i="5" s="1"/>
  <c r="E132" i="5" s="1"/>
  <c r="E185" i="5" s="1"/>
  <c r="E180" i="5"/>
  <c r="E183" i="5" s="1"/>
  <c r="G180" i="5"/>
  <c r="G183" i="5" s="1"/>
  <c r="Q112" i="18"/>
  <c r="Q102" i="18"/>
  <c r="Q97" i="18"/>
  <c r="R97" i="18" s="1"/>
  <c r="Q91" i="18"/>
  <c r="Q87" i="18"/>
  <c r="Q71" i="18"/>
  <c r="Q61" i="18"/>
  <c r="R61" i="18" s="1"/>
  <c r="Q43" i="18"/>
  <c r="Q17" i="18"/>
  <c r="S17" i="18" s="1"/>
  <c r="Q13" i="18"/>
  <c r="S13" i="18" s="1"/>
  <c r="O119" i="4"/>
  <c r="AF119" i="4" s="1"/>
  <c r="J105" i="3"/>
  <c r="H105" i="5"/>
  <c r="J103" i="3"/>
  <c r="H140" i="3"/>
  <c r="H103" i="5"/>
  <c r="H140" i="5" s="1"/>
  <c r="J89" i="3"/>
  <c r="X55" i="18"/>
  <c r="M55" i="5"/>
  <c r="F152" i="4"/>
  <c r="F53" i="5"/>
  <c r="F152" i="5" s="1"/>
  <c r="F167" i="4"/>
  <c r="F51" i="5"/>
  <c r="F167" i="5" s="1"/>
  <c r="F170" i="4"/>
  <c r="F50" i="5"/>
  <c r="F170" i="5" s="1"/>
  <c r="F144" i="4"/>
  <c r="F48" i="5"/>
  <c r="F144" i="5" s="1"/>
  <c r="F157" i="4"/>
  <c r="F38" i="5"/>
  <c r="F157" i="5" s="1"/>
  <c r="F146" i="4"/>
  <c r="F35" i="5"/>
  <c r="F146" i="5" s="1"/>
  <c r="J33" i="3"/>
  <c r="L33" i="3" s="1"/>
  <c r="H33" i="4"/>
  <c r="H33" i="5" s="1"/>
  <c r="H177" i="5" s="1"/>
  <c r="H177" i="3"/>
  <c r="J113" i="4"/>
  <c r="H148" i="4"/>
  <c r="AD79" i="4"/>
  <c r="AC86" i="4"/>
  <c r="L16" i="4"/>
  <c r="J164" i="4"/>
  <c r="AD6" i="2"/>
  <c r="AC7" i="2"/>
  <c r="AC10" i="2" s="1"/>
  <c r="J102" i="3"/>
  <c r="J108" i="3" s="1"/>
  <c r="H108" i="3"/>
  <c r="H102" i="5"/>
  <c r="F72" i="5"/>
  <c r="F143" i="4"/>
  <c r="F68" i="5"/>
  <c r="F172" i="4"/>
  <c r="F52" i="5"/>
  <c r="F172" i="5" s="1"/>
  <c r="F159" i="4"/>
  <c r="F47" i="5"/>
  <c r="F159" i="5" s="1"/>
  <c r="F158" i="4"/>
  <c r="F154" i="4"/>
  <c r="F37" i="5"/>
  <c r="F154" i="5" s="1"/>
  <c r="AC25" i="18"/>
  <c r="AB25" i="4"/>
  <c r="AC25" i="4" s="1"/>
  <c r="AD25" i="4" s="1"/>
  <c r="AE25" i="4" s="1"/>
  <c r="R25" i="5"/>
  <c r="F15" i="5"/>
  <c r="O10" i="5"/>
  <c r="Z10" i="18"/>
  <c r="F149" i="4"/>
  <c r="F8" i="5"/>
  <c r="F149" i="5" s="1"/>
  <c r="J161" i="4"/>
  <c r="L117" i="4"/>
  <c r="J114" i="4"/>
  <c r="H147" i="4"/>
  <c r="U112" i="18"/>
  <c r="T32" i="19" s="1"/>
  <c r="J163" i="4"/>
  <c r="L112" i="4"/>
  <c r="H119" i="4"/>
  <c r="J109" i="4"/>
  <c r="H109" i="5"/>
  <c r="AE97" i="4"/>
  <c r="AE101" i="4" s="1"/>
  <c r="AD101" i="4"/>
  <c r="AE94" i="4"/>
  <c r="AE96" i="4" s="1"/>
  <c r="AD96" i="4"/>
  <c r="AD65" i="4"/>
  <c r="AC67" i="4"/>
  <c r="H165" i="4"/>
  <c r="H19" i="5"/>
  <c r="H165" i="5" s="1"/>
  <c r="J19" i="4"/>
  <c r="H12" i="4"/>
  <c r="J12" i="4" s="1"/>
  <c r="L12" i="4" s="1"/>
  <c r="F12" i="5"/>
  <c r="AB7" i="2"/>
  <c r="AB10" i="2" s="1"/>
  <c r="AB168" i="3"/>
  <c r="F130" i="3"/>
  <c r="F124" i="3"/>
  <c r="F122" i="5"/>
  <c r="H118" i="3"/>
  <c r="H117" i="3"/>
  <c r="H116" i="3"/>
  <c r="H115" i="3"/>
  <c r="H114" i="3"/>
  <c r="H113" i="3"/>
  <c r="H110" i="3"/>
  <c r="H91" i="3"/>
  <c r="H77" i="3"/>
  <c r="H78" i="3" s="1"/>
  <c r="F78" i="3"/>
  <c r="H72" i="3"/>
  <c r="H68" i="3"/>
  <c r="V67" i="3"/>
  <c r="AB63" i="3"/>
  <c r="AB60" i="3"/>
  <c r="AB58" i="3"/>
  <c r="R55" i="3"/>
  <c r="H53" i="4"/>
  <c r="H52" i="3"/>
  <c r="H51" i="3"/>
  <c r="H50" i="4"/>
  <c r="H50" i="5" s="1"/>
  <c r="H170" i="5" s="1"/>
  <c r="H48" i="3"/>
  <c r="H47" i="3"/>
  <c r="H45" i="3"/>
  <c r="H39" i="4"/>
  <c r="H39" i="5" s="1"/>
  <c r="H158" i="5" s="1"/>
  <c r="H38" i="3"/>
  <c r="H37" i="3"/>
  <c r="H36" i="4"/>
  <c r="H34" i="3"/>
  <c r="H29" i="3"/>
  <c r="AB25" i="3"/>
  <c r="H15" i="3"/>
  <c r="H8" i="3"/>
  <c r="F11" i="3"/>
  <c r="F6" i="5"/>
  <c r="H127" i="4"/>
  <c r="H122" i="4"/>
  <c r="H89" i="4"/>
  <c r="F76" i="4"/>
  <c r="F163" i="4"/>
  <c r="F118" i="5"/>
  <c r="F117" i="5"/>
  <c r="F161" i="5" s="1"/>
  <c r="F116" i="5"/>
  <c r="F115" i="5"/>
  <c r="F176" i="5" s="1"/>
  <c r="F114" i="5"/>
  <c r="F147" i="5" s="1"/>
  <c r="F113" i="5"/>
  <c r="F148" i="5" s="1"/>
  <c r="F112" i="5"/>
  <c r="F163" i="5" s="1"/>
  <c r="F111" i="5"/>
  <c r="F110" i="5"/>
  <c r="N23" i="10"/>
  <c r="N33" i="10" s="1"/>
  <c r="X179" i="12"/>
  <c r="X177" i="12"/>
  <c r="X176" i="12"/>
  <c r="AG178" i="12"/>
  <c r="AG181" i="12" s="1"/>
  <c r="AG183" i="12" s="1"/>
  <c r="AX142" i="12"/>
  <c r="AX138" i="12"/>
  <c r="AX128" i="12"/>
  <c r="BB120" i="12"/>
  <c r="BB122" i="12" s="1"/>
  <c r="BA122" i="12"/>
  <c r="L174" i="12"/>
  <c r="AY174" i="12" s="1"/>
  <c r="L117" i="12"/>
  <c r="W117" i="12"/>
  <c r="I117" i="12"/>
  <c r="BA107" i="12"/>
  <c r="BA100" i="12"/>
  <c r="BA92" i="12"/>
  <c r="BB92" i="12" s="1"/>
  <c r="AZ93" i="12"/>
  <c r="Q86" i="12"/>
  <c r="Q146" i="12"/>
  <c r="L86" i="12"/>
  <c r="W86" i="12"/>
  <c r="W136" i="12"/>
  <c r="AS86" i="12"/>
  <c r="BA75" i="12"/>
  <c r="BB75" i="12" s="1"/>
  <c r="AZ78" i="12"/>
  <c r="AB136" i="12"/>
  <c r="AB78" i="12"/>
  <c r="U78" i="12"/>
  <c r="X75" i="12"/>
  <c r="X78" i="12" s="1"/>
  <c r="U136" i="12"/>
  <c r="AZ73" i="12"/>
  <c r="BA68" i="12"/>
  <c r="F73" i="12"/>
  <c r="F141" i="12"/>
  <c r="AP139" i="12"/>
  <c r="AP64" i="12"/>
  <c r="AH139" i="12"/>
  <c r="AH64" i="12"/>
  <c r="AB139" i="12"/>
  <c r="AB64" i="12"/>
  <c r="T139" i="12"/>
  <c r="T64" i="12"/>
  <c r="L139" i="12"/>
  <c r="L64" i="12"/>
  <c r="BA52" i="12"/>
  <c r="BB52" i="12" s="1"/>
  <c r="J109" i="3"/>
  <c r="L109" i="3" s="1"/>
  <c r="AB175" i="3"/>
  <c r="J127" i="3"/>
  <c r="J122" i="3"/>
  <c r="L122" i="3" s="1"/>
  <c r="H124" i="3"/>
  <c r="F105" i="5"/>
  <c r="F103" i="5"/>
  <c r="F140" i="5" s="1"/>
  <c r="F108" i="3"/>
  <c r="F102" i="5"/>
  <c r="F93" i="3"/>
  <c r="J76" i="3"/>
  <c r="L76" i="3" s="1"/>
  <c r="F73" i="3"/>
  <c r="F56" i="3"/>
  <c r="F44" i="3"/>
  <c r="F119" i="4"/>
  <c r="F33" i="4"/>
  <c r="F177" i="4" s="1"/>
  <c r="L2" i="4"/>
  <c r="L6" i="4" s="1"/>
  <c r="F129" i="5"/>
  <c r="F128" i="5"/>
  <c r="F127" i="5"/>
  <c r="F92" i="5"/>
  <c r="F156" i="5" s="1"/>
  <c r="F91" i="5"/>
  <c r="F139" i="5" s="1"/>
  <c r="F89" i="5"/>
  <c r="F19" i="5"/>
  <c r="F165" i="5" s="1"/>
  <c r="F16" i="5"/>
  <c r="F164" i="5" s="1"/>
  <c r="AV179" i="12"/>
  <c r="AX179" i="12" s="1"/>
  <c r="N179" i="12"/>
  <c r="AO181" i="12"/>
  <c r="AO183" i="12" s="1"/>
  <c r="E181" i="12"/>
  <c r="AV177" i="12"/>
  <c r="N177" i="12"/>
  <c r="AV176" i="12"/>
  <c r="N176" i="12"/>
  <c r="N178" i="12" s="1"/>
  <c r="N181" i="12" s="1"/>
  <c r="AV136" i="12"/>
  <c r="BA125" i="12"/>
  <c r="AZ128" i="12"/>
  <c r="F117" i="12"/>
  <c r="AS117" i="12"/>
  <c r="BA93" i="12"/>
  <c r="BB87" i="12"/>
  <c r="Q78" i="12"/>
  <c r="Q136" i="12"/>
  <c r="BA78" i="12"/>
  <c r="BB74" i="12"/>
  <c r="AS78" i="12"/>
  <c r="AM78" i="12"/>
  <c r="AM73" i="12"/>
  <c r="AM141" i="12"/>
  <c r="BB65" i="12"/>
  <c r="BB67" i="12" s="1"/>
  <c r="BA67" i="12"/>
  <c r="AY169" i="12"/>
  <c r="AS64" i="12"/>
  <c r="AS139" i="12"/>
  <c r="AM64" i="12"/>
  <c r="AM139" i="12"/>
  <c r="AE64" i="12"/>
  <c r="AE139" i="12"/>
  <c r="W139" i="12"/>
  <c r="Q64" i="12"/>
  <c r="Q139" i="12"/>
  <c r="I64" i="12"/>
  <c r="I139" i="12"/>
  <c r="BA58" i="12"/>
  <c r="AZ64" i="12"/>
  <c r="F140" i="12"/>
  <c r="AY140" i="12" s="1"/>
  <c r="F64" i="12"/>
  <c r="AT118" i="12"/>
  <c r="AT123" i="12" s="1"/>
  <c r="AT130" i="12" s="1"/>
  <c r="AT183" i="12" s="1"/>
  <c r="BB49" i="12"/>
  <c r="T55" i="12"/>
  <c r="T175" i="12" s="1"/>
  <c r="AW55" i="12"/>
  <c r="W54" i="12"/>
  <c r="W175" i="12" s="1"/>
  <c r="Y54" i="12"/>
  <c r="AX52" i="12"/>
  <c r="L56" i="12"/>
  <c r="X56" i="12"/>
  <c r="X57" i="12" s="1"/>
  <c r="F44" i="12"/>
  <c r="W44" i="12"/>
  <c r="L44" i="12"/>
  <c r="BA24" i="12"/>
  <c r="AZ32" i="12"/>
  <c r="M67" i="5"/>
  <c r="K67" i="5"/>
  <c r="D67" i="5"/>
  <c r="AY128" i="12"/>
  <c r="AZ122" i="12"/>
  <c r="AQ117" i="12"/>
  <c r="K117" i="12"/>
  <c r="E117" i="12"/>
  <c r="Y116" i="12"/>
  <c r="N116" i="12"/>
  <c r="AW113" i="12"/>
  <c r="N113" i="12"/>
  <c r="Y112" i="12"/>
  <c r="Y117" i="12" s="1"/>
  <c r="AW108" i="12"/>
  <c r="AV107" i="12"/>
  <c r="X106" i="12"/>
  <c r="AZ96" i="12"/>
  <c r="AY93" i="12"/>
  <c r="AQ86" i="12"/>
  <c r="Z86" i="12"/>
  <c r="AV82" i="12"/>
  <c r="N82" i="12"/>
  <c r="AV81" i="12"/>
  <c r="AX81" i="12" s="1"/>
  <c r="AV80" i="12"/>
  <c r="AY78" i="12"/>
  <c r="AQ78" i="12"/>
  <c r="AK78" i="12"/>
  <c r="O78" i="12"/>
  <c r="AV77" i="12"/>
  <c r="AX77" i="12" s="1"/>
  <c r="AV75" i="12"/>
  <c r="X73" i="12"/>
  <c r="D73" i="12"/>
  <c r="AV68" i="12"/>
  <c r="AZ67" i="12"/>
  <c r="AY64" i="12"/>
  <c r="AQ64" i="12"/>
  <c r="AK64" i="12"/>
  <c r="AC64" i="12"/>
  <c r="U64" i="12"/>
  <c r="O64" i="12"/>
  <c r="G64" i="12"/>
  <c r="AV59" i="12"/>
  <c r="AV58" i="12"/>
  <c r="M58" i="12"/>
  <c r="M64" i="12" s="1"/>
  <c r="AW56" i="12"/>
  <c r="AW57" i="12" s="1"/>
  <c r="Y55" i="12"/>
  <c r="Q55" i="12"/>
  <c r="P56" i="12"/>
  <c r="P57" i="12" s="1"/>
  <c r="P118" i="12" s="1"/>
  <c r="P123" i="12" s="1"/>
  <c r="P130" i="12" s="1"/>
  <c r="F55" i="12"/>
  <c r="F175" i="12" s="1"/>
  <c r="N55" i="12"/>
  <c r="AX54" i="12"/>
  <c r="AX51" i="12"/>
  <c r="AH56" i="12"/>
  <c r="AH57" i="12" s="1"/>
  <c r="AB56" i="12"/>
  <c r="W49" i="12"/>
  <c r="Y49" i="12"/>
  <c r="Y56" i="12" s="1"/>
  <c r="V56" i="12"/>
  <c r="V57" i="12" s="1"/>
  <c r="V118" i="12" s="1"/>
  <c r="V123" i="12" s="1"/>
  <c r="V130" i="12" s="1"/>
  <c r="AX49" i="12"/>
  <c r="BA33" i="12"/>
  <c r="AZ44" i="12"/>
  <c r="I44" i="12"/>
  <c r="I57" i="12" s="1"/>
  <c r="BA13" i="12"/>
  <c r="BA12" i="12"/>
  <c r="AZ22" i="12"/>
  <c r="AZ23" i="12" s="1"/>
  <c r="T22" i="12"/>
  <c r="AY44" i="12"/>
  <c r="K44" i="12"/>
  <c r="K57" i="12" s="1"/>
  <c r="E44" i="12"/>
  <c r="E57" i="12" s="1"/>
  <c r="AV40" i="12"/>
  <c r="M40" i="12"/>
  <c r="M44" i="12" s="1"/>
  <c r="M57" i="12" s="1"/>
  <c r="Y39" i="12"/>
  <c r="N39" i="12"/>
  <c r="Y33" i="12"/>
  <c r="Y44" i="12" s="1"/>
  <c r="N33" i="12"/>
  <c r="AY32" i="12"/>
  <c r="AQ32" i="12"/>
  <c r="AK32" i="12"/>
  <c r="AC32" i="12"/>
  <c r="G32" i="12"/>
  <c r="AV31" i="12"/>
  <c r="AI31" i="12"/>
  <c r="AI32" i="12" s="1"/>
  <c r="X31" i="12"/>
  <c r="X32" i="12" s="1"/>
  <c r="AV29" i="12"/>
  <c r="M29" i="12"/>
  <c r="M32" i="12" s="1"/>
  <c r="AY22" i="12"/>
  <c r="AY23" i="12" s="1"/>
  <c r="AV21" i="12"/>
  <c r="X21" i="12"/>
  <c r="AV18" i="12"/>
  <c r="AX18" i="12" s="1"/>
  <c r="AI18" i="12"/>
  <c r="N12" i="12"/>
  <c r="N22" i="12" s="1"/>
  <c r="O11" i="12"/>
  <c r="G11" i="12"/>
  <c r="Y6" i="12"/>
  <c r="Y11" i="12" s="1"/>
  <c r="E181" i="13"/>
  <c r="AW174" i="13"/>
  <c r="AW178" i="13" s="1"/>
  <c r="AW181" i="13" s="1"/>
  <c r="N174" i="13"/>
  <c r="AX174" i="13" s="1"/>
  <c r="X172" i="13"/>
  <c r="X171" i="13"/>
  <c r="X170" i="13"/>
  <c r="X169" i="13"/>
  <c r="X168" i="13"/>
  <c r="AX150" i="13"/>
  <c r="AG181" i="13"/>
  <c r="X174" i="13"/>
  <c r="N173" i="13"/>
  <c r="N172" i="13"/>
  <c r="AX172" i="13" s="1"/>
  <c r="N171" i="13"/>
  <c r="N170" i="13"/>
  <c r="AX170" i="13" s="1"/>
  <c r="N169" i="13"/>
  <c r="AX169" i="13" s="1"/>
  <c r="N168" i="13"/>
  <c r="AV140" i="13"/>
  <c r="X139" i="13"/>
  <c r="X138" i="13"/>
  <c r="X137" i="13"/>
  <c r="X136" i="13"/>
  <c r="BB128" i="13"/>
  <c r="AX122" i="13"/>
  <c r="L117" i="13"/>
  <c r="AZ99" i="13"/>
  <c r="BA97" i="13"/>
  <c r="AX96" i="13"/>
  <c r="BA80" i="13"/>
  <c r="BB80" i="13" s="1"/>
  <c r="AZ86" i="13"/>
  <c r="BA77" i="13"/>
  <c r="BB77" i="13" s="1"/>
  <c r="AZ78" i="13"/>
  <c r="BB74" i="13"/>
  <c r="BB68" i="13"/>
  <c r="X140" i="13"/>
  <c r="N140" i="13"/>
  <c r="N139" i="13"/>
  <c r="AX139" i="13" s="1"/>
  <c r="N138" i="13"/>
  <c r="AV137" i="13"/>
  <c r="N137" i="13"/>
  <c r="N136" i="13"/>
  <c r="N178" i="13" s="1"/>
  <c r="N181" i="13" s="1"/>
  <c r="BA120" i="13"/>
  <c r="AZ122" i="13"/>
  <c r="F117" i="13"/>
  <c r="BA100" i="13"/>
  <c r="AZ96" i="13"/>
  <c r="BB87" i="13"/>
  <c r="AB86" i="13"/>
  <c r="F141" i="13"/>
  <c r="F86" i="13"/>
  <c r="BB79" i="13"/>
  <c r="BB86" i="13" s="1"/>
  <c r="U78" i="13"/>
  <c r="W75" i="13"/>
  <c r="L140" i="13"/>
  <c r="L64" i="13"/>
  <c r="AX112" i="13"/>
  <c r="Q54" i="13"/>
  <c r="Q175" i="13" s="1"/>
  <c r="Y54" i="13"/>
  <c r="L54" i="13"/>
  <c r="K56" i="13"/>
  <c r="K57" i="13" s="1"/>
  <c r="K118" i="13" s="1"/>
  <c r="K123" i="13" s="1"/>
  <c r="K130" i="13" s="1"/>
  <c r="F54" i="13"/>
  <c r="N54" i="13"/>
  <c r="N56" i="13" s="1"/>
  <c r="E56" i="13"/>
  <c r="E57" i="13" s="1"/>
  <c r="E118" i="13" s="1"/>
  <c r="E123" i="13" s="1"/>
  <c r="E130" i="13" s="1"/>
  <c r="AZ53" i="13"/>
  <c r="AY56" i="13"/>
  <c r="AU56" i="13"/>
  <c r="AU57" i="13" s="1"/>
  <c r="Q56" i="13"/>
  <c r="Q57" i="13" s="1"/>
  <c r="I56" i="13"/>
  <c r="I57" i="13" s="1"/>
  <c r="W56" i="13"/>
  <c r="BB45" i="13"/>
  <c r="W44" i="13"/>
  <c r="BB33" i="13"/>
  <c r="AM32" i="13"/>
  <c r="AZ128" i="13"/>
  <c r="AY122" i="13"/>
  <c r="X117" i="13"/>
  <c r="V117" i="13"/>
  <c r="H117" i="13"/>
  <c r="N116" i="13"/>
  <c r="Y113" i="13"/>
  <c r="N113" i="13"/>
  <c r="AV108" i="13"/>
  <c r="AI108" i="13"/>
  <c r="N108" i="13"/>
  <c r="AI107" i="13"/>
  <c r="AY96" i="13"/>
  <c r="AW88" i="13"/>
  <c r="N88" i="13"/>
  <c r="AY86" i="13"/>
  <c r="AV82" i="13"/>
  <c r="AX82" i="13" s="1"/>
  <c r="AI81" i="13"/>
  <c r="AI86" i="13" s="1"/>
  <c r="M81" i="13"/>
  <c r="AV80" i="13"/>
  <c r="X75" i="13"/>
  <c r="X78" i="13" s="1"/>
  <c r="AV70" i="13"/>
  <c r="M70" i="13"/>
  <c r="M73" i="13" s="1"/>
  <c r="X58" i="13"/>
  <c r="AX55" i="13"/>
  <c r="T54" i="13"/>
  <c r="S56" i="13"/>
  <c r="S57" i="13" s="1"/>
  <c r="S118" i="13" s="1"/>
  <c r="S123" i="13" s="1"/>
  <c r="S130" i="13" s="1"/>
  <c r="AX54" i="13"/>
  <c r="AW56" i="13"/>
  <c r="AW57" i="13" s="1"/>
  <c r="AS53" i="13"/>
  <c r="AS150" i="13" s="1"/>
  <c r="AV53" i="13"/>
  <c r="AQ56" i="13"/>
  <c r="AQ57" i="13" s="1"/>
  <c r="AM53" i="13"/>
  <c r="AK56" i="13"/>
  <c r="AK57" i="13" s="1"/>
  <c r="AI53" i="13"/>
  <c r="AS56" i="13"/>
  <c r="AS57" i="13" s="1"/>
  <c r="BA34" i="13"/>
  <c r="BB34" i="13" s="1"/>
  <c r="BA31" i="13"/>
  <c r="BB31" i="13" s="1"/>
  <c r="AZ32" i="13"/>
  <c r="BA32" i="13"/>
  <c r="BB24" i="13"/>
  <c r="AZ6" i="13"/>
  <c r="AY11" i="13"/>
  <c r="AC56" i="13"/>
  <c r="AC57" i="13" s="1"/>
  <c r="G56" i="13"/>
  <c r="G57" i="13" s="1"/>
  <c r="G118" i="13" s="1"/>
  <c r="G123" i="13" s="1"/>
  <c r="G130" i="13" s="1"/>
  <c r="Y53" i="13"/>
  <c r="AI52" i="13"/>
  <c r="AI56" i="13" s="1"/>
  <c r="X52" i="13"/>
  <c r="X56" i="13" s="1"/>
  <c r="M52" i="13"/>
  <c r="Y49" i="13"/>
  <c r="Y56" i="13" s="1"/>
  <c r="AV40" i="13"/>
  <c r="M40" i="13"/>
  <c r="M44" i="13" s="1"/>
  <c r="Y37" i="13"/>
  <c r="N37" i="13"/>
  <c r="N44" i="13" s="1"/>
  <c r="Y36" i="13"/>
  <c r="AY32" i="13"/>
  <c r="AK32" i="13"/>
  <c r="AV31" i="13"/>
  <c r="AI29" i="13"/>
  <c r="AE23" i="13"/>
  <c r="AE160" i="13" s="1"/>
  <c r="AY160" i="13" s="1"/>
  <c r="AI23" i="13"/>
  <c r="AX23" i="13" s="1"/>
  <c r="AV21" i="13"/>
  <c r="AX21" i="13" s="1"/>
  <c r="X21" i="13"/>
  <c r="AV18" i="13"/>
  <c r="AX18" i="13" s="1"/>
  <c r="AI18" i="13"/>
  <c r="AI12" i="13"/>
  <c r="AI22" i="13" s="1"/>
  <c r="N12" i="13"/>
  <c r="N22" i="13" s="1"/>
  <c r="I180" i="3"/>
  <c r="I183" i="3" s="1"/>
  <c r="M179" i="4"/>
  <c r="M180" i="4" s="1"/>
  <c r="O122" i="4"/>
  <c r="M124" i="4"/>
  <c r="K179" i="3"/>
  <c r="M158" i="3"/>
  <c r="O158" i="3"/>
  <c r="K179" i="4"/>
  <c r="Y180" i="4"/>
  <c r="Y127" i="3"/>
  <c r="I124" i="18" s="1"/>
  <c r="I96" i="18"/>
  <c r="I66" i="18"/>
  <c r="AB7" i="1"/>
  <c r="AB10" i="1" s="1"/>
  <c r="K57" i="3"/>
  <c r="K120" i="3" s="1"/>
  <c r="K125" i="3" s="1"/>
  <c r="K124" i="4"/>
  <c r="K147" i="3"/>
  <c r="K181" i="3"/>
  <c r="M147" i="3"/>
  <c r="O147" i="3"/>
  <c r="O148" i="4"/>
  <c r="W180" i="4"/>
  <c r="AA180" i="4"/>
  <c r="G18" i="18"/>
  <c r="G17" i="18"/>
  <c r="U180" i="4"/>
  <c r="Q180" i="4"/>
  <c r="S180" i="4"/>
  <c r="J138" i="4"/>
  <c r="G13" i="18"/>
  <c r="K56" i="4"/>
  <c r="M56" i="4"/>
  <c r="M57" i="4" s="1"/>
  <c r="M120" i="4" s="1"/>
  <c r="O56" i="4"/>
  <c r="O57" i="4" s="1"/>
  <c r="U66" i="18"/>
  <c r="W66" i="18"/>
  <c r="Y66" i="18"/>
  <c r="AB66" i="18"/>
  <c r="AB178" i="3"/>
  <c r="M162" i="3"/>
  <c r="K162" i="3"/>
  <c r="AB96" i="3"/>
  <c r="AD130" i="18"/>
  <c r="AE130" i="18" s="1"/>
  <c r="AF130" i="18" s="1"/>
  <c r="AG130" i="18" s="1"/>
  <c r="S134" i="5"/>
  <c r="T134" i="5" s="1"/>
  <c r="U134" i="5" s="1"/>
  <c r="V134" i="5" s="1"/>
  <c r="AB101" i="3"/>
  <c r="AB65" i="3"/>
  <c r="AB27" i="3"/>
  <c r="O66" i="5"/>
  <c r="AA64" i="18"/>
  <c r="AB86" i="3"/>
  <c r="P67" i="5"/>
  <c r="Z66" i="18"/>
  <c r="O57" i="3"/>
  <c r="M122" i="3"/>
  <c r="M179" i="3" s="1"/>
  <c r="L127" i="3"/>
  <c r="M128" i="3"/>
  <c r="BA112" i="13"/>
  <c r="AH22" i="13"/>
  <c r="AH11" i="13"/>
  <c r="AH167" i="13"/>
  <c r="AH82" i="12"/>
  <c r="AW82" i="12"/>
  <c r="AB82" i="12"/>
  <c r="AJ82" i="12"/>
  <c r="AJ86" i="12" s="1"/>
  <c r="AB22" i="13"/>
  <c r="AB153" i="13"/>
  <c r="BA6" i="13"/>
  <c r="AZ11" i="13"/>
  <c r="AB11" i="13"/>
  <c r="AB167" i="13"/>
  <c r="AW116" i="13"/>
  <c r="AY116" i="13" s="1"/>
  <c r="AZ116" i="13" s="1"/>
  <c r="BA116" i="13" s="1"/>
  <c r="BB116" i="13" s="1"/>
  <c r="AJ116" i="13"/>
  <c r="AW113" i="13"/>
  <c r="AJ113" i="13"/>
  <c r="AJ12" i="13"/>
  <c r="AJ9" i="13"/>
  <c r="AJ6" i="13"/>
  <c r="N66" i="18"/>
  <c r="N101" i="18"/>
  <c r="K21" i="18"/>
  <c r="J21" i="18"/>
  <c r="F24" i="18"/>
  <c r="G24" i="18"/>
  <c r="O24" i="18"/>
  <c r="R178" i="5"/>
  <c r="N69" i="18"/>
  <c r="O69" i="18"/>
  <c r="K9" i="18"/>
  <c r="G44" i="19"/>
  <c r="K10" i="18"/>
  <c r="J10" i="18"/>
  <c r="F21" i="18"/>
  <c r="G21" i="18"/>
  <c r="P25" i="18"/>
  <c r="K26" i="18"/>
  <c r="J26" i="18"/>
  <c r="J30" i="18"/>
  <c r="F40" i="18"/>
  <c r="G41" i="18"/>
  <c r="R88" i="18"/>
  <c r="S88" i="18"/>
  <c r="J86" i="18"/>
  <c r="K86" i="18"/>
  <c r="R65" i="18"/>
  <c r="S65" i="18"/>
  <c r="AE97" i="18"/>
  <c r="AF97" i="18" s="1"/>
  <c r="AG97" i="18" s="1"/>
  <c r="H155" i="4"/>
  <c r="H76" i="5"/>
  <c r="J62" i="18"/>
  <c r="K62" i="18"/>
  <c r="H170" i="4"/>
  <c r="K30" i="18"/>
  <c r="K27" i="18"/>
  <c r="O66" i="18"/>
  <c r="N64" i="4"/>
  <c r="P38" i="19"/>
  <c r="Z110" i="4"/>
  <c r="T176" i="4"/>
  <c r="T118" i="4"/>
  <c r="R176" i="4"/>
  <c r="H64" i="4"/>
  <c r="AB141" i="4"/>
  <c r="V64" i="4"/>
  <c r="AB59" i="4"/>
  <c r="AC59" i="4" s="1"/>
  <c r="F64" i="4"/>
  <c r="F153" i="4"/>
  <c r="V115" i="4"/>
  <c r="AB40" i="4"/>
  <c r="AC40" i="4" s="1"/>
  <c r="AD40" i="4" s="1"/>
  <c r="AE40" i="4" s="1"/>
  <c r="P15" i="19"/>
  <c r="AB21" i="4"/>
  <c r="AC21" i="4" s="1"/>
  <c r="AD21" i="4" s="1"/>
  <c r="AE21" i="4" s="1"/>
  <c r="AB20" i="4"/>
  <c r="D146" i="4"/>
  <c r="P80" i="18"/>
  <c r="P84" i="18"/>
  <c r="E22" i="18"/>
  <c r="Q117" i="18"/>
  <c r="I32" i="18"/>
  <c r="D151" i="5"/>
  <c r="O101" i="18"/>
  <c r="R64" i="3"/>
  <c r="D181" i="5"/>
  <c r="Q116" i="18"/>
  <c r="Q98" i="18"/>
  <c r="S90" i="18"/>
  <c r="F145" i="3"/>
  <c r="Z142" i="3"/>
  <c r="J142" i="3"/>
  <c r="Z141" i="3"/>
  <c r="AB141" i="3" s="1"/>
  <c r="Z64" i="3"/>
  <c r="Z178" i="4"/>
  <c r="Z168" i="4"/>
  <c r="D143" i="4"/>
  <c r="D11" i="4"/>
  <c r="D150" i="4"/>
  <c r="D151" i="4"/>
  <c r="F145" i="4"/>
  <c r="S95" i="18"/>
  <c r="S18" i="5"/>
  <c r="T18" i="5" s="1"/>
  <c r="U18" i="5" s="1"/>
  <c r="V18" i="5" s="1"/>
  <c r="S14" i="5"/>
  <c r="T14" i="5" s="1"/>
  <c r="U14" i="5" s="1"/>
  <c r="V14" i="5" s="1"/>
  <c r="O14" i="18"/>
  <c r="H66" i="18"/>
  <c r="J85" i="18"/>
  <c r="K88" i="18"/>
  <c r="K90" i="18"/>
  <c r="H96" i="18"/>
  <c r="U96" i="18"/>
  <c r="W96" i="18"/>
  <c r="Y96" i="18"/>
  <c r="AA96" i="18"/>
  <c r="AC96" i="18"/>
  <c r="K95" i="18"/>
  <c r="Q111" i="18"/>
  <c r="L8" i="19"/>
  <c r="Q33" i="18"/>
  <c r="Q28" i="18"/>
  <c r="Q24" i="18"/>
  <c r="Q21" i="18"/>
  <c r="Q10" i="18"/>
  <c r="D8" i="19"/>
  <c r="N62" i="18"/>
  <c r="O62" i="18"/>
  <c r="P37" i="19"/>
  <c r="N63" i="18"/>
  <c r="J25" i="19"/>
  <c r="R95" i="18"/>
  <c r="V64" i="3"/>
  <c r="X64" i="3"/>
  <c r="T64" i="3"/>
  <c r="P64" i="3"/>
  <c r="D64" i="3"/>
  <c r="D120" i="3" s="1"/>
  <c r="D125" i="3" s="1"/>
  <c r="D132" i="3" s="1"/>
  <c r="D124" i="5"/>
  <c r="P81" i="18"/>
  <c r="E101" i="18"/>
  <c r="U79" i="5"/>
  <c r="U94" i="5"/>
  <c r="S141" i="5"/>
  <c r="S82" i="18"/>
  <c r="AE83" i="18"/>
  <c r="AF83" i="18" s="1"/>
  <c r="AG83" i="18" s="1"/>
  <c r="F64" i="3"/>
  <c r="F73" i="4"/>
  <c r="F22" i="4"/>
  <c r="I57" i="5"/>
  <c r="I120" i="5" s="1"/>
  <c r="I125" i="5" s="1"/>
  <c r="I132" i="5" s="1"/>
  <c r="I185" i="5" s="1"/>
  <c r="M32" i="18"/>
  <c r="M22" i="18"/>
  <c r="Q80" i="18"/>
  <c r="E72" i="18"/>
  <c r="H64" i="3"/>
  <c r="P83" i="18"/>
  <c r="P85" i="18"/>
  <c r="G57" i="5"/>
  <c r="G120" i="5" s="1"/>
  <c r="G125" i="5" s="1"/>
  <c r="G132" i="5" s="1"/>
  <c r="G185" i="5" s="1"/>
  <c r="M77" i="18"/>
  <c r="Q30" i="18"/>
  <c r="E86" i="18"/>
  <c r="E66" i="18"/>
  <c r="I72" i="18"/>
  <c r="F32" i="5"/>
  <c r="H64" i="5"/>
  <c r="AE98" i="18"/>
  <c r="AE95" i="18"/>
  <c r="F32" i="4"/>
  <c r="F101" i="5"/>
  <c r="F96" i="5"/>
  <c r="H86" i="5"/>
  <c r="H67" i="5"/>
  <c r="F22" i="3"/>
  <c r="N11" i="19"/>
  <c r="F138" i="4"/>
  <c r="H101" i="5"/>
  <c r="H96" i="5"/>
  <c r="F86" i="5"/>
  <c r="F67" i="5"/>
  <c r="M86" i="18"/>
  <c r="N86" i="18" s="1"/>
  <c r="J35" i="3" l="1"/>
  <c r="H146" i="3"/>
  <c r="J6" i="3"/>
  <c r="J12" i="3" s="1"/>
  <c r="H35" i="4"/>
  <c r="H146" i="4" s="1"/>
  <c r="F36" i="5"/>
  <c r="F173" i="5" s="1"/>
  <c r="F77" i="5"/>
  <c r="F166" i="5" s="1"/>
  <c r="S60" i="5"/>
  <c r="T60" i="5" s="1"/>
  <c r="U60" i="5" s="1"/>
  <c r="V60" i="5" s="1"/>
  <c r="F169" i="5"/>
  <c r="AD62" i="18"/>
  <c r="D22" i="5"/>
  <c r="AA63" i="18"/>
  <c r="S97" i="18"/>
  <c r="H35" i="5"/>
  <c r="H146" i="5" s="1"/>
  <c r="F31" i="18"/>
  <c r="K180" i="4"/>
  <c r="J10" i="3"/>
  <c r="D73" i="5"/>
  <c r="S101" i="5"/>
  <c r="S26" i="5"/>
  <c r="T26" i="5" s="1"/>
  <c r="U26" i="5" s="1"/>
  <c r="V26" i="5" s="1"/>
  <c r="J53" i="3"/>
  <c r="H152" i="3"/>
  <c r="S54" i="5"/>
  <c r="T54" i="5" s="1"/>
  <c r="U54" i="5" s="1"/>
  <c r="V54" i="5" s="1"/>
  <c r="F49" i="5"/>
  <c r="F174" i="5" s="1"/>
  <c r="H11" i="3"/>
  <c r="H130" i="3"/>
  <c r="D169" i="5"/>
  <c r="P64" i="5"/>
  <c r="U98" i="5"/>
  <c r="V98" i="5" s="1"/>
  <c r="N138" i="5"/>
  <c r="AC119" i="3"/>
  <c r="H24" i="19"/>
  <c r="I119" i="18"/>
  <c r="Q113" i="18"/>
  <c r="Q110" i="18"/>
  <c r="Q119" i="18" s="1"/>
  <c r="E119" i="18"/>
  <c r="D24" i="19"/>
  <c r="L24" i="19"/>
  <c r="M119" i="18"/>
  <c r="F124" i="5"/>
  <c r="F179" i="5"/>
  <c r="H119" i="3"/>
  <c r="M181" i="3"/>
  <c r="AD42" i="18"/>
  <c r="AE42" i="18" s="1"/>
  <c r="AF42" i="18" s="1"/>
  <c r="AG42" i="18" s="1"/>
  <c r="AD46" i="18"/>
  <c r="AE46" i="18" s="1"/>
  <c r="AF46" i="18" s="1"/>
  <c r="AG46" i="18" s="1"/>
  <c r="F62" i="18"/>
  <c r="G62" i="18"/>
  <c r="J16" i="3"/>
  <c r="H164" i="3"/>
  <c r="H16" i="5"/>
  <c r="P62" i="18"/>
  <c r="K132" i="3"/>
  <c r="X63" i="18"/>
  <c r="AD69" i="18"/>
  <c r="AE69" i="18" s="1"/>
  <c r="AF69" i="18" s="1"/>
  <c r="AG69" i="18" s="1"/>
  <c r="Y129" i="3"/>
  <c r="E126" i="18"/>
  <c r="J58" i="18"/>
  <c r="G10" i="19"/>
  <c r="K58" i="18"/>
  <c r="P64" i="18"/>
  <c r="P66" i="18" s="1"/>
  <c r="H17" i="16" s="1"/>
  <c r="G17" i="17" s="1"/>
  <c r="G64" i="18"/>
  <c r="D66" i="18"/>
  <c r="F64" i="18"/>
  <c r="J111" i="3"/>
  <c r="H111" i="5"/>
  <c r="H23" i="5"/>
  <c r="H162" i="5" s="1"/>
  <c r="G26" i="18"/>
  <c r="O26" i="18"/>
  <c r="D64" i="5"/>
  <c r="Y63" i="18"/>
  <c r="AB175" i="4"/>
  <c r="Z7" i="19"/>
  <c r="S42" i="5"/>
  <c r="T42" i="5" s="1"/>
  <c r="U42" i="5" s="1"/>
  <c r="V42" i="5" s="1"/>
  <c r="J23" i="4"/>
  <c r="L23" i="4" s="1"/>
  <c r="L162" i="4" s="1"/>
  <c r="C10" i="19"/>
  <c r="P58" i="18"/>
  <c r="F58" i="18"/>
  <c r="G58" i="18"/>
  <c r="K59" i="18"/>
  <c r="G40" i="19"/>
  <c r="P59" i="18"/>
  <c r="J59" i="18"/>
  <c r="AD58" i="18"/>
  <c r="V101" i="5"/>
  <c r="H164" i="5"/>
  <c r="S28" i="5"/>
  <c r="T28" i="5" s="1"/>
  <c r="U28" i="5" s="1"/>
  <c r="V28" i="5" s="1"/>
  <c r="D155" i="5"/>
  <c r="O120" i="3"/>
  <c r="M57" i="3"/>
  <c r="M120" i="3" s="1"/>
  <c r="K180" i="3"/>
  <c r="K183" i="3" s="1"/>
  <c r="F78" i="4"/>
  <c r="AB73" i="18"/>
  <c r="AA7" i="19" s="1"/>
  <c r="AD59" i="18"/>
  <c r="AD21" i="18"/>
  <c r="AE21" i="18" s="1"/>
  <c r="AF21" i="18" s="1"/>
  <c r="AG21" i="18" s="1"/>
  <c r="Z63" i="18"/>
  <c r="S58" i="5"/>
  <c r="T58" i="5" s="1"/>
  <c r="U58" i="5" s="1"/>
  <c r="V58" i="5" s="1"/>
  <c r="G57" i="18"/>
  <c r="C11" i="19"/>
  <c r="D63" i="18"/>
  <c r="F57" i="18"/>
  <c r="J57" i="18"/>
  <c r="G11" i="19"/>
  <c r="K57" i="18"/>
  <c r="H63" i="18"/>
  <c r="AC57" i="3"/>
  <c r="J19" i="3"/>
  <c r="H165" i="3"/>
  <c r="L112" i="3"/>
  <c r="J163" i="3"/>
  <c r="G7" i="19"/>
  <c r="I7" i="19" s="1"/>
  <c r="S43" i="5"/>
  <c r="T43" i="5" s="1"/>
  <c r="U43" i="5" s="1"/>
  <c r="V43" i="5" s="1"/>
  <c r="Q32" i="18"/>
  <c r="K47" i="19"/>
  <c r="N47" i="19" s="1"/>
  <c r="F108" i="5"/>
  <c r="N74" i="18"/>
  <c r="S21" i="5"/>
  <c r="T21" i="5" s="1"/>
  <c r="U21" i="5" s="1"/>
  <c r="V21" i="5" s="1"/>
  <c r="S178" i="5"/>
  <c r="O138" i="5"/>
  <c r="D32" i="5"/>
  <c r="S30" i="5"/>
  <c r="T30" i="5" s="1"/>
  <c r="U30" i="5" s="1"/>
  <c r="V30" i="5" s="1"/>
  <c r="P9" i="18"/>
  <c r="J20" i="18"/>
  <c r="G37" i="19"/>
  <c r="K20" i="18"/>
  <c r="O30" i="18"/>
  <c r="N30" i="18"/>
  <c r="K55" i="18"/>
  <c r="J55" i="18"/>
  <c r="AE90" i="18"/>
  <c r="AF90" i="18" s="1"/>
  <c r="AG90" i="18" s="1"/>
  <c r="D78" i="5"/>
  <c r="H158" i="4"/>
  <c r="K57" i="4"/>
  <c r="AF56" i="4"/>
  <c r="D164" i="5"/>
  <c r="Y7" i="19"/>
  <c r="Q44" i="18"/>
  <c r="P24" i="18"/>
  <c r="C47" i="19"/>
  <c r="J24" i="18"/>
  <c r="S24" i="5"/>
  <c r="T24" i="5" s="1"/>
  <c r="U24" i="5" s="1"/>
  <c r="V24" i="5" s="1"/>
  <c r="V7" i="19"/>
  <c r="P69" i="18"/>
  <c r="R69" i="18" s="1"/>
  <c r="AD70" i="18"/>
  <c r="AE70" i="18" s="1"/>
  <c r="AF70" i="18" s="1"/>
  <c r="AG70" i="18" s="1"/>
  <c r="U7" i="19"/>
  <c r="G25" i="18"/>
  <c r="F25" i="18"/>
  <c r="N31" i="18"/>
  <c r="O31" i="18"/>
  <c r="O46" i="18"/>
  <c r="N46" i="18"/>
  <c r="O120" i="4"/>
  <c r="F150" i="5"/>
  <c r="F11" i="5"/>
  <c r="F30" i="18"/>
  <c r="G30" i="18"/>
  <c r="J54" i="18"/>
  <c r="K54" i="18"/>
  <c r="J31" i="18"/>
  <c r="K31" i="18"/>
  <c r="T96" i="5"/>
  <c r="P10" i="18"/>
  <c r="N23" i="4"/>
  <c r="N162" i="4" s="1"/>
  <c r="AD31" i="18"/>
  <c r="AE31" i="18" s="1"/>
  <c r="AF31" i="18" s="1"/>
  <c r="AG31" i="18" s="1"/>
  <c r="AD101" i="18"/>
  <c r="E33" i="16" s="1"/>
  <c r="E28" i="17" s="1"/>
  <c r="AD86" i="18"/>
  <c r="E25" i="16" s="1"/>
  <c r="J25" i="16" s="1"/>
  <c r="K25" i="16" s="1"/>
  <c r="L25" i="16" s="1"/>
  <c r="M25" i="16" s="1"/>
  <c r="AD24" i="18"/>
  <c r="AE24" i="18" s="1"/>
  <c r="AF24" i="18" s="1"/>
  <c r="AG24" i="18" s="1"/>
  <c r="AD28" i="18"/>
  <c r="AE28" i="18" s="1"/>
  <c r="AF28" i="18" s="1"/>
  <c r="AG28" i="18" s="1"/>
  <c r="AD43" i="18"/>
  <c r="AE43" i="18" s="1"/>
  <c r="AF43" i="18" s="1"/>
  <c r="AG43" i="18" s="1"/>
  <c r="S46" i="5"/>
  <c r="T46" i="5" s="1"/>
  <c r="U46" i="5" s="1"/>
  <c r="V46" i="5" s="1"/>
  <c r="S71" i="5"/>
  <c r="T71" i="5" s="1"/>
  <c r="U71" i="5" s="1"/>
  <c r="V71" i="5" s="1"/>
  <c r="M138" i="5"/>
  <c r="G10" i="18"/>
  <c r="S18" i="18"/>
  <c r="AB168" i="4"/>
  <c r="N28" i="18"/>
  <c r="P41" i="18"/>
  <c r="R41" i="18" s="1"/>
  <c r="S40" i="5"/>
  <c r="T40" i="5" s="1"/>
  <c r="U40" i="5" s="1"/>
  <c r="V40" i="5" s="1"/>
  <c r="P31" i="18"/>
  <c r="S31" i="18" s="1"/>
  <c r="P26" i="18"/>
  <c r="R26" i="18" s="1"/>
  <c r="F20" i="18"/>
  <c r="F150" i="4"/>
  <c r="S25" i="5"/>
  <c r="T25" i="5" s="1"/>
  <c r="U25" i="5" s="1"/>
  <c r="V25" i="5" s="1"/>
  <c r="Q74" i="5"/>
  <c r="Q138" i="5" s="1"/>
  <c r="G55" i="18"/>
  <c r="F73" i="18"/>
  <c r="AD30" i="18"/>
  <c r="AE30" i="18" s="1"/>
  <c r="AF30" i="18" s="1"/>
  <c r="AG30" i="18" s="1"/>
  <c r="S31" i="5"/>
  <c r="T31" i="5" s="1"/>
  <c r="U31" i="5" s="1"/>
  <c r="V31" i="5" s="1"/>
  <c r="G27" i="18"/>
  <c r="F27" i="18"/>
  <c r="J28" i="18"/>
  <c r="K28" i="18"/>
  <c r="J42" i="18"/>
  <c r="K42" i="18"/>
  <c r="N42" i="18"/>
  <c r="O42" i="18"/>
  <c r="O54" i="18"/>
  <c r="N54" i="18"/>
  <c r="N68" i="18"/>
  <c r="O68" i="18"/>
  <c r="J41" i="18"/>
  <c r="K41" i="18"/>
  <c r="D56" i="5"/>
  <c r="J25" i="18"/>
  <c r="F22" i="5"/>
  <c r="S96" i="5"/>
  <c r="AD9" i="18"/>
  <c r="S175" i="5"/>
  <c r="AD26" i="18"/>
  <c r="AE26" i="18" s="1"/>
  <c r="AF26" i="18" s="1"/>
  <c r="AG26" i="18" s="1"/>
  <c r="S41" i="5"/>
  <c r="T41" i="5" s="1"/>
  <c r="U41" i="5" s="1"/>
  <c r="V41" i="5" s="1"/>
  <c r="AD54" i="18"/>
  <c r="AE54" i="18" s="1"/>
  <c r="AF54" i="18" s="1"/>
  <c r="AG54" i="18" s="1"/>
  <c r="J69" i="18"/>
  <c r="K69" i="18"/>
  <c r="O41" i="18"/>
  <c r="N41" i="18"/>
  <c r="J46" i="18"/>
  <c r="P46" i="18"/>
  <c r="K46" i="18"/>
  <c r="G9" i="18"/>
  <c r="C44" i="19"/>
  <c r="F9" i="18"/>
  <c r="O43" i="18"/>
  <c r="N43" i="18"/>
  <c r="S86" i="5"/>
  <c r="G69" i="18"/>
  <c r="N40" i="18"/>
  <c r="C37" i="19"/>
  <c r="D145" i="5"/>
  <c r="P31" i="19"/>
  <c r="F130" i="5"/>
  <c r="X138" i="4"/>
  <c r="S70" i="5"/>
  <c r="T70" i="5" s="1"/>
  <c r="U70" i="5" s="1"/>
  <c r="V70" i="5" s="1"/>
  <c r="L138" i="5"/>
  <c r="J162" i="4"/>
  <c r="P54" i="18"/>
  <c r="S54" i="18" s="1"/>
  <c r="J43" i="18"/>
  <c r="K43" i="18"/>
  <c r="K68" i="18"/>
  <c r="J68" i="18"/>
  <c r="K70" i="18"/>
  <c r="J70" i="18"/>
  <c r="N70" i="18"/>
  <c r="O70" i="18"/>
  <c r="N10" i="18"/>
  <c r="O10" i="18"/>
  <c r="F143" i="5"/>
  <c r="AE84" i="18"/>
  <c r="AF84" i="18" s="1"/>
  <c r="AG84" i="18" s="1"/>
  <c r="F56" i="4"/>
  <c r="G28" i="18"/>
  <c r="H169" i="4"/>
  <c r="D120" i="4"/>
  <c r="D125" i="4" s="1"/>
  <c r="D132" i="4" s="1"/>
  <c r="K73" i="18"/>
  <c r="J73" i="18"/>
  <c r="P74" i="18"/>
  <c r="R74" i="18" s="1"/>
  <c r="AD20" i="18"/>
  <c r="AE20" i="18" s="1"/>
  <c r="AF20" i="18" s="1"/>
  <c r="AG20" i="18" s="1"/>
  <c r="F70" i="18"/>
  <c r="S20" i="5"/>
  <c r="T20" i="5" s="1"/>
  <c r="U20" i="5" s="1"/>
  <c r="V20" i="5" s="1"/>
  <c r="R168" i="5"/>
  <c r="S168" i="5" s="1"/>
  <c r="N21" i="18"/>
  <c r="O21" i="18"/>
  <c r="G43" i="18"/>
  <c r="F43" i="18"/>
  <c r="AD41" i="18"/>
  <c r="AE41" i="18" s="1"/>
  <c r="AF41" i="18" s="1"/>
  <c r="AG41" i="18" s="1"/>
  <c r="K40" i="18"/>
  <c r="G47" i="19"/>
  <c r="J40" i="18"/>
  <c r="N20" i="18"/>
  <c r="K37" i="19"/>
  <c r="O20" i="18"/>
  <c r="P28" i="18"/>
  <c r="R28" i="18" s="1"/>
  <c r="D44" i="5"/>
  <c r="D177" i="5"/>
  <c r="AE99" i="18"/>
  <c r="AF99" i="18" s="1"/>
  <c r="AG99" i="18" s="1"/>
  <c r="AB178" i="4"/>
  <c r="S9" i="5"/>
  <c r="T9" i="5" s="1"/>
  <c r="U9" i="5" s="1"/>
  <c r="V9" i="5" s="1"/>
  <c r="T86" i="5"/>
  <c r="F28" i="18"/>
  <c r="P70" i="18"/>
  <c r="R70" i="18" s="1"/>
  <c r="F119" i="5"/>
  <c r="P138" i="5"/>
  <c r="D11" i="5"/>
  <c r="P42" i="18"/>
  <c r="G42" i="18"/>
  <c r="O55" i="18"/>
  <c r="P55" i="18"/>
  <c r="N55" i="18"/>
  <c r="S75" i="5"/>
  <c r="T75" i="5" s="1"/>
  <c r="U75" i="5" s="1"/>
  <c r="V75" i="5" s="1"/>
  <c r="AD74" i="18"/>
  <c r="AE74" i="18" s="1"/>
  <c r="AD96" i="18"/>
  <c r="E29" i="16" s="1"/>
  <c r="J29" i="16" s="1"/>
  <c r="K29" i="16" s="1"/>
  <c r="L29" i="16" s="1"/>
  <c r="M29" i="16" s="1"/>
  <c r="P40" i="18"/>
  <c r="S40" i="18" s="1"/>
  <c r="P20" i="18"/>
  <c r="AD40" i="18"/>
  <c r="AE40" i="18" s="1"/>
  <c r="AF40" i="18" s="1"/>
  <c r="AG40" i="18" s="1"/>
  <c r="F11" i="4"/>
  <c r="G74" i="18"/>
  <c r="F74" i="18"/>
  <c r="O9" i="18"/>
  <c r="N9" i="18"/>
  <c r="K44" i="19"/>
  <c r="C7" i="19"/>
  <c r="G54" i="18"/>
  <c r="F54" i="18"/>
  <c r="S104" i="18"/>
  <c r="Q108" i="18"/>
  <c r="I31" i="16" s="1"/>
  <c r="S94" i="18"/>
  <c r="Q96" i="18"/>
  <c r="S96" i="18" s="1"/>
  <c r="Q63" i="18"/>
  <c r="I16" i="16" s="1"/>
  <c r="H16" i="17" s="1"/>
  <c r="S61" i="18"/>
  <c r="S60" i="18"/>
  <c r="Q56" i="18"/>
  <c r="I13" i="16" s="1"/>
  <c r="R43" i="18"/>
  <c r="R17" i="18"/>
  <c r="AY12" i="13"/>
  <c r="AW22" i="13"/>
  <c r="AQ11" i="13"/>
  <c r="AQ118" i="13" s="1"/>
  <c r="AQ123" i="13" s="1"/>
  <c r="AQ130" i="13" s="1"/>
  <c r="AS6" i="13"/>
  <c r="AQ167" i="13"/>
  <c r="AZ58" i="13"/>
  <c r="AY64" i="13"/>
  <c r="Q64" i="13"/>
  <c r="Q140" i="13"/>
  <c r="D22" i="12"/>
  <c r="D118" i="12" s="1"/>
  <c r="D123" i="12" s="1"/>
  <c r="D130" i="12" s="1"/>
  <c r="M12" i="12"/>
  <c r="M22" i="12" s="1"/>
  <c r="D153" i="12"/>
  <c r="U12" i="12"/>
  <c r="Z6" i="12"/>
  <c r="U9" i="12"/>
  <c r="U167" i="12"/>
  <c r="X167" i="12" s="1"/>
  <c r="H12" i="3"/>
  <c r="H22" i="3" s="1"/>
  <c r="H169" i="3"/>
  <c r="L23" i="3"/>
  <c r="J162" i="3"/>
  <c r="U23" i="18"/>
  <c r="T31" i="19" s="1"/>
  <c r="J23" i="5"/>
  <c r="J162" i="5" s="1"/>
  <c r="F68" i="18"/>
  <c r="G68" i="18"/>
  <c r="Y157" i="12"/>
  <c r="Y178" i="12" s="1"/>
  <c r="Y181" i="12" s="1"/>
  <c r="V178" i="12"/>
  <c r="V181" i="12" s="1"/>
  <c r="V183" i="12" s="1"/>
  <c r="J49" i="3"/>
  <c r="H174" i="3"/>
  <c r="Z74" i="4"/>
  <c r="L73" i="18" s="1"/>
  <c r="Z138" i="3"/>
  <c r="AB138" i="3" s="1"/>
  <c r="N140" i="4"/>
  <c r="N108" i="4"/>
  <c r="P103" i="4"/>
  <c r="AE62" i="18"/>
  <c r="AF62" i="18" s="1"/>
  <c r="AG62" i="18" s="1"/>
  <c r="H177" i="4"/>
  <c r="AJ118" i="12"/>
  <c r="AJ123" i="12" s="1"/>
  <c r="AJ130" i="12" s="1"/>
  <c r="AJ183" i="12" s="1"/>
  <c r="Y44" i="13"/>
  <c r="Y57" i="13" s="1"/>
  <c r="X57" i="13"/>
  <c r="AY106" i="13"/>
  <c r="H118" i="13"/>
  <c r="H123" i="13" s="1"/>
  <c r="H130" i="13" s="1"/>
  <c r="AU118" i="13"/>
  <c r="AU123" i="13" s="1"/>
  <c r="AU130" i="13" s="1"/>
  <c r="I117" i="13"/>
  <c r="BB78" i="13"/>
  <c r="N117" i="12"/>
  <c r="W64" i="12"/>
  <c r="BA96" i="12"/>
  <c r="AX176" i="12"/>
  <c r="F181" i="5"/>
  <c r="J6" i="4"/>
  <c r="F169" i="4"/>
  <c r="F34" i="5"/>
  <c r="F160" i="5" s="1"/>
  <c r="S87" i="18"/>
  <c r="R87" i="18"/>
  <c r="Q93" i="18"/>
  <c r="I27" i="16" s="1"/>
  <c r="H25" i="17" s="1"/>
  <c r="Q11" i="13"/>
  <c r="Q118" i="13" s="1"/>
  <c r="Q123" i="13" s="1"/>
  <c r="Q130" i="13" s="1"/>
  <c r="Q167" i="13"/>
  <c r="L22" i="13"/>
  <c r="L153" i="13"/>
  <c r="AE12" i="13"/>
  <c r="AC22" i="13"/>
  <c r="AC118" i="13" s="1"/>
  <c r="AC123" i="13" s="1"/>
  <c r="AC130" i="13" s="1"/>
  <c r="AC153" i="13"/>
  <c r="AC178" i="13" s="1"/>
  <c r="AC181" i="13" s="1"/>
  <c r="AB32" i="13"/>
  <c r="AB149" i="13"/>
  <c r="AH57" i="13"/>
  <c r="I22" i="13"/>
  <c r="W64" i="13"/>
  <c r="W140" i="13"/>
  <c r="AY140" i="13" s="1"/>
  <c r="AP22" i="13"/>
  <c r="AP153" i="13"/>
  <c r="Q78" i="13"/>
  <c r="Q136" i="13"/>
  <c r="AX146" i="13"/>
  <c r="AP56" i="13"/>
  <c r="AP57" i="13" s="1"/>
  <c r="BA65" i="13"/>
  <c r="AZ67" i="13"/>
  <c r="AX156" i="13"/>
  <c r="AU57" i="12"/>
  <c r="AU118" i="12" s="1"/>
  <c r="AU123" i="12" s="1"/>
  <c r="AU130" i="12" s="1"/>
  <c r="AU183" i="12" s="1"/>
  <c r="I9" i="12"/>
  <c r="G173" i="12"/>
  <c r="G178" i="12" s="1"/>
  <c r="G181" i="12" s="1"/>
  <c r="L141" i="13"/>
  <c r="AX176" i="13"/>
  <c r="F12" i="12"/>
  <c r="Q32" i="12"/>
  <c r="Q149" i="12"/>
  <c r="AX141" i="12"/>
  <c r="W6" i="12"/>
  <c r="AX53" i="12"/>
  <c r="AY109" i="12"/>
  <c r="AZ109" i="12" s="1"/>
  <c r="BA109" i="12" s="1"/>
  <c r="BB109" i="12" s="1"/>
  <c r="AX109" i="12"/>
  <c r="R104" i="18"/>
  <c r="AZ97" i="12"/>
  <c r="AY99" i="12"/>
  <c r="AX172" i="12"/>
  <c r="AB32" i="12"/>
  <c r="AX67" i="12"/>
  <c r="AX145" i="12"/>
  <c r="AX156" i="12"/>
  <c r="AX160" i="12"/>
  <c r="I22" i="12"/>
  <c r="I153" i="12"/>
  <c r="AW141" i="12"/>
  <c r="Z27" i="4"/>
  <c r="R64" i="5"/>
  <c r="S62" i="5"/>
  <c r="T62" i="5" s="1"/>
  <c r="R54" i="18"/>
  <c r="AZ101" i="12"/>
  <c r="AY106" i="12"/>
  <c r="AD68" i="18"/>
  <c r="AE68" i="18" s="1"/>
  <c r="AF68" i="18" s="1"/>
  <c r="AG68" i="18" s="1"/>
  <c r="Q77" i="18"/>
  <c r="I21" i="16" s="1"/>
  <c r="H21" i="17" s="1"/>
  <c r="T6" i="13"/>
  <c r="R12" i="13"/>
  <c r="R9" i="13"/>
  <c r="R11" i="13" s="1"/>
  <c r="U6" i="13"/>
  <c r="R167" i="13"/>
  <c r="AS12" i="13"/>
  <c r="AQ22" i="13"/>
  <c r="AQ153" i="13"/>
  <c r="I64" i="13"/>
  <c r="I118" i="13" s="1"/>
  <c r="I123" i="13" s="1"/>
  <c r="I130" i="13" s="1"/>
  <c r="I140" i="13"/>
  <c r="F9" i="12"/>
  <c r="M9" i="12"/>
  <c r="M11" i="12" s="1"/>
  <c r="D11" i="12"/>
  <c r="D173" i="12"/>
  <c r="R99" i="18"/>
  <c r="H108" i="5"/>
  <c r="P68" i="18"/>
  <c r="S68" i="18" s="1"/>
  <c r="AX116" i="13"/>
  <c r="AY44" i="13"/>
  <c r="AI57" i="13"/>
  <c r="V118" i="13"/>
  <c r="V123" i="13" s="1"/>
  <c r="V130" i="13" s="1"/>
  <c r="Q178" i="13"/>
  <c r="Q181" i="13" s="1"/>
  <c r="AZ106" i="13"/>
  <c r="BA78" i="13"/>
  <c r="AX171" i="13"/>
  <c r="H6" i="5"/>
  <c r="H169" i="5" s="1"/>
  <c r="H49" i="4"/>
  <c r="H174" i="4" s="1"/>
  <c r="AB74" i="3"/>
  <c r="S43" i="18"/>
  <c r="Q66" i="18"/>
  <c r="AP9" i="13"/>
  <c r="AQ9" i="13"/>
  <c r="AN173" i="13"/>
  <c r="AN178" i="13" s="1"/>
  <c r="AN181" i="13" s="1"/>
  <c r="AY163" i="13"/>
  <c r="AX99" i="13"/>
  <c r="X6" i="12"/>
  <c r="X11" i="12" s="1"/>
  <c r="Q9" i="12"/>
  <c r="X9" i="12"/>
  <c r="O173" i="12"/>
  <c r="AJ57" i="13"/>
  <c r="AX177" i="13"/>
  <c r="AV139" i="12"/>
  <c r="AX139" i="12" s="1"/>
  <c r="F32" i="12"/>
  <c r="F149" i="12"/>
  <c r="AM57" i="12"/>
  <c r="AY110" i="12"/>
  <c r="AZ110" i="12" s="1"/>
  <c r="BA110" i="12" s="1"/>
  <c r="BB110" i="12" s="1"/>
  <c r="AX110" i="12"/>
  <c r="AE57" i="12"/>
  <c r="H118" i="12"/>
  <c r="H123" i="12" s="1"/>
  <c r="H130" i="12" s="1"/>
  <c r="R13" i="18"/>
  <c r="AX161" i="12"/>
  <c r="AW175" i="12"/>
  <c r="AX175" i="12" s="1"/>
  <c r="Z27" i="18"/>
  <c r="O27" i="5"/>
  <c r="J7" i="3"/>
  <c r="H150" i="3"/>
  <c r="AW157" i="12"/>
  <c r="AX157" i="12" s="1"/>
  <c r="L50" i="3"/>
  <c r="J50" i="4"/>
  <c r="J170" i="3"/>
  <c r="J128" i="3"/>
  <c r="J181" i="3" s="1"/>
  <c r="H128" i="5"/>
  <c r="S57" i="18"/>
  <c r="R57" i="18"/>
  <c r="J36" i="3"/>
  <c r="H173" i="3"/>
  <c r="S142" i="5"/>
  <c r="M178" i="13"/>
  <c r="M181" i="13" s="1"/>
  <c r="AX166" i="12"/>
  <c r="J129" i="3"/>
  <c r="H129" i="5"/>
  <c r="AW178" i="12"/>
  <c r="AW181" i="12" s="1"/>
  <c r="H139" i="4"/>
  <c r="J91" i="4"/>
  <c r="F93" i="5"/>
  <c r="J7" i="19"/>
  <c r="F56" i="5"/>
  <c r="F44" i="4"/>
  <c r="AB64" i="3"/>
  <c r="M180" i="3"/>
  <c r="M183" i="3" s="1"/>
  <c r="M125" i="4"/>
  <c r="AZ44" i="13"/>
  <c r="AK118" i="13"/>
  <c r="AK123" i="13" s="1"/>
  <c r="AK130" i="13" s="1"/>
  <c r="N117" i="13"/>
  <c r="BA86" i="13"/>
  <c r="AX138" i="13"/>
  <c r="AX168" i="13"/>
  <c r="N44" i="12"/>
  <c r="AB57" i="12"/>
  <c r="N56" i="12"/>
  <c r="N57" i="12" s="1"/>
  <c r="AX59" i="12"/>
  <c r="N86" i="12"/>
  <c r="T56" i="12"/>
  <c r="T57" i="12" s="1"/>
  <c r="AY141" i="12"/>
  <c r="BB78" i="12"/>
  <c r="BB93" i="12"/>
  <c r="X136" i="12"/>
  <c r="AX177" i="12"/>
  <c r="F22" i="13"/>
  <c r="F153" i="13"/>
  <c r="Q72" i="18"/>
  <c r="X6" i="13"/>
  <c r="AN11" i="13"/>
  <c r="AN118" i="13" s="1"/>
  <c r="AN123" i="13" s="1"/>
  <c r="AN130" i="13" s="1"/>
  <c r="AH32" i="13"/>
  <c r="AH149" i="13"/>
  <c r="AY149" i="13" s="1"/>
  <c r="AX19" i="13"/>
  <c r="AZ70" i="13"/>
  <c r="AY73" i="13"/>
  <c r="AX144" i="13"/>
  <c r="AX141" i="13"/>
  <c r="I175" i="13"/>
  <c r="AX147" i="13"/>
  <c r="Y178" i="13"/>
  <c r="Y181" i="13" s="1"/>
  <c r="AX149" i="13"/>
  <c r="AB56" i="13"/>
  <c r="AB57" i="13" s="1"/>
  <c r="T9" i="12"/>
  <c r="R173" i="12"/>
  <c r="R178" i="12" s="1"/>
  <c r="R181" i="12" s="1"/>
  <c r="R183" i="12" s="1"/>
  <c r="W32" i="12"/>
  <c r="W149" i="12"/>
  <c r="AY149" i="12" s="1"/>
  <c r="L22" i="12"/>
  <c r="L153" i="12"/>
  <c r="L178" i="12" s="1"/>
  <c r="L181" i="12" s="1"/>
  <c r="AV140" i="12"/>
  <c r="AX140" i="12" s="1"/>
  <c r="AW11" i="12"/>
  <c r="AY6" i="12"/>
  <c r="AY138" i="12"/>
  <c r="AX143" i="12"/>
  <c r="AX154" i="12"/>
  <c r="AX158" i="12"/>
  <c r="AX165" i="12"/>
  <c r="AX170" i="12"/>
  <c r="J92" i="4"/>
  <c r="H156" i="4"/>
  <c r="H92" i="5"/>
  <c r="H156" i="5" s="1"/>
  <c r="AX60" i="12"/>
  <c r="S178" i="12"/>
  <c r="S181" i="12" s="1"/>
  <c r="S183" i="12" s="1"/>
  <c r="P178" i="12"/>
  <c r="P181" i="12" s="1"/>
  <c r="P183" i="12" s="1"/>
  <c r="H181" i="3"/>
  <c r="AY138" i="13"/>
  <c r="AX47" i="12"/>
  <c r="AX56" i="12" s="1"/>
  <c r="AX57" i="12" s="1"/>
  <c r="AL183" i="12"/>
  <c r="AR183" i="12"/>
  <c r="Y175" i="12"/>
  <c r="J39" i="3"/>
  <c r="H158" i="3"/>
  <c r="S69" i="5"/>
  <c r="T69" i="5" s="1"/>
  <c r="U69" i="5" s="1"/>
  <c r="V69" i="5" s="1"/>
  <c r="M40" i="19"/>
  <c r="N40" i="19"/>
  <c r="M118" i="12"/>
  <c r="M123" i="12" s="1"/>
  <c r="M130" i="12" s="1"/>
  <c r="N6" i="4"/>
  <c r="P6" i="4" s="1"/>
  <c r="O124" i="4"/>
  <c r="O179" i="4"/>
  <c r="O180" i="4" s="1"/>
  <c r="AF180" i="4" s="1"/>
  <c r="AI32" i="13"/>
  <c r="AX29" i="13"/>
  <c r="AX40" i="13"/>
  <c r="AV44" i="13"/>
  <c r="BB32" i="13"/>
  <c r="AX37" i="13"/>
  <c r="AM56" i="13"/>
  <c r="AM57" i="13" s="1"/>
  <c r="AM118" i="13" s="1"/>
  <c r="AM123" i="13" s="1"/>
  <c r="AM130" i="13" s="1"/>
  <c r="AM150" i="13"/>
  <c r="AM178" i="13" s="1"/>
  <c r="AM181" i="13" s="1"/>
  <c r="AX53" i="13"/>
  <c r="AV56" i="13"/>
  <c r="M86" i="13"/>
  <c r="AX81" i="13"/>
  <c r="N93" i="13"/>
  <c r="AX88" i="13"/>
  <c r="AX93" i="13" s="1"/>
  <c r="AI117" i="13"/>
  <c r="AX107" i="13"/>
  <c r="BC107" i="13" s="1"/>
  <c r="BA44" i="13"/>
  <c r="AX36" i="13"/>
  <c r="AX44" i="13" s="1"/>
  <c r="AX49" i="13"/>
  <c r="BA53" i="13"/>
  <c r="AZ56" i="13"/>
  <c r="N57" i="13"/>
  <c r="N118" i="13" s="1"/>
  <c r="N123" i="13" s="1"/>
  <c r="N130" i="13" s="1"/>
  <c r="AY141" i="13"/>
  <c r="BB120" i="13"/>
  <c r="BB122" i="13" s="1"/>
  <c r="BA122" i="13"/>
  <c r="AX137" i="13"/>
  <c r="BB97" i="13"/>
  <c r="BB99" i="13" s="1"/>
  <c r="BA99" i="13"/>
  <c r="AX21" i="12"/>
  <c r="AV32" i="12"/>
  <c r="AX29" i="12"/>
  <c r="AV44" i="12"/>
  <c r="AV57" i="12" s="1"/>
  <c r="AX40" i="12"/>
  <c r="AX44" i="12" s="1"/>
  <c r="BB12" i="12"/>
  <c r="BA22" i="12"/>
  <c r="BA23" i="12"/>
  <c r="BB13" i="12"/>
  <c r="BB33" i="12"/>
  <c r="BB44" i="12" s="1"/>
  <c r="BA44" i="12"/>
  <c r="W56" i="12"/>
  <c r="W57" i="12" s="1"/>
  <c r="W172" i="12"/>
  <c r="AY172" i="12" s="1"/>
  <c r="Q56" i="12"/>
  <c r="Q57" i="12" s="1"/>
  <c r="Q175" i="12"/>
  <c r="AX75" i="12"/>
  <c r="AX78" i="12" s="1"/>
  <c r="AV78" i="12"/>
  <c r="O118" i="12"/>
  <c r="O123" i="12" s="1"/>
  <c r="O130" i="12" s="1"/>
  <c r="AX80" i="12"/>
  <c r="AV86" i="12"/>
  <c r="AY108" i="12"/>
  <c r="AX108" i="12"/>
  <c r="N118" i="12"/>
  <c r="N123" i="12" s="1"/>
  <c r="N130" i="12" s="1"/>
  <c r="E118" i="12"/>
  <c r="E123" i="12" s="1"/>
  <c r="E130" i="12" s="1"/>
  <c r="BB24" i="12"/>
  <c r="BB32" i="12" s="1"/>
  <c r="BA32" i="12"/>
  <c r="L57" i="12"/>
  <c r="AY55" i="12"/>
  <c r="AX55" i="12"/>
  <c r="AY139" i="12"/>
  <c r="AW117" i="12"/>
  <c r="BB125" i="12"/>
  <c r="BB128" i="12" s="1"/>
  <c r="BA128" i="12"/>
  <c r="AX136" i="12"/>
  <c r="J169" i="3"/>
  <c r="J124" i="3"/>
  <c r="J179" i="3"/>
  <c r="J109" i="5"/>
  <c r="U109" i="18"/>
  <c r="BB68" i="12"/>
  <c r="BB73" i="12" s="1"/>
  <c r="BA73" i="12"/>
  <c r="F76" i="5"/>
  <c r="H124" i="4"/>
  <c r="H179" i="4"/>
  <c r="H122" i="5"/>
  <c r="J122" i="4"/>
  <c r="H150" i="4"/>
  <c r="H7" i="5"/>
  <c r="J15" i="3"/>
  <c r="H15" i="4"/>
  <c r="H145" i="3"/>
  <c r="J29" i="3"/>
  <c r="H32" i="3"/>
  <c r="H151" i="3"/>
  <c r="H29" i="4"/>
  <c r="H29" i="5" s="1"/>
  <c r="J37" i="3"/>
  <c r="H37" i="4"/>
  <c r="H154" i="3"/>
  <c r="J47" i="3"/>
  <c r="H47" i="4"/>
  <c r="H159" i="4" s="1"/>
  <c r="H159" i="3"/>
  <c r="J51" i="3"/>
  <c r="H51" i="4"/>
  <c r="H167" i="4" s="1"/>
  <c r="H167" i="3"/>
  <c r="H152" i="4"/>
  <c r="H53" i="5"/>
  <c r="H152" i="5" s="1"/>
  <c r="J68" i="3"/>
  <c r="H73" i="3"/>
  <c r="H68" i="4"/>
  <c r="H68" i="5" s="1"/>
  <c r="H143" i="3"/>
  <c r="J77" i="3"/>
  <c r="J78" i="3" s="1"/>
  <c r="H77" i="4"/>
  <c r="H166" i="3"/>
  <c r="J110" i="3"/>
  <c r="H110" i="5"/>
  <c r="J114" i="3"/>
  <c r="H147" i="3"/>
  <c r="H114" i="5"/>
  <c r="H147" i="5" s="1"/>
  <c r="J116" i="3"/>
  <c r="H116" i="5"/>
  <c r="J118" i="3"/>
  <c r="H118" i="5"/>
  <c r="F155" i="4"/>
  <c r="U19" i="18"/>
  <c r="T34" i="19" s="1"/>
  <c r="L19" i="4"/>
  <c r="J19" i="5"/>
  <c r="J165" i="5" s="1"/>
  <c r="J165" i="4"/>
  <c r="L109" i="4"/>
  <c r="J119" i="4"/>
  <c r="K112" i="5"/>
  <c r="K163" i="5" s="1"/>
  <c r="N112" i="4"/>
  <c r="L163" i="4"/>
  <c r="N117" i="4"/>
  <c r="L161" i="4"/>
  <c r="F145" i="5"/>
  <c r="AD25" i="18"/>
  <c r="AE25" i="18" s="1"/>
  <c r="AF25" i="18" s="1"/>
  <c r="F153" i="5"/>
  <c r="F73" i="5"/>
  <c r="L102" i="3"/>
  <c r="J102" i="5"/>
  <c r="U102" i="18"/>
  <c r="AE6" i="2"/>
  <c r="AD7" i="2"/>
  <c r="AD10" i="2" s="1"/>
  <c r="AD86" i="4"/>
  <c r="AE79" i="4"/>
  <c r="AE86" i="4" s="1"/>
  <c r="J148" i="4"/>
  <c r="L113" i="4"/>
  <c r="J177" i="3"/>
  <c r="J33" i="4"/>
  <c r="J33" i="5" s="1"/>
  <c r="J177" i="5" s="1"/>
  <c r="L89" i="3"/>
  <c r="L103" i="3"/>
  <c r="J140" i="3"/>
  <c r="U103" i="18"/>
  <c r="T9" i="19" s="1"/>
  <c r="J103" i="5"/>
  <c r="J140" i="5" s="1"/>
  <c r="AA127" i="3"/>
  <c r="M124" i="18" s="1"/>
  <c r="AX31" i="13"/>
  <c r="AV32" i="13"/>
  <c r="M56" i="13"/>
  <c r="M57" i="13" s="1"/>
  <c r="AX52" i="13"/>
  <c r="AY150" i="13"/>
  <c r="T56" i="13"/>
  <c r="T57" i="13" s="1"/>
  <c r="T175" i="13"/>
  <c r="AX58" i="13"/>
  <c r="AX64" i="13" s="1"/>
  <c r="X64" i="13"/>
  <c r="AX70" i="13"/>
  <c r="AX73" i="13" s="1"/>
  <c r="AV73" i="13"/>
  <c r="AX80" i="13"/>
  <c r="AX86" i="13" s="1"/>
  <c r="AV86" i="13"/>
  <c r="AY88" i="13"/>
  <c r="AW93" i="13"/>
  <c r="AX108" i="13"/>
  <c r="AV117" i="13"/>
  <c r="AB113" i="13"/>
  <c r="Y117" i="13"/>
  <c r="BB44" i="13"/>
  <c r="W57" i="13"/>
  <c r="AY57" i="13"/>
  <c r="F56" i="13"/>
  <c r="F57" i="13" s="1"/>
  <c r="F118" i="13" s="1"/>
  <c r="F123" i="13" s="1"/>
  <c r="F130" i="13" s="1"/>
  <c r="F175" i="13"/>
  <c r="F178" i="13" s="1"/>
  <c r="F181" i="13" s="1"/>
  <c r="L56" i="13"/>
  <c r="L57" i="13" s="1"/>
  <c r="L175" i="13"/>
  <c r="L178" i="13" s="1"/>
  <c r="L181" i="13" s="1"/>
  <c r="Z75" i="13"/>
  <c r="W78" i="13"/>
  <c r="W136" i="13"/>
  <c r="BB94" i="13"/>
  <c r="BB96" i="13" s="1"/>
  <c r="BA96" i="13"/>
  <c r="BB100" i="13"/>
  <c r="BB106" i="13" s="1"/>
  <c r="BA106" i="13"/>
  <c r="L118" i="13"/>
  <c r="L123" i="13" s="1"/>
  <c r="L130" i="13" s="1"/>
  <c r="AX140" i="13"/>
  <c r="AX31" i="12"/>
  <c r="Y57" i="12"/>
  <c r="Y118" i="12" s="1"/>
  <c r="Y123" i="12" s="1"/>
  <c r="Y130" i="12" s="1"/>
  <c r="AX58" i="12"/>
  <c r="AX64" i="12" s="1"/>
  <c r="AV64" i="12"/>
  <c r="G118" i="12"/>
  <c r="G123" i="12" s="1"/>
  <c r="G130" i="12" s="1"/>
  <c r="AX68" i="12"/>
  <c r="AX73" i="12" s="1"/>
  <c r="AV73" i="12"/>
  <c r="AX107" i="12"/>
  <c r="AV117" i="12"/>
  <c r="AY113" i="12"/>
  <c r="AZ113" i="12" s="1"/>
  <c r="BA113" i="12" s="1"/>
  <c r="BB113" i="12" s="1"/>
  <c r="AX113" i="12"/>
  <c r="K118" i="12"/>
  <c r="K123" i="12" s="1"/>
  <c r="K130" i="12" s="1"/>
  <c r="F56" i="12"/>
  <c r="F57" i="12" s="1"/>
  <c r="AY175" i="12"/>
  <c r="BB58" i="12"/>
  <c r="BB64" i="12" s="1"/>
  <c r="BA64" i="12"/>
  <c r="AY136" i="12"/>
  <c r="F33" i="5"/>
  <c r="L10" i="3"/>
  <c r="J10" i="4"/>
  <c r="J169" i="4" s="1"/>
  <c r="F57" i="3"/>
  <c r="F120" i="3" s="1"/>
  <c r="F125" i="3" s="1"/>
  <c r="F132" i="3" s="1"/>
  <c r="J76" i="4"/>
  <c r="U75" i="18" s="1"/>
  <c r="BB100" i="12"/>
  <c r="BB107" i="12"/>
  <c r="L118" i="12"/>
  <c r="L123" i="12" s="1"/>
  <c r="L130" i="12" s="1"/>
  <c r="H93" i="4"/>
  <c r="J89" i="4"/>
  <c r="U89" i="18" s="1"/>
  <c r="H130" i="4"/>
  <c r="H181" i="4"/>
  <c r="J127" i="4"/>
  <c r="U124" i="18" s="1"/>
  <c r="H127" i="5"/>
  <c r="J8" i="3"/>
  <c r="H8" i="4"/>
  <c r="H8" i="5" s="1"/>
  <c r="H149" i="5" s="1"/>
  <c r="H149" i="3"/>
  <c r="J34" i="3"/>
  <c r="H34" i="4"/>
  <c r="H34" i="5" s="1"/>
  <c r="H160" i="3"/>
  <c r="H173" i="4"/>
  <c r="H36" i="5"/>
  <c r="H173" i="5" s="1"/>
  <c r="J38" i="3"/>
  <c r="H38" i="4"/>
  <c r="H157" i="4" s="1"/>
  <c r="H157" i="3"/>
  <c r="J45" i="3"/>
  <c r="H56" i="3"/>
  <c r="H45" i="4"/>
  <c r="H153" i="3"/>
  <c r="J48" i="3"/>
  <c r="H48" i="4"/>
  <c r="H144" i="3"/>
  <c r="J52" i="3"/>
  <c r="H52" i="4"/>
  <c r="H172" i="3"/>
  <c r="AB55" i="3"/>
  <c r="R55" i="4"/>
  <c r="AB55" i="4" s="1"/>
  <c r="AC55" i="4" s="1"/>
  <c r="AD55" i="4" s="1"/>
  <c r="AE55" i="4" s="1"/>
  <c r="J72" i="3"/>
  <c r="H72" i="4"/>
  <c r="J91" i="3"/>
  <c r="H139" i="3"/>
  <c r="H91" i="5"/>
  <c r="H139" i="5" s="1"/>
  <c r="J113" i="3"/>
  <c r="H148" i="3"/>
  <c r="H113" i="5"/>
  <c r="H148" i="5" s="1"/>
  <c r="J115" i="3"/>
  <c r="H176" i="3"/>
  <c r="H115" i="5"/>
  <c r="H176" i="5" s="1"/>
  <c r="J117" i="3"/>
  <c r="H161" i="3"/>
  <c r="H117" i="5"/>
  <c r="H161" i="5" s="1"/>
  <c r="N12" i="4"/>
  <c r="AD67" i="4"/>
  <c r="AE65" i="4"/>
  <c r="AE67" i="4" s="1"/>
  <c r="J147" i="4"/>
  <c r="L114" i="4"/>
  <c r="L164" i="4"/>
  <c r="N16" i="4"/>
  <c r="H12" i="5"/>
  <c r="H155" i="3"/>
  <c r="H44" i="3"/>
  <c r="H89" i="5"/>
  <c r="H93" i="3"/>
  <c r="L105" i="3"/>
  <c r="J105" i="5"/>
  <c r="U105" i="18"/>
  <c r="L124" i="3"/>
  <c r="N122" i="3"/>
  <c r="L179" i="3"/>
  <c r="N127" i="3"/>
  <c r="N76" i="3"/>
  <c r="L76" i="4"/>
  <c r="O67" i="5"/>
  <c r="S66" i="5"/>
  <c r="AB67" i="3"/>
  <c r="M130" i="3"/>
  <c r="O128" i="3"/>
  <c r="N109" i="3"/>
  <c r="V109" i="18"/>
  <c r="K109" i="5"/>
  <c r="N33" i="3"/>
  <c r="L33" i="4"/>
  <c r="K33" i="5" s="1"/>
  <c r="L177" i="3"/>
  <c r="M124" i="3"/>
  <c r="O122" i="3"/>
  <c r="AA66" i="18"/>
  <c r="AD64" i="18"/>
  <c r="AJ11" i="13"/>
  <c r="AJ22" i="13"/>
  <c r="AW117" i="13"/>
  <c r="AW118" i="13" s="1"/>
  <c r="AW123" i="13" s="1"/>
  <c r="AW130" i="13" s="1"/>
  <c r="AY113" i="13"/>
  <c r="AY82" i="12"/>
  <c r="AW86" i="12"/>
  <c r="AW118" i="12" s="1"/>
  <c r="AW123" i="12" s="1"/>
  <c r="AW130" i="12" s="1"/>
  <c r="AW183" i="12" s="1"/>
  <c r="AX82" i="12"/>
  <c r="AX113" i="13"/>
  <c r="AX117" i="13" s="1"/>
  <c r="AJ117" i="13"/>
  <c r="AJ118" i="13" s="1"/>
  <c r="AJ123" i="13" s="1"/>
  <c r="AJ130" i="13" s="1"/>
  <c r="BB6" i="13"/>
  <c r="BB11" i="13" s="1"/>
  <c r="BA11" i="13"/>
  <c r="AB86" i="12"/>
  <c r="AB146" i="12"/>
  <c r="AH86" i="12"/>
  <c r="AH146" i="12"/>
  <c r="BB112" i="13"/>
  <c r="T96" i="18"/>
  <c r="S70" i="18"/>
  <c r="AB64" i="4"/>
  <c r="J33" i="16"/>
  <c r="K33" i="16" s="1"/>
  <c r="L33" i="16" s="1"/>
  <c r="M33" i="16" s="1"/>
  <c r="R25" i="18"/>
  <c r="S25" i="18"/>
  <c r="R9" i="18"/>
  <c r="S9" i="18"/>
  <c r="I44" i="19"/>
  <c r="J44" i="19"/>
  <c r="S69" i="18"/>
  <c r="R31" i="18"/>
  <c r="E24" i="17"/>
  <c r="F47" i="19"/>
  <c r="E47" i="19"/>
  <c r="E37" i="19"/>
  <c r="AB110" i="4"/>
  <c r="AC110" i="4" s="1"/>
  <c r="AD110" i="4" s="1"/>
  <c r="AE110" i="4" s="1"/>
  <c r="V118" i="4"/>
  <c r="X115" i="4"/>
  <c r="V176" i="4"/>
  <c r="AD59" i="4"/>
  <c r="AC64" i="4"/>
  <c r="AC20" i="4"/>
  <c r="R84" i="18"/>
  <c r="S84" i="18"/>
  <c r="S98" i="18"/>
  <c r="Q101" i="18"/>
  <c r="R98" i="18"/>
  <c r="R10" i="18"/>
  <c r="S10" i="18"/>
  <c r="Q11" i="18"/>
  <c r="R24" i="18"/>
  <c r="S24" i="18"/>
  <c r="J96" i="18"/>
  <c r="K96" i="18"/>
  <c r="F180" i="3"/>
  <c r="F183" i="3" s="1"/>
  <c r="P8" i="19"/>
  <c r="S21" i="18"/>
  <c r="Q22" i="18"/>
  <c r="I7" i="21" s="1"/>
  <c r="R21" i="18"/>
  <c r="J66" i="18"/>
  <c r="K66" i="18"/>
  <c r="D180" i="4"/>
  <c r="D183" i="4" s="1"/>
  <c r="AB142" i="3"/>
  <c r="G101" i="18"/>
  <c r="F101" i="18"/>
  <c r="R81" i="18"/>
  <c r="S81" i="18"/>
  <c r="R62" i="18"/>
  <c r="F66" i="18"/>
  <c r="G66" i="18"/>
  <c r="S30" i="18"/>
  <c r="R30" i="18"/>
  <c r="R83" i="18"/>
  <c r="S83" i="18"/>
  <c r="P86" i="18"/>
  <c r="S80" i="18"/>
  <c r="Q86" i="18"/>
  <c r="R80" i="18"/>
  <c r="U86" i="5"/>
  <c r="V79" i="5"/>
  <c r="V86" i="5" s="1"/>
  <c r="I78" i="18"/>
  <c r="F86" i="18"/>
  <c r="G86" i="18"/>
  <c r="M78" i="18"/>
  <c r="R85" i="18"/>
  <c r="S85" i="18"/>
  <c r="E78" i="18"/>
  <c r="V94" i="5"/>
  <c r="V96" i="5" s="1"/>
  <c r="U96" i="5"/>
  <c r="AE96" i="18"/>
  <c r="AF95" i="18"/>
  <c r="AF14" i="18"/>
  <c r="AF81" i="18"/>
  <c r="AF74" i="18"/>
  <c r="O86" i="18"/>
  <c r="AF98" i="18"/>
  <c r="AF87" i="18"/>
  <c r="I20" i="16" l="1"/>
  <c r="I20" i="21"/>
  <c r="O44" i="19"/>
  <c r="N7" i="21"/>
  <c r="O7" i="21" s="1"/>
  <c r="I9" i="21"/>
  <c r="O47" i="19"/>
  <c r="F29" i="16"/>
  <c r="F26" i="17" s="1"/>
  <c r="G29" i="16"/>
  <c r="U6" i="18"/>
  <c r="S74" i="18"/>
  <c r="I120" i="18"/>
  <c r="J6" i="5"/>
  <c r="D180" i="5"/>
  <c r="D183" i="5" s="1"/>
  <c r="L53" i="3"/>
  <c r="J53" i="4"/>
  <c r="J152" i="3"/>
  <c r="L35" i="3"/>
  <c r="J35" i="4"/>
  <c r="J146" i="3"/>
  <c r="S64" i="18"/>
  <c r="U101" i="5"/>
  <c r="J35" i="5"/>
  <c r="J146" i="5" s="1"/>
  <c r="AC120" i="3"/>
  <c r="P24" i="19"/>
  <c r="M120" i="18"/>
  <c r="R58" i="18"/>
  <c r="S58" i="18"/>
  <c r="L111" i="3"/>
  <c r="J111" i="5"/>
  <c r="U111" i="18"/>
  <c r="N112" i="3"/>
  <c r="W112" i="18" s="1"/>
  <c r="V32" i="19" s="1"/>
  <c r="L163" i="3"/>
  <c r="J63" i="18"/>
  <c r="K63" i="18"/>
  <c r="E10" i="19"/>
  <c r="F10" i="19"/>
  <c r="O10" i="19"/>
  <c r="AA129" i="3"/>
  <c r="M126" i="18" s="1"/>
  <c r="I126" i="18"/>
  <c r="Q126" i="18" s="1"/>
  <c r="P63" i="18"/>
  <c r="S63" i="18" s="1"/>
  <c r="M125" i="3"/>
  <c r="M132" i="3" s="1"/>
  <c r="H93" i="5"/>
  <c r="V112" i="18"/>
  <c r="U32" i="19" s="1"/>
  <c r="AD63" i="18"/>
  <c r="E16" i="16" s="1"/>
  <c r="E16" i="17" s="1"/>
  <c r="R64" i="18"/>
  <c r="AE58" i="18"/>
  <c r="AF58" i="18" s="1"/>
  <c r="AG58" i="18" s="1"/>
  <c r="D57" i="5"/>
  <c r="D120" i="5" s="1"/>
  <c r="D125" i="5" s="1"/>
  <c r="D132" i="5" s="1"/>
  <c r="D185" i="5" s="1"/>
  <c r="F63" i="18"/>
  <c r="G63" i="18"/>
  <c r="AC127" i="3"/>
  <c r="T124" i="18" s="1"/>
  <c r="I10" i="19"/>
  <c r="J10" i="19"/>
  <c r="AC10" i="19"/>
  <c r="J40" i="19"/>
  <c r="O40" i="19"/>
  <c r="I40" i="19"/>
  <c r="E26" i="17"/>
  <c r="AE59" i="18"/>
  <c r="AF59" i="18" s="1"/>
  <c r="AG59" i="18" s="1"/>
  <c r="AG63" i="18" s="1"/>
  <c r="S62" i="18"/>
  <c r="M47" i="19"/>
  <c r="Q124" i="18"/>
  <c r="L19" i="3"/>
  <c r="V19" i="18" s="1"/>
  <c r="U34" i="19" s="1"/>
  <c r="J165" i="3"/>
  <c r="J11" i="19"/>
  <c r="I11" i="19"/>
  <c r="AC11" i="19"/>
  <c r="E11" i="19"/>
  <c r="O11" i="19"/>
  <c r="F11" i="19"/>
  <c r="AC40" i="19"/>
  <c r="S40" i="19" s="1"/>
  <c r="S59" i="18"/>
  <c r="R59" i="18"/>
  <c r="L16" i="3"/>
  <c r="J164" i="3"/>
  <c r="J16" i="5"/>
  <c r="J164" i="5" s="1"/>
  <c r="U16" i="18"/>
  <c r="T33" i="19" s="1"/>
  <c r="K120" i="4"/>
  <c r="K125" i="4" s="1"/>
  <c r="AF57" i="4"/>
  <c r="H49" i="5"/>
  <c r="H174" i="5" s="1"/>
  <c r="S26" i="18"/>
  <c r="I37" i="19"/>
  <c r="J37" i="19"/>
  <c r="AE86" i="18"/>
  <c r="S41" i="18"/>
  <c r="R74" i="5"/>
  <c r="R138" i="5" s="1"/>
  <c r="S138" i="5" s="1"/>
  <c r="F57" i="4"/>
  <c r="F120" i="4" s="1"/>
  <c r="F125" i="4" s="1"/>
  <c r="F132" i="4" s="1"/>
  <c r="O37" i="19"/>
  <c r="Q37" i="19" s="1"/>
  <c r="O125" i="4"/>
  <c r="E44" i="19"/>
  <c r="F44" i="19"/>
  <c r="S28" i="18"/>
  <c r="F37" i="19"/>
  <c r="R68" i="18"/>
  <c r="AE101" i="18"/>
  <c r="R20" i="18"/>
  <c r="R40" i="18"/>
  <c r="T101" i="18"/>
  <c r="P23" i="4"/>
  <c r="P162" i="4" s="1"/>
  <c r="AC47" i="19"/>
  <c r="S47" i="19" s="1"/>
  <c r="R46" i="18"/>
  <c r="S46" i="18"/>
  <c r="AE9" i="18"/>
  <c r="AF9" i="18" s="1"/>
  <c r="AG9" i="18" s="1"/>
  <c r="I29" i="16"/>
  <c r="N29" i="16" s="1"/>
  <c r="O29" i="16" s="1"/>
  <c r="R42" i="18"/>
  <c r="S42" i="18"/>
  <c r="M44" i="19"/>
  <c r="N44" i="19"/>
  <c r="AC44" i="19"/>
  <c r="S44" i="19" s="1"/>
  <c r="J47" i="19"/>
  <c r="I47" i="19"/>
  <c r="S20" i="18"/>
  <c r="AB27" i="4"/>
  <c r="AC27" i="4" s="1"/>
  <c r="AD27" i="4" s="1"/>
  <c r="AE27" i="4" s="1"/>
  <c r="L27" i="18"/>
  <c r="M37" i="19"/>
  <c r="N37" i="19"/>
  <c r="AC37" i="19"/>
  <c r="O73" i="18"/>
  <c r="K7" i="19"/>
  <c r="N73" i="18"/>
  <c r="S74" i="5"/>
  <c r="T74" i="5" s="1"/>
  <c r="U74" i="5" s="1"/>
  <c r="V74" i="5" s="1"/>
  <c r="F180" i="4"/>
  <c r="F183" i="4" s="1"/>
  <c r="F7" i="19"/>
  <c r="E7" i="19"/>
  <c r="R55" i="18"/>
  <c r="S55" i="18"/>
  <c r="P73" i="18"/>
  <c r="R96" i="18"/>
  <c r="T63" i="18"/>
  <c r="T64" i="5"/>
  <c r="U62" i="5"/>
  <c r="AE22" i="13"/>
  <c r="AE153" i="13"/>
  <c r="AB6" i="12"/>
  <c r="AC6" i="12"/>
  <c r="Z9" i="12"/>
  <c r="Z11" i="12" s="1"/>
  <c r="AF6" i="12"/>
  <c r="Z12" i="12"/>
  <c r="Z167" i="12"/>
  <c r="BA58" i="13"/>
  <c r="AZ64" i="13"/>
  <c r="S64" i="5"/>
  <c r="AX86" i="12"/>
  <c r="N55" i="5"/>
  <c r="S55" i="5" s="1"/>
  <c r="T55" i="5" s="1"/>
  <c r="U55" i="5" s="1"/>
  <c r="V55" i="5" s="1"/>
  <c r="J10" i="5"/>
  <c r="Y183" i="12"/>
  <c r="H77" i="5"/>
  <c r="H166" i="5" s="1"/>
  <c r="H47" i="5"/>
  <c r="H159" i="5" s="1"/>
  <c r="AZ57" i="13"/>
  <c r="L92" i="4"/>
  <c r="J92" i="5"/>
  <c r="J156" i="5" s="1"/>
  <c r="J156" i="4"/>
  <c r="U92" i="18"/>
  <c r="T25" i="19" s="1"/>
  <c r="AZ6" i="12"/>
  <c r="AY11" i="12"/>
  <c r="T11" i="12"/>
  <c r="T118" i="12" s="1"/>
  <c r="T123" i="12" s="1"/>
  <c r="T130" i="12" s="1"/>
  <c r="T173" i="12"/>
  <c r="T178" i="12" s="1"/>
  <c r="T181" i="12" s="1"/>
  <c r="L129" i="3"/>
  <c r="U126" i="18"/>
  <c r="T50" i="19" s="1"/>
  <c r="J129" i="5"/>
  <c r="I17" i="16"/>
  <c r="R66" i="18"/>
  <c r="S66" i="18"/>
  <c r="AQ178" i="13"/>
  <c r="AQ181" i="13" s="1"/>
  <c r="T167" i="13"/>
  <c r="BA101" i="12"/>
  <c r="AZ106" i="12"/>
  <c r="W167" i="12"/>
  <c r="F22" i="12"/>
  <c r="F118" i="12" s="1"/>
  <c r="F123" i="12" s="1"/>
  <c r="F130" i="12" s="1"/>
  <c r="F153" i="12"/>
  <c r="I173" i="12"/>
  <c r="I178" i="12" s="1"/>
  <c r="I181" i="12" s="1"/>
  <c r="I11" i="12"/>
  <c r="I118" i="12" s="1"/>
  <c r="I123" i="12" s="1"/>
  <c r="I130" i="12" s="1"/>
  <c r="BA67" i="13"/>
  <c r="BB65" i="13"/>
  <c r="BB67" i="13" s="1"/>
  <c r="L49" i="3"/>
  <c r="J49" i="4"/>
  <c r="J174" i="4" s="1"/>
  <c r="J174" i="3"/>
  <c r="J49" i="5"/>
  <c r="J174" i="5" s="1"/>
  <c r="W12" i="12"/>
  <c r="U22" i="12"/>
  <c r="U118" i="12" s="1"/>
  <c r="U123" i="12" s="1"/>
  <c r="U130" i="12" s="1"/>
  <c r="U153" i="12"/>
  <c r="X12" i="12"/>
  <c r="X22" i="12" s="1"/>
  <c r="X118" i="12" s="1"/>
  <c r="X123" i="12" s="1"/>
  <c r="X130" i="12" s="1"/>
  <c r="L39" i="3"/>
  <c r="J158" i="3"/>
  <c r="J39" i="4"/>
  <c r="J158" i="4" s="1"/>
  <c r="I22" i="16"/>
  <c r="H20" i="17"/>
  <c r="H22" i="17" s="1"/>
  <c r="J139" i="4"/>
  <c r="L91" i="4"/>
  <c r="N50" i="3"/>
  <c r="L170" i="3"/>
  <c r="L50" i="4"/>
  <c r="L170" i="4" s="1"/>
  <c r="Q173" i="12"/>
  <c r="Q178" i="12" s="1"/>
  <c r="Q181" i="12" s="1"/>
  <c r="Q183" i="12" s="1"/>
  <c r="Q11" i="12"/>
  <c r="Y118" i="13"/>
  <c r="Y123" i="13" s="1"/>
  <c r="Y130" i="13" s="1"/>
  <c r="H51" i="5"/>
  <c r="H167" i="5" s="1"/>
  <c r="Q118" i="12"/>
  <c r="Q123" i="12" s="1"/>
  <c r="Q130" i="12" s="1"/>
  <c r="AZ73" i="13"/>
  <c r="BA70" i="13"/>
  <c r="L36" i="3"/>
  <c r="J36" i="4"/>
  <c r="J173" i="4" s="1"/>
  <c r="J173" i="3"/>
  <c r="U50" i="18"/>
  <c r="T39" i="19" s="1"/>
  <c r="J170" i="4"/>
  <c r="AS9" i="13"/>
  <c r="AS173" i="13" s="1"/>
  <c r="AV9" i="13"/>
  <c r="AX9" i="13" s="1"/>
  <c r="AQ173" i="13"/>
  <c r="F11" i="12"/>
  <c r="F173" i="12"/>
  <c r="U12" i="13"/>
  <c r="U9" i="13"/>
  <c r="U11" i="13"/>
  <c r="U167" i="13"/>
  <c r="X167" i="13" s="1"/>
  <c r="W6" i="13"/>
  <c r="AC27" i="18"/>
  <c r="AP178" i="13"/>
  <c r="AP181" i="13" s="1"/>
  <c r="O178" i="12"/>
  <c r="O181" i="12" s="1"/>
  <c r="O183" i="12" s="1"/>
  <c r="N23" i="3"/>
  <c r="V23" i="18"/>
  <c r="U31" i="19" s="1"/>
  <c r="K23" i="5"/>
  <c r="K162" i="5" s="1"/>
  <c r="L162" i="3"/>
  <c r="M153" i="12"/>
  <c r="M178" i="12" s="1"/>
  <c r="M181" i="12" s="1"/>
  <c r="D178" i="12"/>
  <c r="D181" i="12" s="1"/>
  <c r="AV6" i="13"/>
  <c r="AZ12" i="13"/>
  <c r="AY22" i="13"/>
  <c r="L128" i="3"/>
  <c r="J128" i="5"/>
  <c r="U125" i="18"/>
  <c r="T12" i="13"/>
  <c r="R22" i="13"/>
  <c r="R118" i="13" s="1"/>
  <c r="R123" i="13" s="1"/>
  <c r="R130" i="13" s="1"/>
  <c r="R153" i="13"/>
  <c r="H57" i="3"/>
  <c r="H120" i="3" s="1"/>
  <c r="H125" i="3" s="1"/>
  <c r="H132" i="3" s="1"/>
  <c r="Y55" i="18"/>
  <c r="AD55" i="18" s="1"/>
  <c r="H38" i="5"/>
  <c r="H157" i="5" s="1"/>
  <c r="J130" i="3"/>
  <c r="N92" i="18"/>
  <c r="P92" i="18"/>
  <c r="O92" i="18"/>
  <c r="K25" i="19"/>
  <c r="J50" i="5"/>
  <c r="J170" i="5" s="1"/>
  <c r="L7" i="3"/>
  <c r="J150" i="3"/>
  <c r="J7" i="4"/>
  <c r="J150" i="4" s="1"/>
  <c r="AP173" i="13"/>
  <c r="AP11" i="13"/>
  <c r="AP118" i="13" s="1"/>
  <c r="AP123" i="13" s="1"/>
  <c r="AP130" i="13" s="1"/>
  <c r="M173" i="12"/>
  <c r="I178" i="13"/>
  <c r="I181" i="13" s="1"/>
  <c r="AS22" i="13"/>
  <c r="AS153" i="13"/>
  <c r="T9" i="13"/>
  <c r="T173" i="13" s="1"/>
  <c r="R173" i="13"/>
  <c r="X9" i="13"/>
  <c r="X11" i="13" s="1"/>
  <c r="R27" i="5"/>
  <c r="S27" i="5" s="1"/>
  <c r="T27" i="5" s="1"/>
  <c r="U27" i="5" s="1"/>
  <c r="BA97" i="12"/>
  <c r="AZ99" i="12"/>
  <c r="R103" i="4"/>
  <c r="P140" i="4"/>
  <c r="P108" i="4"/>
  <c r="Z138" i="4"/>
  <c r="AB138" i="4" s="1"/>
  <c r="AC73" i="18"/>
  <c r="AB74" i="4"/>
  <c r="AC74" i="4" s="1"/>
  <c r="AD74" i="4" s="1"/>
  <c r="AE74" i="4" s="1"/>
  <c r="W9" i="12"/>
  <c r="W173" i="12" s="1"/>
  <c r="U173" i="12"/>
  <c r="X173" i="12" s="1"/>
  <c r="U11" i="12"/>
  <c r="AS11" i="13"/>
  <c r="AS167" i="13"/>
  <c r="H151" i="5"/>
  <c r="H32" i="5"/>
  <c r="O124" i="3"/>
  <c r="O125" i="3" s="1"/>
  <c r="Q122" i="3"/>
  <c r="O179" i="3"/>
  <c r="O130" i="3"/>
  <c r="Q128" i="3"/>
  <c r="O181" i="3"/>
  <c r="N164" i="4"/>
  <c r="P16" i="4"/>
  <c r="L117" i="3"/>
  <c r="U117" i="18"/>
  <c r="T30" i="19" s="1"/>
  <c r="J161" i="3"/>
  <c r="J117" i="5"/>
  <c r="J161" i="5" s="1"/>
  <c r="L115" i="3"/>
  <c r="J176" i="3"/>
  <c r="J115" i="5"/>
  <c r="J176" i="5" s="1"/>
  <c r="U115" i="18"/>
  <c r="T45" i="19" s="1"/>
  <c r="L113" i="3"/>
  <c r="J113" i="5"/>
  <c r="J148" i="5" s="1"/>
  <c r="J148" i="3"/>
  <c r="U113" i="18"/>
  <c r="T17" i="19" s="1"/>
  <c r="H180" i="3"/>
  <c r="H183" i="3" s="1"/>
  <c r="L91" i="3"/>
  <c r="J91" i="5"/>
  <c r="J139" i="5" s="1"/>
  <c r="J139" i="3"/>
  <c r="U91" i="18"/>
  <c r="T8" i="19" s="1"/>
  <c r="L72" i="3"/>
  <c r="J72" i="4"/>
  <c r="J72" i="5" s="1"/>
  <c r="L52" i="3"/>
  <c r="J172" i="3"/>
  <c r="J52" i="4"/>
  <c r="J172" i="4" s="1"/>
  <c r="L48" i="3"/>
  <c r="J144" i="3"/>
  <c r="J48" i="4"/>
  <c r="J144" i="4" s="1"/>
  <c r="H45" i="5"/>
  <c r="H153" i="4"/>
  <c r="H56" i="4"/>
  <c r="J56" i="3"/>
  <c r="L45" i="3"/>
  <c r="J153" i="3"/>
  <c r="J45" i="4"/>
  <c r="H160" i="4"/>
  <c r="H44" i="4"/>
  <c r="H149" i="4"/>
  <c r="H11" i="4"/>
  <c r="H181" i="5"/>
  <c r="H130" i="5"/>
  <c r="J76" i="5"/>
  <c r="U10" i="18"/>
  <c r="L10" i="4"/>
  <c r="L169" i="4" s="1"/>
  <c r="N10" i="3"/>
  <c r="L6" i="3"/>
  <c r="F177" i="5"/>
  <c r="F44" i="5"/>
  <c r="F57" i="5" s="1"/>
  <c r="AX117" i="12"/>
  <c r="AI75" i="13"/>
  <c r="AI78" i="13" s="1"/>
  <c r="AI118" i="13" s="1"/>
  <c r="AI123" i="13" s="1"/>
  <c r="AI130" i="13" s="1"/>
  <c r="Z136" i="13"/>
  <c r="AB75" i="13"/>
  <c r="AV75" i="13"/>
  <c r="Z78" i="13"/>
  <c r="Z118" i="13" s="1"/>
  <c r="Z123" i="13" s="1"/>
  <c r="Z130" i="13" s="1"/>
  <c r="AE113" i="13"/>
  <c r="AB117" i="13"/>
  <c r="AB174" i="13"/>
  <c r="AY175" i="13"/>
  <c r="H27" i="17"/>
  <c r="N103" i="3"/>
  <c r="K103" i="5"/>
  <c r="K140" i="5" s="1"/>
  <c r="L140" i="3"/>
  <c r="V103" i="18"/>
  <c r="U9" i="19" s="1"/>
  <c r="J93" i="3"/>
  <c r="U33" i="18"/>
  <c r="J177" i="4"/>
  <c r="L148" i="4"/>
  <c r="N113" i="4"/>
  <c r="AF6" i="2"/>
  <c r="AF7" i="2" s="1"/>
  <c r="AF10" i="2" s="1"/>
  <c r="AE7" i="2"/>
  <c r="AE10" i="2" s="1"/>
  <c r="J108" i="5"/>
  <c r="N161" i="4"/>
  <c r="P117" i="4"/>
  <c r="N109" i="4"/>
  <c r="L119" i="4"/>
  <c r="K19" i="5"/>
  <c r="K165" i="5" s="1"/>
  <c r="N19" i="4"/>
  <c r="L165" i="4"/>
  <c r="L116" i="3"/>
  <c r="U116" i="18"/>
  <c r="J116" i="5"/>
  <c r="L114" i="3"/>
  <c r="J147" i="3"/>
  <c r="U114" i="18"/>
  <c r="T16" i="19" s="1"/>
  <c r="J114" i="5"/>
  <c r="J147" i="5" s="1"/>
  <c r="L77" i="3"/>
  <c r="J77" i="4"/>
  <c r="J166" i="4" s="1"/>
  <c r="J166" i="3"/>
  <c r="H143" i="4"/>
  <c r="H73" i="4"/>
  <c r="J73" i="3"/>
  <c r="L68" i="3"/>
  <c r="J143" i="3"/>
  <c r="J68" i="4"/>
  <c r="J68" i="5" s="1"/>
  <c r="L51" i="3"/>
  <c r="J51" i="4"/>
  <c r="J167" i="4" s="1"/>
  <c r="J167" i="3"/>
  <c r="L47" i="3"/>
  <c r="J159" i="3"/>
  <c r="J47" i="4"/>
  <c r="J159" i="4" s="1"/>
  <c r="H37" i="5"/>
  <c r="H154" i="5" s="1"/>
  <c r="H154" i="4"/>
  <c r="L29" i="3"/>
  <c r="J32" i="3"/>
  <c r="J151" i="3"/>
  <c r="J29" i="4"/>
  <c r="J29" i="5" s="1"/>
  <c r="L15" i="3"/>
  <c r="J15" i="4"/>
  <c r="U15" i="18" s="1"/>
  <c r="J145" i="3"/>
  <c r="H150" i="5"/>
  <c r="H11" i="5"/>
  <c r="L122" i="4"/>
  <c r="J124" i="4"/>
  <c r="J179" i="4"/>
  <c r="F155" i="5"/>
  <c r="F180" i="5" s="1"/>
  <c r="F183" i="5" s="1"/>
  <c r="F78" i="5"/>
  <c r="U121" i="18"/>
  <c r="J169" i="5"/>
  <c r="AX32" i="12"/>
  <c r="BB53" i="13"/>
  <c r="BB56" i="13" s="1"/>
  <c r="BB57" i="13" s="1"/>
  <c r="BA56" i="13"/>
  <c r="BA57" i="13" s="1"/>
  <c r="M118" i="13"/>
  <c r="M123" i="13" s="1"/>
  <c r="M130" i="13" s="1"/>
  <c r="AX32" i="13"/>
  <c r="N105" i="3"/>
  <c r="V105" i="18"/>
  <c r="K105" i="5"/>
  <c r="L147" i="4"/>
  <c r="N114" i="4"/>
  <c r="P12" i="4"/>
  <c r="H72" i="5"/>
  <c r="H143" i="5" s="1"/>
  <c r="H172" i="4"/>
  <c r="H52" i="5"/>
  <c r="H172" i="5" s="1"/>
  <c r="H48" i="5"/>
  <c r="H144" i="5" s="1"/>
  <c r="H144" i="4"/>
  <c r="L38" i="3"/>
  <c r="J157" i="3"/>
  <c r="J38" i="4"/>
  <c r="J157" i="4" s="1"/>
  <c r="H160" i="5"/>
  <c r="L34" i="3"/>
  <c r="J160" i="3"/>
  <c r="J34" i="4"/>
  <c r="J160" i="4" s="1"/>
  <c r="L8" i="3"/>
  <c r="J8" i="4"/>
  <c r="U8" i="18" s="1"/>
  <c r="T18" i="19" s="1"/>
  <c r="J149" i="3"/>
  <c r="J11" i="3"/>
  <c r="K127" i="4"/>
  <c r="L127" i="4"/>
  <c r="J130" i="4"/>
  <c r="J181" i="4"/>
  <c r="L89" i="4"/>
  <c r="J93" i="4"/>
  <c r="J155" i="4"/>
  <c r="AZ88" i="13"/>
  <c r="AY93" i="13"/>
  <c r="H155" i="5"/>
  <c r="J89" i="5"/>
  <c r="V89" i="18"/>
  <c r="K89" i="5"/>
  <c r="L93" i="3"/>
  <c r="N89" i="3"/>
  <c r="J44" i="3"/>
  <c r="U108" i="18"/>
  <c r="N102" i="3"/>
  <c r="V102" i="18"/>
  <c r="K102" i="5"/>
  <c r="L108" i="3"/>
  <c r="N163" i="4"/>
  <c r="P112" i="4"/>
  <c r="H119" i="5"/>
  <c r="L118" i="3"/>
  <c r="J118" i="5"/>
  <c r="U118" i="18"/>
  <c r="L110" i="3"/>
  <c r="J110" i="5"/>
  <c r="U110" i="18"/>
  <c r="H166" i="4"/>
  <c r="H78" i="4"/>
  <c r="L37" i="3"/>
  <c r="J37" i="4"/>
  <c r="J154" i="4" s="1"/>
  <c r="J154" i="3"/>
  <c r="H151" i="4"/>
  <c r="H32" i="4"/>
  <c r="H145" i="4"/>
  <c r="H22" i="4"/>
  <c r="H15" i="5"/>
  <c r="H145" i="5" s="1"/>
  <c r="H179" i="5"/>
  <c r="H124" i="5"/>
  <c r="J119" i="3"/>
  <c r="J127" i="5"/>
  <c r="J122" i="5"/>
  <c r="J22" i="3"/>
  <c r="U12" i="18"/>
  <c r="J155" i="3"/>
  <c r="J12" i="5"/>
  <c r="AZ55" i="12"/>
  <c r="AY56" i="12"/>
  <c r="AY57" i="12" s="1"/>
  <c r="AZ108" i="12"/>
  <c r="AY117" i="12"/>
  <c r="BB22" i="12"/>
  <c r="BB23" i="12" s="1"/>
  <c r="AX56" i="13"/>
  <c r="AX57" i="13" s="1"/>
  <c r="AV57" i="13"/>
  <c r="R6" i="4"/>
  <c r="T6" i="4"/>
  <c r="L177" i="4"/>
  <c r="V33" i="18"/>
  <c r="P109" i="3"/>
  <c r="L109" i="5"/>
  <c r="W109" i="18"/>
  <c r="N76" i="4"/>
  <c r="L76" i="5" s="1"/>
  <c r="P76" i="3"/>
  <c r="P127" i="3"/>
  <c r="AD66" i="18"/>
  <c r="E17" i="16" s="1"/>
  <c r="AE64" i="18"/>
  <c r="T66" i="18"/>
  <c r="K177" i="5"/>
  <c r="P33" i="3"/>
  <c r="N33" i="4"/>
  <c r="W33" i="18" s="1"/>
  <c r="N177" i="3"/>
  <c r="T66" i="5"/>
  <c r="S67" i="5"/>
  <c r="L155" i="4"/>
  <c r="K76" i="5"/>
  <c r="V75" i="18"/>
  <c r="N124" i="3"/>
  <c r="P122" i="3"/>
  <c r="N179" i="3"/>
  <c r="AZ113" i="13"/>
  <c r="AY117" i="13"/>
  <c r="AY118" i="13" s="1"/>
  <c r="AY123" i="13" s="1"/>
  <c r="AY130" i="13" s="1"/>
  <c r="AY146" i="12"/>
  <c r="AZ82" i="12"/>
  <c r="AY86" i="12"/>
  <c r="AY118" i="12" s="1"/>
  <c r="AY123" i="12" s="1"/>
  <c r="AY130" i="12" s="1"/>
  <c r="Q47" i="19"/>
  <c r="R47" i="19"/>
  <c r="Q44" i="19"/>
  <c r="R44" i="19"/>
  <c r="X118" i="4"/>
  <c r="AD64" i="4"/>
  <c r="AE59" i="4"/>
  <c r="AE64" i="4" s="1"/>
  <c r="X176" i="4"/>
  <c r="Z115" i="4"/>
  <c r="AD20" i="4"/>
  <c r="I33" i="16"/>
  <c r="S101" i="18"/>
  <c r="R101" i="18"/>
  <c r="I7" i="16"/>
  <c r="I12" i="16"/>
  <c r="I35" i="16"/>
  <c r="I6" i="16"/>
  <c r="F25" i="16"/>
  <c r="F24" i="17" s="1"/>
  <c r="H16" i="16"/>
  <c r="H13" i="17"/>
  <c r="E120" i="18"/>
  <c r="H25" i="16"/>
  <c r="G24" i="17" s="1"/>
  <c r="R86" i="18"/>
  <c r="I25" i="16"/>
  <c r="S86" i="18"/>
  <c r="I11" i="16"/>
  <c r="I14" i="16" s="1"/>
  <c r="Q78" i="18"/>
  <c r="Q120" i="18" s="1"/>
  <c r="AG25" i="18"/>
  <c r="AG87" i="18"/>
  <c r="AG81" i="18"/>
  <c r="AG86" i="18" s="1"/>
  <c r="AF86" i="18"/>
  <c r="AG14" i="18"/>
  <c r="AG98" i="18"/>
  <c r="AG101" i="18" s="1"/>
  <c r="AF101" i="18"/>
  <c r="AG74" i="18"/>
  <c r="AF63" i="18"/>
  <c r="AG95" i="18"/>
  <c r="AG96" i="18" s="1"/>
  <c r="AF96" i="18"/>
  <c r="I22" i="21" l="1"/>
  <c r="N22" i="21" s="1"/>
  <c r="O22" i="21" s="1"/>
  <c r="N20" i="21"/>
  <c r="O20" i="21" s="1"/>
  <c r="N9" i="21"/>
  <c r="O9" i="21" s="1"/>
  <c r="I23" i="21"/>
  <c r="F17" i="16"/>
  <c r="G17" i="16"/>
  <c r="F16" i="16"/>
  <c r="F16" i="17" s="1"/>
  <c r="G16" i="16"/>
  <c r="AF125" i="4"/>
  <c r="N35" i="3"/>
  <c r="L146" i="3"/>
  <c r="L35" i="4"/>
  <c r="L146" i="4" s="1"/>
  <c r="T38" i="19"/>
  <c r="AF120" i="4"/>
  <c r="H26" i="17"/>
  <c r="J152" i="4"/>
  <c r="J53" i="5"/>
  <c r="J152" i="5" s="1"/>
  <c r="U53" i="18"/>
  <c r="T21" i="19" s="1"/>
  <c r="R23" i="4"/>
  <c r="R162" i="4" s="1"/>
  <c r="AE63" i="18"/>
  <c r="F33" i="16"/>
  <c r="F28" i="17" s="1"/>
  <c r="G33" i="16"/>
  <c r="U35" i="18"/>
  <c r="T15" i="19" s="1"/>
  <c r="J146" i="4"/>
  <c r="L152" i="3"/>
  <c r="N53" i="3"/>
  <c r="L53" i="4"/>
  <c r="Q11" i="19"/>
  <c r="R11" i="19"/>
  <c r="R10" i="19"/>
  <c r="Q10" i="19"/>
  <c r="N163" i="3"/>
  <c r="P112" i="3"/>
  <c r="X112" i="18" s="1"/>
  <c r="W32" i="19" s="1"/>
  <c r="R63" i="18"/>
  <c r="V108" i="18"/>
  <c r="O180" i="3"/>
  <c r="O183" i="3" s="1"/>
  <c r="AD27" i="18"/>
  <c r="AE27" i="18" s="1"/>
  <c r="AF27" i="18" s="1"/>
  <c r="AG27" i="18" s="1"/>
  <c r="S37" i="19"/>
  <c r="R40" i="19"/>
  <c r="Q40" i="19"/>
  <c r="AC129" i="3"/>
  <c r="T126" i="18" s="1"/>
  <c r="N111" i="3"/>
  <c r="K111" i="5"/>
  <c r="V111" i="18"/>
  <c r="L112" i="5"/>
  <c r="L163" i="5" s="1"/>
  <c r="N16" i="3"/>
  <c r="L164" i="3"/>
  <c r="K16" i="5"/>
  <c r="K164" i="5" s="1"/>
  <c r="V16" i="18"/>
  <c r="U33" i="19" s="1"/>
  <c r="S11" i="19"/>
  <c r="N19" i="3"/>
  <c r="L165" i="3"/>
  <c r="S10" i="19"/>
  <c r="J78" i="4"/>
  <c r="J77" i="5"/>
  <c r="J166" i="5" s="1"/>
  <c r="U67" i="18"/>
  <c r="U76" i="18"/>
  <c r="T35" i="19" s="1"/>
  <c r="H78" i="5"/>
  <c r="R37" i="19"/>
  <c r="U52" i="18"/>
  <c r="T41" i="19" s="1"/>
  <c r="U36" i="18"/>
  <c r="T42" i="19" s="1"/>
  <c r="H44" i="5"/>
  <c r="J52" i="5"/>
  <c r="J172" i="5" s="1"/>
  <c r="U127" i="18"/>
  <c r="N7" i="19"/>
  <c r="M7" i="19"/>
  <c r="O7" i="19"/>
  <c r="J93" i="5"/>
  <c r="U51" i="18"/>
  <c r="T36" i="19" s="1"/>
  <c r="K50" i="5"/>
  <c r="K170" i="5" s="1"/>
  <c r="J39" i="5"/>
  <c r="J158" i="5" s="1"/>
  <c r="N27" i="18"/>
  <c r="O27" i="18"/>
  <c r="P27" i="18"/>
  <c r="U37" i="18"/>
  <c r="T23" i="19" s="1"/>
  <c r="J34" i="5"/>
  <c r="J160" i="5" s="1"/>
  <c r="U38" i="18"/>
  <c r="T26" i="19" s="1"/>
  <c r="H57" i="4"/>
  <c r="H120" i="4" s="1"/>
  <c r="H125" i="4" s="1"/>
  <c r="H132" i="4" s="1"/>
  <c r="U71" i="18"/>
  <c r="J7" i="5"/>
  <c r="J150" i="5" s="1"/>
  <c r="V50" i="18"/>
  <c r="U39" i="19" s="1"/>
  <c r="U39" i="18"/>
  <c r="T27" i="19" s="1"/>
  <c r="J8" i="5"/>
  <c r="J149" i="5" s="1"/>
  <c r="U34" i="18"/>
  <c r="T29" i="19" s="1"/>
  <c r="J38" i="5"/>
  <c r="J157" i="5" s="1"/>
  <c r="R73" i="18"/>
  <c r="S73" i="18"/>
  <c r="AE55" i="18"/>
  <c r="AF55" i="18" s="1"/>
  <c r="AG55" i="18" s="1"/>
  <c r="J143" i="5"/>
  <c r="R92" i="18"/>
  <c r="S92" i="18"/>
  <c r="AV11" i="13"/>
  <c r="AX6" i="13"/>
  <c r="AX11" i="13" s="1"/>
  <c r="W167" i="13"/>
  <c r="W12" i="13"/>
  <c r="U22" i="13"/>
  <c r="U118" i="13" s="1"/>
  <c r="U123" i="13" s="1"/>
  <c r="U130" i="13" s="1"/>
  <c r="U153" i="13"/>
  <c r="AV12" i="13"/>
  <c r="H17" i="17"/>
  <c r="H18" i="17" s="1"/>
  <c r="I18" i="16"/>
  <c r="T183" i="12"/>
  <c r="AH6" i="12"/>
  <c r="AI6" i="12"/>
  <c r="AF9" i="12"/>
  <c r="AF11" i="12" s="1"/>
  <c r="AF12" i="12"/>
  <c r="AK6" i="12"/>
  <c r="AF167" i="12"/>
  <c r="AB167" i="12"/>
  <c r="J37" i="5"/>
  <c r="J154" i="5" s="1"/>
  <c r="H73" i="5"/>
  <c r="J15" i="5"/>
  <c r="J22" i="5" s="1"/>
  <c r="J47" i="5"/>
  <c r="J159" i="5" s="1"/>
  <c r="K10" i="5"/>
  <c r="AY167" i="13"/>
  <c r="BA99" i="12"/>
  <c r="BB97" i="12"/>
  <c r="BB99" i="12" s="1"/>
  <c r="U7" i="18"/>
  <c r="T153" i="13"/>
  <c r="T178" i="13" s="1"/>
  <c r="T181" i="13" s="1"/>
  <c r="T22" i="13"/>
  <c r="T23" i="4"/>
  <c r="N170" i="3"/>
  <c r="P50" i="3"/>
  <c r="N50" i="4"/>
  <c r="N170" i="4" s="1"/>
  <c r="N91" i="4"/>
  <c r="L139" i="4"/>
  <c r="N39" i="3"/>
  <c r="L158" i="3"/>
  <c r="L39" i="4"/>
  <c r="L158" i="4" s="1"/>
  <c r="AV167" i="13"/>
  <c r="AX167" i="13" s="1"/>
  <c r="W22" i="12"/>
  <c r="W118" i="12" s="1"/>
  <c r="W123" i="12" s="1"/>
  <c r="W130" i="12" s="1"/>
  <c r="W153" i="12"/>
  <c r="W178" i="12" s="1"/>
  <c r="W181" i="12" s="1"/>
  <c r="W11" i="12"/>
  <c r="BB101" i="12"/>
  <c r="BB106" i="12" s="1"/>
  <c r="BA106" i="12"/>
  <c r="BB58" i="13"/>
  <c r="BB64" i="13" s="1"/>
  <c r="BA64" i="13"/>
  <c r="N7" i="3"/>
  <c r="L150" i="3"/>
  <c r="L7" i="4"/>
  <c r="L150" i="4" s="1"/>
  <c r="K7" i="5"/>
  <c r="K150" i="5" s="1"/>
  <c r="U119" i="18"/>
  <c r="U29" i="18"/>
  <c r="U32" i="18" s="1"/>
  <c r="AS178" i="13"/>
  <c r="AS181" i="13" s="1"/>
  <c r="M25" i="19"/>
  <c r="N25" i="19"/>
  <c r="O25" i="19"/>
  <c r="X12" i="13"/>
  <c r="X22" i="13" s="1"/>
  <c r="X118" i="13" s="1"/>
  <c r="X123" i="13" s="1"/>
  <c r="X130" i="13" s="1"/>
  <c r="N128" i="3"/>
  <c r="V125" i="18"/>
  <c r="K128" i="5"/>
  <c r="L181" i="3"/>
  <c r="L130" i="3"/>
  <c r="P23" i="3"/>
  <c r="N162" i="3"/>
  <c r="W23" i="18"/>
  <c r="V31" i="19" s="1"/>
  <c r="L23" i="5"/>
  <c r="L162" i="5" s="1"/>
  <c r="N49" i="3"/>
  <c r="L49" i="4"/>
  <c r="L174" i="4" s="1"/>
  <c r="L174" i="3"/>
  <c r="AB9" i="12"/>
  <c r="AB173" i="12" s="1"/>
  <c r="AC9" i="12"/>
  <c r="Z173" i="12"/>
  <c r="V10" i="18"/>
  <c r="BB70" i="13"/>
  <c r="BB73" i="13" s="1"/>
  <c r="BA73" i="13"/>
  <c r="J119" i="5"/>
  <c r="K108" i="5"/>
  <c r="U47" i="18"/>
  <c r="T28" i="19" s="1"/>
  <c r="AB7" i="19"/>
  <c r="AC7" i="19" s="1"/>
  <c r="S7" i="19" s="1"/>
  <c r="AD73" i="18"/>
  <c r="T103" i="4"/>
  <c r="R140" i="4"/>
  <c r="R108" i="4"/>
  <c r="AS118" i="13"/>
  <c r="AS123" i="13" s="1"/>
  <c r="AS130" i="13" s="1"/>
  <c r="R178" i="13"/>
  <c r="R181" i="13" s="1"/>
  <c r="X153" i="13"/>
  <c r="BA12" i="13"/>
  <c r="AZ22" i="13"/>
  <c r="W9" i="13"/>
  <c r="W173" i="13" s="1"/>
  <c r="AY173" i="13" s="1"/>
  <c r="U173" i="13"/>
  <c r="X173" i="13" s="1"/>
  <c r="AV173" i="13"/>
  <c r="AX173" i="13" s="1"/>
  <c r="J36" i="5"/>
  <c r="J173" i="5" s="1"/>
  <c r="N36" i="3"/>
  <c r="L36" i="4"/>
  <c r="L173" i="4" s="1"/>
  <c r="L173" i="3"/>
  <c r="X153" i="12"/>
  <c r="X178" i="12" s="1"/>
  <c r="X181" i="12" s="1"/>
  <c r="X183" i="12" s="1"/>
  <c r="U178" i="12"/>
  <c r="U181" i="12" s="1"/>
  <c r="U183" i="12" s="1"/>
  <c r="U49" i="18"/>
  <c r="T43" i="19" s="1"/>
  <c r="F178" i="12"/>
  <c r="F181" i="12" s="1"/>
  <c r="T11" i="13"/>
  <c r="N129" i="3"/>
  <c r="V126" i="18"/>
  <c r="K129" i="5"/>
  <c r="BA6" i="12"/>
  <c r="AZ11" i="12"/>
  <c r="K92" i="5"/>
  <c r="K156" i="5" s="1"/>
  <c r="L156" i="4"/>
  <c r="N92" i="4"/>
  <c r="V92" i="18"/>
  <c r="U25" i="19" s="1"/>
  <c r="AB12" i="12"/>
  <c r="AC12" i="12"/>
  <c r="Z22" i="12"/>
  <c r="Z118" i="12" s="1"/>
  <c r="Z123" i="12" s="1"/>
  <c r="Z130" i="12" s="1"/>
  <c r="Z183" i="12" s="1"/>
  <c r="Z153" i="12"/>
  <c r="Z178" i="12" s="1"/>
  <c r="Z181" i="12" s="1"/>
  <c r="AE6" i="12"/>
  <c r="AC167" i="12"/>
  <c r="AC11" i="12"/>
  <c r="U64" i="5"/>
  <c r="V62" i="5"/>
  <c r="V64" i="5" s="1"/>
  <c r="V6" i="4"/>
  <c r="X6" i="4"/>
  <c r="BA108" i="12"/>
  <c r="AZ117" i="12"/>
  <c r="BA55" i="12"/>
  <c r="AZ56" i="12"/>
  <c r="AZ57" i="12" s="1"/>
  <c r="J155" i="5"/>
  <c r="T24" i="19"/>
  <c r="U22" i="18"/>
  <c r="J130" i="5"/>
  <c r="J181" i="5"/>
  <c r="H180" i="4"/>
  <c r="H183" i="4" s="1"/>
  <c r="N37" i="3"/>
  <c r="L154" i="3"/>
  <c r="L37" i="4"/>
  <c r="L154" i="4" s="1"/>
  <c r="N110" i="3"/>
  <c r="V110" i="18"/>
  <c r="K110" i="5"/>
  <c r="L119" i="3"/>
  <c r="P163" i="4"/>
  <c r="M112" i="5"/>
  <c r="M163" i="5" s="1"/>
  <c r="R112" i="4"/>
  <c r="W102" i="18"/>
  <c r="P102" i="3"/>
  <c r="L102" i="5"/>
  <c r="N108" i="3"/>
  <c r="P89" i="3"/>
  <c r="BA88" i="13"/>
  <c r="AZ93" i="13"/>
  <c r="N127" i="4"/>
  <c r="L181" i="4"/>
  <c r="L130" i="4"/>
  <c r="V124" i="18"/>
  <c r="K127" i="5"/>
  <c r="N34" i="3"/>
  <c r="L160" i="3"/>
  <c r="L34" i="4"/>
  <c r="K34" i="5" s="1"/>
  <c r="L44" i="3"/>
  <c r="N38" i="3"/>
  <c r="L157" i="3"/>
  <c r="L38" i="4"/>
  <c r="L157" i="4" s="1"/>
  <c r="R12" i="4"/>
  <c r="W105" i="18"/>
  <c r="P105" i="3"/>
  <c r="L105" i="5"/>
  <c r="T14" i="19"/>
  <c r="N15" i="3"/>
  <c r="L15" i="4"/>
  <c r="K15" i="5" s="1"/>
  <c r="L145" i="3"/>
  <c r="J32" i="5"/>
  <c r="J151" i="5"/>
  <c r="L32" i="3"/>
  <c r="N29" i="3"/>
  <c r="L29" i="4"/>
  <c r="K29" i="5" s="1"/>
  <c r="L151" i="3"/>
  <c r="N47" i="3"/>
  <c r="L159" i="3"/>
  <c r="L47" i="4"/>
  <c r="L159" i="4" s="1"/>
  <c r="N51" i="3"/>
  <c r="L167" i="3"/>
  <c r="L51" i="4"/>
  <c r="L167" i="4" s="1"/>
  <c r="N114" i="3"/>
  <c r="L147" i="3"/>
  <c r="K114" i="5"/>
  <c r="K147" i="5" s="1"/>
  <c r="V114" i="18"/>
  <c r="U16" i="19" s="1"/>
  <c r="W19" i="18"/>
  <c r="V34" i="19" s="1"/>
  <c r="P19" i="4"/>
  <c r="L19" i="5"/>
  <c r="L165" i="5" s="1"/>
  <c r="N165" i="4"/>
  <c r="P161" i="4"/>
  <c r="R117" i="4"/>
  <c r="P113" i="4"/>
  <c r="N148" i="4"/>
  <c r="J44" i="4"/>
  <c r="AH113" i="13"/>
  <c r="AE174" i="13"/>
  <c r="AE178" i="13" s="1"/>
  <c r="AE181" i="13" s="1"/>
  <c r="AE117" i="13"/>
  <c r="AE118" i="13" s="1"/>
  <c r="AE123" i="13" s="1"/>
  <c r="AE130" i="13" s="1"/>
  <c r="AX75" i="13"/>
  <c r="AX78" i="13" s="1"/>
  <c r="AV78" i="13"/>
  <c r="Z178" i="13"/>
  <c r="Z181" i="13" s="1"/>
  <c r="AV136" i="13"/>
  <c r="AB10" i="3"/>
  <c r="N10" i="4"/>
  <c r="J56" i="4"/>
  <c r="J57" i="4" s="1"/>
  <c r="J153" i="4"/>
  <c r="J57" i="3"/>
  <c r="J120" i="3" s="1"/>
  <c r="J125" i="3" s="1"/>
  <c r="J132" i="3" s="1"/>
  <c r="H153" i="5"/>
  <c r="H180" i="5" s="1"/>
  <c r="H183" i="5" s="1"/>
  <c r="H56" i="5"/>
  <c r="H57" i="5" s="1"/>
  <c r="N52" i="3"/>
  <c r="L172" i="3"/>
  <c r="L52" i="4"/>
  <c r="L172" i="4" s="1"/>
  <c r="N72" i="3"/>
  <c r="L72" i="4"/>
  <c r="V71" i="18" s="1"/>
  <c r="J180" i="3"/>
  <c r="J183" i="3" s="1"/>
  <c r="N91" i="3"/>
  <c r="L139" i="3"/>
  <c r="V91" i="18"/>
  <c r="U8" i="19" s="1"/>
  <c r="K91" i="5"/>
  <c r="K139" i="5" s="1"/>
  <c r="P164" i="4"/>
  <c r="R16" i="4"/>
  <c r="O132" i="3"/>
  <c r="U93" i="18"/>
  <c r="J124" i="5"/>
  <c r="J179" i="5"/>
  <c r="N118" i="3"/>
  <c r="V118" i="18"/>
  <c r="K118" i="5"/>
  <c r="L93" i="4"/>
  <c r="N89" i="4"/>
  <c r="L89" i="5" s="1"/>
  <c r="K130" i="4"/>
  <c r="K132" i="4" s="1"/>
  <c r="K181" i="4"/>
  <c r="K183" i="4" s="1"/>
  <c r="M127" i="4"/>
  <c r="J149" i="4"/>
  <c r="J11" i="4"/>
  <c r="N8" i="3"/>
  <c r="L149" i="3"/>
  <c r="L8" i="4"/>
  <c r="V8" i="18" s="1"/>
  <c r="U18" i="19" s="1"/>
  <c r="P114" i="4"/>
  <c r="N147" i="4"/>
  <c r="H22" i="5"/>
  <c r="T48" i="19"/>
  <c r="U122" i="18"/>
  <c r="N122" i="4"/>
  <c r="L179" i="4"/>
  <c r="L124" i="4"/>
  <c r="V121" i="18"/>
  <c r="K122" i="5"/>
  <c r="J22" i="4"/>
  <c r="J145" i="4"/>
  <c r="T20" i="19"/>
  <c r="J32" i="4"/>
  <c r="J151" i="4"/>
  <c r="J51" i="5"/>
  <c r="J167" i="5" s="1"/>
  <c r="J73" i="4"/>
  <c r="J143" i="4"/>
  <c r="L73" i="3"/>
  <c r="L143" i="3"/>
  <c r="L68" i="4"/>
  <c r="V67" i="18" s="1"/>
  <c r="N68" i="3"/>
  <c r="N77" i="3"/>
  <c r="L77" i="4"/>
  <c r="V76" i="18" s="1"/>
  <c r="L166" i="3"/>
  <c r="L78" i="3"/>
  <c r="N116" i="3"/>
  <c r="K116" i="5"/>
  <c r="V116" i="18"/>
  <c r="P109" i="4"/>
  <c r="N119" i="4"/>
  <c r="T46" i="19"/>
  <c r="P103" i="3"/>
  <c r="N140" i="3"/>
  <c r="W103" i="18"/>
  <c r="V9" i="19" s="1"/>
  <c r="L103" i="5"/>
  <c r="L140" i="5" s="1"/>
  <c r="AB136" i="13"/>
  <c r="AB78" i="13"/>
  <c r="AB118" i="13" s="1"/>
  <c r="AB123" i="13" s="1"/>
  <c r="AB130" i="13" s="1"/>
  <c r="F120" i="5"/>
  <c r="F125" i="5" s="1"/>
  <c r="F132" i="5" s="1"/>
  <c r="F185" i="5" s="1"/>
  <c r="N6" i="3"/>
  <c r="V6" i="18"/>
  <c r="L169" i="3"/>
  <c r="L11" i="3"/>
  <c r="L12" i="3"/>
  <c r="K6" i="5"/>
  <c r="U45" i="18"/>
  <c r="J45" i="5"/>
  <c r="L56" i="3"/>
  <c r="L153" i="3"/>
  <c r="L45" i="4"/>
  <c r="V45" i="18" s="1"/>
  <c r="N45" i="3"/>
  <c r="U48" i="18"/>
  <c r="T13" i="19" s="1"/>
  <c r="J48" i="5"/>
  <c r="J144" i="5" s="1"/>
  <c r="N48" i="3"/>
  <c r="L144" i="3"/>
  <c r="L48" i="4"/>
  <c r="L144" i="4" s="1"/>
  <c r="J73" i="5"/>
  <c r="N113" i="3"/>
  <c r="K113" i="5"/>
  <c r="K148" i="5" s="1"/>
  <c r="L148" i="3"/>
  <c r="V113" i="18"/>
  <c r="U17" i="19" s="1"/>
  <c r="N115" i="3"/>
  <c r="L176" i="3"/>
  <c r="V115" i="18"/>
  <c r="U45" i="19" s="1"/>
  <c r="K115" i="5"/>
  <c r="K176" i="5" s="1"/>
  <c r="N117" i="3"/>
  <c r="K117" i="5"/>
  <c r="K161" i="5" s="1"/>
  <c r="L161" i="3"/>
  <c r="V117" i="18"/>
  <c r="U30" i="19" s="1"/>
  <c r="S128" i="3"/>
  <c r="Q130" i="3"/>
  <c r="Q181" i="3"/>
  <c r="Q124" i="3"/>
  <c r="Q125" i="3" s="1"/>
  <c r="S122" i="3"/>
  <c r="Q179" i="3"/>
  <c r="Q180" i="3" s="1"/>
  <c r="U77" i="18"/>
  <c r="P179" i="3"/>
  <c r="P124" i="3"/>
  <c r="R122" i="3"/>
  <c r="U66" i="5"/>
  <c r="T67" i="5"/>
  <c r="V46" i="19"/>
  <c r="L33" i="5"/>
  <c r="N177" i="4"/>
  <c r="AF64" i="18"/>
  <c r="AE66" i="18"/>
  <c r="R127" i="3"/>
  <c r="W75" i="18"/>
  <c r="U46" i="19"/>
  <c r="R33" i="3"/>
  <c r="P33" i="4"/>
  <c r="M33" i="5" s="1"/>
  <c r="P177" i="3"/>
  <c r="F17" i="17"/>
  <c r="E17" i="17"/>
  <c r="E18" i="17" s="1"/>
  <c r="J17" i="16"/>
  <c r="E18" i="16"/>
  <c r="P76" i="4"/>
  <c r="X75" i="18" s="1"/>
  <c r="R76" i="3"/>
  <c r="N155" i="4"/>
  <c r="T109" i="3"/>
  <c r="X109" i="18"/>
  <c r="R109" i="3"/>
  <c r="M109" i="5"/>
  <c r="BA82" i="12"/>
  <c r="AZ86" i="12"/>
  <c r="AZ118" i="12" s="1"/>
  <c r="AZ123" i="12" s="1"/>
  <c r="AZ130" i="12" s="1"/>
  <c r="BA113" i="13"/>
  <c r="AZ117" i="13"/>
  <c r="AZ118" i="13" s="1"/>
  <c r="AZ123" i="13" s="1"/>
  <c r="AZ130" i="13" s="1"/>
  <c r="Z118" i="4"/>
  <c r="AB115" i="4"/>
  <c r="AC115" i="4" s="1"/>
  <c r="AD115" i="4" s="1"/>
  <c r="AE115" i="4" s="1"/>
  <c r="Z176" i="4"/>
  <c r="AB176" i="4" s="1"/>
  <c r="AE20" i="4"/>
  <c r="N33" i="16"/>
  <c r="O33" i="16" s="1"/>
  <c r="H28" i="17"/>
  <c r="V27" i="5"/>
  <c r="H6" i="17"/>
  <c r="I9" i="16"/>
  <c r="I23" i="16" s="1"/>
  <c r="H29" i="17"/>
  <c r="H12" i="17"/>
  <c r="H7" i="17"/>
  <c r="H18" i="16"/>
  <c r="G16" i="17"/>
  <c r="G18" i="17" s="1"/>
  <c r="N16" i="16"/>
  <c r="O16" i="16" s="1"/>
  <c r="H11" i="17"/>
  <c r="N25" i="16"/>
  <c r="O25" i="16" s="1"/>
  <c r="H24" i="17"/>
  <c r="N23" i="21" l="1"/>
  <c r="O23" i="21" s="1"/>
  <c r="I36" i="21"/>
  <c r="F18" i="17"/>
  <c r="F18" i="16"/>
  <c r="G18" i="16"/>
  <c r="K185" i="4"/>
  <c r="Q183" i="3"/>
  <c r="V34" i="18"/>
  <c r="U29" i="19" s="1"/>
  <c r="L152" i="4"/>
  <c r="K53" i="5"/>
  <c r="K152" i="5" s="1"/>
  <c r="V53" i="18"/>
  <c r="U21" i="19" s="1"/>
  <c r="P35" i="3"/>
  <c r="L35" i="5"/>
  <c r="L146" i="5" s="1"/>
  <c r="N146" i="3"/>
  <c r="W35" i="18"/>
  <c r="V15" i="19" s="1"/>
  <c r="N35" i="4"/>
  <c r="N146" i="4" s="1"/>
  <c r="P53" i="3"/>
  <c r="N152" i="3"/>
  <c r="N53" i="4"/>
  <c r="V35" i="18"/>
  <c r="U15" i="19" s="1"/>
  <c r="K35" i="5"/>
  <c r="K146" i="5" s="1"/>
  <c r="N18" i="16"/>
  <c r="O18" i="16" s="1"/>
  <c r="W50" i="18"/>
  <c r="V39" i="19" s="1"/>
  <c r="P16" i="3"/>
  <c r="N164" i="3"/>
  <c r="W16" i="18"/>
  <c r="V33" i="19" s="1"/>
  <c r="L16" i="5"/>
  <c r="L164" i="5" s="1"/>
  <c r="L111" i="5"/>
  <c r="P111" i="3"/>
  <c r="W111" i="18"/>
  <c r="K47" i="5"/>
  <c r="K159" i="5" s="1"/>
  <c r="P19" i="3"/>
  <c r="N165" i="3"/>
  <c r="P163" i="3"/>
  <c r="R112" i="3"/>
  <c r="N112" i="5" s="1"/>
  <c r="N163" i="5" s="1"/>
  <c r="Q132" i="3"/>
  <c r="T12" i="19"/>
  <c r="J78" i="5"/>
  <c r="J120" i="4"/>
  <c r="J125" i="4" s="1"/>
  <c r="J132" i="4" s="1"/>
  <c r="U72" i="18"/>
  <c r="J11" i="5"/>
  <c r="K36" i="5"/>
  <c r="K173" i="5" s="1"/>
  <c r="J145" i="5"/>
  <c r="J44" i="5"/>
  <c r="U44" i="18"/>
  <c r="J180" i="4"/>
  <c r="J183" i="4" s="1"/>
  <c r="J185" i="4" s="1"/>
  <c r="K8" i="5"/>
  <c r="K149" i="5" s="1"/>
  <c r="V93" i="18"/>
  <c r="V36" i="18"/>
  <c r="U42" i="19" s="1"/>
  <c r="K49" i="5"/>
  <c r="K174" i="5" s="1"/>
  <c r="L50" i="5"/>
  <c r="L170" i="5" s="1"/>
  <c r="S27" i="18"/>
  <c r="R27" i="18"/>
  <c r="Q7" i="19"/>
  <c r="R7" i="19"/>
  <c r="K48" i="5"/>
  <c r="K144" i="5" s="1"/>
  <c r="K45" i="5"/>
  <c r="K153" i="5" s="1"/>
  <c r="V52" i="18"/>
  <c r="U41" i="19" s="1"/>
  <c r="H120" i="5"/>
  <c r="H125" i="5" s="1"/>
  <c r="H132" i="5" s="1"/>
  <c r="H185" i="5" s="1"/>
  <c r="V38" i="18"/>
  <c r="U26" i="19" s="1"/>
  <c r="AE11" i="12"/>
  <c r="AE167" i="12"/>
  <c r="AB22" i="12"/>
  <c r="AB153" i="12"/>
  <c r="AB178" i="12" s="1"/>
  <c r="AB181" i="12" s="1"/>
  <c r="AE9" i="12"/>
  <c r="AE173" i="12" s="1"/>
  <c r="AC173" i="12"/>
  <c r="N139" i="4"/>
  <c r="P91" i="4"/>
  <c r="R50" i="3"/>
  <c r="P170" i="3"/>
  <c r="P50" i="4"/>
  <c r="P170" i="4" s="1"/>
  <c r="AV22" i="13"/>
  <c r="AX12" i="13"/>
  <c r="AX22" i="13" s="1"/>
  <c r="P129" i="3"/>
  <c r="W126" i="18"/>
  <c r="L129" i="5"/>
  <c r="T108" i="4"/>
  <c r="V103" i="4"/>
  <c r="T140" i="4"/>
  <c r="Q25" i="19"/>
  <c r="R25" i="19"/>
  <c r="N7" i="4"/>
  <c r="W7" i="18" s="1"/>
  <c r="V19" i="19" s="1"/>
  <c r="N150" i="3"/>
  <c r="P7" i="3"/>
  <c r="V39" i="18"/>
  <c r="U27" i="19" s="1"/>
  <c r="V23" i="4"/>
  <c r="T162" i="4"/>
  <c r="T19" i="19"/>
  <c r="U11" i="18"/>
  <c r="AH9" i="12"/>
  <c r="AH173" i="12" s="1"/>
  <c r="AI9" i="12"/>
  <c r="AI11" i="12" s="1"/>
  <c r="AF173" i="12"/>
  <c r="U178" i="13"/>
  <c r="U181" i="13" s="1"/>
  <c r="AV153" i="13"/>
  <c r="AX153" i="13" s="1"/>
  <c r="W11" i="13"/>
  <c r="K77" i="5"/>
  <c r="K166" i="5" s="1"/>
  <c r="K68" i="5"/>
  <c r="K72" i="5"/>
  <c r="K143" i="5" s="1"/>
  <c r="AV118" i="13"/>
  <c r="AV123" i="13" s="1"/>
  <c r="AV130" i="13" s="1"/>
  <c r="W92" i="18"/>
  <c r="V25" i="19" s="1"/>
  <c r="N156" i="4"/>
  <c r="P92" i="4"/>
  <c r="L92" i="5"/>
  <c r="L156" i="5" s="1"/>
  <c r="BA11" i="12"/>
  <c r="BB6" i="12"/>
  <c r="BB11" i="12" s="1"/>
  <c r="N36" i="4"/>
  <c r="N173" i="4" s="1"/>
  <c r="P36" i="3"/>
  <c r="N173" i="3"/>
  <c r="BB12" i="13"/>
  <c r="BB22" i="13" s="1"/>
  <c r="BA22" i="13"/>
  <c r="AE73" i="18"/>
  <c r="AF73" i="18" s="1"/>
  <c r="AG73" i="18" s="1"/>
  <c r="V49" i="18"/>
  <c r="U43" i="19" s="1"/>
  <c r="P49" i="3"/>
  <c r="N174" i="3"/>
  <c r="N49" i="4"/>
  <c r="N174" i="4" s="1"/>
  <c r="R23" i="3"/>
  <c r="P162" i="3"/>
  <c r="M23" i="5"/>
  <c r="M162" i="5" s="1"/>
  <c r="X23" i="18"/>
  <c r="W31" i="19" s="1"/>
  <c r="V7" i="18"/>
  <c r="U19" i="19" s="1"/>
  <c r="N158" i="3"/>
  <c r="P39" i="3"/>
  <c r="N39" i="4"/>
  <c r="N158" i="4" s="1"/>
  <c r="AM6" i="12"/>
  <c r="AK12" i="12"/>
  <c r="AN6" i="12"/>
  <c r="AK9" i="12"/>
  <c r="AK167" i="12"/>
  <c r="AK11" i="12"/>
  <c r="I36" i="16"/>
  <c r="V48" i="18"/>
  <c r="U13" i="19" s="1"/>
  <c r="AX118" i="13"/>
  <c r="AX123" i="13" s="1"/>
  <c r="AX130" i="13" s="1"/>
  <c r="V47" i="18"/>
  <c r="U28" i="19" s="1"/>
  <c r="AE12" i="12"/>
  <c r="AC153" i="12"/>
  <c r="AC178" i="12" s="1"/>
  <c r="AC181" i="12" s="1"/>
  <c r="AC22" i="12"/>
  <c r="AC118" i="12" s="1"/>
  <c r="AC123" i="12" s="1"/>
  <c r="AC130" i="12" s="1"/>
  <c r="X178" i="13"/>
  <c r="X181" i="13" s="1"/>
  <c r="W125" i="18"/>
  <c r="L128" i="5"/>
  <c r="P128" i="3"/>
  <c r="N130" i="3"/>
  <c r="N181" i="3"/>
  <c r="W183" i="12"/>
  <c r="K39" i="5"/>
  <c r="K158" i="5" s="1"/>
  <c r="T118" i="13"/>
  <c r="T123" i="13" s="1"/>
  <c r="T130" i="13" s="1"/>
  <c r="AB11" i="12"/>
  <c r="AH12" i="12"/>
  <c r="AI12" i="12"/>
  <c r="AI22" i="12" s="1"/>
  <c r="AF22" i="12"/>
  <c r="AF118" i="12" s="1"/>
  <c r="AF123" i="12" s="1"/>
  <c r="AF130" i="12" s="1"/>
  <c r="AF153" i="12"/>
  <c r="AF178" i="12" s="1"/>
  <c r="AF181" i="12" s="1"/>
  <c r="AH167" i="12"/>
  <c r="AH11" i="12"/>
  <c r="W153" i="13"/>
  <c r="W22" i="13"/>
  <c r="U35" i="19"/>
  <c r="V77" i="18"/>
  <c r="K160" i="5"/>
  <c r="S124" i="3"/>
  <c r="U122" i="3"/>
  <c r="S179" i="3"/>
  <c r="S180" i="3" s="1"/>
  <c r="S183" i="3" s="1"/>
  <c r="U128" i="3"/>
  <c r="S130" i="3"/>
  <c r="S181" i="3"/>
  <c r="N161" i="3"/>
  <c r="L117" i="5"/>
  <c r="L161" i="5" s="1"/>
  <c r="P117" i="3"/>
  <c r="W117" i="18"/>
  <c r="V30" i="19" s="1"/>
  <c r="P115" i="3"/>
  <c r="N176" i="3"/>
  <c r="L115" i="5"/>
  <c r="L176" i="5" s="1"/>
  <c r="W115" i="18"/>
  <c r="V45" i="19" s="1"/>
  <c r="P48" i="3"/>
  <c r="N144" i="3"/>
  <c r="N48" i="4"/>
  <c r="N144" i="4" s="1"/>
  <c r="U22" i="19"/>
  <c r="L153" i="4"/>
  <c r="L56" i="4"/>
  <c r="T22" i="19"/>
  <c r="U56" i="18"/>
  <c r="K169" i="5"/>
  <c r="U38" i="19"/>
  <c r="AY136" i="13"/>
  <c r="AB178" i="13"/>
  <c r="AB181" i="13" s="1"/>
  <c r="R109" i="4"/>
  <c r="P119" i="4"/>
  <c r="T109" i="4"/>
  <c r="P169" i="4"/>
  <c r="W116" i="18"/>
  <c r="P116" i="3"/>
  <c r="L116" i="5"/>
  <c r="P77" i="3"/>
  <c r="N77" i="4"/>
  <c r="L77" i="5" s="1"/>
  <c r="N166" i="3"/>
  <c r="N78" i="3"/>
  <c r="V72" i="18"/>
  <c r="U12" i="19"/>
  <c r="L143" i="4"/>
  <c r="L73" i="4"/>
  <c r="U48" i="19"/>
  <c r="V122" i="18"/>
  <c r="P147" i="4"/>
  <c r="R114" i="4"/>
  <c r="L149" i="4"/>
  <c r="L11" i="4"/>
  <c r="M130" i="4"/>
  <c r="M132" i="4" s="1"/>
  <c r="O127" i="4"/>
  <c r="M181" i="4"/>
  <c r="M183" i="4" s="1"/>
  <c r="M185" i="4" s="1"/>
  <c r="R164" i="4"/>
  <c r="T16" i="4"/>
  <c r="N139" i="3"/>
  <c r="P91" i="3"/>
  <c r="P93" i="3" s="1"/>
  <c r="L91" i="5"/>
  <c r="L139" i="5" s="1"/>
  <c r="W91" i="18"/>
  <c r="V8" i="19" s="1"/>
  <c r="N72" i="4"/>
  <c r="W71" i="18" s="1"/>
  <c r="P72" i="3"/>
  <c r="K52" i="5"/>
  <c r="K172" i="5" s="1"/>
  <c r="W10" i="18"/>
  <c r="AD10" i="18" s="1"/>
  <c r="N169" i="4"/>
  <c r="AB10" i="4"/>
  <c r="AC10" i="4" s="1"/>
  <c r="AD10" i="4" s="1"/>
  <c r="AE10" i="4" s="1"/>
  <c r="L10" i="5"/>
  <c r="S10" i="5" s="1"/>
  <c r="T10" i="5" s="1"/>
  <c r="U10" i="5" s="1"/>
  <c r="V10" i="5" s="1"/>
  <c r="AX136" i="13"/>
  <c r="AX178" i="13" s="1"/>
  <c r="AX181" i="13" s="1"/>
  <c r="AV178" i="13"/>
  <c r="AV181" i="13" s="1"/>
  <c r="AH117" i="13"/>
  <c r="AH118" i="13" s="1"/>
  <c r="AH123" i="13" s="1"/>
  <c r="AH130" i="13" s="1"/>
  <c r="AH174" i="13"/>
  <c r="T117" i="4"/>
  <c r="R161" i="4"/>
  <c r="M19" i="5"/>
  <c r="M165" i="5" s="1"/>
  <c r="R19" i="4"/>
  <c r="P165" i="4"/>
  <c r="V51" i="18"/>
  <c r="U36" i="19" s="1"/>
  <c r="K51" i="5"/>
  <c r="K167" i="5" s="1"/>
  <c r="P51" i="3"/>
  <c r="N51" i="4"/>
  <c r="N167" i="4" s="1"/>
  <c r="N167" i="3"/>
  <c r="K32" i="5"/>
  <c r="K151" i="5"/>
  <c r="V29" i="18"/>
  <c r="L151" i="4"/>
  <c r="L32" i="4"/>
  <c r="P15" i="3"/>
  <c r="N15" i="4"/>
  <c r="L15" i="5" s="1"/>
  <c r="N145" i="3"/>
  <c r="X105" i="18"/>
  <c r="R105" i="3"/>
  <c r="M105" i="5"/>
  <c r="K38" i="5"/>
  <c r="K157" i="5" s="1"/>
  <c r="L57" i="3"/>
  <c r="K181" i="5"/>
  <c r="K130" i="5"/>
  <c r="N130" i="4"/>
  <c r="N181" i="4"/>
  <c r="P127" i="4"/>
  <c r="W124" i="18"/>
  <c r="L127" i="5"/>
  <c r="BB88" i="13"/>
  <c r="BB93" i="13" s="1"/>
  <c r="BA93" i="13"/>
  <c r="W89" i="18"/>
  <c r="M102" i="5"/>
  <c r="R102" i="3"/>
  <c r="X102" i="18"/>
  <c r="P108" i="3"/>
  <c r="T112" i="4"/>
  <c r="R163" i="4"/>
  <c r="V119" i="18"/>
  <c r="V37" i="18"/>
  <c r="K37" i="5"/>
  <c r="K154" i="5" s="1"/>
  <c r="P37" i="3"/>
  <c r="N37" i="4"/>
  <c r="N154" i="4" s="1"/>
  <c r="N154" i="3"/>
  <c r="P113" i="3"/>
  <c r="X113" i="18" s="1"/>
  <c r="W17" i="19" s="1"/>
  <c r="N148" i="3"/>
  <c r="W113" i="18"/>
  <c r="V17" i="19" s="1"/>
  <c r="L113" i="5"/>
  <c r="L148" i="5" s="1"/>
  <c r="P45" i="3"/>
  <c r="N153" i="3"/>
  <c r="N56" i="3"/>
  <c r="N45" i="4"/>
  <c r="L45" i="5" s="1"/>
  <c r="J153" i="5"/>
  <c r="J56" i="5"/>
  <c r="L22" i="3"/>
  <c r="V12" i="18"/>
  <c r="L155" i="3"/>
  <c r="K12" i="5"/>
  <c r="N11" i="3"/>
  <c r="L6" i="5"/>
  <c r="W6" i="18"/>
  <c r="N12" i="3"/>
  <c r="N1" i="3"/>
  <c r="P1" i="3" s="1"/>
  <c r="P6" i="3"/>
  <c r="N169" i="3"/>
  <c r="P140" i="3"/>
  <c r="R103" i="3"/>
  <c r="M103" i="5"/>
  <c r="M140" i="5" s="1"/>
  <c r="X103" i="18"/>
  <c r="W9" i="19" s="1"/>
  <c r="L166" i="4"/>
  <c r="L78" i="4"/>
  <c r="N73" i="3"/>
  <c r="N68" i="4"/>
  <c r="W67" i="18" s="1"/>
  <c r="P68" i="3"/>
  <c r="N143" i="3"/>
  <c r="K179" i="5"/>
  <c r="K124" i="5"/>
  <c r="P122" i="4"/>
  <c r="N179" i="4"/>
  <c r="N124" i="4"/>
  <c r="W121" i="18"/>
  <c r="L122" i="5"/>
  <c r="P8" i="3"/>
  <c r="N8" i="4"/>
  <c r="W8" i="18" s="1"/>
  <c r="V18" i="19" s="1"/>
  <c r="N149" i="3"/>
  <c r="P89" i="4"/>
  <c r="N93" i="4"/>
  <c r="P118" i="3"/>
  <c r="L118" i="5"/>
  <c r="W118" i="18"/>
  <c r="L180" i="3"/>
  <c r="L183" i="3" s="1"/>
  <c r="N52" i="4"/>
  <c r="N172" i="4" s="1"/>
  <c r="N172" i="3"/>
  <c r="P52" i="3"/>
  <c r="P148" i="4"/>
  <c r="R113" i="4"/>
  <c r="P114" i="3"/>
  <c r="W114" i="18"/>
  <c r="V16" i="19" s="1"/>
  <c r="N147" i="3"/>
  <c r="L114" i="5"/>
  <c r="L147" i="5" s="1"/>
  <c r="P47" i="3"/>
  <c r="N47" i="4"/>
  <c r="N159" i="4" s="1"/>
  <c r="N159" i="3"/>
  <c r="N32" i="3"/>
  <c r="P29" i="3"/>
  <c r="N29" i="4"/>
  <c r="L29" i="5" s="1"/>
  <c r="N151" i="3"/>
  <c r="K145" i="5"/>
  <c r="V15" i="18"/>
  <c r="U14" i="19" s="1"/>
  <c r="L145" i="4"/>
  <c r="L22" i="4"/>
  <c r="T12" i="4"/>
  <c r="N38" i="4"/>
  <c r="N157" i="4" s="1"/>
  <c r="N157" i="3"/>
  <c r="P38" i="3"/>
  <c r="L160" i="4"/>
  <c r="L44" i="4"/>
  <c r="N34" i="4"/>
  <c r="W34" i="18" s="1"/>
  <c r="N160" i="3"/>
  <c r="P34" i="3"/>
  <c r="N44" i="3"/>
  <c r="U50" i="19"/>
  <c r="V127" i="18"/>
  <c r="K93" i="5"/>
  <c r="M89" i="5"/>
  <c r="R89" i="3"/>
  <c r="X89" i="18"/>
  <c r="N93" i="3"/>
  <c r="L108" i="5"/>
  <c r="W108" i="18"/>
  <c r="K119" i="5"/>
  <c r="P110" i="3"/>
  <c r="W110" i="18"/>
  <c r="L110" i="5"/>
  <c r="N119" i="3"/>
  <c r="BB55" i="12"/>
  <c r="BB56" i="12" s="1"/>
  <c r="BB57" i="12" s="1"/>
  <c r="BA56" i="12"/>
  <c r="BA57" i="12" s="1"/>
  <c r="BB108" i="12"/>
  <c r="BB117" i="12" s="1"/>
  <c r="BA117" i="12"/>
  <c r="Z6" i="4"/>
  <c r="M76" i="5"/>
  <c r="H14" i="17"/>
  <c r="R76" i="4"/>
  <c r="N76" i="5" s="1"/>
  <c r="T76" i="3"/>
  <c r="P155" i="4"/>
  <c r="X33" i="18"/>
  <c r="P177" i="4"/>
  <c r="L177" i="5"/>
  <c r="U67" i="5"/>
  <c r="V66" i="5"/>
  <c r="V67" i="5" s="1"/>
  <c r="R124" i="3"/>
  <c r="T122" i="3"/>
  <c r="R179" i="3"/>
  <c r="N109" i="5"/>
  <c r="Y109" i="18"/>
  <c r="V109" i="3"/>
  <c r="D109" i="18" s="1"/>
  <c r="Z109" i="18"/>
  <c r="O109" i="5"/>
  <c r="K17" i="16"/>
  <c r="J18" i="16"/>
  <c r="M177" i="5"/>
  <c r="T33" i="3"/>
  <c r="R33" i="4"/>
  <c r="N33" i="5" s="1"/>
  <c r="R177" i="3"/>
  <c r="T127" i="3"/>
  <c r="AG64" i="18"/>
  <c r="AG66" i="18" s="1"/>
  <c r="AF66" i="18"/>
  <c r="BB113" i="13"/>
  <c r="BB117" i="13" s="1"/>
  <c r="BB118" i="13" s="1"/>
  <c r="BB123" i="13" s="1"/>
  <c r="BB130" i="13" s="1"/>
  <c r="BA117" i="13"/>
  <c r="BA86" i="12"/>
  <c r="BA118" i="12" s="1"/>
  <c r="BA123" i="12" s="1"/>
  <c r="BA130" i="12" s="1"/>
  <c r="BB82" i="12"/>
  <c r="BB86" i="12" s="1"/>
  <c r="AB118" i="4"/>
  <c r="AC118" i="4" s="1"/>
  <c r="AD118" i="4" s="1"/>
  <c r="AE118" i="4" s="1"/>
  <c r="H9" i="17"/>
  <c r="N36" i="21" l="1"/>
  <c r="O36" i="21" s="1"/>
  <c r="I39" i="21"/>
  <c r="Q185" i="3"/>
  <c r="K73" i="5"/>
  <c r="R53" i="3"/>
  <c r="P152" i="3"/>
  <c r="P53" i="4"/>
  <c r="N57" i="3"/>
  <c r="L34" i="5"/>
  <c r="L160" i="5" s="1"/>
  <c r="P146" i="3"/>
  <c r="R35" i="3"/>
  <c r="P35" i="4"/>
  <c r="P146" i="4" s="1"/>
  <c r="M35" i="5"/>
  <c r="M146" i="5" s="1"/>
  <c r="N152" i="4"/>
  <c r="W53" i="18"/>
  <c r="V21" i="19" s="1"/>
  <c r="L53" i="5"/>
  <c r="L152" i="5" s="1"/>
  <c r="M111" i="5"/>
  <c r="X111" i="18"/>
  <c r="R111" i="3"/>
  <c r="R163" i="3"/>
  <c r="T112" i="3"/>
  <c r="O112" i="5" s="1"/>
  <c r="O163" i="5" s="1"/>
  <c r="R19" i="3"/>
  <c r="P165" i="3"/>
  <c r="R16" i="3"/>
  <c r="P164" i="3"/>
  <c r="M16" i="5"/>
  <c r="M164" i="5" s="1"/>
  <c r="X16" i="18"/>
  <c r="W33" i="19" s="1"/>
  <c r="L120" i="3"/>
  <c r="L125" i="3" s="1"/>
  <c r="L132" i="3" s="1"/>
  <c r="Y112" i="18"/>
  <c r="X32" i="19" s="1"/>
  <c r="X19" i="18"/>
  <c r="W34" i="19" s="1"/>
  <c r="S125" i="3"/>
  <c r="F109" i="18"/>
  <c r="G109" i="18"/>
  <c r="K11" i="5"/>
  <c r="J57" i="5"/>
  <c r="J120" i="5" s="1"/>
  <c r="J125" i="5" s="1"/>
  <c r="J132" i="5" s="1"/>
  <c r="L57" i="4"/>
  <c r="L120" i="4" s="1"/>
  <c r="L125" i="4" s="1"/>
  <c r="L132" i="4" s="1"/>
  <c r="J180" i="5"/>
  <c r="J183" i="5" s="1"/>
  <c r="W51" i="18"/>
  <c r="V36" i="19" s="1"/>
  <c r="V11" i="18"/>
  <c r="L48" i="5"/>
  <c r="L144" i="5" s="1"/>
  <c r="W15" i="18"/>
  <c r="V14" i="19" s="1"/>
  <c r="U78" i="18"/>
  <c r="U120" i="18" s="1"/>
  <c r="U123" i="18" s="1"/>
  <c r="U128" i="18" s="1"/>
  <c r="W47" i="18"/>
  <c r="V28" i="19" s="1"/>
  <c r="W76" i="18"/>
  <c r="V35" i="19" s="1"/>
  <c r="T49" i="19"/>
  <c r="T52" i="19" s="1"/>
  <c r="T54" i="19" s="1"/>
  <c r="L38" i="5"/>
  <c r="L157" i="5" s="1"/>
  <c r="L8" i="5"/>
  <c r="L149" i="5" s="1"/>
  <c r="L72" i="5"/>
  <c r="L36" i="5"/>
  <c r="L173" i="5" s="1"/>
  <c r="L52" i="5"/>
  <c r="L172" i="5" s="1"/>
  <c r="M50" i="5"/>
  <c r="M170" i="5" s="1"/>
  <c r="K78" i="5"/>
  <c r="H23" i="17"/>
  <c r="H30" i="17" s="1"/>
  <c r="R128" i="3"/>
  <c r="M128" i="5"/>
  <c r="X125" i="18"/>
  <c r="P181" i="3"/>
  <c r="P130" i="3"/>
  <c r="BB118" i="12"/>
  <c r="BB123" i="12" s="1"/>
  <c r="BB130" i="12" s="1"/>
  <c r="W119" i="18"/>
  <c r="L47" i="5"/>
  <c r="L159" i="5" s="1"/>
  <c r="W45" i="18"/>
  <c r="V22" i="19" s="1"/>
  <c r="W93" i="18"/>
  <c r="L51" i="5"/>
  <c r="L167" i="5" s="1"/>
  <c r="W118" i="13"/>
  <c r="W123" i="13" s="1"/>
  <c r="W130" i="13" s="1"/>
  <c r="AF183" i="12"/>
  <c r="AP6" i="12"/>
  <c r="AQ6" i="12"/>
  <c r="AN9" i="12"/>
  <c r="AN11" i="12"/>
  <c r="AN12" i="12"/>
  <c r="AN167" i="12"/>
  <c r="L39" i="5"/>
  <c r="L158" i="5" s="1"/>
  <c r="W49" i="18"/>
  <c r="V43" i="19" s="1"/>
  <c r="P36" i="4"/>
  <c r="P173" i="4" s="1"/>
  <c r="R36" i="3"/>
  <c r="P173" i="3"/>
  <c r="X36" i="18"/>
  <c r="W42" i="19" s="1"/>
  <c r="P150" i="3"/>
  <c r="P7" i="4"/>
  <c r="P150" i="4" s="1"/>
  <c r="R7" i="3"/>
  <c r="R129" i="3"/>
  <c r="M129" i="5"/>
  <c r="X126" i="18"/>
  <c r="T50" i="3"/>
  <c r="R170" i="3"/>
  <c r="R50" i="4"/>
  <c r="R170" i="4" s="1"/>
  <c r="BA118" i="13"/>
  <c r="BA123" i="13" s="1"/>
  <c r="BA130" i="13" s="1"/>
  <c r="K56" i="5"/>
  <c r="AI118" i="12"/>
  <c r="AI123" i="12" s="1"/>
  <c r="AI130" i="12" s="1"/>
  <c r="AI183" i="12" s="1"/>
  <c r="AC183" i="12"/>
  <c r="AM167" i="12"/>
  <c r="P158" i="3"/>
  <c r="P39" i="4"/>
  <c r="P158" i="4" s="1"/>
  <c r="R39" i="3"/>
  <c r="T23" i="3"/>
  <c r="R162" i="3"/>
  <c r="Y23" i="18"/>
  <c r="X31" i="19" s="1"/>
  <c r="N23" i="5"/>
  <c r="N162" i="5" s="1"/>
  <c r="W36" i="18"/>
  <c r="V42" i="19" s="1"/>
  <c r="P156" i="4"/>
  <c r="X92" i="18"/>
  <c r="W25" i="19" s="1"/>
  <c r="R92" i="4"/>
  <c r="M92" i="5"/>
  <c r="M156" i="5" s="1"/>
  <c r="V162" i="4"/>
  <c r="X23" i="4"/>
  <c r="L7" i="5"/>
  <c r="L150" i="5" s="1"/>
  <c r="N150" i="4"/>
  <c r="X50" i="18"/>
  <c r="W39" i="19" s="1"/>
  <c r="R91" i="4"/>
  <c r="P139" i="4"/>
  <c r="W178" i="13"/>
  <c r="W181" i="13" s="1"/>
  <c r="AY153" i="13"/>
  <c r="AM12" i="12"/>
  <c r="AK22" i="12"/>
  <c r="AK118" i="12" s="1"/>
  <c r="AK123" i="12" s="1"/>
  <c r="AK130" i="12" s="1"/>
  <c r="AK153" i="12"/>
  <c r="AK178" i="12" s="1"/>
  <c r="AK181" i="12" s="1"/>
  <c r="L119" i="5"/>
  <c r="L37" i="5"/>
  <c r="L154" i="5" s="1"/>
  <c r="AH22" i="12"/>
  <c r="AH118" i="12" s="1"/>
  <c r="AH123" i="12" s="1"/>
  <c r="AH130" i="12" s="1"/>
  <c r="AH153" i="12"/>
  <c r="AH178" i="12" s="1"/>
  <c r="AH181" i="12" s="1"/>
  <c r="AH183" i="12" s="1"/>
  <c r="AE153" i="12"/>
  <c r="AE178" i="12" s="1"/>
  <c r="AE181" i="12" s="1"/>
  <c r="AE183" i="12" s="1"/>
  <c r="AE22" i="12"/>
  <c r="AE118" i="12" s="1"/>
  <c r="AE123" i="12" s="1"/>
  <c r="AE130" i="12" s="1"/>
  <c r="AM9" i="12"/>
  <c r="AM173" i="12" s="1"/>
  <c r="AK173" i="12"/>
  <c r="W39" i="18"/>
  <c r="V27" i="19" s="1"/>
  <c r="L49" i="5"/>
  <c r="L174" i="5" s="1"/>
  <c r="P49" i="4"/>
  <c r="P174" i="4" s="1"/>
  <c r="R49" i="3"/>
  <c r="P174" i="3"/>
  <c r="X103" i="4"/>
  <c r="V108" i="4"/>
  <c r="V140" i="4"/>
  <c r="AB118" i="12"/>
  <c r="AB123" i="12" s="1"/>
  <c r="AB130" i="12" s="1"/>
  <c r="AB183" i="12" s="1"/>
  <c r="L32" i="5"/>
  <c r="L151" i="5"/>
  <c r="W72" i="18"/>
  <c r="V12" i="19"/>
  <c r="L153" i="5"/>
  <c r="P34" i="4"/>
  <c r="X34" i="18" s="1"/>
  <c r="P160" i="3"/>
  <c r="R34" i="3"/>
  <c r="P44" i="3"/>
  <c r="N160" i="4"/>
  <c r="N44" i="4"/>
  <c r="W38" i="18"/>
  <c r="V26" i="19" s="1"/>
  <c r="T113" i="4"/>
  <c r="R148" i="4"/>
  <c r="W52" i="18"/>
  <c r="V41" i="19" s="1"/>
  <c r="P93" i="4"/>
  <c r="R89" i="4"/>
  <c r="N149" i="4"/>
  <c r="N11" i="4"/>
  <c r="L179" i="5"/>
  <c r="L124" i="5"/>
  <c r="P124" i="4"/>
  <c r="R122" i="4"/>
  <c r="P179" i="4"/>
  <c r="M122" i="5"/>
  <c r="X121" i="18"/>
  <c r="R68" i="3"/>
  <c r="P68" i="4"/>
  <c r="M68" i="5" s="1"/>
  <c r="P143" i="3"/>
  <c r="P73" i="3"/>
  <c r="R140" i="3"/>
  <c r="N103" i="5"/>
  <c r="N140" i="5" s="1"/>
  <c r="T103" i="3"/>
  <c r="Y103" i="18"/>
  <c r="X9" i="19" s="1"/>
  <c r="W11" i="18"/>
  <c r="V38" i="19"/>
  <c r="P56" i="3"/>
  <c r="P153" i="3"/>
  <c r="P45" i="4"/>
  <c r="M45" i="5" s="1"/>
  <c r="R45" i="3"/>
  <c r="W37" i="18"/>
  <c r="V23" i="19" s="1"/>
  <c r="P37" i="4"/>
  <c r="P154" i="4" s="1"/>
  <c r="P154" i="3"/>
  <c r="R37" i="3"/>
  <c r="U23" i="19"/>
  <c r="V44" i="18"/>
  <c r="X108" i="18"/>
  <c r="M108" i="5"/>
  <c r="L130" i="5"/>
  <c r="L181" i="5"/>
  <c r="R127" i="4"/>
  <c r="P181" i="4"/>
  <c r="P130" i="4"/>
  <c r="X124" i="18"/>
  <c r="M127" i="5"/>
  <c r="L145" i="5"/>
  <c r="N145" i="4"/>
  <c r="N22" i="4"/>
  <c r="U20" i="19"/>
  <c r="V32" i="18"/>
  <c r="T19" i="4"/>
  <c r="Y19" i="18"/>
  <c r="X34" i="19" s="1"/>
  <c r="N19" i="5"/>
  <c r="N165" i="5" s="1"/>
  <c r="R165" i="4"/>
  <c r="AH178" i="13"/>
  <c r="AH181" i="13" s="1"/>
  <c r="AY174" i="13"/>
  <c r="P72" i="4"/>
  <c r="X71" i="18" s="1"/>
  <c r="R72" i="3"/>
  <c r="R91" i="3"/>
  <c r="R93" i="3" s="1"/>
  <c r="P139" i="3"/>
  <c r="X91" i="18"/>
  <c r="W8" i="19" s="1"/>
  <c r="M91" i="5"/>
  <c r="M139" i="5" s="1"/>
  <c r="T164" i="4"/>
  <c r="V16" i="4"/>
  <c r="T114" i="4"/>
  <c r="T119" i="4" s="1"/>
  <c r="R147" i="4"/>
  <c r="L180" i="4"/>
  <c r="L183" i="4" s="1"/>
  <c r="L185" i="4" s="1"/>
  <c r="N166" i="4"/>
  <c r="N78" i="4"/>
  <c r="R77" i="3"/>
  <c r="P77" i="4"/>
  <c r="X76" i="18" s="1"/>
  <c r="P166" i="3"/>
  <c r="P78" i="3"/>
  <c r="M116" i="5"/>
  <c r="X116" i="18"/>
  <c r="R116" i="3"/>
  <c r="W48" i="18"/>
  <c r="V13" i="19" s="1"/>
  <c r="W128" i="3"/>
  <c r="E125" i="18" s="1"/>
  <c r="U130" i="3"/>
  <c r="U181" i="3"/>
  <c r="W122" i="3"/>
  <c r="U124" i="3"/>
  <c r="U125" i="3" s="1"/>
  <c r="U179" i="3"/>
  <c r="U180" i="3" s="1"/>
  <c r="AB6" i="4"/>
  <c r="R110" i="3"/>
  <c r="M110" i="5"/>
  <c r="X110" i="18"/>
  <c r="P119" i="3"/>
  <c r="N89" i="5"/>
  <c r="T89" i="3"/>
  <c r="Y89" i="18"/>
  <c r="V29" i="19"/>
  <c r="P38" i="4"/>
  <c r="P157" i="4" s="1"/>
  <c r="P157" i="3"/>
  <c r="R38" i="3"/>
  <c r="V12" i="4"/>
  <c r="W29" i="18"/>
  <c r="N151" i="4"/>
  <c r="N32" i="4"/>
  <c r="P29" i="4"/>
  <c r="X29" i="18" s="1"/>
  <c r="P151" i="3"/>
  <c r="R29" i="3"/>
  <c r="P32" i="3"/>
  <c r="M29" i="5"/>
  <c r="R47" i="3"/>
  <c r="P159" i="3"/>
  <c r="P47" i="4"/>
  <c r="P159" i="4" s="1"/>
  <c r="P147" i="3"/>
  <c r="R114" i="3"/>
  <c r="M114" i="5"/>
  <c r="M147" i="5" s="1"/>
  <c r="X114" i="18"/>
  <c r="W16" i="19" s="1"/>
  <c r="P52" i="4"/>
  <c r="P172" i="4" s="1"/>
  <c r="P172" i="3"/>
  <c r="R52" i="3"/>
  <c r="R118" i="3"/>
  <c r="M118" i="5"/>
  <c r="X118" i="18"/>
  <c r="R8" i="3"/>
  <c r="P8" i="4"/>
  <c r="X8" i="18" s="1"/>
  <c r="W18" i="19" s="1"/>
  <c r="P149" i="3"/>
  <c r="V48" i="19"/>
  <c r="W122" i="18"/>
  <c r="L68" i="5"/>
  <c r="N73" i="4"/>
  <c r="N143" i="4"/>
  <c r="X6" i="18"/>
  <c r="P11" i="3"/>
  <c r="M6" i="5"/>
  <c r="T6" i="3"/>
  <c r="V6" i="3"/>
  <c r="P169" i="3"/>
  <c r="R6" i="3"/>
  <c r="P12" i="3"/>
  <c r="N22" i="3"/>
  <c r="N120" i="3" s="1"/>
  <c r="N125" i="3" s="1"/>
  <c r="N132" i="3" s="1"/>
  <c r="N155" i="3"/>
  <c r="N180" i="3" s="1"/>
  <c r="N183" i="3" s="1"/>
  <c r="L12" i="5"/>
  <c r="W12" i="18"/>
  <c r="L169" i="5"/>
  <c r="K22" i="5"/>
  <c r="K155" i="5"/>
  <c r="K180" i="5" s="1"/>
  <c r="K183" i="5" s="1"/>
  <c r="V22" i="18"/>
  <c r="U24" i="19"/>
  <c r="N56" i="4"/>
  <c r="N57" i="4" s="1"/>
  <c r="N153" i="4"/>
  <c r="R113" i="3"/>
  <c r="P148" i="3"/>
  <c r="M113" i="5"/>
  <c r="M148" i="5" s="1"/>
  <c r="T163" i="4"/>
  <c r="V112" i="4"/>
  <c r="Y102" i="18"/>
  <c r="T102" i="3"/>
  <c r="N102" i="5"/>
  <c r="R108" i="3"/>
  <c r="W127" i="18"/>
  <c r="V50" i="19"/>
  <c r="Y105" i="18"/>
  <c r="T105" i="3"/>
  <c r="N105" i="5"/>
  <c r="P15" i="4"/>
  <c r="M15" i="5" s="1"/>
  <c r="M145" i="5" s="1"/>
  <c r="R15" i="3"/>
  <c r="P145" i="3"/>
  <c r="P51" i="4"/>
  <c r="P167" i="4" s="1"/>
  <c r="P167" i="3"/>
  <c r="R51" i="3"/>
  <c r="T161" i="4"/>
  <c r="V117" i="4"/>
  <c r="AE10" i="18"/>
  <c r="AF10" i="18" s="1"/>
  <c r="AG10" i="18" s="1"/>
  <c r="O130" i="4"/>
  <c r="O132" i="4" s="1"/>
  <c r="Q127" i="4"/>
  <c r="O181" i="4"/>
  <c r="O183" i="4" s="1"/>
  <c r="L166" i="5"/>
  <c r="L78" i="5"/>
  <c r="V109" i="4"/>
  <c r="T169" i="4"/>
  <c r="R119" i="4"/>
  <c r="R169" i="4"/>
  <c r="AY178" i="13"/>
  <c r="AY181" i="13" s="1"/>
  <c r="V56" i="18"/>
  <c r="P48" i="4"/>
  <c r="M48" i="5" s="1"/>
  <c r="M144" i="5" s="1"/>
  <c r="P144" i="3"/>
  <c r="R48" i="3"/>
  <c r="P176" i="3"/>
  <c r="R115" i="3"/>
  <c r="M115" i="5"/>
  <c r="M176" i="5" s="1"/>
  <c r="X115" i="18"/>
  <c r="W45" i="19" s="1"/>
  <c r="R117" i="3"/>
  <c r="P161" i="3"/>
  <c r="X117" i="18"/>
  <c r="W30" i="19" s="1"/>
  <c r="M117" i="5"/>
  <c r="M161" i="5" s="1"/>
  <c r="S132" i="3"/>
  <c r="K44" i="5"/>
  <c r="L93" i="5"/>
  <c r="Y75" i="18"/>
  <c r="V127" i="3"/>
  <c r="D124" i="18" s="1"/>
  <c r="AA109" i="18"/>
  <c r="X109" i="3"/>
  <c r="H109" i="18" s="1"/>
  <c r="P109" i="5"/>
  <c r="W46" i="19"/>
  <c r="N177" i="5"/>
  <c r="Y33" i="18"/>
  <c r="R177" i="4"/>
  <c r="V33" i="3"/>
  <c r="T33" i="4"/>
  <c r="Z33" i="18" s="1"/>
  <c r="T177" i="3"/>
  <c r="L17" i="16"/>
  <c r="K18" i="16"/>
  <c r="T179" i="3"/>
  <c r="T124" i="3"/>
  <c r="V122" i="3"/>
  <c r="D121" i="18" s="1"/>
  <c r="V169" i="3"/>
  <c r="V76" i="3"/>
  <c r="T76" i="4"/>
  <c r="Z75" i="18" s="1"/>
  <c r="R155" i="4"/>
  <c r="N39" i="21" l="1"/>
  <c r="O39" i="21" s="1"/>
  <c r="I43" i="21"/>
  <c r="O185" i="4"/>
  <c r="O186" i="4"/>
  <c r="P152" i="4"/>
  <c r="M53" i="5"/>
  <c r="M152" i="5" s="1"/>
  <c r="X53" i="18"/>
  <c r="W21" i="19" s="1"/>
  <c r="Z112" i="18"/>
  <c r="Y32" i="19" s="1"/>
  <c r="O76" i="5"/>
  <c r="J185" i="5"/>
  <c r="X35" i="18"/>
  <c r="W15" i="19" s="1"/>
  <c r="T53" i="3"/>
  <c r="R53" i="4"/>
  <c r="R152" i="3"/>
  <c r="M39" i="5"/>
  <c r="M158" i="5" s="1"/>
  <c r="R35" i="4"/>
  <c r="R146" i="3"/>
  <c r="T35" i="3"/>
  <c r="F124" i="18"/>
  <c r="G124" i="18"/>
  <c r="T16" i="3"/>
  <c r="R164" i="3"/>
  <c r="N16" i="5"/>
  <c r="N164" i="5" s="1"/>
  <c r="Y16" i="18"/>
  <c r="X33" i="19" s="1"/>
  <c r="D122" i="18"/>
  <c r="C48" i="19"/>
  <c r="E121" i="18"/>
  <c r="J109" i="18"/>
  <c r="K109" i="18"/>
  <c r="M47" i="5"/>
  <c r="M159" i="5" s="1"/>
  <c r="T19" i="3"/>
  <c r="R165" i="3"/>
  <c r="D50" i="19"/>
  <c r="E127" i="18"/>
  <c r="T163" i="3"/>
  <c r="V112" i="3"/>
  <c r="T111" i="3"/>
  <c r="N111" i="5"/>
  <c r="Y111" i="18"/>
  <c r="X49" i="18"/>
  <c r="W43" i="19" s="1"/>
  <c r="M36" i="5"/>
  <c r="M173" i="5" s="1"/>
  <c r="M51" i="5"/>
  <c r="M167" i="5" s="1"/>
  <c r="X47" i="18"/>
  <c r="W28" i="19" s="1"/>
  <c r="L11" i="5"/>
  <c r="M77" i="5"/>
  <c r="M166" i="5" s="1"/>
  <c r="L56" i="5"/>
  <c r="W77" i="18"/>
  <c r="M38" i="5"/>
  <c r="M157" i="5" s="1"/>
  <c r="K57" i="5"/>
  <c r="X51" i="18"/>
  <c r="W36" i="19" s="1"/>
  <c r="X39" i="18"/>
  <c r="W27" i="19" s="1"/>
  <c r="Y50" i="18"/>
  <c r="X39" i="19" s="1"/>
  <c r="X38" i="18"/>
  <c r="W26" i="19" s="1"/>
  <c r="W44" i="18"/>
  <c r="W29" i="19"/>
  <c r="X140" i="4"/>
  <c r="X108" i="4"/>
  <c r="Z103" i="4"/>
  <c r="R49" i="4"/>
  <c r="R174" i="4" s="1"/>
  <c r="T49" i="3"/>
  <c r="R174" i="3"/>
  <c r="Z23" i="4"/>
  <c r="X162" i="4"/>
  <c r="R7" i="4"/>
  <c r="Y7" i="18" s="1"/>
  <c r="X19" i="19" s="1"/>
  <c r="T7" i="3"/>
  <c r="R150" i="3"/>
  <c r="X15" i="18"/>
  <c r="W14" i="19" s="1"/>
  <c r="W56" i="18"/>
  <c r="M52" i="5"/>
  <c r="M172" i="5" s="1"/>
  <c r="U132" i="3"/>
  <c r="M72" i="5"/>
  <c r="M143" i="5" s="1"/>
  <c r="X45" i="18"/>
  <c r="W22" i="19" s="1"/>
  <c r="M49" i="5"/>
  <c r="M174" i="5" s="1"/>
  <c r="AM22" i="12"/>
  <c r="AM153" i="12"/>
  <c r="AM178" i="12" s="1"/>
  <c r="AM181" i="12" s="1"/>
  <c r="O23" i="5"/>
  <c r="O162" i="5" s="1"/>
  <c r="V23" i="3"/>
  <c r="D23" i="18" s="1"/>
  <c r="Z23" i="18"/>
  <c r="Y31" i="19" s="1"/>
  <c r="T162" i="3"/>
  <c r="N50" i="5"/>
  <c r="N170" i="5" s="1"/>
  <c r="M7" i="5"/>
  <c r="M150" i="5" s="1"/>
  <c r="T36" i="3"/>
  <c r="R173" i="3"/>
  <c r="R36" i="4"/>
  <c r="R173" i="4" s="1"/>
  <c r="AS6" i="12"/>
  <c r="AQ167" i="12"/>
  <c r="AV167" i="12" s="1"/>
  <c r="AX167" i="12" s="1"/>
  <c r="AV6" i="12"/>
  <c r="R139" i="4"/>
  <c r="T91" i="4"/>
  <c r="N92" i="5"/>
  <c r="N156" i="5" s="1"/>
  <c r="R156" i="4"/>
  <c r="T92" i="4"/>
  <c r="Y92" i="18"/>
  <c r="X25" i="19" s="1"/>
  <c r="X7" i="18"/>
  <c r="W19" i="19" s="1"/>
  <c r="AP12" i="12"/>
  <c r="AN22" i="12"/>
  <c r="AN118" i="12" s="1"/>
  <c r="AN123" i="12" s="1"/>
  <c r="AN130" i="12" s="1"/>
  <c r="AQ12" i="12"/>
  <c r="AN153" i="12"/>
  <c r="AP167" i="12"/>
  <c r="AP11" i="12"/>
  <c r="L44" i="5"/>
  <c r="Y126" i="18"/>
  <c r="T129" i="3"/>
  <c r="N129" i="5"/>
  <c r="U183" i="3"/>
  <c r="X37" i="18"/>
  <c r="W23" i="19" s="1"/>
  <c r="AK183" i="12"/>
  <c r="R39" i="4"/>
  <c r="R158" i="4" s="1"/>
  <c r="T39" i="3"/>
  <c r="R158" i="3"/>
  <c r="AM11" i="12"/>
  <c r="V50" i="3"/>
  <c r="T170" i="3"/>
  <c r="T50" i="4"/>
  <c r="T170" i="4" s="1"/>
  <c r="AP9" i="12"/>
  <c r="AP173" i="12" s="1"/>
  <c r="AQ9" i="12"/>
  <c r="AQ11" i="12" s="1"/>
  <c r="AN173" i="12"/>
  <c r="Y125" i="18"/>
  <c r="N128" i="5"/>
  <c r="T128" i="3"/>
  <c r="R181" i="3"/>
  <c r="R130" i="3"/>
  <c r="R161" i="3"/>
  <c r="T117" i="3"/>
  <c r="Y117" i="18"/>
  <c r="X30" i="19" s="1"/>
  <c r="N117" i="5"/>
  <c r="N161" i="5" s="1"/>
  <c r="T48" i="3"/>
  <c r="R48" i="4"/>
  <c r="R144" i="4" s="1"/>
  <c r="R144" i="3"/>
  <c r="X48" i="18"/>
  <c r="W13" i="19" s="1"/>
  <c r="P144" i="4"/>
  <c r="Q130" i="4"/>
  <c r="Q132" i="4" s="1"/>
  <c r="S127" i="4"/>
  <c r="Q181" i="4"/>
  <c r="Q183" i="4" s="1"/>
  <c r="V161" i="4"/>
  <c r="X117" i="4"/>
  <c r="R51" i="4"/>
  <c r="R167" i="4" s="1"/>
  <c r="R167" i="3"/>
  <c r="T51" i="3"/>
  <c r="T15" i="3"/>
  <c r="R15" i="4"/>
  <c r="Y15" i="18" s="1"/>
  <c r="R145" i="3"/>
  <c r="O105" i="5"/>
  <c r="Z105" i="18"/>
  <c r="V105" i="3"/>
  <c r="D105" i="18" s="1"/>
  <c r="Z102" i="18"/>
  <c r="T108" i="3"/>
  <c r="O102" i="5"/>
  <c r="V102" i="3"/>
  <c r="D102" i="18" s="1"/>
  <c r="P112" i="5"/>
  <c r="P163" i="5" s="1"/>
  <c r="V163" i="4"/>
  <c r="AA112" i="18"/>
  <c r="Z32" i="19" s="1"/>
  <c r="X112" i="4"/>
  <c r="R148" i="3"/>
  <c r="T113" i="3"/>
  <c r="N113" i="5"/>
  <c r="N148" i="5" s="1"/>
  <c r="Y113" i="18"/>
  <c r="X17" i="19" s="1"/>
  <c r="K120" i="5"/>
  <c r="K125" i="5" s="1"/>
  <c r="K132" i="5" s="1"/>
  <c r="K185" i="5" s="1"/>
  <c r="L22" i="5"/>
  <c r="L155" i="5"/>
  <c r="R169" i="3"/>
  <c r="R11" i="3"/>
  <c r="N6" i="5"/>
  <c r="Y6" i="18"/>
  <c r="D6" i="18"/>
  <c r="AA6" i="18"/>
  <c r="Z38" i="19" s="1"/>
  <c r="P6" i="5"/>
  <c r="V12" i="3"/>
  <c r="D12" i="18" s="1"/>
  <c r="M169" i="5"/>
  <c r="W38" i="19"/>
  <c r="X11" i="18"/>
  <c r="N180" i="4"/>
  <c r="N183" i="4" s="1"/>
  <c r="N185" i="4" s="1"/>
  <c r="L143" i="5"/>
  <c r="L73" i="5"/>
  <c r="P149" i="4"/>
  <c r="P11" i="4"/>
  <c r="T118" i="3"/>
  <c r="N118" i="5"/>
  <c r="Y118" i="18"/>
  <c r="T52" i="3"/>
  <c r="R52" i="4"/>
  <c r="R172" i="4" s="1"/>
  <c r="R172" i="3"/>
  <c r="M32" i="5"/>
  <c r="M151" i="5"/>
  <c r="R29" i="4"/>
  <c r="Y29" i="18" s="1"/>
  <c r="T29" i="3"/>
  <c r="R151" i="3"/>
  <c r="R32" i="3"/>
  <c r="V20" i="19"/>
  <c r="W32" i="18"/>
  <c r="X12" i="4"/>
  <c r="V89" i="3"/>
  <c r="D89" i="18" s="1"/>
  <c r="M119" i="5"/>
  <c r="AC6" i="4"/>
  <c r="W124" i="3"/>
  <c r="W125" i="3" s="1"/>
  <c r="Y122" i="3"/>
  <c r="I121" i="18" s="1"/>
  <c r="W179" i="3"/>
  <c r="W35" i="19"/>
  <c r="X77" i="18"/>
  <c r="P166" i="4"/>
  <c r="P78" i="4"/>
  <c r="N120" i="4"/>
  <c r="N125" i="4" s="1"/>
  <c r="N132" i="4" s="1"/>
  <c r="V114" i="4"/>
  <c r="T147" i="4"/>
  <c r="X16" i="4"/>
  <c r="V164" i="4"/>
  <c r="T91" i="3"/>
  <c r="Y91" i="18"/>
  <c r="X8" i="19" s="1"/>
  <c r="R139" i="3"/>
  <c r="N91" i="5"/>
  <c r="N139" i="5" s="1"/>
  <c r="X127" i="18"/>
  <c r="W50" i="19"/>
  <c r="V78" i="18"/>
  <c r="V120" i="18" s="1"/>
  <c r="V123" i="18" s="1"/>
  <c r="V128" i="18" s="1"/>
  <c r="T37" i="3"/>
  <c r="R37" i="4"/>
  <c r="R154" i="4" s="1"/>
  <c r="R154" i="3"/>
  <c r="R153" i="3"/>
  <c r="R56" i="3"/>
  <c r="T45" i="3"/>
  <c r="R45" i="4"/>
  <c r="N45" i="5" s="1"/>
  <c r="R73" i="3"/>
  <c r="R143" i="3"/>
  <c r="R68" i="4"/>
  <c r="N68" i="5" s="1"/>
  <c r="T68" i="3"/>
  <c r="M124" i="5"/>
  <c r="M179" i="5"/>
  <c r="R124" i="4"/>
  <c r="R179" i="4"/>
  <c r="T122" i="4"/>
  <c r="Y121" i="18"/>
  <c r="N122" i="5"/>
  <c r="T89" i="4"/>
  <c r="R93" i="4"/>
  <c r="T34" i="3"/>
  <c r="R34" i="4"/>
  <c r="Y34" i="18" s="1"/>
  <c r="R160" i="3"/>
  <c r="R44" i="3"/>
  <c r="R57" i="3" s="1"/>
  <c r="P160" i="4"/>
  <c r="P44" i="4"/>
  <c r="X93" i="18"/>
  <c r="R176" i="3"/>
  <c r="Y115" i="18"/>
  <c r="X45" i="19" s="1"/>
  <c r="T115" i="3"/>
  <c r="N115" i="5"/>
  <c r="N176" i="5" s="1"/>
  <c r="X109" i="4"/>
  <c r="V169" i="4"/>
  <c r="P145" i="4"/>
  <c r="P22" i="4"/>
  <c r="N108" i="5"/>
  <c r="Y108" i="18"/>
  <c r="W22" i="18"/>
  <c r="V24" i="19"/>
  <c r="V49" i="19" s="1"/>
  <c r="V52" i="19" s="1"/>
  <c r="P155" i="3"/>
  <c r="P180" i="3" s="1"/>
  <c r="P183" i="3" s="1"/>
  <c r="R12" i="3"/>
  <c r="M12" i="5"/>
  <c r="X12" i="18"/>
  <c r="P22" i="3"/>
  <c r="O6" i="5"/>
  <c r="Z6" i="18"/>
  <c r="T12" i="3"/>
  <c r="T169" i="3"/>
  <c r="X6" i="3"/>
  <c r="M8" i="5"/>
  <c r="M149" i="5" s="1"/>
  <c r="T8" i="3"/>
  <c r="R8" i="4"/>
  <c r="N8" i="5" s="1"/>
  <c r="N149" i="5" s="1"/>
  <c r="R149" i="3"/>
  <c r="X52" i="18"/>
  <c r="W41" i="19" s="1"/>
  <c r="R147" i="3"/>
  <c r="Y114" i="18"/>
  <c r="X16" i="19" s="1"/>
  <c r="T114" i="3"/>
  <c r="N114" i="5"/>
  <c r="N147" i="5" s="1"/>
  <c r="T47" i="3"/>
  <c r="R47" i="4"/>
  <c r="R159" i="4" s="1"/>
  <c r="R159" i="3"/>
  <c r="W20" i="19"/>
  <c r="X32" i="18"/>
  <c r="P151" i="4"/>
  <c r="P32" i="4"/>
  <c r="R38" i="4"/>
  <c r="R157" i="4" s="1"/>
  <c r="R157" i="3"/>
  <c r="T38" i="3"/>
  <c r="X119" i="18"/>
  <c r="T110" i="3"/>
  <c r="Y110" i="18"/>
  <c r="N110" i="5"/>
  <c r="R119" i="3"/>
  <c r="Y128" i="3"/>
  <c r="I125" i="18" s="1"/>
  <c r="W181" i="3"/>
  <c r="W130" i="3"/>
  <c r="Y116" i="18"/>
  <c r="T116" i="3"/>
  <c r="N116" i="5"/>
  <c r="R77" i="4"/>
  <c r="Y76" i="18" s="1"/>
  <c r="X35" i="19" s="1"/>
  <c r="R166" i="3"/>
  <c r="T77" i="3"/>
  <c r="R78" i="3"/>
  <c r="T72" i="3"/>
  <c r="R72" i="4"/>
  <c r="Y71" i="18" s="1"/>
  <c r="T165" i="4"/>
  <c r="V19" i="4"/>
  <c r="U49" i="19"/>
  <c r="U52" i="19" s="1"/>
  <c r="M181" i="5"/>
  <c r="M130" i="5"/>
  <c r="T127" i="4"/>
  <c r="R130" i="4"/>
  <c r="R181" i="4"/>
  <c r="N127" i="5"/>
  <c r="Y124" i="18"/>
  <c r="M37" i="5"/>
  <c r="M154" i="5" s="1"/>
  <c r="M153" i="5"/>
  <c r="P56" i="4"/>
  <c r="P153" i="4"/>
  <c r="T140" i="3"/>
  <c r="O103" i="5"/>
  <c r="V103" i="3"/>
  <c r="D103" i="18" s="1"/>
  <c r="Z103" i="18"/>
  <c r="Y9" i="19" s="1"/>
  <c r="X67" i="18"/>
  <c r="P143" i="4"/>
  <c r="P73" i="4"/>
  <c r="W48" i="19"/>
  <c r="X122" i="18"/>
  <c r="V113" i="4"/>
  <c r="V119" i="4" s="1"/>
  <c r="T148" i="4"/>
  <c r="P57" i="3"/>
  <c r="M34" i="5"/>
  <c r="M93" i="5"/>
  <c r="X76" i="3"/>
  <c r="V76" i="4"/>
  <c r="X122" i="3"/>
  <c r="H121" i="18" s="1"/>
  <c r="V179" i="3"/>
  <c r="V124" i="3"/>
  <c r="L18" i="16"/>
  <c r="M17" i="16"/>
  <c r="M18" i="16" s="1"/>
  <c r="O33" i="5"/>
  <c r="T177" i="4"/>
  <c r="X46" i="19"/>
  <c r="AB109" i="18"/>
  <c r="Z109" i="3"/>
  <c r="L109" i="18" s="1"/>
  <c r="P109" i="18" s="1"/>
  <c r="Q109" i="5"/>
  <c r="X127" i="3"/>
  <c r="H124" i="18" s="1"/>
  <c r="T155" i="4"/>
  <c r="Y46" i="19"/>
  <c r="V33" i="4"/>
  <c r="V177" i="3"/>
  <c r="X33" i="3"/>
  <c r="P6" i="21" l="1"/>
  <c r="P25" i="21"/>
  <c r="P31" i="21"/>
  <c r="H46" i="21"/>
  <c r="H45" i="21"/>
  <c r="N43" i="21"/>
  <c r="O43" i="21" s="1"/>
  <c r="P33" i="21"/>
  <c r="P29" i="21"/>
  <c r="P21" i="21"/>
  <c r="P16" i="21"/>
  <c r="P35" i="21"/>
  <c r="P12" i="21"/>
  <c r="P20" i="21"/>
  <c r="P14" i="21"/>
  <c r="P43" i="21"/>
  <c r="P38" i="21"/>
  <c r="P27" i="21"/>
  <c r="P8" i="21"/>
  <c r="P13" i="21"/>
  <c r="P41" i="21"/>
  <c r="P18" i="21"/>
  <c r="P11" i="21"/>
  <c r="P22" i="21"/>
  <c r="P7" i="21"/>
  <c r="P9" i="21"/>
  <c r="P23" i="21"/>
  <c r="R146" i="4"/>
  <c r="Y35" i="18"/>
  <c r="X15" i="19" s="1"/>
  <c r="N35" i="5"/>
  <c r="N146" i="5" s="1"/>
  <c r="V53" i="3"/>
  <c r="T152" i="3"/>
  <c r="T53" i="4"/>
  <c r="N36" i="5"/>
  <c r="N173" i="5" s="1"/>
  <c r="V35" i="3"/>
  <c r="T35" i="4"/>
  <c r="Z35" i="18" s="1"/>
  <c r="Y15" i="19" s="1"/>
  <c r="T146" i="3"/>
  <c r="R152" i="4"/>
  <c r="N53" i="5"/>
  <c r="N152" i="5" s="1"/>
  <c r="Y53" i="18"/>
  <c r="X21" i="19" s="1"/>
  <c r="S109" i="18"/>
  <c r="R109" i="18"/>
  <c r="H50" i="19"/>
  <c r="I127" i="18"/>
  <c r="V19" i="3"/>
  <c r="T165" i="3"/>
  <c r="G121" i="18"/>
  <c r="E122" i="18"/>
  <c r="D48" i="19"/>
  <c r="F121" i="18"/>
  <c r="V16" i="3"/>
  <c r="T164" i="3"/>
  <c r="O16" i="5"/>
  <c r="O164" i="5" s="1"/>
  <c r="Z16" i="18"/>
  <c r="Y33" i="19" s="1"/>
  <c r="J124" i="18"/>
  <c r="K124" i="18"/>
  <c r="G23" i="18"/>
  <c r="C31" i="19"/>
  <c r="F23" i="18"/>
  <c r="G103" i="18"/>
  <c r="F103" i="18"/>
  <c r="C9" i="19"/>
  <c r="O19" i="5"/>
  <c r="O165" i="5" s="1"/>
  <c r="W180" i="3"/>
  <c r="D108" i="18"/>
  <c r="F102" i="18"/>
  <c r="G102" i="18"/>
  <c r="G105" i="18"/>
  <c r="F105" i="18"/>
  <c r="O111" i="5"/>
  <c r="Z111" i="18"/>
  <c r="V111" i="3"/>
  <c r="J121" i="18"/>
  <c r="G48" i="19"/>
  <c r="H122" i="18"/>
  <c r="O109" i="18"/>
  <c r="N109" i="18"/>
  <c r="Z19" i="18"/>
  <c r="Y34" i="19" s="1"/>
  <c r="I122" i="18"/>
  <c r="H48" i="19"/>
  <c r="K121" i="18"/>
  <c r="F89" i="18"/>
  <c r="G89" i="18"/>
  <c r="F12" i="18"/>
  <c r="G12" i="18"/>
  <c r="D112" i="18"/>
  <c r="X112" i="3"/>
  <c r="V163" i="3"/>
  <c r="F122" i="18"/>
  <c r="M56" i="5"/>
  <c r="L57" i="5"/>
  <c r="L120" i="5" s="1"/>
  <c r="L125" i="5" s="1"/>
  <c r="L132" i="5" s="1"/>
  <c r="Q185" i="4"/>
  <c r="U54" i="19"/>
  <c r="M78" i="5"/>
  <c r="Y45" i="18"/>
  <c r="X22" i="19" s="1"/>
  <c r="N93" i="5"/>
  <c r="M73" i="5"/>
  <c r="N37" i="5"/>
  <c r="N154" i="5" s="1"/>
  <c r="N29" i="5"/>
  <c r="N151" i="5" s="1"/>
  <c r="X44" i="18"/>
  <c r="AA33" i="18"/>
  <c r="Z46" i="19" s="1"/>
  <c r="D33" i="18"/>
  <c r="P76" i="5"/>
  <c r="D75" i="18"/>
  <c r="N77" i="5"/>
  <c r="N78" i="5" s="1"/>
  <c r="N38" i="5"/>
  <c r="N157" i="5" s="1"/>
  <c r="Y47" i="18"/>
  <c r="X28" i="19" s="1"/>
  <c r="Y8" i="18"/>
  <c r="X18" i="19" s="1"/>
  <c r="N34" i="5"/>
  <c r="N160" i="5" s="1"/>
  <c r="Y52" i="18"/>
  <c r="X41" i="19" s="1"/>
  <c r="N51" i="5"/>
  <c r="N167" i="5" s="1"/>
  <c r="Y36" i="18"/>
  <c r="X42" i="19" s="1"/>
  <c r="W78" i="18"/>
  <c r="W120" i="18" s="1"/>
  <c r="W123" i="18" s="1"/>
  <c r="W128" i="18" s="1"/>
  <c r="V54" i="19" s="1"/>
  <c r="Y49" i="18"/>
  <c r="X43" i="19" s="1"/>
  <c r="Y37" i="18"/>
  <c r="X23" i="19" s="1"/>
  <c r="Y39" i="18"/>
  <c r="X27" i="19" s="1"/>
  <c r="Z125" i="18"/>
  <c r="V128" i="3"/>
  <c r="D125" i="18" s="1"/>
  <c r="O128" i="5"/>
  <c r="T130" i="3"/>
  <c r="T181" i="3"/>
  <c r="V7" i="3"/>
  <c r="T150" i="3"/>
  <c r="T7" i="4"/>
  <c r="O7" i="5" s="1"/>
  <c r="O150" i="5" s="1"/>
  <c r="P33" i="5"/>
  <c r="P177" i="5" s="1"/>
  <c r="Y38" i="18"/>
  <c r="X26" i="19" s="1"/>
  <c r="N47" i="5"/>
  <c r="N159" i="5" s="1"/>
  <c r="N48" i="5"/>
  <c r="N144" i="5" s="1"/>
  <c r="Z50" i="18"/>
  <c r="Y39" i="19" s="1"/>
  <c r="V50" i="4"/>
  <c r="P50" i="5" s="1"/>
  <c r="P170" i="5" s="1"/>
  <c r="X50" i="3"/>
  <c r="V170" i="3"/>
  <c r="AN178" i="12"/>
  <c r="AN181" i="12" s="1"/>
  <c r="AN183" i="12" s="1"/>
  <c r="T156" i="4"/>
  <c r="O92" i="5"/>
  <c r="O156" i="5" s="1"/>
  <c r="V92" i="4"/>
  <c r="Z92" i="18"/>
  <c r="Y25" i="19" s="1"/>
  <c r="AM118" i="12"/>
  <c r="AM123" i="12" s="1"/>
  <c r="AM130" i="12" s="1"/>
  <c r="AM183" i="12" s="1"/>
  <c r="AA75" i="18"/>
  <c r="P180" i="4"/>
  <c r="P183" i="4" s="1"/>
  <c r="P185" i="4" s="1"/>
  <c r="L180" i="5"/>
  <c r="L183" i="5" s="1"/>
  <c r="L185" i="5" s="1"/>
  <c r="O50" i="5"/>
  <c r="O170" i="5" s="1"/>
  <c r="T39" i="4"/>
  <c r="T158" i="4" s="1"/>
  <c r="T158" i="3"/>
  <c r="V39" i="3"/>
  <c r="AS12" i="12"/>
  <c r="AQ22" i="12"/>
  <c r="AQ118" i="12" s="1"/>
  <c r="AQ123" i="12" s="1"/>
  <c r="AQ130" i="12" s="1"/>
  <c r="AQ153" i="12"/>
  <c r="AV12" i="12"/>
  <c r="P23" i="5"/>
  <c r="P162" i="5" s="1"/>
  <c r="AA23" i="18"/>
  <c r="Z31" i="19" s="1"/>
  <c r="X23" i="3"/>
  <c r="H23" i="18" s="1"/>
  <c r="V162" i="3"/>
  <c r="AB23" i="4"/>
  <c r="AC23" i="4" s="1"/>
  <c r="AD23" i="4" s="1"/>
  <c r="AE23" i="4" s="1"/>
  <c r="Z162" i="4"/>
  <c r="AB162" i="4" s="1"/>
  <c r="T49" i="4"/>
  <c r="T174" i="4" s="1"/>
  <c r="V49" i="3"/>
  <c r="T174" i="3"/>
  <c r="AS9" i="12"/>
  <c r="AS173" i="12" s="1"/>
  <c r="AY173" i="12" s="1"/>
  <c r="AQ173" i="12"/>
  <c r="AV173" i="12" s="1"/>
  <c r="AX173" i="12" s="1"/>
  <c r="AV9" i="12"/>
  <c r="AX9" i="12" s="1"/>
  <c r="AS11" i="12"/>
  <c r="AS167" i="12"/>
  <c r="AY167" i="12" s="1"/>
  <c r="N52" i="5"/>
  <c r="N172" i="5" s="1"/>
  <c r="Y48" i="18"/>
  <c r="X13" i="19" s="1"/>
  <c r="N39" i="5"/>
  <c r="N158" i="5" s="1"/>
  <c r="V129" i="3"/>
  <c r="D126" i="18" s="1"/>
  <c r="O129" i="5"/>
  <c r="Z126" i="18"/>
  <c r="AP22" i="12"/>
  <c r="AP118" i="12" s="1"/>
  <c r="AP123" i="12" s="1"/>
  <c r="AP130" i="12" s="1"/>
  <c r="AP153" i="12"/>
  <c r="AP178" i="12" s="1"/>
  <c r="AP181" i="12" s="1"/>
  <c r="T139" i="4"/>
  <c r="V91" i="4"/>
  <c r="AV11" i="12"/>
  <c r="AX6" i="12"/>
  <c r="AX11" i="12" s="1"/>
  <c r="T36" i="4"/>
  <c r="T173" i="4" s="1"/>
  <c r="V36" i="3"/>
  <c r="T173" i="3"/>
  <c r="N7" i="5"/>
  <c r="N150" i="5" s="1"/>
  <c r="R150" i="4"/>
  <c r="N49" i="5"/>
  <c r="N174" i="5" s="1"/>
  <c r="AB103" i="4"/>
  <c r="Z108" i="4"/>
  <c r="Z140" i="4"/>
  <c r="AB140" i="4" s="1"/>
  <c r="X29" i="19"/>
  <c r="M160" i="5"/>
  <c r="M44" i="5"/>
  <c r="M57" i="5" s="1"/>
  <c r="W12" i="19"/>
  <c r="X72" i="18"/>
  <c r="V140" i="3"/>
  <c r="P103" i="5"/>
  <c r="P140" i="5" s="1"/>
  <c r="X103" i="3"/>
  <c r="H103" i="18" s="1"/>
  <c r="AA103" i="18"/>
  <c r="Z9" i="19" s="1"/>
  <c r="Y127" i="18"/>
  <c r="X50" i="19"/>
  <c r="T130" i="4"/>
  <c r="V127" i="4"/>
  <c r="T181" i="4"/>
  <c r="O127" i="5"/>
  <c r="Z124" i="18"/>
  <c r="V165" i="4"/>
  <c r="X19" i="4"/>
  <c r="N72" i="5"/>
  <c r="N73" i="5" s="1"/>
  <c r="T72" i="4"/>
  <c r="O72" i="5" s="1"/>
  <c r="V72" i="3"/>
  <c r="V77" i="3"/>
  <c r="T77" i="4"/>
  <c r="O77" i="5" s="1"/>
  <c r="T166" i="3"/>
  <c r="T78" i="3"/>
  <c r="R166" i="4"/>
  <c r="R78" i="4"/>
  <c r="O116" i="5"/>
  <c r="Z116" i="18"/>
  <c r="V116" i="3"/>
  <c r="D116" i="18" s="1"/>
  <c r="AA128" i="3"/>
  <c r="M125" i="18" s="1"/>
  <c r="Q125" i="18" s="1"/>
  <c r="Y130" i="3"/>
  <c r="Y181" i="3"/>
  <c r="Y119" i="18"/>
  <c r="T38" i="4"/>
  <c r="T157" i="4" s="1"/>
  <c r="T157" i="3"/>
  <c r="V38" i="3"/>
  <c r="T147" i="3"/>
  <c r="V114" i="3"/>
  <c r="D114" i="18" s="1"/>
  <c r="Z114" i="18"/>
  <c r="Y16" i="19" s="1"/>
  <c r="O114" i="5"/>
  <c r="O147" i="5" s="1"/>
  <c r="Y38" i="19"/>
  <c r="O169" i="5"/>
  <c r="W24" i="19"/>
  <c r="X22" i="18"/>
  <c r="R155" i="3"/>
  <c r="R180" i="3" s="1"/>
  <c r="R183" i="3" s="1"/>
  <c r="R22" i="3"/>
  <c r="R120" i="3" s="1"/>
  <c r="R125" i="3" s="1"/>
  <c r="R132" i="3" s="1"/>
  <c r="N12" i="5"/>
  <c r="Y12" i="18"/>
  <c r="Y77" i="18"/>
  <c r="T34" i="4"/>
  <c r="O34" i="5" s="1"/>
  <c r="T160" i="3"/>
  <c r="V34" i="3"/>
  <c r="T44" i="3"/>
  <c r="V89" i="4"/>
  <c r="T93" i="4"/>
  <c r="X48" i="19"/>
  <c r="Y122" i="18"/>
  <c r="N143" i="5"/>
  <c r="Y67" i="18"/>
  <c r="R143" i="4"/>
  <c r="R73" i="4"/>
  <c r="T56" i="3"/>
  <c r="V45" i="3"/>
  <c r="T45" i="4"/>
  <c r="O45" i="5" s="1"/>
  <c r="T153" i="3"/>
  <c r="V91" i="3"/>
  <c r="D91" i="18" s="1"/>
  <c r="D93" i="18" s="1"/>
  <c r="T139" i="3"/>
  <c r="O91" i="5"/>
  <c r="O139" i="5" s="1"/>
  <c r="Z91" i="18"/>
  <c r="Y8" i="19" s="1"/>
  <c r="X164" i="4"/>
  <c r="Z16" i="4"/>
  <c r="X114" i="4"/>
  <c r="V147" i="4"/>
  <c r="W132" i="3"/>
  <c r="AD6" i="4"/>
  <c r="T93" i="3"/>
  <c r="X89" i="3"/>
  <c r="H89" i="18" s="1"/>
  <c r="V93" i="3"/>
  <c r="P89" i="5"/>
  <c r="AA89" i="18"/>
  <c r="Y93" i="18"/>
  <c r="Z12" i="4"/>
  <c r="R32" i="4"/>
  <c r="R151" i="4"/>
  <c r="V118" i="3"/>
  <c r="D118" i="18" s="1"/>
  <c r="Z118" i="18"/>
  <c r="O118" i="5"/>
  <c r="M11" i="5"/>
  <c r="AA12" i="18"/>
  <c r="P12" i="5"/>
  <c r="C38" i="19"/>
  <c r="F6" i="18"/>
  <c r="G6" i="18"/>
  <c r="N169" i="5"/>
  <c r="T148" i="3"/>
  <c r="V113" i="3"/>
  <c r="D113" i="18" s="1"/>
  <c r="O113" i="5"/>
  <c r="O148" i="5" s="1"/>
  <c r="Z113" i="18"/>
  <c r="Y17" i="19" s="1"/>
  <c r="AB112" i="18"/>
  <c r="AA32" i="19" s="1"/>
  <c r="Q112" i="5"/>
  <c r="Q163" i="5" s="1"/>
  <c r="X163" i="4"/>
  <c r="Z112" i="4"/>
  <c r="P102" i="5"/>
  <c r="AA102" i="18"/>
  <c r="X102" i="3"/>
  <c r="H102" i="18" s="1"/>
  <c r="V108" i="3"/>
  <c r="AA105" i="18"/>
  <c r="X105" i="3"/>
  <c r="H105" i="18" s="1"/>
  <c r="P105" i="5"/>
  <c r="X14" i="19"/>
  <c r="R145" i="4"/>
  <c r="R22" i="4"/>
  <c r="T51" i="4"/>
  <c r="T167" i="4" s="1"/>
  <c r="T167" i="3"/>
  <c r="V51" i="3"/>
  <c r="V117" i="3"/>
  <c r="D117" i="18" s="1"/>
  <c r="Z117" i="18"/>
  <c r="Y30" i="19" s="1"/>
  <c r="T161" i="3"/>
  <c r="O117" i="5"/>
  <c r="O161" i="5" s="1"/>
  <c r="V148" i="4"/>
  <c r="X113" i="4"/>
  <c r="O108" i="5"/>
  <c r="O140" i="5"/>
  <c r="N181" i="5"/>
  <c r="N130" i="5"/>
  <c r="N119" i="5"/>
  <c r="V110" i="3"/>
  <c r="D110" i="18" s="1"/>
  <c r="O110" i="5"/>
  <c r="Z110" i="18"/>
  <c r="T119" i="3"/>
  <c r="V47" i="3"/>
  <c r="T47" i="4"/>
  <c r="T159" i="4" s="1"/>
  <c r="T159" i="3"/>
  <c r="R149" i="4"/>
  <c r="R11" i="4"/>
  <c r="T8" i="4"/>
  <c r="Z8" i="18" s="1"/>
  <c r="Y18" i="19" s="1"/>
  <c r="V8" i="3"/>
  <c r="T149" i="3"/>
  <c r="H6" i="18"/>
  <c r="X12" i="3"/>
  <c r="H12" i="18" s="1"/>
  <c r="Z6" i="3"/>
  <c r="Z169" i="3" s="1"/>
  <c r="AB6" i="18"/>
  <c r="Q6" i="5"/>
  <c r="Q169" i="5" s="1"/>
  <c r="X169" i="3"/>
  <c r="Z12" i="18"/>
  <c r="O12" i="5"/>
  <c r="T155" i="3"/>
  <c r="T22" i="3"/>
  <c r="T11" i="3"/>
  <c r="P120" i="3"/>
  <c r="P125" i="3" s="1"/>
  <c r="P132" i="3" s="1"/>
  <c r="M155" i="5"/>
  <c r="M22" i="5"/>
  <c r="X169" i="4"/>
  <c r="Z109" i="4"/>
  <c r="X119" i="4"/>
  <c r="V115" i="3"/>
  <c r="D115" i="18" s="1"/>
  <c r="O115" i="5"/>
  <c r="O176" i="5" s="1"/>
  <c r="T176" i="3"/>
  <c r="Z115" i="18"/>
  <c r="Y45" i="19" s="1"/>
  <c r="P57" i="4"/>
  <c r="P120" i="4" s="1"/>
  <c r="P125" i="4" s="1"/>
  <c r="P132" i="4" s="1"/>
  <c r="R160" i="4"/>
  <c r="R44" i="4"/>
  <c r="N124" i="5"/>
  <c r="N179" i="5"/>
  <c r="V122" i="4"/>
  <c r="T179" i="4"/>
  <c r="T124" i="4"/>
  <c r="O122" i="5"/>
  <c r="Z121" i="18"/>
  <c r="T73" i="3"/>
  <c r="V68" i="3"/>
  <c r="T68" i="4"/>
  <c r="T143" i="3"/>
  <c r="N153" i="5"/>
  <c r="R153" i="4"/>
  <c r="R56" i="4"/>
  <c r="X56" i="18"/>
  <c r="T37" i="4"/>
  <c r="T154" i="4" s="1"/>
  <c r="T154" i="3"/>
  <c r="V37" i="3"/>
  <c r="Y124" i="3"/>
  <c r="Y125" i="3" s="1"/>
  <c r="Y132" i="3" s="1"/>
  <c r="AA122" i="3"/>
  <c r="M121" i="18" s="1"/>
  <c r="Q121" i="18" s="1"/>
  <c r="Y179" i="3"/>
  <c r="Y180" i="3" s="1"/>
  <c r="Z89" i="18"/>
  <c r="O89" i="5"/>
  <c r="X20" i="19"/>
  <c r="Y32" i="18"/>
  <c r="T29" i="4"/>
  <c r="O29" i="5" s="1"/>
  <c r="V29" i="3"/>
  <c r="T151" i="3"/>
  <c r="T32" i="3"/>
  <c r="Z29" i="18"/>
  <c r="T52" i="4"/>
  <c r="T172" i="4" s="1"/>
  <c r="T172" i="3"/>
  <c r="V52" i="3"/>
  <c r="P169" i="5"/>
  <c r="X38" i="19"/>
  <c r="Z108" i="18"/>
  <c r="N15" i="5"/>
  <c r="N145" i="5" s="1"/>
  <c r="T15" i="4"/>
  <c r="Z15" i="18" s="1"/>
  <c r="V15" i="3"/>
  <c r="T145" i="3"/>
  <c r="Y51" i="18"/>
  <c r="X36" i="19" s="1"/>
  <c r="X161" i="4"/>
  <c r="Z117" i="4"/>
  <c r="S130" i="4"/>
  <c r="S132" i="4" s="1"/>
  <c r="U127" i="4"/>
  <c r="S181" i="4"/>
  <c r="S183" i="4" s="1"/>
  <c r="V48" i="3"/>
  <c r="T48" i="4"/>
  <c r="T144" i="4" s="1"/>
  <c r="T144" i="3"/>
  <c r="Z33" i="3"/>
  <c r="X33" i="4"/>
  <c r="X177" i="3"/>
  <c r="V177" i="4"/>
  <c r="Z127" i="3"/>
  <c r="L124" i="18" s="1"/>
  <c r="P124" i="18" s="1"/>
  <c r="AB109" i="3"/>
  <c r="AC109" i="18"/>
  <c r="R109" i="5"/>
  <c r="AA38" i="19"/>
  <c r="O177" i="5"/>
  <c r="X179" i="3"/>
  <c r="X124" i="3"/>
  <c r="Z122" i="3"/>
  <c r="L121" i="18" s="1"/>
  <c r="V155" i="4"/>
  <c r="Z76" i="3"/>
  <c r="X76" i="4"/>
  <c r="W183" i="3" l="1"/>
  <c r="S185" i="4"/>
  <c r="S186" i="4"/>
  <c r="V152" i="3"/>
  <c r="X53" i="3"/>
  <c r="V53" i="4"/>
  <c r="J122" i="18"/>
  <c r="O35" i="5"/>
  <c r="O146" i="5" s="1"/>
  <c r="T146" i="4"/>
  <c r="T152" i="4"/>
  <c r="O53" i="5"/>
  <c r="O152" i="5" s="1"/>
  <c r="Y14" i="19"/>
  <c r="O37" i="5"/>
  <c r="O154" i="5" s="1"/>
  <c r="Z53" i="18"/>
  <c r="Y21" i="19" s="1"/>
  <c r="P35" i="5"/>
  <c r="P146" i="5" s="1"/>
  <c r="V146" i="3"/>
  <c r="V35" i="4"/>
  <c r="X35" i="3"/>
  <c r="Q122" i="18"/>
  <c r="S121" i="18"/>
  <c r="S124" i="18"/>
  <c r="R124" i="18"/>
  <c r="K12" i="18"/>
  <c r="J12" i="18"/>
  <c r="J23" i="18"/>
  <c r="K23" i="18"/>
  <c r="G31" i="19"/>
  <c r="F112" i="18"/>
  <c r="G112" i="18"/>
  <c r="C32" i="19"/>
  <c r="D49" i="19"/>
  <c r="F110" i="18"/>
  <c r="G110" i="18"/>
  <c r="F118" i="18"/>
  <c r="G118" i="18"/>
  <c r="H93" i="18"/>
  <c r="J89" i="18"/>
  <c r="K89" i="18"/>
  <c r="F126" i="18"/>
  <c r="G126" i="18"/>
  <c r="AC122" i="3"/>
  <c r="F93" i="18"/>
  <c r="G93" i="18"/>
  <c r="H49" i="19"/>
  <c r="H52" i="19" s="1"/>
  <c r="J48" i="19"/>
  <c r="E48" i="19"/>
  <c r="D111" i="18"/>
  <c r="X111" i="3"/>
  <c r="AA111" i="18"/>
  <c r="P111" i="5"/>
  <c r="E31" i="19"/>
  <c r="F31" i="19"/>
  <c r="X19" i="3"/>
  <c r="Q19" i="5" s="1"/>
  <c r="Q165" i="5" s="1"/>
  <c r="D19" i="18"/>
  <c r="V165" i="3"/>
  <c r="Z37" i="18"/>
  <c r="Y23" i="19" s="1"/>
  <c r="N56" i="5"/>
  <c r="AA19" i="18"/>
  <c r="Z34" i="19" s="1"/>
  <c r="F125" i="18"/>
  <c r="D127" i="18"/>
  <c r="C50" i="19"/>
  <c r="G125" i="18"/>
  <c r="K122" i="18"/>
  <c r="I123" i="18"/>
  <c r="I128" i="18" s="1"/>
  <c r="I48" i="19"/>
  <c r="F48" i="19"/>
  <c r="G108" i="18"/>
  <c r="F108" i="18"/>
  <c r="X16" i="3"/>
  <c r="D16" i="18"/>
  <c r="V164" i="3"/>
  <c r="AA16" i="18"/>
  <c r="Z33" i="19" s="1"/>
  <c r="P16" i="5"/>
  <c r="P164" i="5" s="1"/>
  <c r="G122" i="18"/>
  <c r="E123" i="18"/>
  <c r="E128" i="18" s="1"/>
  <c r="N124" i="18"/>
  <c r="O124" i="18"/>
  <c r="G115" i="18"/>
  <c r="C45" i="19"/>
  <c r="F115" i="18"/>
  <c r="H108" i="18"/>
  <c r="K102" i="18"/>
  <c r="J102" i="18"/>
  <c r="F116" i="18"/>
  <c r="G116" i="18"/>
  <c r="K103" i="18"/>
  <c r="G9" i="19"/>
  <c r="J103" i="18"/>
  <c r="Q127" i="18"/>
  <c r="G117" i="18"/>
  <c r="F117" i="18"/>
  <c r="C30" i="19"/>
  <c r="K105" i="18"/>
  <c r="J105" i="18"/>
  <c r="G113" i="18"/>
  <c r="C17" i="19"/>
  <c r="F113" i="18"/>
  <c r="K48" i="19"/>
  <c r="L122" i="18"/>
  <c r="N121" i="18"/>
  <c r="L48" i="19"/>
  <c r="M122" i="18"/>
  <c r="O121" i="18"/>
  <c r="AB169" i="3"/>
  <c r="N166" i="5"/>
  <c r="F91" i="18"/>
  <c r="G91" i="18"/>
  <c r="C8" i="19"/>
  <c r="F114" i="18"/>
  <c r="G114" i="18"/>
  <c r="C16" i="19"/>
  <c r="L50" i="19"/>
  <c r="P50" i="19" s="1"/>
  <c r="M127" i="18"/>
  <c r="P19" i="5"/>
  <c r="P165" i="5" s="1"/>
  <c r="Z112" i="3"/>
  <c r="H112" i="18"/>
  <c r="X163" i="3"/>
  <c r="AC128" i="3"/>
  <c r="T125" i="18" s="1"/>
  <c r="T127" i="18" s="1"/>
  <c r="G41" i="16" s="1"/>
  <c r="F9" i="19"/>
  <c r="E9" i="19"/>
  <c r="P121" i="18"/>
  <c r="N32" i="5"/>
  <c r="O36" i="5"/>
  <c r="O173" i="5" s="1"/>
  <c r="Y11" i="18"/>
  <c r="AA50" i="18"/>
  <c r="Z39" i="19" s="1"/>
  <c r="Z93" i="18"/>
  <c r="O52" i="5"/>
  <c r="O172" i="5" s="1"/>
  <c r="O39" i="5"/>
  <c r="O158" i="5" s="1"/>
  <c r="Z45" i="18"/>
  <c r="Y22" i="19" s="1"/>
  <c r="Y44" i="18"/>
  <c r="Z39" i="18"/>
  <c r="Y27" i="19" s="1"/>
  <c r="O48" i="5"/>
  <c r="O144" i="5" s="1"/>
  <c r="O47" i="5"/>
  <c r="O159" i="5" s="1"/>
  <c r="AA108" i="18"/>
  <c r="Z48" i="18"/>
  <c r="Y13" i="19" s="1"/>
  <c r="O15" i="5"/>
  <c r="Q76" i="5"/>
  <c r="H75" i="18"/>
  <c r="Q33" i="5"/>
  <c r="H33" i="18"/>
  <c r="O8" i="5"/>
  <c r="O149" i="5" s="1"/>
  <c r="Z34" i="18"/>
  <c r="Y29" i="19" s="1"/>
  <c r="V170" i="4"/>
  <c r="D50" i="18"/>
  <c r="F33" i="18"/>
  <c r="C46" i="19"/>
  <c r="G33" i="18"/>
  <c r="M120" i="5"/>
  <c r="M125" i="5" s="1"/>
  <c r="M132" i="5" s="1"/>
  <c r="Z47" i="18"/>
  <c r="Y28" i="19" s="1"/>
  <c r="O38" i="5"/>
  <c r="O157" i="5" s="1"/>
  <c r="O49" i="5"/>
  <c r="O174" i="5" s="1"/>
  <c r="F75" i="18"/>
  <c r="G75" i="18"/>
  <c r="C24" i="19"/>
  <c r="O51" i="5"/>
  <c r="O167" i="5" s="1"/>
  <c r="O145" i="5"/>
  <c r="Y183" i="3"/>
  <c r="Y185" i="3" s="1"/>
  <c r="R57" i="4"/>
  <c r="N11" i="5"/>
  <c r="Z38" i="18"/>
  <c r="Y26" i="19" s="1"/>
  <c r="Z36" i="18"/>
  <c r="Y42" i="19" s="1"/>
  <c r="AP183" i="12"/>
  <c r="X129" i="3"/>
  <c r="H126" i="18" s="1"/>
  <c r="AA126" i="18"/>
  <c r="P129" i="5"/>
  <c r="V174" i="3"/>
  <c r="V49" i="4"/>
  <c r="AA49" i="18" s="1"/>
  <c r="Z43" i="19" s="1"/>
  <c r="X49" i="3"/>
  <c r="AX12" i="12"/>
  <c r="AX22" i="12" s="1"/>
  <c r="AX118" i="12" s="1"/>
  <c r="AX123" i="12" s="1"/>
  <c r="AX130" i="12" s="1"/>
  <c r="AV22" i="12"/>
  <c r="AV118" i="12" s="1"/>
  <c r="AV123" i="12" s="1"/>
  <c r="AV130" i="12" s="1"/>
  <c r="X39" i="3"/>
  <c r="V39" i="4"/>
  <c r="D39" i="18" s="1"/>
  <c r="V158" i="3"/>
  <c r="AA92" i="18"/>
  <c r="Z25" i="19" s="1"/>
  <c r="P92" i="5"/>
  <c r="P156" i="5" s="1"/>
  <c r="V156" i="4"/>
  <c r="X92" i="4"/>
  <c r="V150" i="3"/>
  <c r="X7" i="3"/>
  <c r="V7" i="4"/>
  <c r="V150" i="4" s="1"/>
  <c r="Z52" i="18"/>
  <c r="Y41" i="19" s="1"/>
  <c r="O93" i="5"/>
  <c r="N44" i="5"/>
  <c r="Z51" i="18"/>
  <c r="Y36" i="19" s="1"/>
  <c r="Z76" i="18"/>
  <c r="Z77" i="18" s="1"/>
  <c r="AB108" i="4"/>
  <c r="AC103" i="4"/>
  <c r="V173" i="3"/>
  <c r="V36" i="4"/>
  <c r="X36" i="3"/>
  <c r="V139" i="4"/>
  <c r="X91" i="4"/>
  <c r="Z49" i="18"/>
  <c r="Y43" i="19" s="1"/>
  <c r="P128" i="5"/>
  <c r="AA125" i="18"/>
  <c r="X128" i="3"/>
  <c r="H125" i="18" s="1"/>
  <c r="V130" i="3"/>
  <c r="V181" i="3"/>
  <c r="Z23" i="3"/>
  <c r="L23" i="18" s="1"/>
  <c r="X162" i="3"/>
  <c r="AB23" i="18"/>
  <c r="AA31" i="19" s="1"/>
  <c r="Q23" i="5"/>
  <c r="Q162" i="5" s="1"/>
  <c r="AV153" i="12"/>
  <c r="AQ178" i="12"/>
  <c r="AQ181" i="12" s="1"/>
  <c r="AQ183" i="12" s="1"/>
  <c r="M180" i="5"/>
  <c r="M183" i="5" s="1"/>
  <c r="M185" i="5" s="1"/>
  <c r="Z71" i="18"/>
  <c r="AS22" i="12"/>
  <c r="AS118" i="12" s="1"/>
  <c r="AS123" i="12" s="1"/>
  <c r="AS130" i="12" s="1"/>
  <c r="AS153" i="12"/>
  <c r="Z50" i="3"/>
  <c r="X170" i="3"/>
  <c r="X50" i="4"/>
  <c r="Q50" i="5" s="1"/>
  <c r="Q170" i="5" s="1"/>
  <c r="Z7" i="18"/>
  <c r="Y19" i="19" s="1"/>
  <c r="T150" i="4"/>
  <c r="O160" i="5"/>
  <c r="X48" i="3"/>
  <c r="V48" i="4"/>
  <c r="P48" i="5" s="1"/>
  <c r="P144" i="5" s="1"/>
  <c r="V144" i="3"/>
  <c r="U130" i="4"/>
  <c r="U132" i="4" s="1"/>
  <c r="W127" i="4"/>
  <c r="U181" i="4"/>
  <c r="U183" i="4" s="1"/>
  <c r="AB117" i="4"/>
  <c r="AC117" i="4" s="1"/>
  <c r="AD117" i="4" s="1"/>
  <c r="AE117" i="4" s="1"/>
  <c r="Z161" i="4"/>
  <c r="AB161" i="4" s="1"/>
  <c r="V15" i="4"/>
  <c r="AA15" i="18" s="1"/>
  <c r="X15" i="3"/>
  <c r="V145" i="3"/>
  <c r="Y20" i="19"/>
  <c r="Z32" i="18"/>
  <c r="V29" i="4"/>
  <c r="D29" i="18" s="1"/>
  <c r="V32" i="3"/>
  <c r="V151" i="3"/>
  <c r="X29" i="3"/>
  <c r="T73" i="4"/>
  <c r="T143" i="4"/>
  <c r="O124" i="5"/>
  <c r="O179" i="5"/>
  <c r="V176" i="3"/>
  <c r="X115" i="3"/>
  <c r="H115" i="18" s="1"/>
  <c r="AA115" i="18"/>
  <c r="Z45" i="19" s="1"/>
  <c r="P115" i="5"/>
  <c r="P176" i="5" s="1"/>
  <c r="AB109" i="4"/>
  <c r="Z169" i="4"/>
  <c r="AB169" i="4" s="1"/>
  <c r="O155" i="5"/>
  <c r="O22" i="5"/>
  <c r="L6" i="18"/>
  <c r="R6" i="5"/>
  <c r="AC6" i="18"/>
  <c r="AD6" i="18" s="1"/>
  <c r="J6" i="18"/>
  <c r="K6" i="18"/>
  <c r="G38" i="19"/>
  <c r="X8" i="3"/>
  <c r="V8" i="4"/>
  <c r="AA8" i="18" s="1"/>
  <c r="V149" i="3"/>
  <c r="V11" i="3"/>
  <c r="X47" i="3"/>
  <c r="V47" i="4"/>
  <c r="D47" i="18" s="1"/>
  <c r="V159" i="3"/>
  <c r="Z119" i="18"/>
  <c r="X110" i="3"/>
  <c r="H110" i="18" s="1"/>
  <c r="AA110" i="18"/>
  <c r="Z24" i="19" s="1"/>
  <c r="P110" i="5"/>
  <c r="V119" i="3"/>
  <c r="V155" i="3"/>
  <c r="Z113" i="4"/>
  <c r="X148" i="4"/>
  <c r="X117" i="3"/>
  <c r="H117" i="18" s="1"/>
  <c r="V161" i="3"/>
  <c r="AA117" i="18"/>
  <c r="Z30" i="19" s="1"/>
  <c r="P117" i="5"/>
  <c r="P161" i="5" s="1"/>
  <c r="AB105" i="18"/>
  <c r="Z105" i="3"/>
  <c r="L105" i="18" s="1"/>
  <c r="Q105" i="5"/>
  <c r="R112" i="5"/>
  <c r="Z163" i="4"/>
  <c r="AB163" i="4" s="1"/>
  <c r="AB112" i="4"/>
  <c r="AC112" i="4" s="1"/>
  <c r="AD112" i="4" s="1"/>
  <c r="AE112" i="4" s="1"/>
  <c r="AC112" i="18"/>
  <c r="V148" i="3"/>
  <c r="X113" i="3"/>
  <c r="H113" i="18" s="1"/>
  <c r="P113" i="5"/>
  <c r="P148" i="5" s="1"/>
  <c r="AA113" i="18"/>
  <c r="Z17" i="19" s="1"/>
  <c r="X118" i="3"/>
  <c r="H118" i="18" s="1"/>
  <c r="AA118" i="18"/>
  <c r="P118" i="5"/>
  <c r="AB12" i="4"/>
  <c r="AE6" i="4"/>
  <c r="Z114" i="4"/>
  <c r="X147" i="4"/>
  <c r="AB16" i="4"/>
  <c r="AC16" i="4" s="1"/>
  <c r="AD16" i="4" s="1"/>
  <c r="Z164" i="4"/>
  <c r="AB164" i="4" s="1"/>
  <c r="X91" i="3"/>
  <c r="H91" i="18" s="1"/>
  <c r="V139" i="3"/>
  <c r="P91" i="5"/>
  <c r="P139" i="5" s="1"/>
  <c r="AA91" i="18"/>
  <c r="Z8" i="19" s="1"/>
  <c r="O153" i="5"/>
  <c r="R180" i="4"/>
  <c r="R183" i="4" s="1"/>
  <c r="R185" i="4" s="1"/>
  <c r="T57" i="3"/>
  <c r="T120" i="3" s="1"/>
  <c r="T125" i="3" s="1"/>
  <c r="T132" i="3" s="1"/>
  <c r="Y22" i="18"/>
  <c r="X24" i="19"/>
  <c r="V147" i="3"/>
  <c r="AA114" i="18"/>
  <c r="Z16" i="19" s="1"/>
  <c r="X114" i="3"/>
  <c r="H114" i="18" s="1"/>
  <c r="P114" i="5"/>
  <c r="P147" i="5" s="1"/>
  <c r="X38" i="3"/>
  <c r="V38" i="4"/>
  <c r="V157" i="3"/>
  <c r="AA130" i="3"/>
  <c r="AC130" i="3" s="1"/>
  <c r="AA181" i="3"/>
  <c r="R120" i="4"/>
  <c r="R125" i="4" s="1"/>
  <c r="R132" i="4" s="1"/>
  <c r="O166" i="5"/>
  <c r="O78" i="5"/>
  <c r="T166" i="4"/>
  <c r="T78" i="4"/>
  <c r="V72" i="4"/>
  <c r="P72" i="5" s="1"/>
  <c r="X72" i="3"/>
  <c r="O181" i="5"/>
  <c r="O130" i="5"/>
  <c r="X127" i="4"/>
  <c r="V181" i="4"/>
  <c r="V130" i="4"/>
  <c r="P127" i="5"/>
  <c r="AA124" i="18"/>
  <c r="X78" i="18"/>
  <c r="X120" i="18" s="1"/>
  <c r="X123" i="18" s="1"/>
  <c r="X128" i="18" s="1"/>
  <c r="T145" i="4"/>
  <c r="T22" i="4"/>
  <c r="X52" i="3"/>
  <c r="V52" i="4"/>
  <c r="V172" i="3"/>
  <c r="O151" i="5"/>
  <c r="O32" i="5"/>
  <c r="T32" i="4"/>
  <c r="T151" i="4"/>
  <c r="AA124" i="3"/>
  <c r="AA125" i="3" s="1"/>
  <c r="AA179" i="3"/>
  <c r="AA180" i="3" s="1"/>
  <c r="AC180" i="3" s="1"/>
  <c r="AD49" i="19" s="1"/>
  <c r="X37" i="3"/>
  <c r="V37" i="4"/>
  <c r="V154" i="3"/>
  <c r="Z67" i="18"/>
  <c r="O68" i="5"/>
  <c r="V68" i="4"/>
  <c r="D67" i="18" s="1"/>
  <c r="V143" i="3"/>
  <c r="X68" i="3"/>
  <c r="V73" i="3"/>
  <c r="AA67" i="18"/>
  <c r="Z122" i="18"/>
  <c r="Y48" i="19"/>
  <c r="X122" i="4"/>
  <c r="V124" i="4"/>
  <c r="V179" i="4"/>
  <c r="AA121" i="18"/>
  <c r="P122" i="5"/>
  <c r="Z22" i="18"/>
  <c r="Y24" i="19"/>
  <c r="AB12" i="18"/>
  <c r="Z12" i="3"/>
  <c r="Q12" i="5"/>
  <c r="T149" i="4"/>
  <c r="T11" i="4"/>
  <c r="O119" i="5"/>
  <c r="V51" i="4"/>
  <c r="V167" i="3"/>
  <c r="X51" i="3"/>
  <c r="Q102" i="5"/>
  <c r="Z102" i="3"/>
  <c r="L102" i="18" s="1"/>
  <c r="P102" i="18" s="1"/>
  <c r="AB102" i="18"/>
  <c r="X108" i="3"/>
  <c r="P108" i="5"/>
  <c r="F38" i="19"/>
  <c r="E38" i="19"/>
  <c r="V22" i="3"/>
  <c r="Z89" i="3"/>
  <c r="L89" i="18" s="1"/>
  <c r="X93" i="3"/>
  <c r="T180" i="3"/>
  <c r="T183" i="3" s="1"/>
  <c r="T56" i="4"/>
  <c r="T153" i="4"/>
  <c r="V153" i="3"/>
  <c r="V56" i="3"/>
  <c r="X45" i="3"/>
  <c r="V45" i="4"/>
  <c r="P45" i="5" s="1"/>
  <c r="Y56" i="18"/>
  <c r="X12" i="19"/>
  <c r="Y72" i="18"/>
  <c r="X89" i="4"/>
  <c r="AB89" i="18" s="1"/>
  <c r="V93" i="4"/>
  <c r="V34" i="4"/>
  <c r="V160" i="3"/>
  <c r="X34" i="3"/>
  <c r="V44" i="3"/>
  <c r="T160" i="4"/>
  <c r="T44" i="4"/>
  <c r="N22" i="5"/>
  <c r="N155" i="5"/>
  <c r="AA116" i="18"/>
  <c r="X116" i="3"/>
  <c r="H116" i="18" s="1"/>
  <c r="P116" i="5"/>
  <c r="V77" i="4"/>
  <c r="V166" i="3"/>
  <c r="X77" i="3"/>
  <c r="V78" i="3"/>
  <c r="Z19" i="4"/>
  <c r="X165" i="4"/>
  <c r="Z127" i="18"/>
  <c r="Y50" i="19"/>
  <c r="X140" i="3"/>
  <c r="Z103" i="3"/>
  <c r="L103" i="18" s="1"/>
  <c r="Q103" i="5"/>
  <c r="Q140" i="5" s="1"/>
  <c r="AB103" i="18"/>
  <c r="AA9" i="19" s="1"/>
  <c r="W49" i="19"/>
  <c r="W52" i="19" s="1"/>
  <c r="AB76" i="3"/>
  <c r="Z76" i="4"/>
  <c r="AD109" i="18"/>
  <c r="AB127" i="3"/>
  <c r="Z33" i="4"/>
  <c r="Z177" i="3"/>
  <c r="AB177" i="3" s="1"/>
  <c r="X155" i="4"/>
  <c r="AB75" i="18"/>
  <c r="Z124" i="3"/>
  <c r="AB122" i="3"/>
  <c r="Z179" i="3"/>
  <c r="AB179" i="3" s="1"/>
  <c r="S109" i="5"/>
  <c r="Q177" i="5"/>
  <c r="AB33" i="18"/>
  <c r="X177" i="4"/>
  <c r="AE16" i="4"/>
  <c r="W185" i="3" l="1"/>
  <c r="Z35" i="3"/>
  <c r="X146" i="3"/>
  <c r="X35" i="4"/>
  <c r="AA53" i="18"/>
  <c r="Z21" i="19" s="1"/>
  <c r="V152" i="4"/>
  <c r="D53" i="18"/>
  <c r="P53" i="5"/>
  <c r="P152" i="5" s="1"/>
  <c r="AA35" i="18"/>
  <c r="Z15" i="19" s="1"/>
  <c r="D35" i="18"/>
  <c r="V146" i="4"/>
  <c r="X53" i="4"/>
  <c r="Z53" i="3"/>
  <c r="X152" i="3"/>
  <c r="AB53" i="18"/>
  <c r="AA21" i="19" s="1"/>
  <c r="AA132" i="3"/>
  <c r="X22" i="3"/>
  <c r="N105" i="18"/>
  <c r="O105" i="18"/>
  <c r="P105" i="18"/>
  <c r="K110" i="18"/>
  <c r="J110" i="18"/>
  <c r="O23" i="18"/>
  <c r="K31" i="19"/>
  <c r="N23" i="18"/>
  <c r="AC124" i="3"/>
  <c r="T121" i="18" s="1"/>
  <c r="L49" i="19"/>
  <c r="L52" i="19" s="1"/>
  <c r="N48" i="19"/>
  <c r="G111" i="18"/>
  <c r="F111" i="18"/>
  <c r="X155" i="3"/>
  <c r="G17" i="19"/>
  <c r="K113" i="18"/>
  <c r="J113" i="18"/>
  <c r="K117" i="18"/>
  <c r="G30" i="19"/>
  <c r="J117" i="18"/>
  <c r="R102" i="18"/>
  <c r="S102" i="18"/>
  <c r="F16" i="19"/>
  <c r="E16" i="19"/>
  <c r="E8" i="19"/>
  <c r="F8" i="19"/>
  <c r="I9" i="19"/>
  <c r="J9" i="19"/>
  <c r="Z19" i="3"/>
  <c r="H19" i="18"/>
  <c r="X165" i="3"/>
  <c r="K93" i="18"/>
  <c r="J93" i="18"/>
  <c r="D119" i="18"/>
  <c r="K9" i="19"/>
  <c r="O103" i="18"/>
  <c r="N103" i="18"/>
  <c r="AB19" i="18"/>
  <c r="AA34" i="19" s="1"/>
  <c r="N180" i="5"/>
  <c r="N183" i="5" s="1"/>
  <c r="L108" i="18"/>
  <c r="N102" i="18"/>
  <c r="O102" i="18"/>
  <c r="K91" i="18"/>
  <c r="G8" i="19"/>
  <c r="J91" i="18"/>
  <c r="AA47" i="18"/>
  <c r="Z28" i="19" s="1"/>
  <c r="P122" i="18"/>
  <c r="R121" i="18"/>
  <c r="J112" i="18"/>
  <c r="K112" i="18"/>
  <c r="G32" i="19"/>
  <c r="N122" i="18"/>
  <c r="E17" i="19"/>
  <c r="F17" i="19"/>
  <c r="I41" i="16"/>
  <c r="H33" i="17" s="1"/>
  <c r="G16" i="18"/>
  <c r="F16" i="18"/>
  <c r="C33" i="19"/>
  <c r="D52" i="19"/>
  <c r="I38" i="16"/>
  <c r="Q123" i="18"/>
  <c r="Q128" i="18" s="1"/>
  <c r="K108" i="18"/>
  <c r="J108" i="18"/>
  <c r="F127" i="18"/>
  <c r="G127" i="18"/>
  <c r="G19" i="18"/>
  <c r="F19" i="18"/>
  <c r="C34" i="19"/>
  <c r="Z11" i="18"/>
  <c r="J118" i="18"/>
  <c r="K118" i="18"/>
  <c r="AA22" i="18"/>
  <c r="N57" i="5"/>
  <c r="N120" i="5" s="1"/>
  <c r="N125" i="5" s="1"/>
  <c r="N132" i="5" s="1"/>
  <c r="J126" i="18"/>
  <c r="K126" i="18"/>
  <c r="J116" i="18"/>
  <c r="K116" i="18"/>
  <c r="N89" i="18"/>
  <c r="O89" i="18"/>
  <c r="P89" i="18"/>
  <c r="AB12" i="3"/>
  <c r="L12" i="18"/>
  <c r="AA183" i="3"/>
  <c r="K114" i="18"/>
  <c r="J114" i="18"/>
  <c r="G16" i="19"/>
  <c r="J115" i="18"/>
  <c r="K115" i="18"/>
  <c r="G45" i="19"/>
  <c r="J125" i="18"/>
  <c r="K125" i="18"/>
  <c r="H127" i="18"/>
  <c r="G50" i="19"/>
  <c r="L112" i="18"/>
  <c r="AD112" i="18" s="1"/>
  <c r="Z163" i="3"/>
  <c r="AB163" i="3" s="1"/>
  <c r="AB112" i="3"/>
  <c r="M123" i="18"/>
  <c r="M128" i="18" s="1"/>
  <c r="O122" i="18"/>
  <c r="M48" i="19"/>
  <c r="O48" i="19"/>
  <c r="F30" i="19"/>
  <c r="E30" i="19"/>
  <c r="E45" i="19"/>
  <c r="F45" i="19"/>
  <c r="Z16" i="3"/>
  <c r="H16" i="18"/>
  <c r="X164" i="3"/>
  <c r="AB16" i="18"/>
  <c r="AA33" i="19" s="1"/>
  <c r="Q16" i="5"/>
  <c r="Q164" i="5" s="1"/>
  <c r="E50" i="19"/>
  <c r="F50" i="19"/>
  <c r="H111" i="18"/>
  <c r="H119" i="18" s="1"/>
  <c r="Z111" i="3"/>
  <c r="Q111" i="5"/>
  <c r="AB111" i="18"/>
  <c r="P23" i="18"/>
  <c r="P48" i="19"/>
  <c r="E32" i="19"/>
  <c r="F32" i="19"/>
  <c r="I31" i="19"/>
  <c r="J31" i="19"/>
  <c r="P103" i="18"/>
  <c r="P108" i="18" s="1"/>
  <c r="Z56" i="18"/>
  <c r="AC125" i="3"/>
  <c r="U185" i="4"/>
  <c r="P93" i="5"/>
  <c r="O44" i="5"/>
  <c r="AA39" i="18"/>
  <c r="Z27" i="19" s="1"/>
  <c r="R33" i="5"/>
  <c r="S33" i="5" s="1"/>
  <c r="L33" i="18"/>
  <c r="P77" i="5"/>
  <c r="P78" i="5" s="1"/>
  <c r="D76" i="18"/>
  <c r="F29" i="18"/>
  <c r="C20" i="19"/>
  <c r="G29" i="18"/>
  <c r="D32" i="18"/>
  <c r="Y35" i="19"/>
  <c r="T57" i="4"/>
  <c r="T120" i="4" s="1"/>
  <c r="T125" i="4" s="1"/>
  <c r="T132" i="4" s="1"/>
  <c r="AA71" i="18"/>
  <c r="Z12" i="19" s="1"/>
  <c r="D71" i="18"/>
  <c r="D72" i="18" s="1"/>
  <c r="O56" i="5"/>
  <c r="O57" i="5" s="1"/>
  <c r="G47" i="18"/>
  <c r="F47" i="18"/>
  <c r="C28" i="19"/>
  <c r="P29" i="5"/>
  <c r="P32" i="5" s="1"/>
  <c r="P15" i="5"/>
  <c r="P22" i="5" s="1"/>
  <c r="D15" i="18"/>
  <c r="V144" i="4"/>
  <c r="D48" i="18"/>
  <c r="AA7" i="18"/>
  <c r="Z19" i="19" s="1"/>
  <c r="E24" i="19"/>
  <c r="F24" i="19"/>
  <c r="F46" i="19"/>
  <c r="E46" i="19"/>
  <c r="V167" i="4"/>
  <c r="D51" i="18"/>
  <c r="V173" i="4"/>
  <c r="D36" i="18"/>
  <c r="AC75" i="18"/>
  <c r="L75" i="18"/>
  <c r="O11" i="5"/>
  <c r="AA34" i="18"/>
  <c r="D34" i="18"/>
  <c r="AA45" i="18"/>
  <c r="D45" i="18"/>
  <c r="G67" i="18"/>
  <c r="F67" i="18"/>
  <c r="V154" i="4"/>
  <c r="D37" i="18"/>
  <c r="V157" i="4"/>
  <c r="D38" i="18"/>
  <c r="AA29" i="18"/>
  <c r="Z20" i="19" s="1"/>
  <c r="P7" i="5"/>
  <c r="P150" i="5" s="1"/>
  <c r="G24" i="19"/>
  <c r="J75" i="18"/>
  <c r="K75" i="18"/>
  <c r="V172" i="4"/>
  <c r="D52" i="18"/>
  <c r="V174" i="4"/>
  <c r="D49" i="18"/>
  <c r="AA76" i="18"/>
  <c r="Z35" i="19" s="1"/>
  <c r="AA51" i="18"/>
  <c r="Z36" i="19" s="1"/>
  <c r="X170" i="4"/>
  <c r="H50" i="18"/>
  <c r="F39" i="18"/>
  <c r="G39" i="18"/>
  <c r="C27" i="19"/>
  <c r="P49" i="5"/>
  <c r="P174" i="5" s="1"/>
  <c r="G50" i="18"/>
  <c r="F50" i="18"/>
  <c r="C39" i="19"/>
  <c r="K33" i="18"/>
  <c r="G46" i="19"/>
  <c r="J33" i="18"/>
  <c r="Z170" i="3"/>
  <c r="AB170" i="3" s="1"/>
  <c r="AB50" i="3"/>
  <c r="Z50" i="4"/>
  <c r="X139" i="4"/>
  <c r="Z91" i="4"/>
  <c r="P34" i="5"/>
  <c r="Z44" i="18"/>
  <c r="AA37" i="18"/>
  <c r="Z23" i="19" s="1"/>
  <c r="AA38" i="18"/>
  <c r="Z26" i="19" s="1"/>
  <c r="AX153" i="12"/>
  <c r="AX178" i="12" s="1"/>
  <c r="AX181" i="12" s="1"/>
  <c r="AV178" i="12"/>
  <c r="AV181" i="12" s="1"/>
  <c r="AV183" i="12" s="1"/>
  <c r="AB23" i="3"/>
  <c r="Z162" i="3"/>
  <c r="AB162" i="3" s="1"/>
  <c r="R23" i="5"/>
  <c r="AC23" i="18"/>
  <c r="Q128" i="5"/>
  <c r="Z128" i="3"/>
  <c r="L125" i="18" s="1"/>
  <c r="AB125" i="18"/>
  <c r="X181" i="3"/>
  <c r="X130" i="3"/>
  <c r="AA36" i="18"/>
  <c r="Z42" i="19" s="1"/>
  <c r="AD103" i="4"/>
  <c r="AC108" i="4"/>
  <c r="D7" i="18"/>
  <c r="X150" i="3"/>
  <c r="X7" i="4"/>
  <c r="AB7" i="18" s="1"/>
  <c r="AA19" i="19" s="1"/>
  <c r="Z7" i="3"/>
  <c r="P39" i="5"/>
  <c r="P158" i="5" s="1"/>
  <c r="V158" i="4"/>
  <c r="X173" i="3"/>
  <c r="X36" i="4"/>
  <c r="AB36" i="18" s="1"/>
  <c r="AA42" i="19" s="1"/>
  <c r="Z36" i="3"/>
  <c r="Q36" i="5"/>
  <c r="Q173" i="5" s="1"/>
  <c r="P52" i="5"/>
  <c r="P172" i="5" s="1"/>
  <c r="P8" i="5"/>
  <c r="P149" i="5" s="1"/>
  <c r="AB50" i="18"/>
  <c r="AA39" i="19" s="1"/>
  <c r="AS178" i="12"/>
  <c r="AS181" i="12" s="1"/>
  <c r="AS183" i="12" s="1"/>
  <c r="AY153" i="12"/>
  <c r="AY178" i="12" s="1"/>
  <c r="AY181" i="12" s="1"/>
  <c r="AB92" i="18"/>
  <c r="AA25" i="19" s="1"/>
  <c r="Q92" i="5"/>
  <c r="Q156" i="5" s="1"/>
  <c r="X156" i="4"/>
  <c r="Z92" i="4"/>
  <c r="Z49" i="3"/>
  <c r="X174" i="3"/>
  <c r="X49" i="4"/>
  <c r="X39" i="4"/>
  <c r="X158" i="3"/>
  <c r="Z39" i="3"/>
  <c r="AA52" i="18"/>
  <c r="Z41" i="19" s="1"/>
  <c r="P36" i="5"/>
  <c r="P173" i="5" s="1"/>
  <c r="AX183" i="12"/>
  <c r="Q129" i="5"/>
  <c r="Z129" i="3"/>
  <c r="L126" i="18" s="1"/>
  <c r="AB126" i="18"/>
  <c r="Z29" i="19"/>
  <c r="Z22" i="19"/>
  <c r="R19" i="5"/>
  <c r="AC19" i="18"/>
  <c r="AB19" i="4"/>
  <c r="AC19" i="4" s="1"/>
  <c r="AD19" i="4" s="1"/>
  <c r="AE19" i="4" s="1"/>
  <c r="Z165" i="4"/>
  <c r="AB165" i="4" s="1"/>
  <c r="AA77" i="18"/>
  <c r="Z77" i="3"/>
  <c r="X77" i="4"/>
  <c r="X166" i="3"/>
  <c r="X78" i="3"/>
  <c r="V166" i="4"/>
  <c r="V78" i="4"/>
  <c r="AB116" i="18"/>
  <c r="Z116" i="3"/>
  <c r="L116" i="18" s="1"/>
  <c r="P116" i="18" s="1"/>
  <c r="Q116" i="5"/>
  <c r="V57" i="3"/>
  <c r="V120" i="3" s="1"/>
  <c r="V125" i="3" s="1"/>
  <c r="V132" i="3" s="1"/>
  <c r="Z45" i="3"/>
  <c r="X153" i="3"/>
  <c r="X45" i="4"/>
  <c r="Q45" i="5" s="1"/>
  <c r="X56" i="3"/>
  <c r="Q89" i="5"/>
  <c r="AB108" i="18"/>
  <c r="Q108" i="5"/>
  <c r="P51" i="5"/>
  <c r="P167" i="5" s="1"/>
  <c r="AC12" i="18"/>
  <c r="R12" i="5"/>
  <c r="P124" i="5"/>
  <c r="P179" i="5"/>
  <c r="Z122" i="4"/>
  <c r="X179" i="4"/>
  <c r="X124" i="4"/>
  <c r="AB121" i="18"/>
  <c r="Q122" i="5"/>
  <c r="O73" i="5"/>
  <c r="O143" i="5"/>
  <c r="O180" i="5" s="1"/>
  <c r="O183" i="5" s="1"/>
  <c r="P37" i="5"/>
  <c r="P154" i="5" s="1"/>
  <c r="Z37" i="3"/>
  <c r="X37" i="4"/>
  <c r="X154" i="3"/>
  <c r="Z50" i="19"/>
  <c r="AA127" i="18"/>
  <c r="X130" i="4"/>
  <c r="X181" i="4"/>
  <c r="Z127" i="4"/>
  <c r="Q127" i="5"/>
  <c r="AB124" i="18"/>
  <c r="X72" i="4"/>
  <c r="Q72" i="5" s="1"/>
  <c r="Z72" i="3"/>
  <c r="P38" i="5"/>
  <c r="P157" i="5" s="1"/>
  <c r="X38" i="4"/>
  <c r="Q38" i="5" s="1"/>
  <c r="Q157" i="5" s="1"/>
  <c r="X157" i="3"/>
  <c r="Z38" i="3"/>
  <c r="X147" i="3"/>
  <c r="Z114" i="3"/>
  <c r="L114" i="18" s="1"/>
  <c r="AB114" i="18"/>
  <c r="AA16" i="19" s="1"/>
  <c r="Y78" i="18"/>
  <c r="Y120" i="18" s="1"/>
  <c r="Y123" i="18" s="1"/>
  <c r="Y128" i="18" s="1"/>
  <c r="Z91" i="3"/>
  <c r="L91" i="18" s="1"/>
  <c r="X139" i="3"/>
  <c r="Q91" i="5"/>
  <c r="Q139" i="5" s="1"/>
  <c r="AB91" i="18"/>
  <c r="AA8" i="19" s="1"/>
  <c r="Z147" i="4"/>
  <c r="AB147" i="4" s="1"/>
  <c r="AB114" i="4"/>
  <c r="AC114" i="4" s="1"/>
  <c r="AD114" i="4" s="1"/>
  <c r="AE114" i="4" s="1"/>
  <c r="Z118" i="3"/>
  <c r="L118" i="18" s="1"/>
  <c r="AB118" i="18"/>
  <c r="Q118" i="5"/>
  <c r="X148" i="3"/>
  <c r="Z113" i="3"/>
  <c r="L113" i="18" s="1"/>
  <c r="AB113" i="18"/>
  <c r="AA17" i="19" s="1"/>
  <c r="Q113" i="5"/>
  <c r="Q148" i="5" s="1"/>
  <c r="AB32" i="19"/>
  <c r="X161" i="3"/>
  <c r="Z117" i="3"/>
  <c r="L117" i="18" s="1"/>
  <c r="AB117" i="18"/>
  <c r="AA30" i="19" s="1"/>
  <c r="Q117" i="5"/>
  <c r="Q161" i="5" s="1"/>
  <c r="AB113" i="4"/>
  <c r="AC113" i="4" s="1"/>
  <c r="AD113" i="4" s="1"/>
  <c r="AE113" i="4" s="1"/>
  <c r="Z148" i="4"/>
  <c r="AB148" i="4" s="1"/>
  <c r="AA119" i="18"/>
  <c r="X47" i="4"/>
  <c r="AB47" i="18" s="1"/>
  <c r="AA28" i="19" s="1"/>
  <c r="X159" i="3"/>
  <c r="Z47" i="3"/>
  <c r="Z8" i="3"/>
  <c r="X149" i="3"/>
  <c r="X8" i="4"/>
  <c r="Q8" i="5" s="1"/>
  <c r="X11" i="3"/>
  <c r="J38" i="19"/>
  <c r="I38" i="19"/>
  <c r="S6" i="5"/>
  <c r="R169" i="5"/>
  <c r="S169" i="5" s="1"/>
  <c r="X176" i="3"/>
  <c r="Z115" i="3"/>
  <c r="L115" i="18" s="1"/>
  <c r="Q115" i="5"/>
  <c r="Q176" i="5" s="1"/>
  <c r="AB115" i="18"/>
  <c r="AA45" i="19" s="1"/>
  <c r="Z14" i="19"/>
  <c r="V145" i="4"/>
  <c r="V22" i="4"/>
  <c r="W130" i="4"/>
  <c r="W132" i="4" s="1"/>
  <c r="Y127" i="4"/>
  <c r="W181" i="4"/>
  <c r="W183" i="4" s="1"/>
  <c r="Z48" i="3"/>
  <c r="X48" i="4"/>
  <c r="AB48" i="18" s="1"/>
  <c r="AA13" i="19" s="1"/>
  <c r="X144" i="3"/>
  <c r="Z108" i="3"/>
  <c r="AB103" i="3"/>
  <c r="Z140" i="3"/>
  <c r="AB140" i="3" s="1"/>
  <c r="AC103" i="18"/>
  <c r="R103" i="5"/>
  <c r="P160" i="5"/>
  <c r="Z34" i="3"/>
  <c r="X34" i="4"/>
  <c r="X160" i="3"/>
  <c r="X44" i="3"/>
  <c r="X57" i="3" s="1"/>
  <c r="V160" i="4"/>
  <c r="V44" i="4"/>
  <c r="Z89" i="4"/>
  <c r="AC89" i="18" s="1"/>
  <c r="X93" i="4"/>
  <c r="P153" i="5"/>
  <c r="V153" i="4"/>
  <c r="V56" i="4"/>
  <c r="AB89" i="3"/>
  <c r="R89" i="5"/>
  <c r="R102" i="5"/>
  <c r="AC102" i="18"/>
  <c r="AB102" i="3"/>
  <c r="Z51" i="3"/>
  <c r="X51" i="4"/>
  <c r="X167" i="3"/>
  <c r="AA122" i="18"/>
  <c r="Z48" i="19"/>
  <c r="X73" i="3"/>
  <c r="Z68" i="3"/>
  <c r="X68" i="4"/>
  <c r="H67" i="18" s="1"/>
  <c r="X143" i="3"/>
  <c r="P68" i="5"/>
  <c r="V73" i="4"/>
  <c r="V143" i="4"/>
  <c r="Y12" i="19"/>
  <c r="Z72" i="18"/>
  <c r="Z52" i="3"/>
  <c r="X52" i="4"/>
  <c r="X172" i="3"/>
  <c r="W54" i="19"/>
  <c r="P181" i="5"/>
  <c r="P130" i="5"/>
  <c r="X49" i="19"/>
  <c r="X52" i="19" s="1"/>
  <c r="Q114" i="5"/>
  <c r="Q147" i="5" s="1"/>
  <c r="AA93" i="18"/>
  <c r="AC12" i="4"/>
  <c r="R6" i="18"/>
  <c r="S6" i="18"/>
  <c r="S112" i="5"/>
  <c r="T112" i="5" s="1"/>
  <c r="U112" i="5" s="1"/>
  <c r="V112" i="5" s="1"/>
  <c r="R163" i="5"/>
  <c r="S163" i="5" s="1"/>
  <c r="AC105" i="18"/>
  <c r="AD105" i="18" s="1"/>
  <c r="AB105" i="3"/>
  <c r="R105" i="5"/>
  <c r="S105" i="5" s="1"/>
  <c r="T105" i="5" s="1"/>
  <c r="U105" i="5" s="1"/>
  <c r="V105" i="5" s="1"/>
  <c r="V180" i="3"/>
  <c r="V183" i="3" s="1"/>
  <c r="P119" i="5"/>
  <c r="P155" i="5"/>
  <c r="Z110" i="3"/>
  <c r="L110" i="18" s="1"/>
  <c r="P110" i="18" s="1"/>
  <c r="Q110" i="5"/>
  <c r="AB110" i="18"/>
  <c r="AA24" i="19" s="1"/>
  <c r="X119" i="3"/>
  <c r="P47" i="5"/>
  <c r="P159" i="5" s="1"/>
  <c r="V159" i="4"/>
  <c r="Z18" i="19"/>
  <c r="V149" i="4"/>
  <c r="V11" i="4"/>
  <c r="D8" i="18"/>
  <c r="AB38" i="19"/>
  <c r="N6" i="18"/>
  <c r="O6" i="18"/>
  <c r="K38" i="19"/>
  <c r="Z119" i="4"/>
  <c r="AC109" i="4"/>
  <c r="AB119" i="4"/>
  <c r="T180" i="4"/>
  <c r="T183" i="4" s="1"/>
  <c r="T185" i="4" s="1"/>
  <c r="X29" i="4"/>
  <c r="H29" i="18" s="1"/>
  <c r="X151" i="3"/>
  <c r="Z29" i="3"/>
  <c r="X32" i="3"/>
  <c r="AB29" i="18"/>
  <c r="P151" i="5"/>
  <c r="V32" i="4"/>
  <c r="V151" i="4"/>
  <c r="Z15" i="3"/>
  <c r="X15" i="4"/>
  <c r="X145" i="3"/>
  <c r="AA48" i="18"/>
  <c r="Z13" i="19" s="1"/>
  <c r="R177" i="5"/>
  <c r="S177" i="5" s="1"/>
  <c r="T109" i="5"/>
  <c r="AB124" i="3"/>
  <c r="R76" i="5"/>
  <c r="AB76" i="4"/>
  <c r="Z155" i="4"/>
  <c r="AB155" i="4" s="1"/>
  <c r="AA46" i="19"/>
  <c r="AC33" i="18"/>
  <c r="AB33" i="4"/>
  <c r="Z177" i="4"/>
  <c r="AB177" i="4" s="1"/>
  <c r="AE109" i="18"/>
  <c r="W185" i="4" l="1"/>
  <c r="W186" i="4"/>
  <c r="AA185" i="3"/>
  <c r="AC132" i="3"/>
  <c r="AC183" i="3"/>
  <c r="G53" i="18"/>
  <c r="C21" i="19"/>
  <c r="F53" i="18"/>
  <c r="AB35" i="18"/>
  <c r="AA15" i="19" s="1"/>
  <c r="X146" i="4"/>
  <c r="Q35" i="5"/>
  <c r="Q146" i="5" s="1"/>
  <c r="Q68" i="5"/>
  <c r="R48" i="19"/>
  <c r="G35" i="18"/>
  <c r="C15" i="19"/>
  <c r="F35" i="18"/>
  <c r="Z53" i="4"/>
  <c r="Z152" i="3"/>
  <c r="AB152" i="3" s="1"/>
  <c r="AB53" i="3"/>
  <c r="AB35" i="3"/>
  <c r="Z35" i="4"/>
  <c r="R35" i="5"/>
  <c r="Z146" i="3"/>
  <c r="AB146" i="3" s="1"/>
  <c r="AC35" i="18"/>
  <c r="AB15" i="19" s="1"/>
  <c r="L35" i="18"/>
  <c r="Q53" i="5"/>
  <c r="Q152" i="5" s="1"/>
  <c r="X152" i="4"/>
  <c r="H53" i="18"/>
  <c r="H35" i="18"/>
  <c r="R116" i="18"/>
  <c r="S116" i="18"/>
  <c r="N185" i="5"/>
  <c r="N118" i="18"/>
  <c r="O118" i="18"/>
  <c r="O91" i="18"/>
  <c r="K8" i="19"/>
  <c r="O8" i="19" s="1"/>
  <c r="N91" i="18"/>
  <c r="P91" i="18"/>
  <c r="R89" i="18"/>
  <c r="S89" i="18"/>
  <c r="S110" i="18"/>
  <c r="R110" i="18"/>
  <c r="I32" i="19"/>
  <c r="J32" i="19"/>
  <c r="R122" i="18"/>
  <c r="H38" i="16"/>
  <c r="G31" i="17" s="1"/>
  <c r="N9" i="19"/>
  <c r="M9" i="19"/>
  <c r="O9" i="19"/>
  <c r="S108" i="18"/>
  <c r="R108" i="18"/>
  <c r="H31" i="16"/>
  <c r="R105" i="18"/>
  <c r="S105" i="18"/>
  <c r="AB38" i="18"/>
  <c r="AA26" i="19" s="1"/>
  <c r="L111" i="18"/>
  <c r="AC111" i="18"/>
  <c r="AB111" i="3"/>
  <c r="R111" i="5"/>
  <c r="S111" i="5" s="1"/>
  <c r="T111" i="5" s="1"/>
  <c r="U111" i="5" s="1"/>
  <c r="V111" i="5" s="1"/>
  <c r="AB16" i="3"/>
  <c r="L16" i="18"/>
  <c r="Z164" i="3"/>
  <c r="AB164" i="3" s="1"/>
  <c r="AC16" i="18"/>
  <c r="R16" i="5"/>
  <c r="F33" i="19"/>
  <c r="E33" i="19"/>
  <c r="AA11" i="18"/>
  <c r="K45" i="19"/>
  <c r="O115" i="18"/>
  <c r="N115" i="18"/>
  <c r="P115" i="18"/>
  <c r="N117" i="18"/>
  <c r="O117" i="18"/>
  <c r="K30" i="19"/>
  <c r="O30" i="19" s="1"/>
  <c r="N126" i="18"/>
  <c r="O126" i="18"/>
  <c r="P126" i="18"/>
  <c r="C12" i="19"/>
  <c r="F12" i="19" s="1"/>
  <c r="S23" i="18"/>
  <c r="R23" i="18"/>
  <c r="H8" i="16"/>
  <c r="J111" i="18"/>
  <c r="K111" i="18"/>
  <c r="I16" i="19"/>
  <c r="J16" i="19"/>
  <c r="O12" i="18"/>
  <c r="N12" i="18"/>
  <c r="P12" i="18"/>
  <c r="L93" i="18"/>
  <c r="E34" i="19"/>
  <c r="F34" i="19"/>
  <c r="P49" i="19"/>
  <c r="J19" i="18"/>
  <c r="K19" i="18"/>
  <c r="G34" i="19"/>
  <c r="O113" i="18"/>
  <c r="N113" i="18"/>
  <c r="K17" i="19"/>
  <c r="P113" i="18"/>
  <c r="N125" i="18"/>
  <c r="L127" i="18"/>
  <c r="O125" i="18"/>
  <c r="P125" i="18"/>
  <c r="K50" i="19"/>
  <c r="K16" i="18"/>
  <c r="J16" i="18"/>
  <c r="G33" i="19"/>
  <c r="N112" i="18"/>
  <c r="O112" i="18"/>
  <c r="K32" i="19"/>
  <c r="O32" i="19" s="1"/>
  <c r="P112" i="18"/>
  <c r="J127" i="18"/>
  <c r="K127" i="18"/>
  <c r="J30" i="19"/>
  <c r="I30" i="19"/>
  <c r="I17" i="19"/>
  <c r="J17" i="19"/>
  <c r="N110" i="18"/>
  <c r="O110" i="18"/>
  <c r="L119" i="18"/>
  <c r="P166" i="5"/>
  <c r="O116" i="18"/>
  <c r="N116" i="18"/>
  <c r="Q48" i="19"/>
  <c r="H31" i="17"/>
  <c r="H32" i="17" s="1"/>
  <c r="H34" i="17" s="1"/>
  <c r="N38" i="16"/>
  <c r="O38" i="16" s="1"/>
  <c r="I39" i="16"/>
  <c r="I43" i="16" s="1"/>
  <c r="P23" i="16" s="1"/>
  <c r="G119" i="18"/>
  <c r="F119" i="18"/>
  <c r="J119" i="18"/>
  <c r="K119" i="18"/>
  <c r="Z93" i="3"/>
  <c r="N114" i="18"/>
  <c r="K16" i="19"/>
  <c r="O114" i="18"/>
  <c r="P114" i="18"/>
  <c r="S103" i="18"/>
  <c r="R103" i="18"/>
  <c r="O35" i="18"/>
  <c r="K15" i="19"/>
  <c r="N35" i="18"/>
  <c r="P35" i="18"/>
  <c r="I50" i="19"/>
  <c r="J50" i="19"/>
  <c r="I45" i="19"/>
  <c r="J45" i="19"/>
  <c r="S122" i="18"/>
  <c r="P52" i="19"/>
  <c r="P117" i="18"/>
  <c r="J8" i="19"/>
  <c r="I8" i="19"/>
  <c r="O108" i="18"/>
  <c r="N108" i="18"/>
  <c r="AB19" i="3"/>
  <c r="L19" i="18"/>
  <c r="Z165" i="3"/>
  <c r="AB165" i="3" s="1"/>
  <c r="O31" i="19"/>
  <c r="M31" i="19"/>
  <c r="N31" i="19"/>
  <c r="P118" i="18"/>
  <c r="Z78" i="18"/>
  <c r="Z120" i="18" s="1"/>
  <c r="Z123" i="18" s="1"/>
  <c r="Z128" i="18" s="1"/>
  <c r="P11" i="5"/>
  <c r="X54" i="19"/>
  <c r="Y49" i="19"/>
  <c r="Y52" i="19" s="1"/>
  <c r="AD75" i="18"/>
  <c r="X154" i="4"/>
  <c r="H37" i="18"/>
  <c r="X158" i="4"/>
  <c r="H39" i="18"/>
  <c r="F20" i="19"/>
  <c r="E20" i="19"/>
  <c r="P145" i="5"/>
  <c r="J67" i="18"/>
  <c r="K67" i="18"/>
  <c r="AA72" i="18"/>
  <c r="AA32" i="18"/>
  <c r="AB71" i="18"/>
  <c r="H71" i="18"/>
  <c r="G12" i="19" s="1"/>
  <c r="Q37" i="5"/>
  <c r="Q154" i="5" s="1"/>
  <c r="C41" i="19"/>
  <c r="F52" i="18"/>
  <c r="G52" i="18"/>
  <c r="J24" i="19"/>
  <c r="I24" i="19"/>
  <c r="E12" i="19"/>
  <c r="F45" i="18"/>
  <c r="D56" i="18"/>
  <c r="C22" i="19"/>
  <c r="G45" i="18"/>
  <c r="F32" i="18"/>
  <c r="G32" i="18"/>
  <c r="C35" i="19"/>
  <c r="F76" i="18"/>
  <c r="G76" i="18"/>
  <c r="D77" i="18"/>
  <c r="Q15" i="5"/>
  <c r="Q145" i="5" s="1"/>
  <c r="H15" i="18"/>
  <c r="X172" i="4"/>
  <c r="H52" i="18"/>
  <c r="X167" i="4"/>
  <c r="H51" i="18"/>
  <c r="Q77" i="5"/>
  <c r="Q166" i="5" s="1"/>
  <c r="H76" i="18"/>
  <c r="I46" i="19"/>
  <c r="J46" i="19"/>
  <c r="E27" i="19"/>
  <c r="F27" i="19"/>
  <c r="F49" i="18"/>
  <c r="G49" i="18"/>
  <c r="C43" i="19"/>
  <c r="C29" i="19"/>
  <c r="G34" i="18"/>
  <c r="F34" i="18"/>
  <c r="D44" i="18"/>
  <c r="N33" i="18"/>
  <c r="K46" i="19"/>
  <c r="O33" i="18"/>
  <c r="P33" i="18"/>
  <c r="K29" i="18"/>
  <c r="G20" i="19"/>
  <c r="J29" i="18"/>
  <c r="H32" i="18"/>
  <c r="AB67" i="18"/>
  <c r="AA12" i="19" s="1"/>
  <c r="Q51" i="5"/>
  <c r="Q167" i="5" s="1"/>
  <c r="O120" i="5"/>
  <c r="O125" i="5" s="1"/>
  <c r="O132" i="5" s="1"/>
  <c r="O185" i="5" s="1"/>
  <c r="X159" i="4"/>
  <c r="H47" i="18"/>
  <c r="X173" i="4"/>
  <c r="H36" i="18"/>
  <c r="R50" i="5"/>
  <c r="S50" i="5" s="1"/>
  <c r="T50" i="5" s="1"/>
  <c r="U50" i="5" s="1"/>
  <c r="V50" i="5" s="1"/>
  <c r="L50" i="18"/>
  <c r="F39" i="19"/>
  <c r="E39" i="19"/>
  <c r="C23" i="19"/>
  <c r="F37" i="18"/>
  <c r="G37" i="18"/>
  <c r="G72" i="18"/>
  <c r="F72" i="18"/>
  <c r="O75" i="18"/>
  <c r="N75" i="18"/>
  <c r="K24" i="19"/>
  <c r="P75" i="18"/>
  <c r="C36" i="19"/>
  <c r="G51" i="18"/>
  <c r="F51" i="18"/>
  <c r="F15" i="18"/>
  <c r="G15" i="18"/>
  <c r="C14" i="19"/>
  <c r="D22" i="18"/>
  <c r="F28" i="19"/>
  <c r="E28" i="19"/>
  <c r="G71" i="18"/>
  <c r="F71" i="18"/>
  <c r="AB45" i="18"/>
  <c r="H45" i="18"/>
  <c r="K50" i="18"/>
  <c r="G39" i="19"/>
  <c r="J50" i="18"/>
  <c r="AB51" i="18"/>
  <c r="AA36" i="19" s="1"/>
  <c r="AB34" i="18"/>
  <c r="AA29" i="19" s="1"/>
  <c r="H34" i="18"/>
  <c r="X144" i="4"/>
  <c r="H48" i="18"/>
  <c r="X157" i="4"/>
  <c r="H38" i="18"/>
  <c r="X174" i="4"/>
  <c r="H49" i="18"/>
  <c r="C26" i="19"/>
  <c r="G38" i="18"/>
  <c r="F38" i="18"/>
  <c r="G36" i="18"/>
  <c r="C42" i="19"/>
  <c r="F36" i="18"/>
  <c r="C13" i="19"/>
  <c r="G48" i="18"/>
  <c r="F48" i="18"/>
  <c r="AB7" i="3"/>
  <c r="Z150" i="3"/>
  <c r="AB150" i="3" s="1"/>
  <c r="Z7" i="4"/>
  <c r="L7" i="18" s="1"/>
  <c r="AB52" i="18"/>
  <c r="AA41" i="19" s="1"/>
  <c r="P44" i="5"/>
  <c r="Q48" i="5"/>
  <c r="Q144" i="5" s="1"/>
  <c r="AB37" i="18"/>
  <c r="AA23" i="19" s="1"/>
  <c r="AB76" i="18"/>
  <c r="Q39" i="5"/>
  <c r="Q158" i="5" s="1"/>
  <c r="AB49" i="18"/>
  <c r="AA43" i="19" s="1"/>
  <c r="G7" i="18"/>
  <c r="C19" i="19"/>
  <c r="F7" i="18"/>
  <c r="AB39" i="3"/>
  <c r="Z158" i="3"/>
  <c r="AB158" i="3" s="1"/>
  <c r="Z39" i="4"/>
  <c r="AC50" i="18"/>
  <c r="Z170" i="4"/>
  <c r="AB170" i="4" s="1"/>
  <c r="AB50" i="4"/>
  <c r="AC50" i="4" s="1"/>
  <c r="AD50" i="4" s="1"/>
  <c r="AE50" i="4" s="1"/>
  <c r="AB119" i="18"/>
  <c r="Q34" i="5"/>
  <c r="AC126" i="18"/>
  <c r="AD126" i="18" s="1"/>
  <c r="R129" i="5"/>
  <c r="S129" i="5" s="1"/>
  <c r="T129" i="5" s="1"/>
  <c r="U129" i="5" s="1"/>
  <c r="V129" i="5" s="1"/>
  <c r="AB129" i="3"/>
  <c r="AB39" i="18"/>
  <c r="AA27" i="19" s="1"/>
  <c r="Q49" i="5"/>
  <c r="Q174" i="5" s="1"/>
  <c r="Z49" i="4"/>
  <c r="L49" i="18" s="1"/>
  <c r="Z174" i="3"/>
  <c r="AB174" i="3" s="1"/>
  <c r="AB49" i="3"/>
  <c r="Z173" i="3"/>
  <c r="AB173" i="3" s="1"/>
  <c r="AB36" i="3"/>
  <c r="Z36" i="4"/>
  <c r="L36" i="18" s="1"/>
  <c r="Q7" i="5"/>
  <c r="Q150" i="5" s="1"/>
  <c r="X150" i="4"/>
  <c r="AE103" i="4"/>
  <c r="AE108" i="4" s="1"/>
  <c r="AD108" i="4"/>
  <c r="R162" i="5"/>
  <c r="S162" i="5" s="1"/>
  <c r="S23" i="5"/>
  <c r="T23" i="5" s="1"/>
  <c r="U23" i="5" s="1"/>
  <c r="V23" i="5" s="1"/>
  <c r="AB91" i="4"/>
  <c r="AC91" i="4" s="1"/>
  <c r="AD91" i="4" s="1"/>
  <c r="AE91" i="4" s="1"/>
  <c r="Z139" i="4"/>
  <c r="AB139" i="4" s="1"/>
  <c r="AB31" i="19"/>
  <c r="AC31" i="19" s="1"/>
  <c r="S31" i="19" s="1"/>
  <c r="AD23" i="18"/>
  <c r="AA44" i="18"/>
  <c r="AB92" i="4"/>
  <c r="AC92" i="4" s="1"/>
  <c r="AD92" i="4" s="1"/>
  <c r="AE92" i="4" s="1"/>
  <c r="AC92" i="18"/>
  <c r="R92" i="5"/>
  <c r="Z156" i="4"/>
  <c r="AB156" i="4" s="1"/>
  <c r="H7" i="18"/>
  <c r="R128" i="5"/>
  <c r="S128" i="5" s="1"/>
  <c r="T128" i="5" s="1"/>
  <c r="U128" i="5" s="1"/>
  <c r="V128" i="5" s="1"/>
  <c r="AC125" i="18"/>
  <c r="AD125" i="18" s="1"/>
  <c r="AB128" i="3"/>
  <c r="Z181" i="3"/>
  <c r="AB181" i="3" s="1"/>
  <c r="Z130" i="3"/>
  <c r="AA22" i="19"/>
  <c r="X145" i="4"/>
  <c r="X22" i="4"/>
  <c r="AD109" i="4"/>
  <c r="AC119" i="4"/>
  <c r="AE6" i="18"/>
  <c r="Q119" i="5"/>
  <c r="Q155" i="5"/>
  <c r="AD12" i="4"/>
  <c r="Q73" i="5"/>
  <c r="Q143" i="5"/>
  <c r="AB68" i="3"/>
  <c r="Z143" i="3"/>
  <c r="AB143" i="3" s="1"/>
  <c r="Z68" i="4"/>
  <c r="AC67" i="18" s="1"/>
  <c r="Z73" i="3"/>
  <c r="Z49" i="19"/>
  <c r="Z52" i="19" s="1"/>
  <c r="AB51" i="3"/>
  <c r="Z51" i="4"/>
  <c r="L51" i="18" s="1"/>
  <c r="Z167" i="3"/>
  <c r="AB167" i="3" s="1"/>
  <c r="AC108" i="18"/>
  <c r="AD102" i="18"/>
  <c r="S89" i="5"/>
  <c r="P56" i="5"/>
  <c r="V57" i="4"/>
  <c r="V120" i="4" s="1"/>
  <c r="V125" i="4" s="1"/>
  <c r="V132" i="4" s="1"/>
  <c r="Q160" i="5"/>
  <c r="AD103" i="18"/>
  <c r="AB9" i="19"/>
  <c r="AC9" i="19" s="1"/>
  <c r="S9" i="19" s="1"/>
  <c r="Z176" i="3"/>
  <c r="AB176" i="3" s="1"/>
  <c r="AB115" i="3"/>
  <c r="R115" i="5"/>
  <c r="AC115" i="18"/>
  <c r="T6" i="5"/>
  <c r="Q149" i="5"/>
  <c r="X149" i="4"/>
  <c r="X11" i="4"/>
  <c r="H8" i="18"/>
  <c r="AB47" i="3"/>
  <c r="Z47" i="4"/>
  <c r="Z159" i="3"/>
  <c r="AB159" i="3" s="1"/>
  <c r="AE112" i="18"/>
  <c r="AF112" i="18" s="1"/>
  <c r="AG112" i="18" s="1"/>
  <c r="X180" i="3"/>
  <c r="X183" i="3" s="1"/>
  <c r="AB114" i="3"/>
  <c r="Z147" i="3"/>
  <c r="AB147" i="3" s="1"/>
  <c r="R114" i="5"/>
  <c r="AC114" i="18"/>
  <c r="Z38" i="4"/>
  <c r="Z157" i="3"/>
  <c r="AB157" i="3" s="1"/>
  <c r="AB38" i="3"/>
  <c r="Z72" i="4"/>
  <c r="AB72" i="3"/>
  <c r="AA50" i="19"/>
  <c r="AB127" i="18"/>
  <c r="AB127" i="4"/>
  <c r="Z181" i="4"/>
  <c r="AB181" i="4" s="1"/>
  <c r="Z130" i="4"/>
  <c r="R127" i="5"/>
  <c r="AC124" i="18"/>
  <c r="AB122" i="18"/>
  <c r="AA48" i="19"/>
  <c r="S12" i="5"/>
  <c r="AD12" i="18"/>
  <c r="Z77" i="4"/>
  <c r="L76" i="18" s="1"/>
  <c r="L77" i="18" s="1"/>
  <c r="Z166" i="3"/>
  <c r="AB166" i="3" s="1"/>
  <c r="AB77" i="3"/>
  <c r="Z78" i="3"/>
  <c r="S19" i="5"/>
  <c r="T19" i="5" s="1"/>
  <c r="U19" i="5" s="1"/>
  <c r="V19" i="5" s="1"/>
  <c r="R165" i="5"/>
  <c r="S165" i="5" s="1"/>
  <c r="AA56" i="18"/>
  <c r="AB15" i="18"/>
  <c r="AB15" i="3"/>
  <c r="Z15" i="4"/>
  <c r="L15" i="18" s="1"/>
  <c r="Z145" i="3"/>
  <c r="AB145" i="3" s="1"/>
  <c r="AB32" i="18"/>
  <c r="AA20" i="19"/>
  <c r="Z29" i="4"/>
  <c r="R29" i="5" s="1"/>
  <c r="AB29" i="3"/>
  <c r="Z151" i="3"/>
  <c r="AB151" i="3" s="1"/>
  <c r="Z32" i="3"/>
  <c r="Q29" i="5"/>
  <c r="X32" i="4"/>
  <c r="X151" i="4"/>
  <c r="N38" i="19"/>
  <c r="M38" i="19"/>
  <c r="O38" i="19"/>
  <c r="AC38" i="19"/>
  <c r="G8" i="18"/>
  <c r="C18" i="19"/>
  <c r="F8" i="18"/>
  <c r="D11" i="18"/>
  <c r="AB110" i="3"/>
  <c r="R110" i="5"/>
  <c r="R155" i="5" s="1"/>
  <c r="AC110" i="18"/>
  <c r="Z119" i="3"/>
  <c r="Z155" i="3"/>
  <c r="AB155" i="3" s="1"/>
  <c r="AE105" i="18"/>
  <c r="AF105" i="18" s="1"/>
  <c r="AG105" i="18" s="1"/>
  <c r="Q52" i="5"/>
  <c r="Q172" i="5" s="1"/>
  <c r="Z52" i="4"/>
  <c r="Z172" i="3"/>
  <c r="AB172" i="3" s="1"/>
  <c r="AB52" i="3"/>
  <c r="V180" i="4"/>
  <c r="V183" i="4" s="1"/>
  <c r="V185" i="4" s="1"/>
  <c r="P73" i="5"/>
  <c r="P143" i="5"/>
  <c r="X143" i="4"/>
  <c r="X73" i="4"/>
  <c r="Q22" i="5"/>
  <c r="AB108" i="3"/>
  <c r="S102" i="5"/>
  <c r="R108" i="5"/>
  <c r="AD89" i="18"/>
  <c r="AB89" i="4"/>
  <c r="Z93" i="4"/>
  <c r="X160" i="4"/>
  <c r="X44" i="4"/>
  <c r="AB34" i="3"/>
  <c r="Z34" i="4"/>
  <c r="Z160" i="3"/>
  <c r="AB160" i="3" s="1"/>
  <c r="Z44" i="3"/>
  <c r="S103" i="5"/>
  <c r="T103" i="5" s="1"/>
  <c r="U103" i="5" s="1"/>
  <c r="V103" i="5" s="1"/>
  <c r="R140" i="5"/>
  <c r="S140" i="5" s="1"/>
  <c r="Z48" i="4"/>
  <c r="Z144" i="3"/>
  <c r="AB144" i="3" s="1"/>
  <c r="AB48" i="3"/>
  <c r="Y130" i="4"/>
  <c r="Y132" i="4" s="1"/>
  <c r="AA127" i="4"/>
  <c r="Y181" i="4"/>
  <c r="Y183" i="4" s="1"/>
  <c r="AB8" i="18"/>
  <c r="Z8" i="4"/>
  <c r="L8" i="18" s="1"/>
  <c r="Z149" i="3"/>
  <c r="AB149" i="3" s="1"/>
  <c r="AB8" i="3"/>
  <c r="Z11" i="3"/>
  <c r="Q47" i="5"/>
  <c r="Q159" i="5" s="1"/>
  <c r="AB117" i="3"/>
  <c r="Z161" i="3"/>
  <c r="AB161" i="3" s="1"/>
  <c r="R117" i="5"/>
  <c r="AC117" i="18"/>
  <c r="Z148" i="3"/>
  <c r="AB148" i="3" s="1"/>
  <c r="AB113" i="3"/>
  <c r="AC113" i="18"/>
  <c r="R113" i="5"/>
  <c r="AB118" i="3"/>
  <c r="R118" i="5"/>
  <c r="S118" i="5" s="1"/>
  <c r="T118" i="5" s="1"/>
  <c r="U118" i="5" s="1"/>
  <c r="V118" i="5" s="1"/>
  <c r="AC118" i="18"/>
  <c r="AD118" i="18" s="1"/>
  <c r="AB91" i="3"/>
  <c r="Z139" i="3"/>
  <c r="R91" i="5"/>
  <c r="AC91" i="18"/>
  <c r="Q130" i="5"/>
  <c r="Q181" i="5"/>
  <c r="AB37" i="3"/>
  <c r="Z37" i="4"/>
  <c r="L37" i="18" s="1"/>
  <c r="Z154" i="3"/>
  <c r="AB154" i="3" s="1"/>
  <c r="Q124" i="5"/>
  <c r="Q179" i="5"/>
  <c r="AB122" i="4"/>
  <c r="Z124" i="4"/>
  <c r="Z179" i="4"/>
  <c r="AB179" i="4" s="1"/>
  <c r="AC121" i="18"/>
  <c r="R122" i="5"/>
  <c r="AB22" i="3"/>
  <c r="Z22" i="3"/>
  <c r="Q93" i="5"/>
  <c r="Q153" i="5"/>
  <c r="X56" i="4"/>
  <c r="X153" i="4"/>
  <c r="Z45" i="4"/>
  <c r="L45" i="18" s="1"/>
  <c r="AB45" i="3"/>
  <c r="Z56" i="3"/>
  <c r="Z153" i="3"/>
  <c r="AB153" i="3" s="1"/>
  <c r="R45" i="5"/>
  <c r="R116" i="5"/>
  <c r="S116" i="5" s="1"/>
  <c r="T116" i="5" s="1"/>
  <c r="U116" i="5" s="1"/>
  <c r="V116" i="5" s="1"/>
  <c r="AC116" i="18"/>
  <c r="AD116" i="18" s="1"/>
  <c r="AB116" i="3"/>
  <c r="X120" i="3"/>
  <c r="X125" i="3" s="1"/>
  <c r="X132" i="3" s="1"/>
  <c r="X166" i="4"/>
  <c r="X78" i="4"/>
  <c r="AB34" i="19"/>
  <c r="AD19" i="18"/>
  <c r="AB93" i="18"/>
  <c r="AC33" i="4"/>
  <c r="AC76" i="4"/>
  <c r="S76" i="5"/>
  <c r="AF109" i="18"/>
  <c r="AB46" i="19"/>
  <c r="AC46" i="19" s="1"/>
  <c r="AD33" i="18"/>
  <c r="AE75" i="18"/>
  <c r="U109" i="5"/>
  <c r="T33" i="5"/>
  <c r="Y185" i="4" l="1"/>
  <c r="Y186" i="4"/>
  <c r="S35" i="5"/>
  <c r="T35" i="5" s="1"/>
  <c r="U35" i="5" s="1"/>
  <c r="V35" i="5" s="1"/>
  <c r="R146" i="5"/>
  <c r="S146" i="5" s="1"/>
  <c r="E15" i="19"/>
  <c r="F15" i="19"/>
  <c r="Q44" i="5"/>
  <c r="K35" i="18"/>
  <c r="J35" i="18"/>
  <c r="G15" i="19"/>
  <c r="AC15" i="19" s="1"/>
  <c r="AD35" i="18"/>
  <c r="AE35" i="18" s="1"/>
  <c r="AF35" i="18" s="1"/>
  <c r="AG35" i="18" s="1"/>
  <c r="AB35" i="4"/>
  <c r="AC35" i="4" s="1"/>
  <c r="AD35" i="4" s="1"/>
  <c r="AE35" i="4" s="1"/>
  <c r="Z146" i="4"/>
  <c r="AB146" i="4" s="1"/>
  <c r="L53" i="18"/>
  <c r="AC53" i="18"/>
  <c r="Z152" i="4"/>
  <c r="AB152" i="4" s="1"/>
  <c r="AB53" i="4"/>
  <c r="AC53" i="4" s="1"/>
  <c r="AD53" i="4" s="1"/>
  <c r="AE53" i="4" s="1"/>
  <c r="F21" i="19"/>
  <c r="E21" i="19"/>
  <c r="G21" i="19"/>
  <c r="J53" i="18"/>
  <c r="K53" i="18"/>
  <c r="P53" i="18"/>
  <c r="AB56" i="18"/>
  <c r="R53" i="5"/>
  <c r="Y54" i="19"/>
  <c r="P41" i="16"/>
  <c r="P7" i="16"/>
  <c r="P12" i="16"/>
  <c r="P18" i="16"/>
  <c r="P31" i="16"/>
  <c r="P43" i="16"/>
  <c r="P8" i="16"/>
  <c r="P13" i="16"/>
  <c r="P20" i="16"/>
  <c r="P25" i="16"/>
  <c r="P33" i="16"/>
  <c r="P6" i="16"/>
  <c r="P9" i="16"/>
  <c r="P14" i="16"/>
  <c r="P21" i="16"/>
  <c r="P27" i="16"/>
  <c r="P11" i="16"/>
  <c r="P16" i="16"/>
  <c r="P22" i="16"/>
  <c r="P29" i="16"/>
  <c r="P38" i="16"/>
  <c r="P35" i="16"/>
  <c r="R32" i="19"/>
  <c r="Q32" i="19"/>
  <c r="R8" i="19"/>
  <c r="Q8" i="19"/>
  <c r="P15" i="18"/>
  <c r="O19" i="18"/>
  <c r="N19" i="18"/>
  <c r="K34" i="19"/>
  <c r="AC34" i="19" s="1"/>
  <c r="P19" i="18"/>
  <c r="R114" i="18"/>
  <c r="S114" i="18"/>
  <c r="N127" i="18"/>
  <c r="O127" i="18"/>
  <c r="M45" i="19"/>
  <c r="N45" i="19"/>
  <c r="O45" i="19"/>
  <c r="N16" i="18"/>
  <c r="O16" i="18"/>
  <c r="K33" i="19"/>
  <c r="AD111" i="18"/>
  <c r="R9" i="19"/>
  <c r="Q9" i="19"/>
  <c r="N8" i="16"/>
  <c r="O8" i="16" s="1"/>
  <c r="G8" i="17"/>
  <c r="S16" i="5"/>
  <c r="T16" i="5" s="1"/>
  <c r="U16" i="5" s="1"/>
  <c r="V16" i="5" s="1"/>
  <c r="R164" i="5"/>
  <c r="S164" i="5" s="1"/>
  <c r="G27" i="17"/>
  <c r="N31" i="16"/>
  <c r="O31" i="16" s="1"/>
  <c r="R91" i="18"/>
  <c r="S91" i="18"/>
  <c r="Q30" i="19"/>
  <c r="R30" i="19"/>
  <c r="R31" i="19"/>
  <c r="Q31" i="19"/>
  <c r="S117" i="18"/>
  <c r="R117" i="18"/>
  <c r="M16" i="19"/>
  <c r="N16" i="19"/>
  <c r="O16" i="19"/>
  <c r="R112" i="18"/>
  <c r="S112" i="18"/>
  <c r="J33" i="19"/>
  <c r="I33" i="19"/>
  <c r="R125" i="18"/>
  <c r="S125" i="18"/>
  <c r="P127" i="18"/>
  <c r="S113" i="18"/>
  <c r="R113" i="18"/>
  <c r="J34" i="19"/>
  <c r="I34" i="19"/>
  <c r="R12" i="18"/>
  <c r="S12" i="18"/>
  <c r="M30" i="19"/>
  <c r="N30" i="19"/>
  <c r="AB33" i="19"/>
  <c r="AD16" i="18"/>
  <c r="P93" i="18"/>
  <c r="S35" i="18"/>
  <c r="R35" i="18"/>
  <c r="O119" i="18"/>
  <c r="N119" i="18"/>
  <c r="O50" i="19"/>
  <c r="M50" i="19"/>
  <c r="N50" i="19"/>
  <c r="N93" i="18"/>
  <c r="O93" i="18"/>
  <c r="S115" i="18"/>
  <c r="R115" i="18"/>
  <c r="N111" i="18"/>
  <c r="O111" i="18"/>
  <c r="P111" i="18"/>
  <c r="R37" i="5"/>
  <c r="R154" i="5" s="1"/>
  <c r="S154" i="5" s="1"/>
  <c r="R118" i="18"/>
  <c r="S118" i="18"/>
  <c r="M15" i="19"/>
  <c r="N15" i="19"/>
  <c r="O15" i="19"/>
  <c r="M32" i="19"/>
  <c r="N32" i="19"/>
  <c r="N17" i="19"/>
  <c r="M17" i="19"/>
  <c r="O17" i="19"/>
  <c r="R126" i="18"/>
  <c r="S126" i="18"/>
  <c r="M8" i="19"/>
  <c r="N8" i="19"/>
  <c r="AC32" i="19"/>
  <c r="S32" i="19" s="1"/>
  <c r="P16" i="18"/>
  <c r="P180" i="5"/>
  <c r="P183" i="5" s="1"/>
  <c r="R51" i="5"/>
  <c r="R167" i="5" s="1"/>
  <c r="S167" i="5" s="1"/>
  <c r="R170" i="5"/>
  <c r="S170" i="5" s="1"/>
  <c r="P45" i="18"/>
  <c r="R45" i="18" s="1"/>
  <c r="Q78" i="5"/>
  <c r="P37" i="18"/>
  <c r="R37" i="18" s="1"/>
  <c r="AB72" i="18"/>
  <c r="Q56" i="5"/>
  <c r="Q57" i="5" s="1"/>
  <c r="AC15" i="18"/>
  <c r="AC22" i="18" s="1"/>
  <c r="R77" i="5"/>
  <c r="R78" i="5" s="1"/>
  <c r="Q11" i="5"/>
  <c r="N77" i="18"/>
  <c r="O77" i="18"/>
  <c r="J12" i="19"/>
  <c r="I12" i="19"/>
  <c r="S15" i="18"/>
  <c r="R15" i="18"/>
  <c r="K42" i="19"/>
  <c r="N36" i="18"/>
  <c r="O36" i="18"/>
  <c r="F14" i="19"/>
  <c r="E14" i="19"/>
  <c r="G77" i="18"/>
  <c r="F77" i="18"/>
  <c r="K23" i="19"/>
  <c r="N37" i="18"/>
  <c r="O37" i="18"/>
  <c r="R52" i="5"/>
  <c r="S52" i="5" s="1"/>
  <c r="T52" i="5" s="1"/>
  <c r="U52" i="5" s="1"/>
  <c r="V52" i="5" s="1"/>
  <c r="L52" i="18"/>
  <c r="AC29" i="18"/>
  <c r="AB20" i="19" s="1"/>
  <c r="L29" i="18"/>
  <c r="AA78" i="18"/>
  <c r="AA120" i="18" s="1"/>
  <c r="AA123" i="18" s="1"/>
  <c r="AA128" i="18" s="1"/>
  <c r="Z54" i="19" s="1"/>
  <c r="AB72" i="4"/>
  <c r="AC72" i="4" s="1"/>
  <c r="AD72" i="4" s="1"/>
  <c r="AE72" i="4" s="1"/>
  <c r="L71" i="18"/>
  <c r="AC47" i="18"/>
  <c r="AB28" i="19" s="1"/>
  <c r="L47" i="18"/>
  <c r="P47" i="18" s="1"/>
  <c r="K36" i="19"/>
  <c r="N51" i="18"/>
  <c r="O51" i="18"/>
  <c r="N49" i="18"/>
  <c r="O49" i="18"/>
  <c r="K43" i="19"/>
  <c r="F13" i="19"/>
  <c r="E13" i="19"/>
  <c r="G43" i="19"/>
  <c r="K49" i="18"/>
  <c r="J49" i="18"/>
  <c r="J48" i="18"/>
  <c r="K48" i="18"/>
  <c r="G13" i="19"/>
  <c r="G22" i="19"/>
  <c r="H56" i="18"/>
  <c r="K45" i="18"/>
  <c r="J45" i="18"/>
  <c r="M24" i="19"/>
  <c r="N24" i="19"/>
  <c r="J20" i="19"/>
  <c r="I20" i="19"/>
  <c r="P49" i="18"/>
  <c r="J51" i="18"/>
  <c r="K51" i="18"/>
  <c r="G36" i="19"/>
  <c r="K15" i="18"/>
  <c r="H22" i="18"/>
  <c r="G14" i="19"/>
  <c r="J15" i="18"/>
  <c r="E22" i="19"/>
  <c r="F22" i="19"/>
  <c r="R48" i="5"/>
  <c r="S48" i="5" s="1"/>
  <c r="T48" i="5" s="1"/>
  <c r="U48" i="5" s="1"/>
  <c r="V48" i="5" s="1"/>
  <c r="L48" i="18"/>
  <c r="K34" i="18"/>
  <c r="G29" i="19"/>
  <c r="J34" i="18"/>
  <c r="H44" i="18"/>
  <c r="I39" i="19"/>
  <c r="J39" i="19"/>
  <c r="K32" i="18"/>
  <c r="J32" i="18"/>
  <c r="J52" i="18"/>
  <c r="G41" i="19"/>
  <c r="K52" i="18"/>
  <c r="N45" i="18"/>
  <c r="K22" i="19"/>
  <c r="O45" i="18"/>
  <c r="O15" i="18"/>
  <c r="K14" i="19"/>
  <c r="L22" i="18"/>
  <c r="N15" i="18"/>
  <c r="R68" i="5"/>
  <c r="L67" i="18"/>
  <c r="P7" i="18"/>
  <c r="S7" i="18" s="1"/>
  <c r="R36" i="5"/>
  <c r="S36" i="5" s="1"/>
  <c r="T36" i="5" s="1"/>
  <c r="U36" i="5" s="1"/>
  <c r="V36" i="5" s="1"/>
  <c r="R49" i="5"/>
  <c r="R174" i="5" s="1"/>
  <c r="S174" i="5" s="1"/>
  <c r="R39" i="5"/>
  <c r="S39" i="5" s="1"/>
  <c r="T39" i="5" s="1"/>
  <c r="U39" i="5" s="1"/>
  <c r="V39" i="5" s="1"/>
  <c r="L39" i="18"/>
  <c r="P39" i="18" s="1"/>
  <c r="E42" i="19"/>
  <c r="F42" i="19"/>
  <c r="F22" i="18"/>
  <c r="G22" i="18"/>
  <c r="F23" i="19"/>
  <c r="E23" i="19"/>
  <c r="O50" i="18"/>
  <c r="N50" i="18"/>
  <c r="K39" i="19"/>
  <c r="J47" i="18"/>
  <c r="K47" i="18"/>
  <c r="G28" i="19"/>
  <c r="N46" i="19"/>
  <c r="M46" i="19"/>
  <c r="E43" i="19"/>
  <c r="F43" i="19"/>
  <c r="O46" i="19"/>
  <c r="O24" i="19"/>
  <c r="G56" i="18"/>
  <c r="F56" i="18"/>
  <c r="J71" i="18"/>
  <c r="K71" i="18"/>
  <c r="J37" i="18"/>
  <c r="G23" i="19"/>
  <c r="K37" i="18"/>
  <c r="G26" i="19"/>
  <c r="K38" i="18"/>
  <c r="J38" i="18"/>
  <c r="F36" i="19"/>
  <c r="E36" i="19"/>
  <c r="S33" i="18"/>
  <c r="R33" i="18"/>
  <c r="K76" i="18"/>
  <c r="J76" i="18"/>
  <c r="G35" i="19"/>
  <c r="H77" i="18"/>
  <c r="E35" i="19"/>
  <c r="F35" i="19"/>
  <c r="R34" i="5"/>
  <c r="R160" i="5" s="1"/>
  <c r="S160" i="5" s="1"/>
  <c r="L34" i="18"/>
  <c r="P34" i="18" s="1"/>
  <c r="N76" i="18"/>
  <c r="K35" i="19"/>
  <c r="O76" i="18"/>
  <c r="R38" i="5"/>
  <c r="L38" i="18"/>
  <c r="P36" i="18"/>
  <c r="E26" i="19"/>
  <c r="F26" i="19"/>
  <c r="P51" i="18"/>
  <c r="R75" i="18"/>
  <c r="S75" i="18"/>
  <c r="G42" i="19"/>
  <c r="O42" i="19" s="1"/>
  <c r="K36" i="18"/>
  <c r="J36" i="18"/>
  <c r="F44" i="18"/>
  <c r="G44" i="18"/>
  <c r="E29" i="19"/>
  <c r="F29" i="19"/>
  <c r="P76" i="18"/>
  <c r="P77" i="18" s="1"/>
  <c r="F41" i="19"/>
  <c r="E41" i="19"/>
  <c r="H72" i="18"/>
  <c r="G27" i="19"/>
  <c r="K39" i="18"/>
  <c r="J39" i="18"/>
  <c r="P50" i="18"/>
  <c r="K19" i="19"/>
  <c r="O7" i="18"/>
  <c r="N7" i="18"/>
  <c r="S38" i="19"/>
  <c r="P57" i="5"/>
  <c r="P120" i="5" s="1"/>
  <c r="P125" i="5" s="1"/>
  <c r="P132" i="5" s="1"/>
  <c r="AB130" i="3"/>
  <c r="AC36" i="18"/>
  <c r="Z173" i="4"/>
  <c r="AB173" i="4" s="1"/>
  <c r="AB36" i="4"/>
  <c r="AC36" i="4" s="1"/>
  <c r="AD36" i="4" s="1"/>
  <c r="AE36" i="4" s="1"/>
  <c r="AB44" i="18"/>
  <c r="S92" i="5"/>
  <c r="T92" i="5" s="1"/>
  <c r="U92" i="5" s="1"/>
  <c r="V92" i="5" s="1"/>
  <c r="R156" i="5"/>
  <c r="S156" i="5" s="1"/>
  <c r="AB39" i="4"/>
  <c r="AC39" i="4" s="1"/>
  <c r="AD39" i="4" s="1"/>
  <c r="AE39" i="4" s="1"/>
  <c r="Z158" i="4"/>
  <c r="AB158" i="4" s="1"/>
  <c r="R7" i="5"/>
  <c r="Z150" i="4"/>
  <c r="AB150" i="4" s="1"/>
  <c r="AB7" i="4"/>
  <c r="AC7" i="4" s="1"/>
  <c r="AD7" i="4" s="1"/>
  <c r="AE7" i="4" s="1"/>
  <c r="AB25" i="19"/>
  <c r="AC25" i="19" s="1"/>
  <c r="S25" i="19" s="1"/>
  <c r="AD92" i="18"/>
  <c r="AC49" i="18"/>
  <c r="Z174" i="4"/>
  <c r="AB174" i="4" s="1"/>
  <c r="AB49" i="4"/>
  <c r="AC49" i="4" s="1"/>
  <c r="AD49" i="4" s="1"/>
  <c r="AE49" i="4" s="1"/>
  <c r="AB39" i="19"/>
  <c r="AC39" i="19" s="1"/>
  <c r="AD50" i="18"/>
  <c r="E19" i="19"/>
  <c r="F19" i="19"/>
  <c r="AA35" i="19"/>
  <c r="AB77" i="18"/>
  <c r="AE125" i="18"/>
  <c r="AF125" i="18" s="1"/>
  <c r="AG125" i="18" s="1"/>
  <c r="AE23" i="18"/>
  <c r="AF23" i="18" s="1"/>
  <c r="AG23" i="18" s="1"/>
  <c r="E8" i="16"/>
  <c r="F8" i="16"/>
  <c r="F8" i="17" s="1"/>
  <c r="AE126" i="18"/>
  <c r="AF126" i="18" s="1"/>
  <c r="AG126" i="18" s="1"/>
  <c r="K7" i="18"/>
  <c r="G19" i="19"/>
  <c r="J7" i="18"/>
  <c r="R173" i="5"/>
  <c r="S173" i="5" s="1"/>
  <c r="AC39" i="18"/>
  <c r="AC7" i="18"/>
  <c r="R157" i="5"/>
  <c r="S157" i="5" s="1"/>
  <c r="S38" i="5"/>
  <c r="T38" i="5" s="1"/>
  <c r="U38" i="5" s="1"/>
  <c r="V38" i="5" s="1"/>
  <c r="O8" i="18"/>
  <c r="N8" i="18"/>
  <c r="K18" i="19"/>
  <c r="L11" i="18"/>
  <c r="P8" i="18"/>
  <c r="AC32" i="18"/>
  <c r="S68" i="5"/>
  <c r="AE116" i="18"/>
  <c r="AF116" i="18" s="1"/>
  <c r="AG116" i="18" s="1"/>
  <c r="S45" i="5"/>
  <c r="R153" i="5"/>
  <c r="S153" i="5" s="1"/>
  <c r="AC45" i="18"/>
  <c r="Z153" i="4"/>
  <c r="AB153" i="4" s="1"/>
  <c r="AB45" i="4"/>
  <c r="Z56" i="4"/>
  <c r="AB48" i="19"/>
  <c r="AC48" i="19" s="1"/>
  <c r="S48" i="19" s="1"/>
  <c r="AD121" i="18"/>
  <c r="AC122" i="18"/>
  <c r="S91" i="5"/>
  <c r="T91" i="5" s="1"/>
  <c r="U91" i="5" s="1"/>
  <c r="V91" i="5" s="1"/>
  <c r="R139" i="5"/>
  <c r="S139" i="5" s="1"/>
  <c r="S113" i="5"/>
  <c r="T113" i="5" s="1"/>
  <c r="U113" i="5" s="1"/>
  <c r="V113" i="5" s="1"/>
  <c r="R148" i="5"/>
  <c r="S148" i="5" s="1"/>
  <c r="AB30" i="19"/>
  <c r="AC30" i="19" s="1"/>
  <c r="S30" i="19" s="1"/>
  <c r="AD117" i="18"/>
  <c r="AC8" i="18"/>
  <c r="AC48" i="18"/>
  <c r="Z144" i="4"/>
  <c r="AB144" i="4" s="1"/>
  <c r="AB48" i="4"/>
  <c r="AC48" i="4" s="1"/>
  <c r="AD48" i="4" s="1"/>
  <c r="AE48" i="4" s="1"/>
  <c r="AC34" i="18"/>
  <c r="Z160" i="4"/>
  <c r="AB160" i="4" s="1"/>
  <c r="AB34" i="4"/>
  <c r="Z44" i="4"/>
  <c r="X57" i="4"/>
  <c r="X120" i="4" s="1"/>
  <c r="X125" i="4" s="1"/>
  <c r="X132" i="4" s="1"/>
  <c r="AE89" i="18"/>
  <c r="AC52" i="18"/>
  <c r="AB52" i="4"/>
  <c r="AC52" i="4" s="1"/>
  <c r="AD52" i="4" s="1"/>
  <c r="AE52" i="4" s="1"/>
  <c r="Z172" i="4"/>
  <c r="AB172" i="4" s="1"/>
  <c r="S110" i="5"/>
  <c r="R119" i="5"/>
  <c r="F11" i="18"/>
  <c r="G11" i="18"/>
  <c r="D78" i="18"/>
  <c r="Q38" i="19"/>
  <c r="R38" i="19"/>
  <c r="AB32" i="3"/>
  <c r="R15" i="5"/>
  <c r="AB15" i="4"/>
  <c r="Z145" i="4"/>
  <c r="AB145" i="4" s="1"/>
  <c r="Z22" i="4"/>
  <c r="AA14" i="19"/>
  <c r="AB22" i="18"/>
  <c r="AB78" i="3"/>
  <c r="AC76" i="18"/>
  <c r="Z166" i="4"/>
  <c r="AB166" i="4" s="1"/>
  <c r="AB77" i="4"/>
  <c r="Z78" i="4"/>
  <c r="R181" i="5"/>
  <c r="S181" i="5" s="1"/>
  <c r="S183" i="5" s="1"/>
  <c r="S127" i="5"/>
  <c r="R130" i="5"/>
  <c r="R72" i="5"/>
  <c r="S72" i="5" s="1"/>
  <c r="T72" i="5" s="1"/>
  <c r="U72" i="5" s="1"/>
  <c r="V72" i="5" s="1"/>
  <c r="AC71" i="18"/>
  <c r="AB12" i="19" s="1"/>
  <c r="AD114" i="18"/>
  <c r="AB16" i="19"/>
  <c r="AC16" i="19" s="1"/>
  <c r="S16" i="19" s="1"/>
  <c r="R47" i="5"/>
  <c r="AB47" i="4"/>
  <c r="AC47" i="4" s="1"/>
  <c r="AD47" i="4" s="1"/>
  <c r="AE47" i="4" s="1"/>
  <c r="Z159" i="4"/>
  <c r="AB159" i="4" s="1"/>
  <c r="G18" i="19"/>
  <c r="J8" i="18"/>
  <c r="K8" i="18"/>
  <c r="H11" i="18"/>
  <c r="U6" i="5"/>
  <c r="S115" i="5"/>
  <c r="T115" i="5" s="1"/>
  <c r="U115" i="5" s="1"/>
  <c r="V115" i="5" s="1"/>
  <c r="R176" i="5"/>
  <c r="S176" i="5" s="1"/>
  <c r="AE103" i="18"/>
  <c r="AF103" i="18" s="1"/>
  <c r="AG103" i="18" s="1"/>
  <c r="R93" i="5"/>
  <c r="AD108" i="18"/>
  <c r="E31" i="16" s="1"/>
  <c r="AE102" i="18"/>
  <c r="AC51" i="18"/>
  <c r="Z167" i="4"/>
  <c r="AB167" i="4" s="1"/>
  <c r="AB51" i="4"/>
  <c r="AC51" i="4" s="1"/>
  <c r="AD51" i="4" s="1"/>
  <c r="AE51" i="4" s="1"/>
  <c r="AB73" i="3"/>
  <c r="AE109" i="4"/>
  <c r="AE119" i="4" s="1"/>
  <c r="AD119" i="4"/>
  <c r="AE19" i="18"/>
  <c r="AF19" i="18" s="1"/>
  <c r="AG19" i="18" s="1"/>
  <c r="AB56" i="3"/>
  <c r="S122" i="5"/>
  <c r="R124" i="5"/>
  <c r="R179" i="5"/>
  <c r="S179" i="5" s="1"/>
  <c r="AC122" i="4"/>
  <c r="AB124" i="4"/>
  <c r="S37" i="5"/>
  <c r="T37" i="5" s="1"/>
  <c r="U37" i="5" s="1"/>
  <c r="V37" i="5" s="1"/>
  <c r="AC37" i="18"/>
  <c r="AB37" i="4"/>
  <c r="AC37" i="4" s="1"/>
  <c r="AD37" i="4" s="1"/>
  <c r="AE37" i="4" s="1"/>
  <c r="Z154" i="4"/>
  <c r="AB154" i="4" s="1"/>
  <c r="AD91" i="18"/>
  <c r="AB8" i="19"/>
  <c r="AC8" i="19" s="1"/>
  <c r="S8" i="19" s="1"/>
  <c r="AB139" i="3"/>
  <c r="AB180" i="3" s="1"/>
  <c r="AB183" i="3" s="1"/>
  <c r="Z180" i="3"/>
  <c r="Z183" i="3" s="1"/>
  <c r="AE118" i="18"/>
  <c r="AF118" i="18" s="1"/>
  <c r="AG118" i="18" s="1"/>
  <c r="AB17" i="19"/>
  <c r="AC17" i="19" s="1"/>
  <c r="S17" i="19" s="1"/>
  <c r="AD113" i="18"/>
  <c r="S117" i="5"/>
  <c r="T117" i="5" s="1"/>
  <c r="U117" i="5" s="1"/>
  <c r="V117" i="5" s="1"/>
  <c r="R161" i="5"/>
  <c r="S161" i="5" s="1"/>
  <c r="R8" i="5"/>
  <c r="Z149" i="4"/>
  <c r="AB149" i="4" s="1"/>
  <c r="AB8" i="4"/>
  <c r="Z11" i="4"/>
  <c r="AA18" i="19"/>
  <c r="AB11" i="18"/>
  <c r="AA130" i="4"/>
  <c r="AA132" i="4" s="1"/>
  <c r="AF132" i="4" s="1"/>
  <c r="AA181" i="4"/>
  <c r="AA183" i="4" s="1"/>
  <c r="AF183" i="4" s="1"/>
  <c r="AH183" i="4" s="1"/>
  <c r="Z57" i="3"/>
  <c r="Z120" i="3" s="1"/>
  <c r="Z125" i="3" s="1"/>
  <c r="Z132" i="3" s="1"/>
  <c r="AB44" i="3"/>
  <c r="AB57" i="3" s="1"/>
  <c r="AC89" i="4"/>
  <c r="AB93" i="4"/>
  <c r="AB93" i="3"/>
  <c r="AC93" i="18"/>
  <c r="T102" i="5"/>
  <c r="S108" i="5"/>
  <c r="X180" i="4"/>
  <c r="X183" i="4" s="1"/>
  <c r="X185" i="4" s="1"/>
  <c r="R172" i="5"/>
  <c r="S172" i="5" s="1"/>
  <c r="AD110" i="18"/>
  <c r="AC119" i="18"/>
  <c r="AB119" i="3"/>
  <c r="F18" i="19"/>
  <c r="E18" i="19"/>
  <c r="C49" i="19"/>
  <c r="Q151" i="5"/>
  <c r="Q180" i="5" s="1"/>
  <c r="Q183" i="5" s="1"/>
  <c r="Q32" i="5"/>
  <c r="R151" i="5"/>
  <c r="R32" i="5"/>
  <c r="S29" i="5"/>
  <c r="Z151" i="4"/>
  <c r="AB151" i="4" s="1"/>
  <c r="AB29" i="4"/>
  <c r="Z32" i="4"/>
  <c r="AB14" i="19"/>
  <c r="R166" i="5"/>
  <c r="S166" i="5" s="1"/>
  <c r="AE12" i="18"/>
  <c r="AB24" i="19"/>
  <c r="AC24" i="19" s="1"/>
  <c r="T12" i="5"/>
  <c r="AD124" i="18"/>
  <c r="AC127" i="18"/>
  <c r="AB50" i="19"/>
  <c r="AC50" i="19" s="1"/>
  <c r="S50" i="19" s="1"/>
  <c r="AC127" i="4"/>
  <c r="AB130" i="4"/>
  <c r="AC38" i="18"/>
  <c r="AB38" i="4"/>
  <c r="AC38" i="4" s="1"/>
  <c r="AD38" i="4" s="1"/>
  <c r="AE38" i="4" s="1"/>
  <c r="Z157" i="4"/>
  <c r="AB157" i="4" s="1"/>
  <c r="S114" i="5"/>
  <c r="T114" i="5" s="1"/>
  <c r="U114" i="5" s="1"/>
  <c r="V114" i="5" s="1"/>
  <c r="R147" i="5"/>
  <c r="S147" i="5" s="1"/>
  <c r="AB45" i="19"/>
  <c r="AC45" i="19" s="1"/>
  <c r="AD115" i="18"/>
  <c r="T89" i="5"/>
  <c r="AB68" i="4"/>
  <c r="Z143" i="4"/>
  <c r="Z73" i="4"/>
  <c r="AE12" i="4"/>
  <c r="AF6" i="18"/>
  <c r="AF75" i="18"/>
  <c r="AG109" i="18"/>
  <c r="T76" i="5"/>
  <c r="AD33" i="4"/>
  <c r="U33" i="5"/>
  <c r="V109" i="5"/>
  <c r="AE33" i="18"/>
  <c r="S155" i="5"/>
  <c r="AD76" i="4"/>
  <c r="O36" i="19" l="1"/>
  <c r="AA186" i="4"/>
  <c r="AA185" i="4"/>
  <c r="AD52" i="19"/>
  <c r="AF185" i="4"/>
  <c r="AC185" i="4"/>
  <c r="S53" i="5"/>
  <c r="T53" i="5" s="1"/>
  <c r="U53" i="5" s="1"/>
  <c r="V53" i="5" s="1"/>
  <c r="R152" i="5"/>
  <c r="S152" i="5" s="1"/>
  <c r="J21" i="19"/>
  <c r="I21" i="19"/>
  <c r="S15" i="19"/>
  <c r="S45" i="19"/>
  <c r="S24" i="19"/>
  <c r="R144" i="5"/>
  <c r="S144" i="5" s="1"/>
  <c r="R53" i="18"/>
  <c r="S53" i="18"/>
  <c r="AB21" i="19"/>
  <c r="AC21" i="19" s="1"/>
  <c r="AD53" i="18"/>
  <c r="AE53" i="18" s="1"/>
  <c r="AF53" i="18" s="1"/>
  <c r="AG53" i="18" s="1"/>
  <c r="P185" i="5"/>
  <c r="O34" i="19"/>
  <c r="P22" i="18"/>
  <c r="S22" i="18" s="1"/>
  <c r="O53" i="18"/>
  <c r="N53" i="18"/>
  <c r="K21" i="19"/>
  <c r="I15" i="19"/>
  <c r="J15" i="19"/>
  <c r="AE16" i="18"/>
  <c r="AF16" i="18" s="1"/>
  <c r="AG16" i="18" s="1"/>
  <c r="M33" i="19"/>
  <c r="N33" i="19"/>
  <c r="S51" i="5"/>
  <c r="T51" i="5" s="1"/>
  <c r="U51" i="5" s="1"/>
  <c r="V51" i="5" s="1"/>
  <c r="O19" i="19"/>
  <c r="Q19" i="19" s="1"/>
  <c r="S37" i="18"/>
  <c r="R111" i="18"/>
  <c r="S111" i="18"/>
  <c r="P119" i="18"/>
  <c r="AC33" i="19"/>
  <c r="S34" i="5"/>
  <c r="T34" i="5" s="1"/>
  <c r="R17" i="19"/>
  <c r="Q17" i="19"/>
  <c r="Q50" i="19"/>
  <c r="R50" i="19"/>
  <c r="R34" i="19"/>
  <c r="Q34" i="19"/>
  <c r="R16" i="19"/>
  <c r="Q16" i="19"/>
  <c r="S34" i="19"/>
  <c r="S19" i="18"/>
  <c r="R19" i="18"/>
  <c r="R7" i="18"/>
  <c r="S16" i="18"/>
  <c r="R16" i="18"/>
  <c r="O33" i="19"/>
  <c r="R15" i="19"/>
  <c r="Q15" i="19"/>
  <c r="H27" i="16"/>
  <c r="S93" i="18"/>
  <c r="R93" i="18"/>
  <c r="R127" i="18"/>
  <c r="H41" i="16"/>
  <c r="S127" i="18"/>
  <c r="AE111" i="18"/>
  <c r="AF111" i="18" s="1"/>
  <c r="AG111" i="18" s="1"/>
  <c r="Q45" i="19"/>
  <c r="R45" i="19"/>
  <c r="N34" i="19"/>
  <c r="M34" i="19"/>
  <c r="S45" i="18"/>
  <c r="O14" i="19"/>
  <c r="Q14" i="19" s="1"/>
  <c r="O43" i="19"/>
  <c r="Q43" i="19" s="1"/>
  <c r="S49" i="5"/>
  <c r="T49" i="5" s="1"/>
  <c r="U49" i="5" s="1"/>
  <c r="V49" i="5" s="1"/>
  <c r="AD15" i="18"/>
  <c r="AD22" i="18" s="1"/>
  <c r="E7" i="16" s="1"/>
  <c r="E7" i="17" s="1"/>
  <c r="AD71" i="18"/>
  <c r="AD72" i="18" s="1"/>
  <c r="E20" i="16" s="1"/>
  <c r="Z57" i="4"/>
  <c r="Z120" i="4" s="1"/>
  <c r="Z125" i="4" s="1"/>
  <c r="Z132" i="4" s="1"/>
  <c r="AD29" i="18"/>
  <c r="AE29" i="18" s="1"/>
  <c r="S77" i="5"/>
  <c r="R14" i="19"/>
  <c r="R34" i="18"/>
  <c r="S34" i="18"/>
  <c r="J77" i="18"/>
  <c r="K77" i="18"/>
  <c r="O67" i="18"/>
  <c r="N67" i="18"/>
  <c r="K12" i="19"/>
  <c r="AC12" i="19" s="1"/>
  <c r="L72" i="18"/>
  <c r="P67" i="18"/>
  <c r="J22" i="19"/>
  <c r="I22" i="19"/>
  <c r="O47" i="18"/>
  <c r="K28" i="19"/>
  <c r="N47" i="18"/>
  <c r="AD47" i="18"/>
  <c r="R158" i="5"/>
  <c r="S158" i="5" s="1"/>
  <c r="R39" i="18"/>
  <c r="S39" i="18"/>
  <c r="J72" i="18"/>
  <c r="K72" i="18"/>
  <c r="S76" i="18"/>
  <c r="R76" i="18"/>
  <c r="K26" i="19"/>
  <c r="O38" i="18"/>
  <c r="N38" i="18"/>
  <c r="Q46" i="19"/>
  <c r="R46" i="19"/>
  <c r="L56" i="18"/>
  <c r="J41" i="19"/>
  <c r="I41" i="19"/>
  <c r="J29" i="19"/>
  <c r="I29" i="19"/>
  <c r="O22" i="19"/>
  <c r="I14" i="19"/>
  <c r="J14" i="19"/>
  <c r="I43" i="19"/>
  <c r="J43" i="19"/>
  <c r="N43" i="19"/>
  <c r="M43" i="19"/>
  <c r="O71" i="18"/>
  <c r="N71" i="18"/>
  <c r="P71" i="18"/>
  <c r="S46" i="19"/>
  <c r="R77" i="18"/>
  <c r="H21" i="16"/>
  <c r="S77" i="18"/>
  <c r="R47" i="18"/>
  <c r="S47" i="18"/>
  <c r="M39" i="19"/>
  <c r="N39" i="19"/>
  <c r="Q42" i="19"/>
  <c r="R42" i="19"/>
  <c r="M22" i="19"/>
  <c r="N22" i="19"/>
  <c r="K13" i="19"/>
  <c r="O13" i="19" s="1"/>
  <c r="O48" i="18"/>
  <c r="N48" i="18"/>
  <c r="P48" i="18"/>
  <c r="S49" i="18"/>
  <c r="R49" i="18"/>
  <c r="AD67" i="18"/>
  <c r="AA49" i="19"/>
  <c r="AA52" i="19" s="1"/>
  <c r="R44" i="5"/>
  <c r="O34" i="18"/>
  <c r="N34" i="18"/>
  <c r="K29" i="19"/>
  <c r="L44" i="18"/>
  <c r="O39" i="19"/>
  <c r="S39" i="19" s="1"/>
  <c r="I23" i="19"/>
  <c r="J23" i="19"/>
  <c r="R43" i="19"/>
  <c r="O23" i="19"/>
  <c r="O39" i="18"/>
  <c r="K27" i="19"/>
  <c r="O27" i="19" s="1"/>
  <c r="N39" i="18"/>
  <c r="N22" i="18"/>
  <c r="O22" i="18"/>
  <c r="K22" i="18"/>
  <c r="J22" i="18"/>
  <c r="J56" i="18"/>
  <c r="K56" i="18"/>
  <c r="M36" i="19"/>
  <c r="N36" i="19"/>
  <c r="N52" i="18"/>
  <c r="K41" i="19"/>
  <c r="O52" i="18"/>
  <c r="M23" i="19"/>
  <c r="N23" i="19"/>
  <c r="P52" i="18"/>
  <c r="P38" i="18"/>
  <c r="Q36" i="19"/>
  <c r="R36" i="19"/>
  <c r="N14" i="19"/>
  <c r="M14" i="19"/>
  <c r="K44" i="18"/>
  <c r="J44" i="18"/>
  <c r="R56" i="5"/>
  <c r="R57" i="5" s="1"/>
  <c r="R50" i="18"/>
  <c r="S50" i="18"/>
  <c r="I27" i="19"/>
  <c r="J27" i="19"/>
  <c r="J42" i="19"/>
  <c r="I42" i="19"/>
  <c r="S51" i="18"/>
  <c r="R51" i="18"/>
  <c r="R36" i="18"/>
  <c r="S36" i="18"/>
  <c r="M35" i="19"/>
  <c r="N35" i="19"/>
  <c r="O35" i="19"/>
  <c r="I35" i="19"/>
  <c r="J35" i="19"/>
  <c r="I26" i="19"/>
  <c r="J26" i="19"/>
  <c r="Q24" i="19"/>
  <c r="R24" i="19"/>
  <c r="J28" i="19"/>
  <c r="I28" i="19"/>
  <c r="O28" i="19"/>
  <c r="J36" i="19"/>
  <c r="I36" i="19"/>
  <c r="I13" i="19"/>
  <c r="J13" i="19"/>
  <c r="N29" i="18"/>
  <c r="O29" i="18"/>
  <c r="K20" i="19"/>
  <c r="L32" i="18"/>
  <c r="P29" i="18"/>
  <c r="T32" i="18" s="1"/>
  <c r="N42" i="19"/>
  <c r="M42" i="19"/>
  <c r="R22" i="18"/>
  <c r="H7" i="16"/>
  <c r="AB19" i="19"/>
  <c r="AC19" i="19" s="1"/>
  <c r="AD7" i="18"/>
  <c r="AC72" i="18"/>
  <c r="AC14" i="19"/>
  <c r="AB78" i="18"/>
  <c r="AB120" i="18" s="1"/>
  <c r="AB123" i="18" s="1"/>
  <c r="AB128" i="18" s="1"/>
  <c r="J19" i="19"/>
  <c r="I19" i="19"/>
  <c r="R150" i="5"/>
  <c r="S7" i="5"/>
  <c r="T7" i="5" s="1"/>
  <c r="U7" i="5" s="1"/>
  <c r="V7" i="5" s="1"/>
  <c r="AB42" i="19"/>
  <c r="AC42" i="19" s="1"/>
  <c r="S42" i="19" s="1"/>
  <c r="AD36" i="18"/>
  <c r="S93" i="5"/>
  <c r="Q120" i="5"/>
  <c r="Q125" i="5" s="1"/>
  <c r="Q132" i="5" s="1"/>
  <c r="Q185" i="5" s="1"/>
  <c r="AB27" i="19"/>
  <c r="AC27" i="19" s="1"/>
  <c r="AD39" i="18"/>
  <c r="AE50" i="18"/>
  <c r="AF50" i="18" s="1"/>
  <c r="AG50" i="18" s="1"/>
  <c r="AB43" i="19"/>
  <c r="AC43" i="19" s="1"/>
  <c r="AD49" i="18"/>
  <c r="E8" i="17"/>
  <c r="J8" i="16"/>
  <c r="K8" i="16" s="1"/>
  <c r="L8" i="16" s="1"/>
  <c r="M8" i="16" s="1"/>
  <c r="R19" i="19"/>
  <c r="S151" i="5"/>
  <c r="AE92" i="18"/>
  <c r="AF92" i="18" s="1"/>
  <c r="AG92" i="18" s="1"/>
  <c r="N19" i="19"/>
  <c r="M19" i="19"/>
  <c r="AB143" i="4"/>
  <c r="AB180" i="4" s="1"/>
  <c r="AB183" i="4" s="1"/>
  <c r="Z180" i="4"/>
  <c r="Z183" i="4" s="1"/>
  <c r="Z185" i="4" s="1"/>
  <c r="AE67" i="18"/>
  <c r="T93" i="5"/>
  <c r="U89" i="5"/>
  <c r="AD127" i="18"/>
  <c r="E41" i="16" s="1"/>
  <c r="E33" i="17" s="1"/>
  <c r="F41" i="16"/>
  <c r="F33" i="17" s="1"/>
  <c r="AE124" i="18"/>
  <c r="U12" i="5"/>
  <c r="J7" i="16"/>
  <c r="K7" i="16" s="1"/>
  <c r="L7" i="16" s="1"/>
  <c r="M7" i="16" s="1"/>
  <c r="AE15" i="18"/>
  <c r="AF15" i="18" s="1"/>
  <c r="AG15" i="18" s="1"/>
  <c r="AC29" i="4"/>
  <c r="AB32" i="4"/>
  <c r="T29" i="5"/>
  <c r="S32" i="5"/>
  <c r="C52" i="19"/>
  <c r="F49" i="19"/>
  <c r="E49" i="19"/>
  <c r="AE110" i="18"/>
  <c r="AD119" i="18"/>
  <c r="E35" i="16" s="1"/>
  <c r="AC8" i="4"/>
  <c r="AB11" i="4"/>
  <c r="R149" i="5"/>
  <c r="S149" i="5" s="1"/>
  <c r="S8" i="5"/>
  <c r="R11" i="5"/>
  <c r="AE91" i="18"/>
  <c r="AF91" i="18" s="1"/>
  <c r="AG91" i="18" s="1"/>
  <c r="S124" i="5"/>
  <c r="T122" i="5"/>
  <c r="AF102" i="18"/>
  <c r="AE108" i="18"/>
  <c r="T108" i="18"/>
  <c r="V6" i="5"/>
  <c r="J18" i="19"/>
  <c r="I18" i="19"/>
  <c r="G49" i="19"/>
  <c r="AE47" i="18"/>
  <c r="AF47" i="18" s="1"/>
  <c r="AG47" i="18" s="1"/>
  <c r="AE114" i="18"/>
  <c r="AF114" i="18" s="1"/>
  <c r="AG114" i="18" s="1"/>
  <c r="T127" i="5"/>
  <c r="S130" i="5"/>
  <c r="AB120" i="3"/>
  <c r="AB125" i="3" s="1"/>
  <c r="AB132" i="3" s="1"/>
  <c r="AC15" i="4"/>
  <c r="AB22" i="4"/>
  <c r="D120" i="18"/>
  <c r="G78" i="18"/>
  <c r="F78" i="18"/>
  <c r="T110" i="5"/>
  <c r="S119" i="5"/>
  <c r="AF89" i="18"/>
  <c r="AB13" i="19"/>
  <c r="AD48" i="18"/>
  <c r="AE117" i="18"/>
  <c r="AF117" i="18" s="1"/>
  <c r="AG117" i="18" s="1"/>
  <c r="AC45" i="4"/>
  <c r="AB56" i="4"/>
  <c r="AD45" i="18"/>
  <c r="AC56" i="18"/>
  <c r="AB22" i="19"/>
  <c r="AC22" i="19" s="1"/>
  <c r="S22" i="19" s="1"/>
  <c r="R73" i="5"/>
  <c r="N11" i="18"/>
  <c r="O11" i="18"/>
  <c r="AG6" i="18"/>
  <c r="AC68" i="4"/>
  <c r="AB73" i="4"/>
  <c r="AE115" i="18"/>
  <c r="AF115" i="18" s="1"/>
  <c r="AG115" i="18" s="1"/>
  <c r="AB26" i="19"/>
  <c r="AC26" i="19" s="1"/>
  <c r="AD38" i="18"/>
  <c r="AD127" i="4"/>
  <c r="AC130" i="4"/>
  <c r="AF12" i="18"/>
  <c r="O18" i="19"/>
  <c r="U102" i="5"/>
  <c r="T108" i="5"/>
  <c r="AD89" i="4"/>
  <c r="AC93" i="4"/>
  <c r="AE113" i="18"/>
  <c r="AF113" i="18" s="1"/>
  <c r="AG113" i="18" s="1"/>
  <c r="AB23" i="19"/>
  <c r="AC23" i="19" s="1"/>
  <c r="S23" i="19" s="1"/>
  <c r="AD37" i="18"/>
  <c r="AC124" i="4"/>
  <c r="AD122" i="4"/>
  <c r="AB36" i="19"/>
  <c r="AC36" i="19" s="1"/>
  <c r="S36" i="19" s="1"/>
  <c r="AD51" i="18"/>
  <c r="J31" i="16"/>
  <c r="K31" i="16" s="1"/>
  <c r="L31" i="16" s="1"/>
  <c r="M31" i="16" s="1"/>
  <c r="E27" i="17"/>
  <c r="J11" i="18"/>
  <c r="K11" i="18"/>
  <c r="H78" i="18"/>
  <c r="R159" i="5"/>
  <c r="S159" i="5" s="1"/>
  <c r="S47" i="5"/>
  <c r="T47" i="5" s="1"/>
  <c r="U47" i="5" s="1"/>
  <c r="V47" i="5" s="1"/>
  <c r="AC77" i="4"/>
  <c r="AB78" i="4"/>
  <c r="AB35" i="19"/>
  <c r="AC35" i="19" s="1"/>
  <c r="AD76" i="18"/>
  <c r="AC77" i="18"/>
  <c r="S15" i="5"/>
  <c r="R145" i="5"/>
  <c r="S145" i="5" s="1"/>
  <c r="R22" i="5"/>
  <c r="AB41" i="19"/>
  <c r="AD52" i="18"/>
  <c r="AD93" i="18"/>
  <c r="E27" i="16" s="1"/>
  <c r="AC34" i="4"/>
  <c r="AB44" i="4"/>
  <c r="AD34" i="18"/>
  <c r="AB29" i="19"/>
  <c r="AC44" i="18"/>
  <c r="S44" i="5"/>
  <c r="AB18" i="19"/>
  <c r="AD8" i="18"/>
  <c r="AC11" i="18"/>
  <c r="T122" i="18"/>
  <c r="AE121" i="18"/>
  <c r="AD122" i="18"/>
  <c r="E38" i="16" s="1"/>
  <c r="E31" i="17" s="1"/>
  <c r="T45" i="5"/>
  <c r="T68" i="5"/>
  <c r="S73" i="5"/>
  <c r="R143" i="5"/>
  <c r="AD32" i="18"/>
  <c r="E11" i="16" s="1"/>
  <c r="R8" i="18"/>
  <c r="S8" i="18"/>
  <c r="N18" i="19"/>
  <c r="M18" i="19"/>
  <c r="AE76" i="4"/>
  <c r="AF33" i="18"/>
  <c r="AE33" i="4"/>
  <c r="U76" i="5"/>
  <c r="AG75" i="18"/>
  <c r="V33" i="5"/>
  <c r="F38" i="16" l="1"/>
  <c r="F31" i="17" s="1"/>
  <c r="G38" i="16"/>
  <c r="AE71" i="18"/>
  <c r="AF71" i="18" s="1"/>
  <c r="AG71" i="18" s="1"/>
  <c r="F11" i="16"/>
  <c r="F11" i="17" s="1"/>
  <c r="G11" i="16"/>
  <c r="N21" i="19"/>
  <c r="M21" i="19"/>
  <c r="F31" i="16"/>
  <c r="F27" i="17" s="1"/>
  <c r="G31" i="16"/>
  <c r="S19" i="19"/>
  <c r="O21" i="19"/>
  <c r="Q33" i="19"/>
  <c r="R33" i="19"/>
  <c r="S33" i="19"/>
  <c r="G33" i="17"/>
  <c r="N41" i="16"/>
  <c r="O41" i="16" s="1"/>
  <c r="G25" i="17"/>
  <c r="N27" i="16"/>
  <c r="O27" i="16" s="1"/>
  <c r="H35" i="16"/>
  <c r="S119" i="18"/>
  <c r="R119" i="18"/>
  <c r="S43" i="19"/>
  <c r="S35" i="19"/>
  <c r="S14" i="19"/>
  <c r="AA54" i="19"/>
  <c r="S27" i="19"/>
  <c r="AB57" i="4"/>
  <c r="AB120" i="4" s="1"/>
  <c r="AB125" i="4" s="1"/>
  <c r="AB132" i="4" s="1"/>
  <c r="AC13" i="19"/>
  <c r="S13" i="19" s="1"/>
  <c r="T77" i="5"/>
  <c r="S78" i="5"/>
  <c r="K49" i="19"/>
  <c r="N49" i="19" s="1"/>
  <c r="R13" i="19"/>
  <c r="Q13" i="19"/>
  <c r="S67" i="18"/>
  <c r="R67" i="18"/>
  <c r="P72" i="18"/>
  <c r="G7" i="17"/>
  <c r="N7" i="16"/>
  <c r="O7" i="16" s="1"/>
  <c r="R27" i="19"/>
  <c r="Q27" i="19"/>
  <c r="Q39" i="19"/>
  <c r="R39" i="19"/>
  <c r="R48" i="18"/>
  <c r="S48" i="18"/>
  <c r="S71" i="18"/>
  <c r="R71" i="18"/>
  <c r="N12" i="19"/>
  <c r="M12" i="19"/>
  <c r="O12" i="19"/>
  <c r="N32" i="18"/>
  <c r="O32" i="18"/>
  <c r="M41" i="19"/>
  <c r="N41" i="19"/>
  <c r="O41" i="19"/>
  <c r="O29" i="19"/>
  <c r="M29" i="19"/>
  <c r="N29" i="19"/>
  <c r="AC41" i="19"/>
  <c r="S41" i="19" s="1"/>
  <c r="AB49" i="19"/>
  <c r="AB52" i="19" s="1"/>
  <c r="AC29" i="19"/>
  <c r="T93" i="18"/>
  <c r="S29" i="18"/>
  <c r="P32" i="18"/>
  <c r="R29" i="18"/>
  <c r="R38" i="18"/>
  <c r="S38" i="18"/>
  <c r="N27" i="19"/>
  <c r="M27" i="19"/>
  <c r="O44" i="18"/>
  <c r="N44" i="18"/>
  <c r="G21" i="17"/>
  <c r="N21" i="16"/>
  <c r="O21" i="16" s="1"/>
  <c r="Q22" i="19"/>
  <c r="R22" i="19"/>
  <c r="Q28" i="19"/>
  <c r="R28" i="19"/>
  <c r="S52" i="18"/>
  <c r="R52" i="18"/>
  <c r="O56" i="18"/>
  <c r="N56" i="18"/>
  <c r="M28" i="19"/>
  <c r="N28" i="19"/>
  <c r="P56" i="18"/>
  <c r="L78" i="18"/>
  <c r="N78" i="18" s="1"/>
  <c r="M20" i="19"/>
  <c r="N20" i="19"/>
  <c r="O20" i="19"/>
  <c r="Q35" i="19"/>
  <c r="R35" i="19"/>
  <c r="R23" i="19"/>
  <c r="Q23" i="19"/>
  <c r="AC28" i="19"/>
  <c r="S28" i="19" s="1"/>
  <c r="M13" i="19"/>
  <c r="N13" i="19"/>
  <c r="N26" i="19"/>
  <c r="M26" i="19"/>
  <c r="O26" i="19"/>
  <c r="AC20" i="19"/>
  <c r="N72" i="18"/>
  <c r="O72" i="18"/>
  <c r="P44" i="18"/>
  <c r="AE93" i="18"/>
  <c r="AE22" i="18"/>
  <c r="AE36" i="18"/>
  <c r="AF36" i="18" s="1"/>
  <c r="AG36" i="18" s="1"/>
  <c r="S56" i="5"/>
  <c r="S57" i="5" s="1"/>
  <c r="AE7" i="18"/>
  <c r="AF7" i="18" s="1"/>
  <c r="AG7" i="18" s="1"/>
  <c r="AE49" i="18"/>
  <c r="AF49" i="18" s="1"/>
  <c r="AG49" i="18" s="1"/>
  <c r="AE39" i="18"/>
  <c r="AF39" i="18" s="1"/>
  <c r="AG39" i="18" s="1"/>
  <c r="H6" i="16"/>
  <c r="R11" i="18"/>
  <c r="S11" i="18"/>
  <c r="AF29" i="18"/>
  <c r="AE32" i="18"/>
  <c r="S143" i="5"/>
  <c r="R180" i="5"/>
  <c r="R183" i="5" s="1"/>
  <c r="T73" i="5"/>
  <c r="U68" i="5"/>
  <c r="AF121" i="18"/>
  <c r="AE122" i="18"/>
  <c r="U34" i="5"/>
  <c r="T44" i="5"/>
  <c r="J27" i="16"/>
  <c r="K27" i="16" s="1"/>
  <c r="L27" i="16" s="1"/>
  <c r="M27" i="16" s="1"/>
  <c r="E25" i="17"/>
  <c r="AD77" i="4"/>
  <c r="AC78" i="4"/>
  <c r="AE51" i="18"/>
  <c r="AF51" i="18" s="1"/>
  <c r="AG51" i="18" s="1"/>
  <c r="AD124" i="4"/>
  <c r="AE122" i="4"/>
  <c r="AE124" i="4" s="1"/>
  <c r="AE37" i="18"/>
  <c r="AF37" i="18" s="1"/>
  <c r="AG37" i="18" s="1"/>
  <c r="AE89" i="4"/>
  <c r="AE93" i="4" s="1"/>
  <c r="AD93" i="4"/>
  <c r="V102" i="5"/>
  <c r="V108" i="5" s="1"/>
  <c r="U108" i="5"/>
  <c r="AG12" i="18"/>
  <c r="AG22" i="18" s="1"/>
  <c r="AF22" i="18"/>
  <c r="AE38" i="18"/>
  <c r="AF38" i="18" s="1"/>
  <c r="AG38" i="18" s="1"/>
  <c r="AE48" i="18"/>
  <c r="AF48" i="18" s="1"/>
  <c r="AG48" i="18" s="1"/>
  <c r="U110" i="5"/>
  <c r="T119" i="5"/>
  <c r="I49" i="19"/>
  <c r="J49" i="19"/>
  <c r="G52" i="19"/>
  <c r="T124" i="5"/>
  <c r="U122" i="5"/>
  <c r="T8" i="5"/>
  <c r="S11" i="5"/>
  <c r="AC18" i="19"/>
  <c r="S18" i="19" s="1"/>
  <c r="E20" i="17"/>
  <c r="J20" i="16"/>
  <c r="J11" i="16"/>
  <c r="K11" i="16" s="1"/>
  <c r="L11" i="16" s="1"/>
  <c r="M11" i="16" s="1"/>
  <c r="E11" i="17"/>
  <c r="U45" i="5"/>
  <c r="T56" i="5"/>
  <c r="AE8" i="18"/>
  <c r="T11" i="18"/>
  <c r="AD11" i="18"/>
  <c r="E6" i="16" s="1"/>
  <c r="AC78" i="18"/>
  <c r="AC120" i="18" s="1"/>
  <c r="AC123" i="18" s="1"/>
  <c r="AC128" i="18" s="1"/>
  <c r="AE34" i="18"/>
  <c r="AD44" i="18"/>
  <c r="E12" i="16" s="1"/>
  <c r="AD34" i="4"/>
  <c r="AC44" i="4"/>
  <c r="AE52" i="18"/>
  <c r="AF52" i="18" s="1"/>
  <c r="AG52" i="18" s="1"/>
  <c r="T15" i="5"/>
  <c r="S22" i="5"/>
  <c r="AE76" i="18"/>
  <c r="T77" i="18"/>
  <c r="AD77" i="18"/>
  <c r="K78" i="18"/>
  <c r="H120" i="18"/>
  <c r="J78" i="18"/>
  <c r="R18" i="19"/>
  <c r="Q18" i="19"/>
  <c r="AE127" i="4"/>
  <c r="AE130" i="4" s="1"/>
  <c r="AD130" i="4"/>
  <c r="AC73" i="4"/>
  <c r="AD68" i="4"/>
  <c r="R120" i="5"/>
  <c r="R125" i="5" s="1"/>
  <c r="R132" i="5" s="1"/>
  <c r="AE45" i="18"/>
  <c r="AD56" i="18"/>
  <c r="E13" i="16" s="1"/>
  <c r="AD45" i="4"/>
  <c r="AC56" i="4"/>
  <c r="AG89" i="18"/>
  <c r="AG93" i="18" s="1"/>
  <c r="AF93" i="18"/>
  <c r="D123" i="18"/>
  <c r="F120" i="18"/>
  <c r="G120" i="18"/>
  <c r="AD15" i="4"/>
  <c r="AC22" i="4"/>
  <c r="U127" i="5"/>
  <c r="T130" i="5"/>
  <c r="AF108" i="18"/>
  <c r="AG102" i="18"/>
  <c r="AG108" i="18" s="1"/>
  <c r="AD8" i="4"/>
  <c r="AC11" i="4"/>
  <c r="E29" i="17"/>
  <c r="J35" i="16"/>
  <c r="K35" i="16" s="1"/>
  <c r="L35" i="16" s="1"/>
  <c r="M35" i="16" s="1"/>
  <c r="AF110" i="18"/>
  <c r="AE119" i="18"/>
  <c r="O49" i="19"/>
  <c r="E52" i="19"/>
  <c r="F52" i="19"/>
  <c r="U29" i="5"/>
  <c r="T32" i="5"/>
  <c r="AC32" i="4"/>
  <c r="AD29" i="4"/>
  <c r="V12" i="5"/>
  <c r="AF124" i="18"/>
  <c r="AE127" i="18"/>
  <c r="V89" i="5"/>
  <c r="V93" i="5" s="1"/>
  <c r="U93" i="5"/>
  <c r="AF67" i="18"/>
  <c r="V76" i="5"/>
  <c r="AG33" i="18"/>
  <c r="Q21" i="19" l="1"/>
  <c r="R21" i="19"/>
  <c r="AE72" i="18"/>
  <c r="F27" i="16"/>
  <c r="F25" i="17" s="1"/>
  <c r="G27" i="16"/>
  <c r="S21" i="19"/>
  <c r="F6" i="16"/>
  <c r="F6" i="17" s="1"/>
  <c r="G6" i="16"/>
  <c r="F35" i="16"/>
  <c r="F29" i="17" s="1"/>
  <c r="G35" i="16"/>
  <c r="G21" i="16"/>
  <c r="N35" i="16"/>
  <c r="O35" i="16" s="1"/>
  <c r="G29" i="17"/>
  <c r="T72" i="18"/>
  <c r="S120" i="5"/>
  <c r="S125" i="5" s="1"/>
  <c r="S132" i="5" s="1"/>
  <c r="S185" i="5" s="1"/>
  <c r="M49" i="19"/>
  <c r="K52" i="19"/>
  <c r="M52" i="19" s="1"/>
  <c r="O78" i="18"/>
  <c r="U77" i="5"/>
  <c r="T78" i="5"/>
  <c r="L120" i="18"/>
  <c r="O120" i="18" s="1"/>
  <c r="S20" i="19"/>
  <c r="Q26" i="19"/>
  <c r="R26" i="19"/>
  <c r="Q29" i="19"/>
  <c r="R29" i="19"/>
  <c r="AB54" i="19"/>
  <c r="R20" i="19"/>
  <c r="Q20" i="19"/>
  <c r="S26" i="19"/>
  <c r="Q12" i="19"/>
  <c r="R12" i="19"/>
  <c r="H12" i="16"/>
  <c r="S44" i="18"/>
  <c r="P78" i="18"/>
  <c r="P120" i="18" s="1"/>
  <c r="R56" i="18"/>
  <c r="S56" i="18"/>
  <c r="H13" i="16"/>
  <c r="R32" i="18"/>
  <c r="H11" i="16"/>
  <c r="S32" i="18"/>
  <c r="S29" i="19"/>
  <c r="Q41" i="19"/>
  <c r="R41" i="19"/>
  <c r="S12" i="19"/>
  <c r="S49" i="19" s="1"/>
  <c r="S52" i="19" s="1"/>
  <c r="R72" i="18"/>
  <c r="S72" i="18"/>
  <c r="H20" i="16"/>
  <c r="T44" i="18"/>
  <c r="AC49" i="19"/>
  <c r="AC52" i="19" s="1"/>
  <c r="T56" i="18"/>
  <c r="AF127" i="18"/>
  <c r="AG124" i="18"/>
  <c r="AG127" i="18" s="1"/>
  <c r="AE29" i="4"/>
  <c r="AE32" i="4" s="1"/>
  <c r="AD32" i="4"/>
  <c r="D128" i="18"/>
  <c r="G123" i="18"/>
  <c r="F123" i="18"/>
  <c r="AE45" i="4"/>
  <c r="AE56" i="4" s="1"/>
  <c r="AD56" i="4"/>
  <c r="AF45" i="18"/>
  <c r="AE56" i="18"/>
  <c r="E21" i="16"/>
  <c r="AD78" i="18"/>
  <c r="AD120" i="18" s="1"/>
  <c r="AD123" i="18" s="1"/>
  <c r="AD128" i="18" s="1"/>
  <c r="AF76" i="18"/>
  <c r="AE77" i="18"/>
  <c r="U15" i="5"/>
  <c r="T22" i="5"/>
  <c r="AE34" i="4"/>
  <c r="AE44" i="4" s="1"/>
  <c r="AD44" i="4"/>
  <c r="U8" i="5"/>
  <c r="T11" i="5"/>
  <c r="I52" i="19"/>
  <c r="J52" i="19"/>
  <c r="V110" i="5"/>
  <c r="V119" i="5" s="1"/>
  <c r="U119" i="5"/>
  <c r="AE77" i="4"/>
  <c r="AE78" i="4" s="1"/>
  <c r="AD78" i="4"/>
  <c r="V34" i="5"/>
  <c r="V44" i="5" s="1"/>
  <c r="U44" i="5"/>
  <c r="AG121" i="18"/>
  <c r="AG122" i="18" s="1"/>
  <c r="AF122" i="18"/>
  <c r="AG29" i="18"/>
  <c r="AG32" i="18" s="1"/>
  <c r="AF32" i="18"/>
  <c r="H9" i="16"/>
  <c r="G6" i="17"/>
  <c r="G9" i="17" s="1"/>
  <c r="N6" i="16"/>
  <c r="O6" i="16" s="1"/>
  <c r="AF72" i="18"/>
  <c r="AG67" i="18"/>
  <c r="AG72" i="18" s="1"/>
  <c r="V29" i="5"/>
  <c r="V32" i="5" s="1"/>
  <c r="U32" i="5"/>
  <c r="R49" i="19"/>
  <c r="Q49" i="19"/>
  <c r="AG110" i="18"/>
  <c r="AG119" i="18" s="1"/>
  <c r="AF119" i="18"/>
  <c r="AE8" i="4"/>
  <c r="AE11" i="4" s="1"/>
  <c r="AD11" i="4"/>
  <c r="U130" i="5"/>
  <c r="V127" i="5"/>
  <c r="V130" i="5" s="1"/>
  <c r="AE15" i="4"/>
  <c r="AD22" i="4"/>
  <c r="E13" i="17"/>
  <c r="J13" i="16"/>
  <c r="K13" i="16" s="1"/>
  <c r="L13" i="16" s="1"/>
  <c r="M13" i="16" s="1"/>
  <c r="AD73" i="4"/>
  <c r="AE68" i="4"/>
  <c r="AE73" i="4" s="1"/>
  <c r="J120" i="18"/>
  <c r="H123" i="18"/>
  <c r="K120" i="18"/>
  <c r="F21" i="16"/>
  <c r="F21" i="17" s="1"/>
  <c r="AC57" i="4"/>
  <c r="AC120" i="4" s="1"/>
  <c r="AC125" i="4" s="1"/>
  <c r="AC132" i="4" s="1"/>
  <c r="J12" i="16"/>
  <c r="E12" i="17"/>
  <c r="E14" i="16"/>
  <c r="AF34" i="18"/>
  <c r="AE44" i="18"/>
  <c r="E6" i="17"/>
  <c r="E9" i="17" s="1"/>
  <c r="J6" i="16"/>
  <c r="E9" i="16"/>
  <c r="AF8" i="18"/>
  <c r="AE11" i="18"/>
  <c r="V45" i="5"/>
  <c r="V56" i="5" s="1"/>
  <c r="U56" i="5"/>
  <c r="K20" i="16"/>
  <c r="U124" i="5"/>
  <c r="V122" i="5"/>
  <c r="V124" i="5" s="1"/>
  <c r="T57" i="5"/>
  <c r="U73" i="5"/>
  <c r="V68" i="5"/>
  <c r="V73" i="5" s="1"/>
  <c r="R185" i="5"/>
  <c r="R78" i="18"/>
  <c r="S78" i="18"/>
  <c r="G20" i="21" l="1"/>
  <c r="G22" i="21" s="1"/>
  <c r="F20" i="21"/>
  <c r="F22" i="21" s="1"/>
  <c r="F20" i="16"/>
  <c r="F20" i="17" s="1"/>
  <c r="F22" i="17" s="1"/>
  <c r="G20" i="16"/>
  <c r="G22" i="16" s="1"/>
  <c r="F13" i="16"/>
  <c r="F13" i="17" s="1"/>
  <c r="G13" i="16"/>
  <c r="F12" i="16"/>
  <c r="F12" i="17" s="1"/>
  <c r="G12" i="16"/>
  <c r="AE22" i="4"/>
  <c r="T22" i="18"/>
  <c r="N52" i="19"/>
  <c r="O52" i="19"/>
  <c r="R52" i="19" s="1"/>
  <c r="N120" i="18"/>
  <c r="L123" i="18"/>
  <c r="O123" i="18" s="1"/>
  <c r="U57" i="5"/>
  <c r="AE57" i="4"/>
  <c r="AE120" i="4" s="1"/>
  <c r="AE125" i="4" s="1"/>
  <c r="AE132" i="4" s="1"/>
  <c r="V57" i="5"/>
  <c r="V77" i="5"/>
  <c r="V78" i="5" s="1"/>
  <c r="U78" i="5"/>
  <c r="N20" i="16"/>
  <c r="O20" i="16" s="1"/>
  <c r="H22" i="16"/>
  <c r="N22" i="16" s="1"/>
  <c r="O22" i="16" s="1"/>
  <c r="G20" i="17"/>
  <c r="G22" i="17" s="1"/>
  <c r="H14" i="16"/>
  <c r="N14" i="16" s="1"/>
  <c r="O14" i="16" s="1"/>
  <c r="N11" i="16"/>
  <c r="O11" i="16" s="1"/>
  <c r="G11" i="17"/>
  <c r="N12" i="16"/>
  <c r="O12" i="16" s="1"/>
  <c r="G12" i="17"/>
  <c r="AD57" i="4"/>
  <c r="T120" i="5"/>
  <c r="T125" i="5" s="1"/>
  <c r="T132" i="5" s="1"/>
  <c r="N13" i="16"/>
  <c r="O13" i="16" s="1"/>
  <c r="G13" i="17"/>
  <c r="E14" i="17"/>
  <c r="F14" i="17"/>
  <c r="AE78" i="18"/>
  <c r="AE120" i="18" s="1"/>
  <c r="AE123" i="18" s="1"/>
  <c r="AE128" i="18" s="1"/>
  <c r="L20" i="16"/>
  <c r="Q52" i="19"/>
  <c r="P123" i="18"/>
  <c r="R120" i="18"/>
  <c r="S120" i="18"/>
  <c r="AG34" i="18"/>
  <c r="AG44" i="18" s="1"/>
  <c r="AF44" i="18"/>
  <c r="H128" i="18"/>
  <c r="K123" i="18"/>
  <c r="J123" i="18"/>
  <c r="AD120" i="4"/>
  <c r="AD125" i="4" s="1"/>
  <c r="AD132" i="4" s="1"/>
  <c r="AC54" i="19"/>
  <c r="F128" i="18"/>
  <c r="G128" i="18"/>
  <c r="C54" i="19"/>
  <c r="AG8" i="18"/>
  <c r="AG11" i="18" s="1"/>
  <c r="AF11" i="18"/>
  <c r="K6" i="16"/>
  <c r="J9" i="16"/>
  <c r="J14" i="16"/>
  <c r="K12" i="16"/>
  <c r="N9" i="16"/>
  <c r="O9" i="16" s="1"/>
  <c r="V8" i="5"/>
  <c r="V11" i="5" s="1"/>
  <c r="U11" i="5"/>
  <c r="V15" i="5"/>
  <c r="V22" i="5" s="1"/>
  <c r="U22" i="5"/>
  <c r="AG76" i="18"/>
  <c r="AG77" i="18" s="1"/>
  <c r="AF77" i="18"/>
  <c r="E21" i="17"/>
  <c r="E22" i="17" s="1"/>
  <c r="J21" i="16"/>
  <c r="E22" i="16"/>
  <c r="E23" i="16" s="1"/>
  <c r="E36" i="16" s="1"/>
  <c r="AF56" i="18"/>
  <c r="AG45" i="18"/>
  <c r="AG56" i="18" s="1"/>
  <c r="F7" i="21" l="1"/>
  <c r="F9" i="21" s="1"/>
  <c r="F23" i="21" s="1"/>
  <c r="F36" i="21" s="1"/>
  <c r="F39" i="21" s="1"/>
  <c r="F43" i="21" s="1"/>
  <c r="G7" i="21"/>
  <c r="G9" i="21" s="1"/>
  <c r="G23" i="21" s="1"/>
  <c r="G36" i="21" s="1"/>
  <c r="G39" i="21" s="1"/>
  <c r="G43" i="21" s="1"/>
  <c r="E45" i="21" s="1"/>
  <c r="T78" i="18"/>
  <c r="T120" i="18" s="1"/>
  <c r="T123" i="18" s="1"/>
  <c r="T128" i="18" s="1"/>
  <c r="F14" i="16"/>
  <c r="F22" i="16"/>
  <c r="G14" i="16"/>
  <c r="F7" i="16"/>
  <c r="G7" i="16"/>
  <c r="G9" i="16" s="1"/>
  <c r="E39" i="16"/>
  <c r="E43" i="16" s="1"/>
  <c r="N123" i="18"/>
  <c r="L128" i="18"/>
  <c r="O128" i="18" s="1"/>
  <c r="H23" i="16"/>
  <c r="H36" i="16" s="1"/>
  <c r="U120" i="5"/>
  <c r="U125" i="5" s="1"/>
  <c r="U132" i="5" s="1"/>
  <c r="G14" i="17"/>
  <c r="G23" i="17" s="1"/>
  <c r="G30" i="17" s="1"/>
  <c r="G32" i="17" s="1"/>
  <c r="G34" i="17" s="1"/>
  <c r="E23" i="17"/>
  <c r="E30" i="17" s="1"/>
  <c r="E32" i="17" s="1"/>
  <c r="E34" i="17" s="1"/>
  <c r="V120" i="5"/>
  <c r="V125" i="5" s="1"/>
  <c r="V132" i="5" s="1"/>
  <c r="K21" i="16"/>
  <c r="J22" i="16"/>
  <c r="J23" i="16" s="1"/>
  <c r="J36" i="16" s="1"/>
  <c r="J39" i="16" s="1"/>
  <c r="J43" i="16" s="1"/>
  <c r="K128" i="18"/>
  <c r="J128" i="18"/>
  <c r="G54" i="19"/>
  <c r="AG78" i="18"/>
  <c r="AG120" i="18" s="1"/>
  <c r="AG123" i="18" s="1"/>
  <c r="AG128" i="18" s="1"/>
  <c r="P128" i="18"/>
  <c r="R123" i="18"/>
  <c r="S123" i="18"/>
  <c r="M20" i="16"/>
  <c r="N23" i="16"/>
  <c r="O23" i="16" s="1"/>
  <c r="K14" i="16"/>
  <c r="L12" i="16"/>
  <c r="L6" i="16"/>
  <c r="K9" i="16"/>
  <c r="AF78" i="18"/>
  <c r="AF120" i="18" s="1"/>
  <c r="AF123" i="18" s="1"/>
  <c r="AF128" i="18" s="1"/>
  <c r="N128" i="18"/>
  <c r="S56" i="19" l="1"/>
  <c r="AC186" i="4"/>
  <c r="G23" i="16"/>
  <c r="G36" i="16" s="1"/>
  <c r="G39" i="16" s="1"/>
  <c r="G43" i="16" s="1"/>
  <c r="F7" i="17"/>
  <c r="F9" i="17" s="1"/>
  <c r="F23" i="17" s="1"/>
  <c r="F30" i="17" s="1"/>
  <c r="F32" i="17" s="1"/>
  <c r="F34" i="17" s="1"/>
  <c r="F9" i="16"/>
  <c r="F23" i="16" s="1"/>
  <c r="F36" i="16" s="1"/>
  <c r="F39" i="16" s="1"/>
  <c r="F43" i="16" s="1"/>
  <c r="K54" i="19"/>
  <c r="M6" i="16"/>
  <c r="M9" i="16" s="1"/>
  <c r="L9" i="16"/>
  <c r="M12" i="16"/>
  <c r="M14" i="16" s="1"/>
  <c r="L14" i="16"/>
  <c r="N36" i="16"/>
  <c r="O36" i="16" s="1"/>
  <c r="H39" i="16"/>
  <c r="H43" i="16" s="1"/>
  <c r="R128" i="18"/>
  <c r="S128" i="18"/>
  <c r="L21" i="16"/>
  <c r="K22" i="16"/>
  <c r="K23" i="16" s="1"/>
  <c r="K36" i="16" s="1"/>
  <c r="K39" i="16" s="1"/>
  <c r="K43" i="16" s="1"/>
  <c r="M21" i="16" l="1"/>
  <c r="M22" i="16" s="1"/>
  <c r="L22" i="16"/>
  <c r="L23" i="16" s="1"/>
  <c r="L36" i="16" s="1"/>
  <c r="L39" i="16" s="1"/>
  <c r="L43" i="16" s="1"/>
  <c r="N43" i="16"/>
  <c r="O43" i="16" s="1"/>
  <c r="N39" i="16"/>
  <c r="O39" i="16" s="1"/>
  <c r="M23" i="16"/>
  <c r="M36" i="16" s="1"/>
  <c r="M39" i="16" s="1"/>
  <c r="M43" i="16" s="1"/>
</calcChain>
</file>

<file path=xl/comments1.xml><?xml version="1.0" encoding="utf-8"?>
<comments xmlns="http://schemas.openxmlformats.org/spreadsheetml/2006/main">
  <authors>
    <author>Novitasari</author>
  </authors>
  <commentList>
    <comment ref="T4" authorId="0">
      <text>
        <r>
          <rPr>
            <sz val="8"/>
            <color indexed="81"/>
            <rFont val="Tahoma"/>
            <family val="2"/>
          </rPr>
          <t xml:space="preserve">IN Q1
</t>
        </r>
      </text>
    </comment>
  </commentList>
</comments>
</file>

<file path=xl/sharedStrings.xml><?xml version="1.0" encoding="utf-8"?>
<sst xmlns="http://schemas.openxmlformats.org/spreadsheetml/2006/main" count="2496" uniqueCount="383">
  <si>
    <t>BUDGET MONITORING FOR SUPPORTING DIVISION 2012</t>
  </si>
  <si>
    <t>PT INDAH BIMA PRIMA</t>
  </si>
  <si>
    <t>NO.</t>
  </si>
  <si>
    <t>ACCOUNT CODE</t>
  </si>
  <si>
    <t>DETAILS</t>
  </si>
  <si>
    <t>Jan</t>
  </si>
  <si>
    <t>Feb</t>
  </si>
  <si>
    <t>Mar</t>
  </si>
  <si>
    <t>BUDGET</t>
  </si>
  <si>
    <t>Apr</t>
  </si>
  <si>
    <t>May</t>
  </si>
  <si>
    <t>Jun</t>
  </si>
  <si>
    <t>Jul</t>
  </si>
  <si>
    <t>Aug</t>
  </si>
  <si>
    <t>Sep</t>
  </si>
  <si>
    <t>Okt.</t>
  </si>
  <si>
    <t>Nov.</t>
  </si>
  <si>
    <t>Des.</t>
  </si>
  <si>
    <t>TOTAL</t>
  </si>
  <si>
    <t>OUTLOOK</t>
  </si>
  <si>
    <t>Budget</t>
  </si>
  <si>
    <t>salary</t>
  </si>
  <si>
    <t>GAJI POKOK</t>
  </si>
  <si>
    <t>SALARY - Sub Total</t>
  </si>
  <si>
    <t>TOTAL GENERAL ADMINISTRATION EXPENSE</t>
  </si>
  <si>
    <t>PT ANDHIKA LINES</t>
  </si>
  <si>
    <t>jkdk</t>
  </si>
  <si>
    <t>JKDK</t>
  </si>
  <si>
    <t>jamsostek</t>
  </si>
  <si>
    <t>JAMSOSTEK (JKM+JKK)</t>
  </si>
  <si>
    <t>the old guarantee</t>
  </si>
  <si>
    <t>JAMSOSTEK (JHT)</t>
  </si>
  <si>
    <t>COMPANY PP ALLOWANCES</t>
  </si>
  <si>
    <t>medical expenses</t>
  </si>
  <si>
    <t>MEDICAL REIMBURSEMENT</t>
  </si>
  <si>
    <t>MCU-ANNUAL</t>
  </si>
  <si>
    <t>entertaint</t>
  </si>
  <si>
    <t>HAJJ-1 PERSON</t>
  </si>
  <si>
    <t>CONDOLENCE-FLOWERS</t>
  </si>
  <si>
    <t>permit expense</t>
  </si>
  <si>
    <t>VISA &amp; PASSPORT</t>
  </si>
  <si>
    <t>RAMADHAN EMPLOYEE PARCELS</t>
  </si>
  <si>
    <t>RAMADHAN FASTING BREAK</t>
  </si>
  <si>
    <t>premi insurance</t>
  </si>
  <si>
    <t>PSL – HEALTH INSURANCE</t>
  </si>
  <si>
    <t>retirement fee</t>
  </si>
  <si>
    <t>RETIREMENT</t>
  </si>
  <si>
    <t>education expense</t>
  </si>
  <si>
    <t>COMPANY”S SCHOLARSHIP</t>
  </si>
  <si>
    <t>COMPENSATION&amp;BENEFIT - Sub Total</t>
  </si>
  <si>
    <t>outsourcing expense</t>
  </si>
  <si>
    <t>OUTSOURCING SERVICES</t>
  </si>
  <si>
    <t>COMPANY REGULATION RENEWAL</t>
  </si>
  <si>
    <t>local travelling</t>
  </si>
  <si>
    <t>COMPANY REGULATION SOCIALIZATION</t>
  </si>
  <si>
    <t>fotocopy</t>
  </si>
  <si>
    <t>COMPANY REGULATION PRINTING</t>
  </si>
  <si>
    <t>legal</t>
  </si>
  <si>
    <t xml:space="preserve">WAJIB LAPOR UU NO.6/2004 </t>
  </si>
  <si>
    <t>WAJIB LAPOR UU NO. 7/1981</t>
  </si>
  <si>
    <t>DISNAKERTRANS-PKWT'S STAMP</t>
  </si>
  <si>
    <t>THR DISNAKERTRANS</t>
  </si>
  <si>
    <t xml:space="preserve"> IR MATTERS (DISPUTE, DONATIONS, SPONSORSHIP, INSPECTIONS, LEGAL BOOKS BIRTHDAY/FAREWELL FOR KADEP+KADIV.)</t>
  </si>
  <si>
    <t>INDUSTRIAL RELATION - Sub Total</t>
  </si>
  <si>
    <t>tool &amp; maintenance for minibus</t>
  </si>
  <si>
    <t>TOOL &amp; MAINTENANCE FOR MINIBUS</t>
  </si>
  <si>
    <t>office supplies</t>
  </si>
  <si>
    <t>OFFICE EQUIPMENT</t>
  </si>
  <si>
    <t>FOTO COPY</t>
  </si>
  <si>
    <t>stationery</t>
  </si>
  <si>
    <t>STATIONARY</t>
  </si>
  <si>
    <t>mail/postage</t>
  </si>
  <si>
    <t>MAIL/POSTAGE</t>
  </si>
  <si>
    <t>newspaper/magazine</t>
  </si>
  <si>
    <t>NEWSPAPER/MAGAZINE/BOOK</t>
  </si>
  <si>
    <t>office beverages</t>
  </si>
  <si>
    <t>OFFICE BEVERAGES</t>
  </si>
  <si>
    <t>uniform</t>
  </si>
  <si>
    <t>UNIFORM EXPENSES</t>
  </si>
  <si>
    <t>advertisement</t>
  </si>
  <si>
    <t>DESIGN &amp; PRINTING COMP. PROFILE</t>
  </si>
  <si>
    <t>PRINTING CALENDAR</t>
  </si>
  <si>
    <t>PRINTING COMP. AGENDA</t>
  </si>
  <si>
    <t>OFFICE SUPPLIES</t>
  </si>
  <si>
    <t>LOCAL TRAVELLING</t>
  </si>
  <si>
    <t>overseas travelling</t>
  </si>
  <si>
    <t>OVERSEAS TRAVELLING</t>
  </si>
  <si>
    <t>office building &amp; machinery rent</t>
  </si>
  <si>
    <t xml:space="preserve">OFFICE  BUILDING &amp; MACH. RENT </t>
  </si>
  <si>
    <t>electric &amp; water expense</t>
  </si>
  <si>
    <t>ELECTRIC &amp; WATER EXPENSES</t>
  </si>
  <si>
    <t>telephone charge</t>
  </si>
  <si>
    <t>TELEPHONE CHARGES (HO+HP)</t>
  </si>
  <si>
    <t>service charge &amp; sinking fund of building</t>
  </si>
  <si>
    <t>SERVICE CHARGE &amp; SINKING FUND OF BUILDING</t>
  </si>
  <si>
    <t>repair &amp; maintenance building &amp; machinery</t>
  </si>
  <si>
    <r>
      <t>REPAIR &amp; MAINTENANCE BUILDING-RENOVATION 24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Fl. &amp; MACHENARY</t>
    </r>
  </si>
  <si>
    <t>sport expense</t>
  </si>
  <si>
    <t>SPORT EXPENSES</t>
  </si>
  <si>
    <t>local transportation</t>
  </si>
  <si>
    <t>LOCAL TRANSPORTATION</t>
  </si>
  <si>
    <t>CAR INSURANCES</t>
  </si>
  <si>
    <t>CAR REGISTRATION</t>
  </si>
  <si>
    <t>FACILITIES&amp;RENTAL</t>
  </si>
  <si>
    <t>TOTAL GENERAL SERVICES</t>
  </si>
  <si>
    <t>computer spare</t>
  </si>
  <si>
    <t>COMPUTER SPARE</t>
  </si>
  <si>
    <t>computer repair &amp; maintenance</t>
  </si>
  <si>
    <t>COMPUTER REPAIR &amp;  MAINTENANCE</t>
  </si>
  <si>
    <t>software computer</t>
  </si>
  <si>
    <t>SOFTWARE COMPUTER</t>
  </si>
  <si>
    <t>TRAINING&amp;DEV.</t>
  </si>
  <si>
    <t>TRAVELING</t>
  </si>
  <si>
    <t>SUBSCRIBING/BOOKS</t>
  </si>
  <si>
    <t>INFORMATION &amp; COMM. TECH</t>
  </si>
  <si>
    <t>APPLICATION DEVELOPMENT</t>
  </si>
  <si>
    <t>EDUCATION ALLOWANCES</t>
  </si>
  <si>
    <t>EMPLOYEE GATHERING</t>
  </si>
  <si>
    <t>JOB VALUATION &amp; BENCH MARKING</t>
  </si>
  <si>
    <t xml:space="preserve">KNOWLEDGE MANAGEMENT </t>
  </si>
  <si>
    <t>EDUCATION EXPENSES-TRAINING&amp;DEV. :</t>
  </si>
  <si>
    <t>POSTING ADVERTISEMENT</t>
  </si>
  <si>
    <t>JOB FAIR/EVENT</t>
  </si>
  <si>
    <t>MCU PRE EMPLOYMENT</t>
  </si>
  <si>
    <t>recruiting fee</t>
  </si>
  <si>
    <t>RECRUITING FEE</t>
  </si>
  <si>
    <t>RECRUITMENT:</t>
  </si>
  <si>
    <t>LEGAL EXPENSES (CONSULTATION+COMP. DOC.)</t>
  </si>
  <si>
    <t>ADVERTISEMENT (OCEAN WEEK+COMP.PROFILE)</t>
  </si>
  <si>
    <t>INSA/KADIN/APBMI</t>
  </si>
  <si>
    <t>KADIN / INSA / BIMCO CONTRIBUTION</t>
  </si>
  <si>
    <t>WELFARE – SOCIAL</t>
  </si>
  <si>
    <t>PERMIT RENEWAL/COMPANY DOCUMENTATION</t>
  </si>
  <si>
    <t>CORPORATE SECRETARY :</t>
  </si>
  <si>
    <t>REPRESENTATION/ENTERTAINMENT/BANK</t>
  </si>
  <si>
    <t>BUDGET MEETING</t>
  </si>
  <si>
    <t>auditor fee</t>
  </si>
  <si>
    <t>CONSULTANT FEE</t>
  </si>
  <si>
    <t>miscl</t>
  </si>
  <si>
    <t>MISCELANEOUS-APPRAISAL</t>
  </si>
  <si>
    <t>CORPORATE CONTROLLER :</t>
  </si>
  <si>
    <t>LOCAL TRAVELING</t>
  </si>
  <si>
    <t>INTERNAL AUDITOR :</t>
  </si>
  <si>
    <t>QMR :</t>
  </si>
  <si>
    <t>bank charges</t>
  </si>
  <si>
    <t>BANK CHARGES</t>
  </si>
  <si>
    <t>AUDITOR FEE</t>
  </si>
  <si>
    <t>other expense/PBB/IPEDA</t>
  </si>
  <si>
    <t>PBB/IPEDA</t>
  </si>
  <si>
    <t>FINANCE :</t>
  </si>
  <si>
    <t>SALARY</t>
  </si>
  <si>
    <t>MEDICAL EXPENSES(INCL. HEALTH INS.)</t>
  </si>
  <si>
    <t>INSA / KADIN / APBMI</t>
  </si>
  <si>
    <t>honorarium</t>
  </si>
  <si>
    <t>HONORARIUM</t>
  </si>
  <si>
    <t>tool &amp; maintenance for DIR</t>
  </si>
  <si>
    <t>TOOL &amp; MAINTENANCE FOR DIR</t>
  </si>
  <si>
    <t>OTHER EXPENSE/PBB/IPEDA</t>
  </si>
  <si>
    <t>REPRESENTATION/ENTERTAINMENT</t>
  </si>
  <si>
    <t>BOD &amp; BOC :</t>
  </si>
  <si>
    <t>TOTAL GENERAL EXPENSE (BEFORE DEPRECIATION)</t>
  </si>
  <si>
    <t>depresiasi aset lama</t>
  </si>
  <si>
    <t>depresiasi aset baru</t>
  </si>
  <si>
    <t>depresiasi</t>
  </si>
  <si>
    <t>DEPRECIATION :</t>
  </si>
  <si>
    <t>TOTAL GENERAL EXPENSE (AFTER DEPRECIATION)</t>
  </si>
  <si>
    <t>other income</t>
  </si>
  <si>
    <t>CREDIT FROM KOKAR-OPS. CAR</t>
  </si>
  <si>
    <t>SEWA SPBU-KUNINGAN</t>
  </si>
  <si>
    <t>CILEGON BRANCH FEE (USD 1500)</t>
  </si>
  <si>
    <t>OTHER – INCOME</t>
  </si>
  <si>
    <t>interest expense</t>
  </si>
  <si>
    <t>INTEREST LEASING ON CARS</t>
  </si>
  <si>
    <t>JAN.</t>
  </si>
  <si>
    <t>FEB.</t>
  </si>
  <si>
    <t>MAR.</t>
  </si>
  <si>
    <t>APR.</t>
  </si>
  <si>
    <t>MEI</t>
  </si>
  <si>
    <t>JUN.</t>
  </si>
  <si>
    <t>JUL.</t>
  </si>
  <si>
    <t>AUG.</t>
  </si>
  <si>
    <t>SEPT.</t>
  </si>
  <si>
    <t>OCT.</t>
  </si>
  <si>
    <t>NOV.</t>
  </si>
  <si>
    <t>DES.</t>
  </si>
  <si>
    <t xml:space="preserve">ADVERTISEMENT </t>
  </si>
  <si>
    <t>COMPUTER REPAIR &amp; MAINTENANCE</t>
  </si>
  <si>
    <t>EDUCATION EXPENSE</t>
  </si>
  <si>
    <t>ELECTRIC WATER EXPENSE</t>
  </si>
  <si>
    <t>ENTERTAINT</t>
  </si>
  <si>
    <t>FOTOCOPY</t>
  </si>
  <si>
    <t>JAMSOSTEK</t>
  </si>
  <si>
    <t>LEGAL</t>
  </si>
  <si>
    <t>MEDICAL EXPENSE</t>
  </si>
  <si>
    <t>MISCELLANEOUS</t>
  </si>
  <si>
    <t>NEWSPAPER/MAGAZINE</t>
  </si>
  <si>
    <t>OFFICE BUILDING &amp; MACHINERY RENT</t>
  </si>
  <si>
    <t>OTHER EXPENSE PBB/IPEDA</t>
  </si>
  <si>
    <t>OUTSOURCING EXPENSE</t>
  </si>
  <si>
    <t>PERMIT EXPENSE</t>
  </si>
  <si>
    <t>PREMI INSURANCE</t>
  </si>
  <si>
    <t>REPAIR &amp; MAINTENANCE BUILDING&amp;MACHINERY</t>
  </si>
  <si>
    <t>RETIREMENT FEE</t>
  </si>
  <si>
    <t>SERVICE CHARGE&amp;SINKING FUND OF BUILDING</t>
  </si>
  <si>
    <t>SPORT EXPENSE</t>
  </si>
  <si>
    <t>TELEPHONE CHARGES</t>
  </si>
  <si>
    <t>THE OLD GUARANTEE</t>
  </si>
  <si>
    <t>TOOL&amp;MAINTENANCE FOR DIR</t>
  </si>
  <si>
    <t>TOOL&amp;MAINTENANCE FOR MINIBUS</t>
  </si>
  <si>
    <t>UNIFORM</t>
  </si>
  <si>
    <t>DEPRECIATION</t>
  </si>
  <si>
    <t>SUB TOTAL GA EXPENSE</t>
  </si>
  <si>
    <t>OTHER INCOME</t>
  </si>
  <si>
    <t>PT ADNYANA</t>
  </si>
  <si>
    <t xml:space="preserve"> IR MATTERS (DISPUTE, DONATIONS, SPONSORSHIP, INSPECTIONS, LEGAL BOOKS ,BIRTHDAY/FAREWELL FOR KADEP+KADIV.)</t>
  </si>
  <si>
    <t>OFFICE EQUIPMENT-(DRAWER+CUBICLE)</t>
  </si>
  <si>
    <t>PRINTING COMPANY CALENDAR</t>
  </si>
  <si>
    <t>TRAINING</t>
  </si>
  <si>
    <t>MISCELANEOUS</t>
  </si>
  <si>
    <t>RENTAL FEE FROM KEBON BAWANG</t>
  </si>
  <si>
    <t>RENTAL FEE FROM SURABAYA</t>
  </si>
  <si>
    <t>PT ANDHIKA LINES &amp; PT ADNYANA</t>
  </si>
  <si>
    <t>SUPPORTING DIVISION</t>
  </si>
  <si>
    <t>ANDHIKA GROUP</t>
  </si>
  <si>
    <t xml:space="preserve">SALARY </t>
  </si>
  <si>
    <t xml:space="preserve">COMPENSATION&amp;BENEFIT </t>
  </si>
  <si>
    <t xml:space="preserve">SUB TOTAL COMPENSATION&amp;BENEFIT </t>
  </si>
  <si>
    <t xml:space="preserve">INDUSTRIAL RELATION </t>
  </si>
  <si>
    <t>SUB TOTAL GENERAL SERVICES</t>
  </si>
  <si>
    <t>SUB TOTAL INFORMATION&amp;COMMUNICATION</t>
  </si>
  <si>
    <t xml:space="preserve">EDUCATION EXPENSES-TRAINING&amp;DEV. </t>
  </si>
  <si>
    <t>SUB TOTAL RECRUITMENT &amp; TRAINING</t>
  </si>
  <si>
    <t>TOTAL DIVISI SDM&amp;SUPPORT</t>
  </si>
  <si>
    <t xml:space="preserve">CORPORATE SECRETARY </t>
  </si>
  <si>
    <t>CORPORATE CONTROLLER</t>
  </si>
  <si>
    <t xml:space="preserve">INTERNAL AUDITOR </t>
  </si>
  <si>
    <t xml:space="preserve">FINANCE </t>
  </si>
  <si>
    <t>QMR</t>
  </si>
  <si>
    <t xml:space="preserve">BOD &amp; BOC </t>
  </si>
  <si>
    <t xml:space="preserve">DEPRECIATION </t>
  </si>
  <si>
    <t>BUDGET MONITORING FOR SUPPORTING DIVISION 2013</t>
  </si>
  <si>
    <t>BUDGET 2013</t>
  </si>
  <si>
    <t>2013 PROJECTION</t>
  </si>
  <si>
    <t>Budget 2013</t>
  </si>
  <si>
    <t>Dept.</t>
  </si>
  <si>
    <t>ICT Infrastructure</t>
  </si>
  <si>
    <t>Total</t>
  </si>
  <si>
    <t>Assumptions</t>
  </si>
  <si>
    <t>Andhika</t>
  </si>
  <si>
    <t>Training</t>
  </si>
  <si>
    <t>Training for 2 person @700</t>
  </si>
  <si>
    <t>Travelling</t>
  </si>
  <si>
    <t>Visit for ICT Audit and Troubleshoot (Incl. Vessel Visit)</t>
  </si>
  <si>
    <t>Maintenance</t>
  </si>
  <si>
    <t>25U$*34 PC/year = U$850/year = 71U$/month</t>
  </si>
  <si>
    <t>Spareparts</t>
  </si>
  <si>
    <t>Batt UPS(Feb+June )</t>
  </si>
  <si>
    <t>Renewal</t>
  </si>
  <si>
    <t>Domain (Aug, Okt), Hosting (Feb)</t>
  </si>
  <si>
    <t>Software</t>
  </si>
  <si>
    <t>NOD Esed Anti Virus for 90user @US$30 (Feb),MS. Office 2010 (6unit OLP) = US$350x6 (Mei)</t>
  </si>
  <si>
    <t>Books</t>
  </si>
  <si>
    <t>Books (Mar, $56*2 books), Books (Mei, $56*2 books)</t>
  </si>
  <si>
    <t>Sub-Total</t>
  </si>
  <si>
    <t>Adnyana</t>
  </si>
  <si>
    <t>Ext HDD x 2 @U$100</t>
  </si>
  <si>
    <t>Kerio = US$2500 (Nov)</t>
  </si>
  <si>
    <t>Internet</t>
  </si>
  <si>
    <t>IM2</t>
  </si>
  <si>
    <t>AZT</t>
  </si>
  <si>
    <t>25U$*2 PC/year = U$50/year = 5U$/month</t>
  </si>
  <si>
    <t>Notes:</t>
  </si>
  <si>
    <t xml:space="preserve">Prepared by </t>
  </si>
  <si>
    <t>Reviewed by</t>
  </si>
  <si>
    <t>Approved by</t>
  </si>
  <si>
    <t>CAPITAL EXPENDITURE BUDGET</t>
  </si>
  <si>
    <t>No</t>
  </si>
  <si>
    <t>Description</t>
  </si>
  <si>
    <t>Unit Price US$</t>
  </si>
  <si>
    <t>Qty</t>
  </si>
  <si>
    <t>Amount</t>
  </si>
  <si>
    <t>Real</t>
  </si>
  <si>
    <t>Note</t>
  </si>
  <si>
    <t>Date</t>
  </si>
  <si>
    <t>Desktop Computer for Staff</t>
  </si>
  <si>
    <t>Plan 2012</t>
  </si>
  <si>
    <t xml:space="preserve">Firewall </t>
  </si>
  <si>
    <t>BlackBerry Handheld for Staff</t>
  </si>
  <si>
    <t>Old Blackberry Replacement</t>
  </si>
  <si>
    <t>Cell Phone Replacement</t>
  </si>
  <si>
    <t>Notebook</t>
  </si>
  <si>
    <t>Laserjet Network Printer</t>
  </si>
  <si>
    <t>PABX TDE200</t>
  </si>
  <si>
    <t>Digital Hybrid Phone</t>
  </si>
  <si>
    <t>KVM switch 16port (combo)</t>
  </si>
  <si>
    <t>Scanner</t>
  </si>
  <si>
    <t>Server</t>
  </si>
  <si>
    <t>Prepared by</t>
  </si>
  <si>
    <t xml:space="preserve"> </t>
  </si>
  <si>
    <t>SOFTWARE COMPUTER/INTERNET</t>
  </si>
  <si>
    <t>ACTUAL</t>
  </si>
  <si>
    <t xml:space="preserve">OUTLOOK </t>
  </si>
  <si>
    <t>Actual</t>
  </si>
  <si>
    <t>Variance</t>
  </si>
  <si>
    <t>Q1</t>
  </si>
  <si>
    <t>Q2</t>
  </si>
  <si>
    <t>Q3</t>
  </si>
  <si>
    <t>Q4</t>
  </si>
  <si>
    <t>BUDGET 2012</t>
  </si>
  <si>
    <t xml:space="preserve">BUDGET </t>
  </si>
  <si>
    <t>VAR</t>
  </si>
  <si>
    <t>LOCAL TRAVELING/AUDITOR FEE/ENTERTAINT</t>
  </si>
  <si>
    <t xml:space="preserve">depresiasi </t>
  </si>
  <si>
    <t xml:space="preserve">                             </t>
  </si>
  <si>
    <t>Assumption</t>
  </si>
  <si>
    <t>Terjadi kenaikan menyesuaikan dengan kenaikan UMP tahun 2013</t>
  </si>
  <si>
    <t>Mempertahankan zero cases for industrial relation</t>
  </si>
  <si>
    <t>RECRUITMENT</t>
  </si>
  <si>
    <t>Melanjutkan program Cost Effectiveness dan melanjutkan efisiensi</t>
  </si>
  <si>
    <t>Melanjutkan program efisiensi dalam hal transport local dan overseas travelling</t>
  </si>
  <si>
    <t xml:space="preserve">Meningkatkan efektifitas program preventive maitenance berikut jaringannya </t>
  </si>
  <si>
    <t>melakukan program "Leadership" dan "Comunications", bagi seluruh karyawan</t>
  </si>
  <si>
    <t>melaksanakan program training yang bertemakan Task Oriented Training</t>
  </si>
  <si>
    <t>Penurunan Representation Budget</t>
  </si>
  <si>
    <t>Penggunaan Data Bank</t>
  </si>
  <si>
    <t>Salary increment as of April 2013 by 10% base on inflation assumption and individual merit</t>
  </si>
  <si>
    <t xml:space="preserve">Retirement for only 2 employes with total severance payment of IDR 185 allioms &amp; Schoolarship to be postponed until next year </t>
  </si>
  <si>
    <t>0</t>
  </si>
  <si>
    <t>GA, IT &amp; SUPPORT Total :</t>
  </si>
  <si>
    <t>OFFICE SUPPLIES - Sub Total</t>
  </si>
  <si>
    <t>FACILITIES&amp;RENTAL - Sub Total</t>
  </si>
  <si>
    <t>INFORMATION &amp; COMM. TECH - Sub Total</t>
  </si>
  <si>
    <t>APPLICATION DEVELOPMENT - Sub Total</t>
  </si>
  <si>
    <t>EDUCATION EXPENSES-TRAINING&amp;DEV - Sub Total</t>
  </si>
  <si>
    <t>RECRUITMENT - Sub Total</t>
  </si>
  <si>
    <t>CORPORATE SECRETARY  Total :</t>
  </si>
  <si>
    <t>CORPORATE CONTROLLER Total :</t>
  </si>
  <si>
    <t>INTERNAL AUDITOR Total :</t>
  </si>
  <si>
    <t>QMR Total :</t>
  </si>
  <si>
    <t>FINANCE Total :</t>
  </si>
  <si>
    <t>BOD &amp; BOC Total :</t>
  </si>
  <si>
    <t>Total GENERAL EXPENSE (BEFORE DEPRECIATION)</t>
  </si>
  <si>
    <t>OTHER – INCOME Total</t>
  </si>
  <si>
    <t>Total GENERAL ADMINISTRATION EXPENSE</t>
  </si>
  <si>
    <t>GA, IT &amp; SUPPORT</t>
  </si>
  <si>
    <t>CORPORATE</t>
  </si>
  <si>
    <t>SECRETARY</t>
  </si>
  <si>
    <t>CONTROLLER</t>
  </si>
  <si>
    <t>INTERNAL AUDITOR</t>
  </si>
  <si>
    <t>FINANCE</t>
  </si>
  <si>
    <t>BOD &amp; BOC</t>
  </si>
  <si>
    <t>DEPRESIASI</t>
  </si>
  <si>
    <t>HR &amp; SUPPORTING DIVISION</t>
  </si>
  <si>
    <t>BUDGET MONITORING 2013</t>
  </si>
  <si>
    <t>ACCOUNT</t>
  </si>
  <si>
    <t>CODE</t>
  </si>
  <si>
    <t>%</t>
  </si>
  <si>
    <t>PROJECTION</t>
  </si>
  <si>
    <t>2013</t>
  </si>
  <si>
    <t>2013 IN Q1</t>
  </si>
  <si>
    <t>Q1 2013</t>
  </si>
  <si>
    <t>Q1 2014</t>
  </si>
  <si>
    <t>Q1 2015</t>
  </si>
  <si>
    <t>Q1 2016</t>
  </si>
  <si>
    <t>Q1 2017</t>
  </si>
  <si>
    <t>SUPPORTING DIVISIONS</t>
  </si>
  <si>
    <r>
      <t>REPAIR &amp; MAINTENANCE BUILDING-RENOVATION 24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Fl. &amp; MACHENARY</t>
    </r>
  </si>
  <si>
    <t>Oct</t>
  </si>
  <si>
    <t>Nov</t>
  </si>
  <si>
    <t>Dec</t>
  </si>
  <si>
    <t>V</t>
  </si>
  <si>
    <t>W</t>
  </si>
  <si>
    <t>X</t>
  </si>
  <si>
    <t>Y</t>
  </si>
  <si>
    <t>Z</t>
  </si>
  <si>
    <t>AA</t>
  </si>
  <si>
    <t>Q4 2013</t>
  </si>
  <si>
    <t>Sub Total Q4</t>
  </si>
  <si>
    <t>PROJECTION IN Q4</t>
  </si>
  <si>
    <t>Common-Size</t>
  </si>
  <si>
    <t>BUDGET MONITORING FOR SUPPORTING DIVISION 2013 - Q4</t>
  </si>
  <si>
    <t>NO</t>
  </si>
  <si>
    <t>ACTUAL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</si>
</sst>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0\ ;&quot; (&quot;#,##0.00\);&quot; -&quot;#\ ;@\ "/>
    <numFmt numFmtId="165" formatCode="#,##0\ ;&quot; (&quot;#,##0\);&quot; -&quot;#\ ;@\ "/>
    <numFmt numFmtId="166" formatCode="mmm\ yy"/>
    <numFmt numFmtId="167" formatCode="_(* #,##0_);_(* \(#,##0\);_(* \-??_);_(@_)"/>
    <numFmt numFmtId="168" formatCode="_(* #,##0.00_);_(* \(#,##0.00\);_(* \-??_);_(@_)"/>
    <numFmt numFmtId="169" formatCode="_(* #,##0_);_(* \(#,##0\);_(* &quot;-&quot;??_);_(@_)"/>
    <numFmt numFmtId="170" formatCode="#,##0,,"/>
    <numFmt numFmtId="171" formatCode="#,##0.0"/>
    <numFmt numFmtId="172" formatCode="0.000%"/>
  </numFmts>
  <fonts count="2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i/>
      <u/>
      <sz val="10"/>
      <name val="Arial"/>
      <family val="2"/>
    </font>
    <font>
      <b/>
      <sz val="9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5"/>
        <bgColor indexed="35"/>
      </patternFill>
    </fill>
    <fill>
      <patternFill patternType="solid">
        <fgColor indexed="11"/>
        <b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0"/>
        <bgColor indexed="5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35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49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9" fillId="0" borderId="0" applyFill="0" applyBorder="0" applyAlignment="0" applyProtection="0"/>
    <xf numFmtId="164" fontId="9" fillId="0" borderId="0" applyFill="0" applyBorder="0" applyAlignment="0" applyProtection="0"/>
    <xf numFmtId="168" fontId="9" fillId="0" borderId="0" applyFill="0" applyBorder="0" applyAlignment="0" applyProtection="0"/>
    <xf numFmtId="43" fontId="1" fillId="0" borderId="0" applyFill="0" applyBorder="0" applyAlignment="0" applyProtection="0"/>
    <xf numFmtId="0" fontId="9" fillId="0" borderId="0"/>
    <xf numFmtId="9" fontId="9" fillId="0" borderId="0" applyFill="0" applyBorder="0" applyAlignment="0" applyProtection="0"/>
  </cellStyleXfs>
  <cellXfs count="65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Fill="1" applyBorder="1"/>
    <xf numFmtId="0" fontId="0" fillId="0" borderId="6" xfId="5" applyFont="1" applyBorder="1"/>
    <xf numFmtId="3" fontId="0" fillId="0" borderId="6" xfId="0" applyNumberFormat="1" applyFont="1" applyFill="1" applyBorder="1"/>
    <xf numFmtId="3" fontId="0" fillId="0" borderId="6" xfId="0" applyNumberFormat="1" applyFont="1" applyBorder="1"/>
    <xf numFmtId="3" fontId="0" fillId="0" borderId="0" xfId="0" applyNumberFormat="1" applyFill="1"/>
    <xf numFmtId="3" fontId="0" fillId="0" borderId="7" xfId="0" applyNumberFormat="1" applyBorder="1"/>
    <xf numFmtId="3" fontId="2" fillId="0" borderId="4" xfId="0" applyNumberFormat="1" applyFont="1" applyBorder="1"/>
    <xf numFmtId="3" fontId="2" fillId="0" borderId="5" xfId="0" applyNumberFormat="1" applyFont="1" applyFill="1" applyBorder="1"/>
    <xf numFmtId="3" fontId="2" fillId="3" borderId="6" xfId="0" applyNumberFormat="1" applyFont="1" applyFill="1" applyBorder="1"/>
    <xf numFmtId="3" fontId="2" fillId="3" borderId="6" xfId="5" applyNumberFormat="1" applyFont="1" applyFill="1" applyBorder="1" applyAlignment="1">
      <alignment horizontal="right"/>
    </xf>
    <xf numFmtId="3" fontId="2" fillId="0" borderId="0" xfId="0" applyNumberFormat="1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5" fontId="2" fillId="0" borderId="6" xfId="1" applyNumberFormat="1" applyFont="1" applyFill="1" applyBorder="1" applyAlignment="1" applyProtection="1"/>
    <xf numFmtId="165" fontId="2" fillId="0" borderId="8" xfId="1" applyNumberFormat="1" applyFont="1" applyFill="1" applyBorder="1" applyAlignment="1" applyProtection="1"/>
    <xf numFmtId="0" fontId="2" fillId="0" borderId="0" xfId="0" applyFont="1" applyFill="1"/>
    <xf numFmtId="0" fontId="0" fillId="0" borderId="5" xfId="0" applyBorder="1"/>
    <xf numFmtId="0" fontId="0" fillId="0" borderId="6" xfId="0" applyFont="1" applyBorder="1"/>
    <xf numFmtId="3" fontId="0" fillId="0" borderId="6" xfId="0" applyNumberFormat="1" applyBorder="1"/>
    <xf numFmtId="3" fontId="0" fillId="0" borderId="8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3" fontId="0" fillId="0" borderId="0" xfId="0" applyNumberFormat="1" applyFont="1"/>
    <xf numFmtId="3" fontId="0" fillId="0" borderId="11" xfId="0" applyNumberFormat="1" applyFill="1" applyBorder="1"/>
    <xf numFmtId="3" fontId="2" fillId="0" borderId="6" xfId="0" applyNumberFormat="1" applyFont="1" applyBorder="1"/>
    <xf numFmtId="0" fontId="0" fillId="0" borderId="6" xfId="0" applyFont="1" applyBorder="1" applyAlignment="1">
      <alignment vertical="top" wrapText="1"/>
    </xf>
    <xf numFmtId="3" fontId="0" fillId="0" borderId="4" xfId="0" applyNumberFormat="1" applyFont="1" applyBorder="1"/>
    <xf numFmtId="0" fontId="0" fillId="0" borderId="6" xfId="0" applyFont="1" applyFill="1" applyBorder="1"/>
    <xf numFmtId="3" fontId="0" fillId="0" borderId="5" xfId="0" applyNumberFormat="1" applyFont="1" applyFill="1" applyBorder="1"/>
    <xf numFmtId="4" fontId="0" fillId="0" borderId="6" xfId="0" applyNumberFormat="1" applyFont="1" applyFill="1" applyBorder="1"/>
    <xf numFmtId="4" fontId="0" fillId="0" borderId="6" xfId="0" applyNumberFormat="1" applyFont="1" applyBorder="1"/>
    <xf numFmtId="3" fontId="2" fillId="0" borderId="6" xfId="0" applyNumberFormat="1" applyFont="1" applyFill="1" applyBorder="1"/>
    <xf numFmtId="165" fontId="2" fillId="3" borderId="8" xfId="1" applyNumberFormat="1" applyFont="1" applyFill="1" applyBorder="1" applyAlignment="1" applyProtection="1"/>
    <xf numFmtId="0" fontId="2" fillId="3" borderId="6" xfId="0" applyFont="1" applyFill="1" applyBorder="1"/>
    <xf numFmtId="3" fontId="0" fillId="3" borderId="6" xfId="0" applyNumberFormat="1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3" fontId="0" fillId="0" borderId="6" xfId="0" applyNumberFormat="1" applyBorder="1" applyAlignment="1">
      <alignment wrapText="1"/>
    </xf>
    <xf numFmtId="3" fontId="0" fillId="0" borderId="6" xfId="0" applyNumberFormat="1" applyFont="1" applyBorder="1" applyAlignment="1"/>
    <xf numFmtId="3" fontId="0" fillId="0" borderId="0" xfId="0" applyNumberFormat="1" applyAlignment="1">
      <alignment wrapText="1"/>
    </xf>
    <xf numFmtId="3" fontId="0" fillId="0" borderId="6" xfId="0" applyNumberFormat="1" applyFont="1" applyBorder="1" applyAlignment="1">
      <alignment wrapText="1"/>
    </xf>
    <xf numFmtId="3" fontId="2" fillId="0" borderId="6" xfId="0" applyNumberFormat="1" applyFont="1" applyBorder="1" applyAlignment="1"/>
    <xf numFmtId="0" fontId="0" fillId="0" borderId="0" xfId="0" applyAlignment="1">
      <alignment wrapText="1"/>
    </xf>
    <xf numFmtId="0" fontId="2" fillId="0" borderId="4" xfId="0" applyFont="1" applyBorder="1"/>
    <xf numFmtId="165" fontId="2" fillId="3" borderId="6" xfId="1" applyNumberFormat="1" applyFont="1" applyFill="1" applyBorder="1" applyAlignment="1" applyProtection="1"/>
    <xf numFmtId="3" fontId="0" fillId="0" borderId="11" xfId="0" applyNumberFormat="1" applyBorder="1"/>
    <xf numFmtId="3" fontId="0" fillId="0" borderId="12" xfId="0" applyNumberFormat="1" applyBorder="1"/>
    <xf numFmtId="0" fontId="0" fillId="0" borderId="0" xfId="0" applyFont="1"/>
    <xf numFmtId="0" fontId="0" fillId="0" borderId="6" xfId="0" applyFont="1" applyBorder="1" applyAlignment="1">
      <alignment horizontal="left"/>
    </xf>
    <xf numFmtId="0" fontId="0" fillId="0" borderId="5" xfId="0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1" xfId="0" applyFont="1" applyFill="1" applyBorder="1"/>
    <xf numFmtId="0" fontId="0" fillId="0" borderId="6" xfId="0" applyFont="1" applyFill="1" applyBorder="1" applyAlignment="1">
      <alignment vertical="top" wrapText="1"/>
    </xf>
    <xf numFmtId="0" fontId="0" fillId="0" borderId="4" xfId="0" applyFont="1" applyFill="1" applyBorder="1"/>
    <xf numFmtId="0" fontId="0" fillId="0" borderId="0" xfId="0" applyFont="1" applyFill="1"/>
    <xf numFmtId="0" fontId="0" fillId="0" borderId="13" xfId="0" applyFont="1" applyFill="1" applyBorder="1"/>
    <xf numFmtId="3" fontId="0" fillId="0" borderId="13" xfId="0" applyNumberFormat="1" applyFont="1" applyFill="1" applyBorder="1"/>
    <xf numFmtId="0" fontId="2" fillId="0" borderId="14" xfId="0" applyFont="1" applyFill="1" applyBorder="1"/>
    <xf numFmtId="165" fontId="2" fillId="0" borderId="4" xfId="0" applyNumberFormat="1" applyFont="1" applyBorder="1" applyAlignment="1">
      <alignment horizontal="right"/>
    </xf>
    <xf numFmtId="3" fontId="2" fillId="0" borderId="14" xfId="0" applyNumberFormat="1" applyFont="1" applyFill="1" applyBorder="1"/>
    <xf numFmtId="3" fontId="2" fillId="3" borderId="15" xfId="0" applyNumberFormat="1" applyFont="1" applyFill="1" applyBorder="1"/>
    <xf numFmtId="0" fontId="0" fillId="0" borderId="5" xfId="0" applyFill="1" applyBorder="1"/>
    <xf numFmtId="0" fontId="0" fillId="0" borderId="16" xfId="0" applyFont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0" fontId="2" fillId="0" borderId="5" xfId="0" applyFont="1" applyBorder="1"/>
    <xf numFmtId="0" fontId="2" fillId="5" borderId="6" xfId="0" applyFont="1" applyFill="1" applyBorder="1"/>
    <xf numFmtId="3" fontId="2" fillId="5" borderId="6" xfId="0" applyNumberFormat="1" applyFont="1" applyFill="1" applyBorder="1"/>
    <xf numFmtId="0" fontId="0" fillId="0" borderId="9" xfId="0" applyFont="1" applyBorder="1"/>
    <xf numFmtId="0" fontId="0" fillId="0" borderId="10" xfId="0" applyFont="1" applyFill="1" applyBorder="1"/>
    <xf numFmtId="0" fontId="0" fillId="0" borderId="7" xfId="0" applyFont="1" applyFill="1" applyBorder="1"/>
    <xf numFmtId="3" fontId="0" fillId="0" borderId="7" xfId="0" applyNumberFormat="1" applyFont="1" applyBorder="1"/>
    <xf numFmtId="3" fontId="2" fillId="0" borderId="7" xfId="0" applyNumberFormat="1" applyFont="1" applyBorder="1"/>
    <xf numFmtId="0" fontId="0" fillId="0" borderId="0" xfId="0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 applyFill="1" applyBorder="1"/>
    <xf numFmtId="3" fontId="0" fillId="0" borderId="0" xfId="0" applyNumberFormat="1" applyBorder="1"/>
    <xf numFmtId="0" fontId="2" fillId="0" borderId="7" xfId="0" applyFont="1" applyFill="1" applyBorder="1"/>
    <xf numFmtId="3" fontId="0" fillId="0" borderId="17" xfId="0" applyNumberFormat="1" applyBorder="1"/>
    <xf numFmtId="0" fontId="0" fillId="0" borderId="11" xfId="0" applyFont="1" applyFill="1" applyBorder="1"/>
    <xf numFmtId="3" fontId="2" fillId="0" borderId="11" xfId="0" applyNumberFormat="1" applyFont="1" applyFill="1" applyBorder="1"/>
    <xf numFmtId="0" fontId="0" fillId="0" borderId="4" xfId="0" applyFont="1" applyBorder="1" applyAlignment="1"/>
    <xf numFmtId="0" fontId="0" fillId="0" borderId="6" xfId="0" applyFont="1" applyBorder="1" applyAlignment="1">
      <alignment wrapText="1"/>
    </xf>
    <xf numFmtId="0" fontId="2" fillId="0" borderId="18" xfId="0" applyFont="1" applyFill="1" applyBorder="1"/>
    <xf numFmtId="3" fontId="2" fillId="4" borderId="3" xfId="0" applyNumberFormat="1" applyFont="1" applyFill="1" applyBorder="1"/>
    <xf numFmtId="0" fontId="0" fillId="0" borderId="0" xfId="0" applyFill="1" applyAlignment="1">
      <alignment horizontal="center"/>
    </xf>
    <xf numFmtId="0" fontId="2" fillId="0" borderId="6" xfId="0" applyFont="1" applyBorder="1"/>
    <xf numFmtId="0" fontId="0" fillId="0" borderId="6" xfId="0" applyFill="1" applyBorder="1"/>
    <xf numFmtId="0" fontId="0" fillId="0" borderId="12" xfId="0" applyFont="1" applyBorder="1"/>
    <xf numFmtId="0" fontId="0" fillId="0" borderId="12" xfId="0" applyFont="1" applyFill="1" applyBorder="1"/>
    <xf numFmtId="3" fontId="0" fillId="0" borderId="12" xfId="0" applyNumberFormat="1" applyFont="1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165" fontId="9" fillId="0" borderId="0" xfId="1" applyNumberFormat="1" applyFill="1" applyBorder="1" applyAlignment="1" applyProtection="1"/>
    <xf numFmtId="0" fontId="2" fillId="0" borderId="0" xfId="0" applyFont="1" applyFill="1" applyBorder="1"/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6" fillId="0" borderId="0" xfId="5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 applyProtection="1"/>
    <xf numFmtId="0" fontId="6" fillId="0" borderId="0" xfId="0" applyFont="1" applyFill="1" applyBorder="1"/>
    <xf numFmtId="3" fontId="6" fillId="0" borderId="0" xfId="1" applyNumberFormat="1" applyFont="1" applyFill="1" applyBorder="1" applyAlignment="1" applyProtection="1"/>
    <xf numFmtId="3" fontId="6" fillId="0" borderId="0" xfId="0" applyNumberFormat="1" applyFont="1" applyFill="1" applyBorder="1" applyAlignment="1">
      <alignment vertical="top"/>
    </xf>
    <xf numFmtId="3" fontId="5" fillId="0" borderId="0" xfId="0" applyNumberFormat="1" applyFont="1" applyFill="1" applyBorder="1" applyAlignment="1">
      <alignment vertical="top"/>
    </xf>
    <xf numFmtId="0" fontId="7" fillId="2" borderId="0" xfId="0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3" fontId="8" fillId="0" borderId="0" xfId="0" applyNumberFormat="1" applyFont="1" applyFill="1" applyBorder="1" applyAlignment="1">
      <alignment vertical="top"/>
    </xf>
    <xf numFmtId="0" fontId="10" fillId="0" borderId="0" xfId="0" applyFont="1"/>
    <xf numFmtId="0" fontId="7" fillId="0" borderId="0" xfId="0" applyFont="1"/>
    <xf numFmtId="0" fontId="2" fillId="0" borderId="6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6" borderId="6" xfId="0" applyFont="1" applyFill="1" applyBorder="1"/>
    <xf numFmtId="167" fontId="0" fillId="6" borderId="6" xfId="0" applyNumberFormat="1" applyFill="1" applyBorder="1"/>
    <xf numFmtId="167" fontId="2" fillId="0" borderId="6" xfId="0" applyNumberFormat="1" applyFont="1" applyBorder="1"/>
    <xf numFmtId="167" fontId="0" fillId="0" borderId="6" xfId="0" applyNumberFormat="1" applyFont="1" applyFill="1" applyBorder="1"/>
    <xf numFmtId="167" fontId="0" fillId="0" borderId="6" xfId="0" applyNumberFormat="1" applyFill="1" applyBorder="1"/>
    <xf numFmtId="167" fontId="2" fillId="0" borderId="6" xfId="0" applyNumberFormat="1" applyFont="1" applyFill="1" applyBorder="1"/>
    <xf numFmtId="0" fontId="0" fillId="6" borderId="6" xfId="0" applyFill="1" applyBorder="1"/>
    <xf numFmtId="167" fontId="0" fillId="0" borderId="6" xfId="0" applyNumberFormat="1" applyBorder="1"/>
    <xf numFmtId="167" fontId="2" fillId="6" borderId="6" xfId="0" applyNumberFormat="1" applyFont="1" applyFill="1" applyBorder="1"/>
    <xf numFmtId="165" fontId="2" fillId="0" borderId="6" xfId="3" applyNumberFormat="1" applyFont="1" applyFill="1" applyBorder="1" applyAlignment="1" applyProtection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165" fontId="0" fillId="0" borderId="6" xfId="3" applyNumberFormat="1" applyFont="1" applyFill="1" applyBorder="1" applyAlignment="1" applyProtection="1"/>
    <xf numFmtId="166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8" fontId="2" fillId="0" borderId="6" xfId="0" applyNumberFormat="1" applyFont="1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165" fontId="2" fillId="0" borderId="6" xfId="0" applyNumberFormat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10" borderId="6" xfId="0" applyFont="1" applyFill="1" applyBorder="1"/>
    <xf numFmtId="167" fontId="0" fillId="10" borderId="6" xfId="0" applyNumberFormat="1" applyFont="1" applyFill="1" applyBorder="1"/>
    <xf numFmtId="167" fontId="2" fillId="10" borderId="6" xfId="0" applyNumberFormat="1" applyFont="1" applyFill="1" applyBorder="1"/>
    <xf numFmtId="0" fontId="0" fillId="10" borderId="0" xfId="0" applyFont="1" applyFill="1"/>
    <xf numFmtId="0" fontId="0" fillId="11" borderId="6" xfId="0" applyFont="1" applyFill="1" applyBorder="1"/>
    <xf numFmtId="167" fontId="0" fillId="11" borderId="6" xfId="0" applyNumberFormat="1" applyFill="1" applyBorder="1"/>
    <xf numFmtId="167" fontId="2" fillId="11" borderId="6" xfId="0" applyNumberFormat="1" applyFont="1" applyFill="1" applyBorder="1"/>
    <xf numFmtId="0" fontId="0" fillId="11" borderId="0" xfId="0" applyFill="1"/>
    <xf numFmtId="167" fontId="19" fillId="0" borderId="6" xfId="0" applyNumberFormat="1" applyFont="1" applyFill="1" applyBorder="1"/>
    <xf numFmtId="3" fontId="2" fillId="7" borderId="3" xfId="0" applyNumberFormat="1" applyFont="1" applyFill="1" applyBorder="1" applyAlignment="1">
      <alignment horizontal="center"/>
    </xf>
    <xf numFmtId="3" fontId="0" fillId="7" borderId="6" xfId="0" applyNumberFormat="1" applyFont="1" applyFill="1" applyBorder="1"/>
    <xf numFmtId="3" fontId="0" fillId="8" borderId="6" xfId="0" applyNumberFormat="1" applyFont="1" applyFill="1" applyBorder="1"/>
    <xf numFmtId="169" fontId="18" fillId="0" borderId="0" xfId="1" applyNumberFormat="1" applyFont="1" applyFill="1"/>
    <xf numFmtId="169" fontId="18" fillId="0" borderId="0" xfId="1" applyNumberFormat="1" applyFont="1"/>
    <xf numFmtId="3" fontId="0" fillId="0" borderId="6" xfId="5" applyNumberFormat="1" applyFont="1" applyFill="1" applyBorder="1" applyAlignment="1">
      <alignment horizontal="right"/>
    </xf>
    <xf numFmtId="3" fontId="0" fillId="9" borderId="6" xfId="0" applyNumberFormat="1" applyFont="1" applyFill="1" applyBorder="1"/>
    <xf numFmtId="3" fontId="0" fillId="3" borderId="6" xfId="5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wrapText="1"/>
    </xf>
    <xf numFmtId="3" fontId="0" fillId="7" borderId="6" xfId="0" applyNumberFormat="1" applyFont="1" applyFill="1" applyBorder="1" applyAlignment="1"/>
    <xf numFmtId="3" fontId="0" fillId="0" borderId="7" xfId="0" applyNumberFormat="1" applyBorder="1" applyAlignment="1"/>
    <xf numFmtId="167" fontId="9" fillId="12" borderId="0" xfId="1" applyNumberFormat="1" applyFont="1" applyFill="1" applyBorder="1" applyAlignment="1" applyProtection="1"/>
    <xf numFmtId="3" fontId="0" fillId="13" borderId="6" xfId="0" applyNumberFormat="1" applyFont="1" applyFill="1" applyBorder="1"/>
    <xf numFmtId="3" fontId="0" fillId="0" borderId="6" xfId="0" applyNumberFormat="1" applyFont="1" applyFill="1" applyBorder="1" applyAlignment="1">
      <alignment vertical="top" wrapText="1"/>
    </xf>
    <xf numFmtId="3" fontId="0" fillId="8" borderId="6" xfId="0" applyNumberFormat="1" applyFont="1" applyFill="1" applyBorder="1" applyAlignment="1">
      <alignment vertical="top" wrapText="1"/>
    </xf>
    <xf numFmtId="165" fontId="0" fillId="3" borderId="6" xfId="1" applyNumberFormat="1" applyFont="1" applyFill="1" applyBorder="1" applyAlignment="1" applyProtection="1"/>
    <xf numFmtId="3" fontId="0" fillId="0" borderId="6" xfId="0" applyNumberFormat="1" applyFill="1" applyBorder="1"/>
    <xf numFmtId="165" fontId="0" fillId="0" borderId="6" xfId="1" applyNumberFormat="1" applyFont="1" applyFill="1" applyBorder="1" applyAlignment="1" applyProtection="1"/>
    <xf numFmtId="3" fontId="0" fillId="0" borderId="7" xfId="0" applyNumberFormat="1" applyFont="1" applyFill="1" applyBorder="1"/>
    <xf numFmtId="3" fontId="0" fillId="7" borderId="7" xfId="0" applyNumberFormat="1" applyFont="1" applyFill="1" applyBorder="1"/>
    <xf numFmtId="3" fontId="0" fillId="2" borderId="7" xfId="0" applyNumberFormat="1" applyFont="1" applyFill="1" applyBorder="1"/>
    <xf numFmtId="0" fontId="0" fillId="7" borderId="0" xfId="0" applyFont="1" applyFill="1" applyAlignment="1">
      <alignment horizontal="center"/>
    </xf>
    <xf numFmtId="3" fontId="0" fillId="7" borderId="0" xfId="0" applyNumberFormat="1" applyFont="1" applyFill="1" applyBorder="1"/>
    <xf numFmtId="3" fontId="0" fillId="7" borderId="0" xfId="0" applyNumberFormat="1" applyFill="1"/>
    <xf numFmtId="3" fontId="0" fillId="0" borderId="19" xfId="5" applyNumberFormat="1" applyFont="1" applyFill="1" applyBorder="1" applyAlignment="1">
      <alignment horizontal="right"/>
    </xf>
    <xf numFmtId="3" fontId="2" fillId="7" borderId="0" xfId="0" applyNumberFormat="1" applyFont="1" applyFill="1" applyBorder="1"/>
    <xf numFmtId="3" fontId="2" fillId="7" borderId="0" xfId="0" applyNumberFormat="1" applyFont="1" applyFill="1"/>
    <xf numFmtId="3" fontId="0" fillId="7" borderId="0" xfId="0" applyNumberFormat="1" applyFill="1" applyBorder="1"/>
    <xf numFmtId="3" fontId="0" fillId="0" borderId="0" xfId="0" applyNumberFormat="1" applyFont="1" applyFill="1"/>
    <xf numFmtId="3" fontId="2" fillId="0" borderId="0" xfId="0" applyNumberFormat="1" applyFont="1" applyBorder="1"/>
    <xf numFmtId="3" fontId="0" fillId="0" borderId="17" xfId="0" applyNumberFormat="1" applyFont="1" applyFill="1" applyBorder="1"/>
    <xf numFmtId="3" fontId="0" fillId="3" borderId="8" xfId="0" applyNumberFormat="1" applyFill="1" applyBorder="1"/>
    <xf numFmtId="3" fontId="0" fillId="0" borderId="7" xfId="0" applyNumberFormat="1" applyBorder="1" applyAlignment="1">
      <alignment wrapText="1"/>
    </xf>
    <xf numFmtId="3" fontId="0" fillId="8" borderId="6" xfId="0" applyNumberFormat="1" applyFont="1" applyFill="1" applyBorder="1" applyAlignment="1">
      <alignment wrapText="1"/>
    </xf>
    <xf numFmtId="3" fontId="0" fillId="4" borderId="7" xfId="0" applyNumberFormat="1" applyFont="1" applyFill="1" applyBorder="1"/>
    <xf numFmtId="3" fontId="0" fillId="0" borderId="7" xfId="5" applyNumberFormat="1" applyFont="1" applyFill="1" applyBorder="1" applyAlignment="1">
      <alignment horizontal="right"/>
    </xf>
    <xf numFmtId="3" fontId="14" fillId="2" borderId="0" xfId="0" applyNumberFormat="1" applyFont="1" applyFill="1" applyBorder="1" applyAlignment="1">
      <alignment horizontal="center"/>
    </xf>
    <xf numFmtId="0" fontId="14" fillId="2" borderId="0" xfId="0" applyNumberFormat="1" applyFont="1" applyFill="1" applyBorder="1" applyAlignment="1">
      <alignment horizontal="center"/>
    </xf>
    <xf numFmtId="170" fontId="15" fillId="0" borderId="0" xfId="5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2" borderId="0" xfId="0" applyFont="1" applyFill="1" applyBorder="1" applyAlignment="1">
      <alignment horizontal="center" vertical="top"/>
    </xf>
    <xf numFmtId="3" fontId="14" fillId="0" borderId="0" xfId="0" applyNumberFormat="1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14" fillId="0" borderId="0" xfId="0" applyFont="1" applyAlignment="1">
      <alignment vertical="top"/>
    </xf>
    <xf numFmtId="3" fontId="13" fillId="0" borderId="0" xfId="0" applyNumberFormat="1" applyFont="1" applyAlignment="1">
      <alignment vertical="top"/>
    </xf>
    <xf numFmtId="3" fontId="1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/>
    </xf>
    <xf numFmtId="3" fontId="14" fillId="2" borderId="0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" fontId="14" fillId="2" borderId="0" xfId="0" applyNumberFormat="1" applyFont="1" applyFill="1" applyBorder="1" applyAlignment="1">
      <alignment horizontal="center" vertical="top"/>
    </xf>
    <xf numFmtId="0" fontId="14" fillId="2" borderId="0" xfId="0" applyNumberFormat="1" applyFont="1" applyFill="1" applyBorder="1" applyAlignment="1">
      <alignment horizontal="center" vertical="top"/>
    </xf>
    <xf numFmtId="3" fontId="14" fillId="0" borderId="0" xfId="0" applyNumberFormat="1" applyFont="1" applyBorder="1" applyAlignment="1">
      <alignment vertical="top"/>
    </xf>
    <xf numFmtId="170" fontId="15" fillId="0" borderId="0" xfId="0" applyNumberFormat="1" applyFont="1" applyFill="1" applyBorder="1" applyAlignment="1">
      <alignment vertical="top"/>
    </xf>
    <xf numFmtId="170" fontId="15" fillId="0" borderId="0" xfId="5" applyNumberFormat="1" applyFont="1" applyFill="1" applyBorder="1" applyAlignment="1">
      <alignment horizontal="right" vertical="top"/>
    </xf>
    <xf numFmtId="3" fontId="6" fillId="0" borderId="0" xfId="0" applyNumberFormat="1" applyFont="1" applyAlignment="1">
      <alignment vertical="top"/>
    </xf>
    <xf numFmtId="170" fontId="15" fillId="0" borderId="0" xfId="1" applyNumberFormat="1" applyFont="1" applyFill="1" applyBorder="1" applyAlignment="1" applyProtection="1">
      <alignment vertical="top"/>
    </xf>
    <xf numFmtId="0" fontId="13" fillId="0" borderId="0" xfId="0" applyFont="1" applyBorder="1" applyAlignment="1">
      <alignment vertical="top"/>
    </xf>
    <xf numFmtId="170" fontId="16" fillId="0" borderId="0" xfId="0" applyNumberFormat="1" applyFont="1" applyFill="1" applyBorder="1" applyAlignment="1">
      <alignment vertical="top"/>
    </xf>
    <xf numFmtId="170" fontId="16" fillId="0" borderId="0" xfId="0" applyNumberFormat="1" applyFont="1" applyFill="1" applyBorder="1" applyAlignment="1">
      <alignment horizontal="left" vertical="top" wrapText="1"/>
    </xf>
    <xf numFmtId="170" fontId="15" fillId="0" borderId="0" xfId="0" applyNumberFormat="1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70" fontId="15" fillId="0" borderId="0" xfId="1" applyNumberFormat="1" applyFont="1" applyFill="1" applyBorder="1" applyAlignment="1" applyProtection="1">
      <alignment horizontal="left" vertical="top" wrapText="1"/>
    </xf>
    <xf numFmtId="170" fontId="16" fillId="0" borderId="0" xfId="1" applyNumberFormat="1" applyFont="1" applyFill="1" applyBorder="1" applyAlignment="1" applyProtection="1">
      <alignment vertical="top"/>
    </xf>
    <xf numFmtId="170" fontId="16" fillId="0" borderId="0" xfId="5" applyNumberFormat="1" applyFont="1" applyFill="1" applyBorder="1" applyAlignment="1">
      <alignment horizontal="left" vertical="top" wrapText="1"/>
    </xf>
    <xf numFmtId="170" fontId="16" fillId="0" borderId="0" xfId="5" applyNumberFormat="1" applyFont="1" applyFill="1" applyBorder="1" applyAlignment="1">
      <alignment horizontal="right" vertical="top"/>
    </xf>
    <xf numFmtId="3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horizontal="left" vertical="top" wrapText="1"/>
    </xf>
    <xf numFmtId="0" fontId="2" fillId="0" borderId="0" xfId="0" applyFont="1" applyAlignment="1"/>
    <xf numFmtId="0" fontId="0" fillId="0" borderId="0" xfId="0" applyAlignment="1"/>
    <xf numFmtId="3" fontId="0" fillId="0" borderId="0" xfId="0" applyNumberFormat="1" applyAlignment="1"/>
    <xf numFmtId="0" fontId="0" fillId="0" borderId="20" xfId="0" applyFont="1" applyFill="1" applyBorder="1" applyAlignment="1"/>
    <xf numFmtId="0" fontId="0" fillId="0" borderId="21" xfId="0" applyFont="1" applyBorder="1" applyAlignment="1"/>
    <xf numFmtId="0" fontId="0" fillId="0" borderId="22" xfId="0" applyFont="1" applyFill="1" applyBorder="1" applyAlignment="1"/>
    <xf numFmtId="3" fontId="0" fillId="0" borderId="0" xfId="0" applyNumberFormat="1" applyFont="1" applyAlignment="1"/>
    <xf numFmtId="3" fontId="2" fillId="0" borderId="21" xfId="0" applyNumberFormat="1" applyFont="1" applyBorder="1" applyAlignment="1"/>
    <xf numFmtId="3" fontId="2" fillId="0" borderId="22" xfId="0" applyNumberFormat="1" applyFont="1" applyFill="1" applyBorder="1" applyAlignment="1"/>
    <xf numFmtId="3" fontId="2" fillId="0" borderId="0" xfId="0" applyNumberFormat="1" applyFont="1" applyAlignment="1"/>
    <xf numFmtId="3" fontId="0" fillId="0" borderId="21" xfId="0" applyNumberFormat="1" applyFont="1" applyBorder="1" applyAlignment="1"/>
    <xf numFmtId="0" fontId="2" fillId="0" borderId="22" xfId="0" applyFont="1" applyFill="1" applyBorder="1" applyAlignment="1"/>
    <xf numFmtId="3" fontId="0" fillId="0" borderId="22" xfId="0" applyNumberFormat="1" applyFont="1" applyFill="1" applyBorder="1" applyAlignment="1"/>
    <xf numFmtId="0" fontId="0" fillId="0" borderId="21" xfId="0" applyFont="1" applyBorder="1" applyAlignment="1">
      <alignment wrapText="1"/>
    </xf>
    <xf numFmtId="0" fontId="0" fillId="0" borderId="22" xfId="0" applyFont="1" applyFill="1" applyBorder="1" applyAlignment="1">
      <alignment wrapText="1"/>
    </xf>
    <xf numFmtId="0" fontId="2" fillId="0" borderId="21" xfId="0" applyFont="1" applyBorder="1" applyAlignment="1"/>
    <xf numFmtId="0" fontId="0" fillId="0" borderId="0" xfId="0" applyFont="1" applyAlignment="1"/>
    <xf numFmtId="0" fontId="0" fillId="0" borderId="21" xfId="0" applyFont="1" applyFill="1" applyBorder="1" applyAlignment="1"/>
    <xf numFmtId="0" fontId="2" fillId="0" borderId="0" xfId="0" applyFont="1" applyFill="1" applyAlignment="1"/>
    <xf numFmtId="0" fontId="2" fillId="0" borderId="21" xfId="0" applyFont="1" applyFill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0" fillId="0" borderId="0" xfId="0" applyFont="1" applyFill="1" applyAlignment="1"/>
    <xf numFmtId="3" fontId="0" fillId="0" borderId="0" xfId="0" applyNumberFormat="1" applyFill="1" applyAlignment="1"/>
    <xf numFmtId="0" fontId="2" fillId="3" borderId="24" xfId="0" applyFont="1" applyFill="1" applyBorder="1"/>
    <xf numFmtId="3" fontId="2" fillId="3" borderId="24" xfId="0" applyNumberFormat="1" applyFont="1" applyFill="1" applyBorder="1" applyAlignment="1"/>
    <xf numFmtId="0" fontId="2" fillId="3" borderId="24" xfId="0" applyFont="1" applyFill="1" applyBorder="1" applyAlignment="1"/>
    <xf numFmtId="3" fontId="2" fillId="3" borderId="24" xfId="5" applyNumberFormat="1" applyFont="1" applyFill="1" applyBorder="1" applyAlignment="1">
      <alignment horizontal="right"/>
    </xf>
    <xf numFmtId="165" fontId="2" fillId="3" borderId="24" xfId="1" applyNumberFormat="1" applyFont="1" applyFill="1" applyBorder="1" applyAlignment="1" applyProtection="1"/>
    <xf numFmtId="3" fontId="2" fillId="14" borderId="24" xfId="0" applyNumberFormat="1" applyFont="1" applyFill="1" applyBorder="1" applyAlignment="1"/>
    <xf numFmtId="0" fontId="2" fillId="5" borderId="24" xfId="0" applyFont="1" applyFill="1" applyBorder="1" applyAlignment="1"/>
    <xf numFmtId="3" fontId="2" fillId="5" borderId="24" xfId="0" applyNumberFormat="1" applyFont="1" applyFill="1" applyBorder="1" applyAlignment="1"/>
    <xf numFmtId="0" fontId="2" fillId="4" borderId="24" xfId="0" applyFont="1" applyFill="1" applyBorder="1" applyAlignment="1"/>
    <xf numFmtId="3" fontId="2" fillId="4" borderId="24" xfId="0" applyNumberFormat="1" applyFont="1" applyFill="1" applyBorder="1" applyAlignment="1"/>
    <xf numFmtId="0" fontId="2" fillId="0" borderId="25" xfId="0" applyFont="1" applyFill="1" applyBorder="1" applyAlignment="1"/>
    <xf numFmtId="0" fontId="2" fillId="0" borderId="25" xfId="0" applyFont="1" applyBorder="1" applyAlignment="1"/>
    <xf numFmtId="0" fontId="2" fillId="0" borderId="20" xfId="0" applyFont="1" applyFill="1" applyBorder="1" applyAlignment="1"/>
    <xf numFmtId="0" fontId="2" fillId="0" borderId="26" xfId="0" applyFont="1" applyBorder="1" applyAlignment="1"/>
    <xf numFmtId="0" fontId="2" fillId="0" borderId="27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3" fontId="0" fillId="0" borderId="0" xfId="0" applyNumberFormat="1" applyBorder="1" applyAlignment="1"/>
    <xf numFmtId="3" fontId="0" fillId="0" borderId="0" xfId="0" applyNumberFormat="1" applyFont="1" applyBorder="1" applyAlignment="1"/>
    <xf numFmtId="3" fontId="0" fillId="0" borderId="24" xfId="0" applyNumberFormat="1" applyBorder="1" applyAlignment="1"/>
    <xf numFmtId="0" fontId="0" fillId="0" borderId="27" xfId="0" applyFont="1" applyFill="1" applyBorder="1" applyAlignment="1"/>
    <xf numFmtId="0" fontId="0" fillId="0" borderId="26" xfId="0" applyFont="1" applyBorder="1" applyAlignment="1"/>
    <xf numFmtId="3" fontId="2" fillId="2" borderId="28" xfId="0" applyNumberFormat="1" applyFont="1" applyFill="1" applyBorder="1" applyAlignment="1">
      <alignment horizontal="center"/>
    </xf>
    <xf numFmtId="3" fontId="2" fillId="2" borderId="29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0" fillId="0" borderId="30" xfId="5" applyFont="1" applyBorder="1" applyAlignment="1"/>
    <xf numFmtId="3" fontId="0" fillId="0" borderId="30" xfId="0" applyNumberFormat="1" applyBorder="1" applyAlignment="1"/>
    <xf numFmtId="3" fontId="0" fillId="0" borderId="30" xfId="0" applyNumberFormat="1" applyFont="1" applyBorder="1" applyAlignment="1"/>
    <xf numFmtId="3" fontId="0" fillId="0" borderId="31" xfId="0" applyNumberFormat="1" applyBorder="1" applyAlignment="1"/>
    <xf numFmtId="0" fontId="0" fillId="0" borderId="32" xfId="5" applyFont="1" applyBorder="1" applyAlignment="1"/>
    <xf numFmtId="3" fontId="0" fillId="0" borderId="32" xfId="0" applyNumberFormat="1" applyBorder="1" applyAlignment="1"/>
    <xf numFmtId="3" fontId="0" fillId="0" borderId="32" xfId="0" applyNumberFormat="1" applyFont="1" applyBorder="1" applyAlignment="1"/>
    <xf numFmtId="0" fontId="0" fillId="0" borderId="33" xfId="0" applyFont="1" applyBorder="1" applyAlignment="1">
      <alignment wrapText="1"/>
    </xf>
    <xf numFmtId="3" fontId="0" fillId="0" borderId="33" xfId="0" applyNumberFormat="1" applyBorder="1" applyAlignment="1"/>
    <xf numFmtId="3" fontId="0" fillId="0" borderId="33" xfId="0" applyNumberFormat="1" applyFont="1" applyBorder="1" applyAlignment="1"/>
    <xf numFmtId="3" fontId="0" fillId="0" borderId="34" xfId="0" applyNumberFormat="1" applyBorder="1" applyAlignment="1"/>
    <xf numFmtId="0" fontId="0" fillId="0" borderId="35" xfId="0" applyFont="1" applyFill="1" applyBorder="1" applyAlignment="1"/>
    <xf numFmtId="3" fontId="0" fillId="0" borderId="35" xfId="0" applyNumberFormat="1" applyBorder="1" applyAlignment="1"/>
    <xf numFmtId="3" fontId="0" fillId="0" borderId="35" xfId="0" applyNumberFormat="1" applyFont="1" applyBorder="1" applyAlignment="1"/>
    <xf numFmtId="0" fontId="0" fillId="0" borderId="32" xfId="0" applyFont="1" applyBorder="1" applyAlignment="1"/>
    <xf numFmtId="4" fontId="0" fillId="0" borderId="32" xfId="0" applyNumberFormat="1" applyFont="1" applyFill="1" applyBorder="1" applyAlignment="1"/>
    <xf numFmtId="4" fontId="0" fillId="0" borderId="32" xfId="0" applyNumberFormat="1" applyFont="1" applyBorder="1" applyAlignment="1"/>
    <xf numFmtId="0" fontId="0" fillId="0" borderId="32" xfId="0" applyFont="1" applyFill="1" applyBorder="1" applyAlignment="1"/>
    <xf numFmtId="0" fontId="0" fillId="0" borderId="33" xfId="0" applyFont="1" applyFill="1" applyBorder="1" applyAlignment="1"/>
    <xf numFmtId="0" fontId="0" fillId="0" borderId="35" xfId="0" applyFont="1" applyBorder="1" applyAlignment="1"/>
    <xf numFmtId="0" fontId="0" fillId="0" borderId="33" xfId="0" applyFont="1" applyFill="1" applyBorder="1" applyAlignment="1">
      <alignment wrapText="1"/>
    </xf>
    <xf numFmtId="3" fontId="0" fillId="0" borderId="33" xfId="0" applyNumberFormat="1" applyFont="1" applyBorder="1" applyAlignment="1">
      <alignment wrapText="1"/>
    </xf>
    <xf numFmtId="0" fontId="0" fillId="0" borderId="32" xfId="0" applyFont="1" applyBorder="1" applyAlignment="1">
      <alignment horizontal="left"/>
    </xf>
    <xf numFmtId="0" fontId="0" fillId="0" borderId="32" xfId="0" applyFont="1" applyBorder="1" applyAlignment="1">
      <alignment wrapText="1"/>
    </xf>
    <xf numFmtId="0" fontId="0" fillId="0" borderId="33" xfId="0" applyFont="1" applyBorder="1" applyAlignment="1"/>
    <xf numFmtId="0" fontId="0" fillId="0" borderId="32" xfId="0" applyFont="1" applyFill="1" applyBorder="1" applyAlignment="1">
      <alignment wrapText="1"/>
    </xf>
    <xf numFmtId="3" fontId="2" fillId="0" borderId="32" xfId="0" applyNumberFormat="1" applyFont="1" applyBorder="1" applyAlignment="1"/>
    <xf numFmtId="3" fontId="0" fillId="0" borderId="32" xfId="0" applyNumberFormat="1" applyFont="1" applyBorder="1" applyAlignment="1">
      <alignment wrapText="1"/>
    </xf>
    <xf numFmtId="3" fontId="2" fillId="2" borderId="31" xfId="0" applyNumberFormat="1" applyFont="1" applyFill="1" applyBorder="1" applyAlignment="1">
      <alignment horizontal="center"/>
    </xf>
    <xf numFmtId="0" fontId="0" fillId="0" borderId="36" xfId="0" applyFont="1" applyFill="1" applyBorder="1" applyAlignment="1"/>
    <xf numFmtId="3" fontId="0" fillId="0" borderId="34" xfId="0" applyNumberFormat="1" applyFill="1" applyBorder="1" applyAlignment="1"/>
    <xf numFmtId="165" fontId="9" fillId="0" borderId="34" xfId="1" applyNumberFormat="1" applyFill="1" applyBorder="1" applyAlignment="1" applyProtection="1"/>
    <xf numFmtId="3" fontId="2" fillId="0" borderId="34" xfId="0" applyNumberFormat="1" applyFont="1" applyBorder="1" applyAlignment="1"/>
    <xf numFmtId="3" fontId="2" fillId="0" borderId="34" xfId="0" applyNumberFormat="1" applyFont="1" applyFill="1" applyBorder="1" applyAlignment="1"/>
    <xf numFmtId="3" fontId="0" fillId="0" borderId="29" xfId="0" applyNumberFormat="1" applyBorder="1" applyAlignment="1"/>
    <xf numFmtId="0" fontId="0" fillId="0" borderId="36" xfId="0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Font="1" applyBorder="1" applyAlignment="1"/>
    <xf numFmtId="0" fontId="0" fillId="0" borderId="38" xfId="0" applyFont="1" applyFill="1" applyBorder="1" applyAlignment="1"/>
    <xf numFmtId="0" fontId="2" fillId="2" borderId="42" xfId="0" applyFont="1" applyFill="1" applyBorder="1" applyAlignment="1">
      <alignment horizontal="center" vertical="center"/>
    </xf>
    <xf numFmtId="3" fontId="2" fillId="2" borderId="42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3" fontId="2" fillId="2" borderId="43" xfId="0" applyNumberFormat="1" applyFont="1" applyFill="1" applyBorder="1" applyAlignment="1">
      <alignment horizontal="center"/>
    </xf>
    <xf numFmtId="0" fontId="2" fillId="2" borderId="43" xfId="0" applyNumberFormat="1" applyFont="1" applyFill="1" applyBorder="1" applyAlignment="1">
      <alignment horizontal="center"/>
    </xf>
    <xf numFmtId="3" fontId="2" fillId="2" borderId="44" xfId="0" applyNumberFormat="1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 vertical="center"/>
    </xf>
    <xf numFmtId="0" fontId="0" fillId="0" borderId="54" xfId="0" applyFont="1" applyFill="1" applyBorder="1"/>
    <xf numFmtId="3" fontId="0" fillId="0" borderId="42" xfId="0" applyNumberFormat="1" applyFill="1" applyBorder="1"/>
    <xf numFmtId="3" fontId="0" fillId="0" borderId="42" xfId="0" applyNumberFormat="1" applyBorder="1"/>
    <xf numFmtId="3" fontId="0" fillId="0" borderId="56" xfId="0" applyNumberFormat="1" applyFill="1" applyBorder="1"/>
    <xf numFmtId="3" fontId="2" fillId="0" borderId="56" xfId="0" applyNumberFormat="1" applyFont="1" applyBorder="1"/>
    <xf numFmtId="3" fontId="0" fillId="0" borderId="56" xfId="0" applyNumberFormat="1" applyBorder="1"/>
    <xf numFmtId="3" fontId="0" fillId="0" borderId="56" xfId="0" applyNumberFormat="1" applyFont="1" applyBorder="1"/>
    <xf numFmtId="3" fontId="0" fillId="0" borderId="57" xfId="0" applyNumberFormat="1" applyBorder="1"/>
    <xf numFmtId="3" fontId="2" fillId="3" borderId="56" xfId="5" applyNumberFormat="1" applyFont="1" applyFill="1" applyBorder="1" applyAlignment="1">
      <alignment horizontal="right"/>
    </xf>
    <xf numFmtId="3" fontId="2" fillId="3" borderId="57" xfId="5" applyNumberFormat="1" applyFont="1" applyFill="1" applyBorder="1" applyAlignment="1">
      <alignment horizontal="right"/>
    </xf>
    <xf numFmtId="3" fontId="0" fillId="0" borderId="58" xfId="0" applyNumberFormat="1" applyFont="1" applyBorder="1"/>
    <xf numFmtId="3" fontId="0" fillId="0" borderId="58" xfId="0" applyNumberFormat="1" applyBorder="1"/>
    <xf numFmtId="165" fontId="2" fillId="3" borderId="47" xfId="1" applyNumberFormat="1" applyFont="1" applyFill="1" applyBorder="1" applyAlignment="1" applyProtection="1"/>
    <xf numFmtId="3" fontId="2" fillId="3" borderId="56" xfId="0" applyNumberFormat="1" applyFont="1" applyFill="1" applyBorder="1"/>
    <xf numFmtId="3" fontId="0" fillId="14" borderId="56" xfId="0" applyNumberFormat="1" applyFill="1" applyBorder="1"/>
    <xf numFmtId="3" fontId="0" fillId="0" borderId="56" xfId="0" applyNumberFormat="1" applyBorder="1" applyAlignment="1">
      <alignment wrapText="1"/>
    </xf>
    <xf numFmtId="165" fontId="2" fillId="3" borderId="56" xfId="1" applyNumberFormat="1" applyFont="1" applyFill="1" applyBorder="1" applyAlignment="1" applyProtection="1"/>
    <xf numFmtId="3" fontId="0" fillId="0" borderId="59" xfId="0" applyNumberFormat="1" applyBorder="1"/>
    <xf numFmtId="3" fontId="0" fillId="0" borderId="56" xfId="0" applyNumberFormat="1" applyFont="1" applyBorder="1" applyAlignment="1">
      <alignment vertical="top" wrapText="1"/>
    </xf>
    <xf numFmtId="169" fontId="1" fillId="0" borderId="56" xfId="4" applyNumberFormat="1" applyBorder="1"/>
    <xf numFmtId="169" fontId="9" fillId="0" borderId="56" xfId="1" applyNumberFormat="1" applyBorder="1"/>
    <xf numFmtId="165" fontId="2" fillId="0" borderId="56" xfId="1" applyNumberFormat="1" applyFont="1" applyFill="1" applyBorder="1" applyAlignment="1" applyProtection="1"/>
    <xf numFmtId="3" fontId="0" fillId="15" borderId="57" xfId="0" applyNumberFormat="1" applyFont="1" applyFill="1" applyBorder="1"/>
    <xf numFmtId="165" fontId="2" fillId="0" borderId="56" xfId="0" applyNumberFormat="1" applyFont="1" applyBorder="1" applyAlignment="1">
      <alignment horizontal="right"/>
    </xf>
    <xf numFmtId="3" fontId="2" fillId="3" borderId="58" xfId="0" applyNumberFormat="1" applyFont="1" applyFill="1" applyBorder="1"/>
    <xf numFmtId="3" fontId="19" fillId="0" borderId="56" xfId="0" applyNumberFormat="1" applyFont="1" applyBorder="1"/>
    <xf numFmtId="3" fontId="0" fillId="0" borderId="58" xfId="0" applyNumberFormat="1" applyFont="1" applyFill="1" applyBorder="1"/>
    <xf numFmtId="3" fontId="2" fillId="5" borderId="56" xfId="0" applyNumberFormat="1" applyFont="1" applyFill="1" applyBorder="1"/>
    <xf numFmtId="3" fontId="0" fillId="0" borderId="47" xfId="0" applyNumberFormat="1" applyBorder="1"/>
    <xf numFmtId="3" fontId="2" fillId="4" borderId="60" xfId="0" applyNumberFormat="1" applyFont="1" applyFill="1" applyBorder="1"/>
    <xf numFmtId="3" fontId="0" fillId="0" borderId="60" xfId="0" applyNumberFormat="1" applyFont="1" applyBorder="1"/>
    <xf numFmtId="3" fontId="0" fillId="0" borderId="60" xfId="0" applyNumberFormat="1" applyBorder="1"/>
    <xf numFmtId="3" fontId="0" fillId="3" borderId="56" xfId="0" applyNumberFormat="1" applyFont="1" applyFill="1" applyBorder="1"/>
    <xf numFmtId="3" fontId="0" fillId="0" borderId="56" xfId="0" applyNumberFormat="1" applyFont="1" applyFill="1" applyBorder="1"/>
    <xf numFmtId="0" fontId="2" fillId="0" borderId="61" xfId="0" applyFont="1" applyBorder="1"/>
    <xf numFmtId="0" fontId="0" fillId="0" borderId="53" xfId="0" applyFont="1" applyBorder="1"/>
    <xf numFmtId="0" fontId="2" fillId="4" borderId="26" xfId="0" applyFont="1" applyFill="1" applyBorder="1"/>
    <xf numFmtId="3" fontId="2" fillId="4" borderId="49" xfId="0" applyNumberFormat="1" applyFont="1" applyFill="1" applyBorder="1"/>
    <xf numFmtId="3" fontId="2" fillId="4" borderId="50" xfId="0" applyNumberFormat="1" applyFont="1" applyFill="1" applyBorder="1"/>
    <xf numFmtId="0" fontId="0" fillId="0" borderId="57" xfId="0" applyFont="1" applyBorder="1"/>
    <xf numFmtId="0" fontId="0" fillId="0" borderId="57" xfId="0" applyFont="1" applyFill="1" applyBorder="1"/>
    <xf numFmtId="0" fontId="0" fillId="0" borderId="57" xfId="5" applyFont="1" applyBorder="1"/>
    <xf numFmtId="3" fontId="0" fillId="0" borderId="57" xfId="0" applyNumberFormat="1" applyFont="1" applyBorder="1"/>
    <xf numFmtId="0" fontId="0" fillId="0" borderId="56" xfId="0" applyFont="1" applyBorder="1"/>
    <xf numFmtId="0" fontId="0" fillId="0" borderId="56" xfId="0" applyFont="1" applyFill="1" applyBorder="1"/>
    <xf numFmtId="0" fontId="0" fillId="0" borderId="56" xfId="5" applyFont="1" applyBorder="1"/>
    <xf numFmtId="0" fontId="0" fillId="0" borderId="56" xfId="0" applyFont="1" applyBorder="1" applyAlignment="1">
      <alignment vertical="top" wrapText="1"/>
    </xf>
    <xf numFmtId="3" fontId="2" fillId="0" borderId="56" xfId="0" applyNumberFormat="1" applyFont="1" applyFill="1" applyBorder="1"/>
    <xf numFmtId="0" fontId="2" fillId="0" borderId="56" xfId="0" applyFont="1" applyFill="1" applyBorder="1"/>
    <xf numFmtId="4" fontId="0" fillId="0" borderId="56" xfId="0" applyNumberFormat="1" applyFont="1" applyFill="1" applyBorder="1"/>
    <xf numFmtId="4" fontId="0" fillId="0" borderId="56" xfId="0" applyNumberFormat="1" applyFont="1" applyBorder="1"/>
    <xf numFmtId="0" fontId="2" fillId="3" borderId="56" xfId="0" applyFont="1" applyFill="1" applyBorder="1"/>
    <xf numFmtId="3" fontId="0" fillId="3" borderId="56" xfId="0" applyNumberFormat="1" applyFill="1" applyBorder="1"/>
    <xf numFmtId="0" fontId="0" fillId="0" borderId="56" xfId="0" applyFont="1" applyFill="1" applyBorder="1" applyAlignment="1">
      <alignment vertical="top" wrapText="1"/>
    </xf>
    <xf numFmtId="0" fontId="2" fillId="0" borderId="56" xfId="0" applyFont="1" applyBorder="1"/>
    <xf numFmtId="0" fontId="0" fillId="0" borderId="56" xfId="0" applyFont="1" applyBorder="1" applyAlignment="1">
      <alignment horizontal="left"/>
    </xf>
    <xf numFmtId="0" fontId="0" fillId="0" borderId="56" xfId="0" applyFill="1" applyBorder="1"/>
    <xf numFmtId="0" fontId="2" fillId="5" borderId="56" xfId="0" applyFont="1" applyFill="1" applyBorder="1"/>
    <xf numFmtId="0" fontId="0" fillId="0" borderId="56" xfId="0" applyBorder="1"/>
    <xf numFmtId="0" fontId="2" fillId="0" borderId="60" xfId="0" applyFont="1" applyBorder="1"/>
    <xf numFmtId="0" fontId="2" fillId="4" borderId="60" xfId="0" applyFont="1" applyFill="1" applyBorder="1"/>
    <xf numFmtId="10" fontId="9" fillId="0" borderId="0" xfId="6" applyNumberFormat="1" applyAlignment="1"/>
    <xf numFmtId="10" fontId="9" fillId="2" borderId="29" xfId="6" applyNumberFormat="1" applyFill="1" applyBorder="1" applyAlignment="1">
      <alignment horizontal="center"/>
    </xf>
    <xf numFmtId="10" fontId="9" fillId="0" borderId="30" xfId="6" applyNumberFormat="1" applyBorder="1" applyAlignment="1"/>
    <xf numFmtId="10" fontId="9" fillId="0" borderId="32" xfId="6" applyNumberFormat="1" applyBorder="1" applyAlignment="1"/>
    <xf numFmtId="10" fontId="9" fillId="0" borderId="24" xfId="6" applyNumberFormat="1" applyBorder="1" applyAlignment="1"/>
    <xf numFmtId="10" fontId="9" fillId="0" borderId="0" xfId="6" applyNumberFormat="1" applyBorder="1" applyAlignment="1"/>
    <xf numFmtId="10" fontId="9" fillId="0" borderId="34" xfId="6" applyNumberFormat="1" applyBorder="1" applyAlignment="1"/>
    <xf numFmtId="10" fontId="9" fillId="0" borderId="29" xfId="6" applyNumberFormat="1" applyBorder="1" applyAlignment="1"/>
    <xf numFmtId="3" fontId="2" fillId="2" borderId="24" xfId="0" applyNumberFormat="1" applyFont="1" applyFill="1" applyBorder="1" applyAlignment="1">
      <alignment horizontal="center"/>
    </xf>
    <xf numFmtId="10" fontId="2" fillId="3" borderId="24" xfId="6" applyNumberFormat="1" applyFont="1" applyFill="1" applyBorder="1" applyAlignment="1">
      <alignment horizontal="right"/>
    </xf>
    <xf numFmtId="3" fontId="2" fillId="16" borderId="24" xfId="5" applyNumberFormat="1" applyFont="1" applyFill="1" applyBorder="1" applyAlignment="1">
      <alignment horizontal="right"/>
    </xf>
    <xf numFmtId="10" fontId="2" fillId="16" borderId="24" xfId="6" applyNumberFormat="1" applyFont="1" applyFill="1" applyBorder="1" applyAlignment="1">
      <alignment horizontal="right"/>
    </xf>
    <xf numFmtId="3" fontId="2" fillId="17" borderId="24" xfId="0" applyNumberFormat="1" applyFont="1" applyFill="1" applyBorder="1" applyAlignment="1"/>
    <xf numFmtId="3" fontId="2" fillId="2" borderId="20" xfId="0" quotePrefix="1" applyNumberFormat="1" applyFont="1" applyFill="1" applyBorder="1" applyAlignment="1">
      <alignment horizontal="center"/>
    </xf>
    <xf numFmtId="10" fontId="2" fillId="0" borderId="34" xfId="6" applyNumberFormat="1" applyFont="1" applyBorder="1" applyAlignment="1"/>
    <xf numFmtId="165" fontId="2" fillId="0" borderId="34" xfId="1" applyNumberFormat="1" applyFont="1" applyFill="1" applyBorder="1" applyAlignment="1" applyProtection="1"/>
    <xf numFmtId="3" fontId="2" fillId="18" borderId="4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2" fillId="2" borderId="47" xfId="0" applyNumberFormat="1" applyFont="1" applyFill="1" applyBorder="1" applyAlignment="1">
      <alignment horizontal="center" vertical="center"/>
    </xf>
    <xf numFmtId="3" fontId="2" fillId="2" borderId="42" xfId="0" applyNumberFormat="1" applyFont="1" applyFill="1" applyBorder="1" applyAlignment="1">
      <alignment horizontal="center" vertical="center"/>
    </xf>
    <xf numFmtId="3" fontId="2" fillId="2" borderId="43" xfId="0" applyNumberFormat="1" applyFont="1" applyFill="1" applyBorder="1" applyAlignment="1">
      <alignment horizontal="center" vertical="center"/>
    </xf>
    <xf numFmtId="3" fontId="2" fillId="18" borderId="43" xfId="0" applyNumberFormat="1" applyFont="1" applyFill="1" applyBorder="1" applyAlignment="1">
      <alignment horizontal="center" vertical="center"/>
    </xf>
    <xf numFmtId="0" fontId="2" fillId="2" borderId="43" xfId="0" applyNumberFormat="1" applyFont="1" applyFill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0" fillId="0" borderId="13" xfId="5" applyFont="1" applyBorder="1" applyAlignment="1">
      <alignment vertical="center"/>
    </xf>
    <xf numFmtId="3" fontId="0" fillId="19" borderId="0" xfId="0" applyNumberFormat="1" applyFill="1" applyAlignment="1">
      <alignment vertical="center"/>
    </xf>
    <xf numFmtId="3" fontId="0" fillId="0" borderId="13" xfId="0" applyNumberFormat="1" applyFont="1" applyBorder="1" applyAlignment="1">
      <alignment vertical="center"/>
    </xf>
    <xf numFmtId="3" fontId="0" fillId="0" borderId="41" xfId="0" applyNumberForma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3" fontId="2" fillId="0" borderId="5" xfId="0" applyNumberFormat="1" applyFont="1" applyFill="1" applyBorder="1" applyAlignment="1">
      <alignment vertical="center"/>
    </xf>
    <xf numFmtId="3" fontId="2" fillId="3" borderId="6" xfId="0" applyNumberFormat="1" applyFont="1" applyFill="1" applyBorder="1" applyAlignment="1">
      <alignment vertical="center"/>
    </xf>
    <xf numFmtId="3" fontId="2" fillId="3" borderId="6" xfId="5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5" fontId="2" fillId="0" borderId="6" xfId="1" applyNumberFormat="1" applyFont="1" applyFill="1" applyBorder="1" applyAlignment="1" applyProtection="1">
      <alignment vertical="center"/>
    </xf>
    <xf numFmtId="165" fontId="2" fillId="0" borderId="8" xfId="1" applyNumberFormat="1" applyFont="1" applyFill="1" applyBorder="1" applyAlignment="1" applyProtection="1">
      <alignment vertical="center"/>
    </xf>
    <xf numFmtId="0" fontId="2" fillId="0" borderId="0" xfId="0" applyFont="1" applyFill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3" fontId="2" fillId="4" borderId="7" xfId="0" applyNumberFormat="1" applyFont="1" applyFill="1" applyBorder="1" applyAlignment="1">
      <alignment vertical="center"/>
    </xf>
    <xf numFmtId="3" fontId="2" fillId="2" borderId="4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3" fontId="2" fillId="2" borderId="50" xfId="0" applyNumberFormat="1" applyFont="1" applyFill="1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/>
    </xf>
    <xf numFmtId="0" fontId="0" fillId="0" borderId="51" xfId="5" applyFont="1" applyBorder="1" applyAlignment="1">
      <alignment vertical="center"/>
    </xf>
    <xf numFmtId="3" fontId="0" fillId="0" borderId="42" xfId="0" applyNumberFormat="1" applyFont="1" applyFill="1" applyBorder="1" applyAlignment="1">
      <alignment vertical="center"/>
    </xf>
    <xf numFmtId="169" fontId="20" fillId="0" borderId="0" xfId="1" applyNumberFormat="1" applyFont="1" applyAlignment="1">
      <alignment vertical="center"/>
    </xf>
    <xf numFmtId="3" fontId="0" fillId="0" borderId="42" xfId="0" applyNumberFormat="1" applyFont="1" applyBorder="1" applyAlignment="1">
      <alignment vertical="center"/>
    </xf>
    <xf numFmtId="3" fontId="0" fillId="0" borderId="55" xfId="0" applyNumberFormat="1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52" xfId="5" applyFont="1" applyBorder="1" applyAlignment="1">
      <alignment vertical="center"/>
    </xf>
    <xf numFmtId="3" fontId="0" fillId="0" borderId="56" xfId="0" applyNumberFormat="1" applyFont="1" applyFill="1" applyBorder="1" applyAlignment="1">
      <alignment vertical="center"/>
    </xf>
    <xf numFmtId="3" fontId="2" fillId="0" borderId="56" xfId="0" applyNumberFormat="1" applyFont="1" applyBorder="1" applyAlignment="1">
      <alignment vertical="center"/>
    </xf>
    <xf numFmtId="3" fontId="0" fillId="0" borderId="56" xfId="0" applyNumberFormat="1" applyFont="1" applyBorder="1" applyAlignment="1">
      <alignment vertical="center"/>
    </xf>
    <xf numFmtId="0" fontId="0" fillId="0" borderId="52" xfId="0" applyFont="1" applyBorder="1" applyAlignment="1">
      <alignment vertical="center" wrapText="1"/>
    </xf>
    <xf numFmtId="3" fontId="2" fillId="3" borderId="52" xfId="0" applyNumberFormat="1" applyFont="1" applyFill="1" applyBorder="1" applyAlignment="1">
      <alignment vertical="center"/>
    </xf>
    <xf numFmtId="3" fontId="2" fillId="3" borderId="56" xfId="5" applyNumberFormat="1" applyFont="1" applyFill="1" applyBorder="1" applyAlignment="1">
      <alignment horizontal="right" vertical="center"/>
    </xf>
    <xf numFmtId="3" fontId="2" fillId="3" borderId="57" xfId="5" applyNumberFormat="1" applyFont="1" applyFill="1" applyBorder="1" applyAlignment="1">
      <alignment horizontal="right" vertical="center"/>
    </xf>
    <xf numFmtId="3" fontId="0" fillId="0" borderId="4" xfId="0" applyNumberFormat="1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3" fontId="0" fillId="0" borderId="5" xfId="0" applyNumberFormat="1" applyFont="1" applyFill="1" applyBorder="1" applyAlignment="1">
      <alignment vertical="center"/>
    </xf>
    <xf numFmtId="4" fontId="0" fillId="0" borderId="52" xfId="0" applyNumberFormat="1" applyFont="1" applyFill="1" applyBorder="1" applyAlignment="1">
      <alignment vertical="center"/>
    </xf>
    <xf numFmtId="4" fontId="0" fillId="0" borderId="52" xfId="0" applyNumberFormat="1" applyFon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3" fontId="0" fillId="0" borderId="6" xfId="0" applyNumberFormat="1" applyFont="1" applyFill="1" applyBorder="1" applyAlignment="1">
      <alignment vertical="center"/>
    </xf>
    <xf numFmtId="3" fontId="0" fillId="0" borderId="58" xfId="0" applyNumberFormat="1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6" xfId="0" applyNumberFormat="1" applyFont="1" applyFill="1" applyBorder="1" applyAlignment="1">
      <alignment vertical="center"/>
    </xf>
    <xf numFmtId="165" fontId="2" fillId="3" borderId="47" xfId="1" applyNumberFormat="1" applyFont="1" applyFill="1" applyBorder="1" applyAlignment="1" applyProtection="1">
      <alignment vertical="center"/>
    </xf>
    <xf numFmtId="0" fontId="2" fillId="3" borderId="52" xfId="0" applyFont="1" applyFill="1" applyBorder="1" applyAlignment="1">
      <alignment vertical="center"/>
    </xf>
    <xf numFmtId="3" fontId="2" fillId="3" borderId="56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2" xfId="0" applyFont="1" applyFill="1" applyBorder="1" applyAlignment="1">
      <alignment vertical="center" wrapText="1"/>
    </xf>
    <xf numFmtId="3" fontId="0" fillId="0" borderId="56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vertical="center"/>
    </xf>
    <xf numFmtId="165" fontId="2" fillId="3" borderId="56" xfId="1" applyNumberFormat="1" applyFont="1" applyFill="1" applyBorder="1" applyAlignment="1" applyProtection="1">
      <alignment vertical="center"/>
    </xf>
    <xf numFmtId="169" fontId="0" fillId="0" borderId="0" xfId="0" applyNumberFormat="1" applyFont="1" applyAlignment="1">
      <alignment vertical="center"/>
    </xf>
    <xf numFmtId="3" fontId="0" fillId="0" borderId="59" xfId="0" applyNumberFormat="1" applyFont="1" applyBorder="1" applyAlignment="1">
      <alignment vertical="center"/>
    </xf>
    <xf numFmtId="0" fontId="0" fillId="0" borderId="52" xfId="0" applyFont="1" applyBorder="1" applyAlignment="1">
      <alignment horizontal="left" vertical="center"/>
    </xf>
    <xf numFmtId="0" fontId="2" fillId="0" borderId="1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9" fontId="0" fillId="0" borderId="56" xfId="1" applyNumberFormat="1" applyFont="1" applyBorder="1" applyAlignment="1">
      <alignment vertical="center"/>
    </xf>
    <xf numFmtId="169" fontId="0" fillId="0" borderId="56" xfId="4" applyNumberFormat="1" applyFont="1" applyBorder="1" applyAlignment="1">
      <alignment vertical="center"/>
    </xf>
    <xf numFmtId="0" fontId="2" fillId="0" borderId="52" xfId="0" applyFont="1" applyFill="1" applyBorder="1" applyAlignment="1">
      <alignment vertical="center"/>
    </xf>
    <xf numFmtId="165" fontId="2" fillId="0" borderId="56" xfId="1" applyNumberFormat="1" applyFont="1" applyFill="1" applyBorder="1" applyAlignment="1" applyProtection="1">
      <alignment vertical="center"/>
    </xf>
    <xf numFmtId="0" fontId="0" fillId="15" borderId="51" xfId="0" applyFont="1" applyFill="1" applyBorder="1" applyAlignment="1">
      <alignment vertical="center"/>
    </xf>
    <xf numFmtId="3" fontId="0" fillId="15" borderId="57" xfId="0" applyNumberFormat="1" applyFont="1" applyFill="1" applyBorder="1" applyAlignment="1">
      <alignment vertical="center"/>
    </xf>
    <xf numFmtId="0" fontId="2" fillId="0" borderId="53" xfId="0" applyFont="1" applyFill="1" applyBorder="1" applyAlignment="1">
      <alignment vertical="center"/>
    </xf>
    <xf numFmtId="165" fontId="2" fillId="0" borderId="56" xfId="0" applyNumberFormat="1" applyFont="1" applyBorder="1" applyAlignment="1">
      <alignment horizontal="right" vertical="center"/>
    </xf>
    <xf numFmtId="3" fontId="2" fillId="3" borderId="58" xfId="0" applyNumberFormat="1" applyFont="1" applyFill="1" applyBorder="1" applyAlignment="1">
      <alignment vertical="center"/>
    </xf>
    <xf numFmtId="3" fontId="19" fillId="0" borderId="56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3" fontId="0" fillId="0" borderId="58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5" borderId="52" xfId="0" applyFont="1" applyFill="1" applyBorder="1" applyAlignment="1">
      <alignment vertical="center"/>
    </xf>
    <xf numFmtId="3" fontId="2" fillId="5" borderId="56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4" borderId="54" xfId="0" applyFont="1" applyFill="1" applyBorder="1" applyAlignment="1">
      <alignment vertical="center"/>
    </xf>
    <xf numFmtId="3" fontId="2" fillId="4" borderId="60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54" xfId="0" applyFont="1" applyFill="1" applyBorder="1" applyAlignment="1">
      <alignment vertical="center"/>
    </xf>
    <xf numFmtId="3" fontId="0" fillId="0" borderId="60" xfId="0" applyNumberFormat="1" applyFont="1" applyBorder="1" applyAlignment="1">
      <alignment vertical="center"/>
    </xf>
    <xf numFmtId="3" fontId="2" fillId="0" borderId="60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3" fontId="0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169" fontId="21" fillId="20" borderId="0" xfId="1" applyNumberFormat="1" applyFont="1" applyFill="1" applyBorder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10" fontId="9" fillId="0" borderId="0" xfId="6" applyNumberFormat="1" applyAlignment="1">
      <alignment horizontal="center" vertical="center"/>
    </xf>
    <xf numFmtId="3" fontId="2" fillId="2" borderId="20" xfId="0" quotePrefix="1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10" fontId="9" fillId="2" borderId="29" xfId="6" applyNumberFormat="1" applyFill="1" applyBorder="1" applyAlignment="1">
      <alignment horizontal="center" vertical="center"/>
    </xf>
    <xf numFmtId="10" fontId="2" fillId="2" borderId="29" xfId="6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165" fontId="9" fillId="0" borderId="34" xfId="1" applyNumberFormat="1" applyFill="1" applyBorder="1" applyAlignment="1" applyProtection="1">
      <alignment vertical="center"/>
    </xf>
    <xf numFmtId="3" fontId="0" fillId="0" borderId="31" xfId="0" applyNumberFormat="1" applyBorder="1" applyAlignment="1">
      <alignment vertical="center"/>
    </xf>
    <xf numFmtId="10" fontId="9" fillId="0" borderId="31" xfId="6" applyNumberFormat="1" applyBorder="1" applyAlignment="1">
      <alignment vertical="center"/>
    </xf>
    <xf numFmtId="165" fontId="9" fillId="0" borderId="34" xfId="1" applyNumberFormat="1" applyBorder="1" applyAlignment="1">
      <alignment vertical="center"/>
    </xf>
    <xf numFmtId="3" fontId="0" fillId="0" borderId="34" xfId="0" applyNumberFormat="1" applyBorder="1" applyAlignment="1">
      <alignment vertical="center"/>
    </xf>
    <xf numFmtId="10" fontId="9" fillId="0" borderId="34" xfId="6" applyNumberFormat="1" applyBorder="1" applyAlignment="1">
      <alignment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Fill="1" applyBorder="1" applyAlignment="1">
      <alignment vertical="center"/>
    </xf>
    <xf numFmtId="3" fontId="2" fillId="0" borderId="34" xfId="0" applyNumberFormat="1" applyFont="1" applyFill="1" applyBorder="1" applyAlignment="1">
      <alignment vertical="center"/>
    </xf>
    <xf numFmtId="3" fontId="2" fillId="0" borderId="34" xfId="0" applyNumberFormat="1" applyFont="1" applyBorder="1" applyAlignment="1">
      <alignment vertical="center"/>
    </xf>
    <xf numFmtId="10" fontId="2" fillId="0" borderId="34" xfId="6" applyNumberFormat="1" applyFont="1" applyBorder="1" applyAlignment="1">
      <alignment vertical="center"/>
    </xf>
    <xf numFmtId="165" fontId="2" fillId="0" borderId="34" xfId="1" applyNumberFormat="1" applyFont="1" applyFill="1" applyBorder="1" applyAlignment="1" applyProtection="1">
      <alignment vertical="center"/>
    </xf>
    <xf numFmtId="0" fontId="0" fillId="0" borderId="21" xfId="0" applyBorder="1" applyAlignment="1">
      <alignment horizontal="center" vertical="center"/>
    </xf>
    <xf numFmtId="3" fontId="0" fillId="0" borderId="34" xfId="0" applyNumberFormat="1" applyFill="1" applyBorder="1" applyAlignment="1">
      <alignment vertical="center"/>
    </xf>
    <xf numFmtId="169" fontId="0" fillId="0" borderId="0" xfId="1" applyNumberFormat="1" applyFont="1" applyAlignment="1">
      <alignment vertical="center"/>
    </xf>
    <xf numFmtId="3" fontId="0" fillId="0" borderId="42" xfId="0" applyNumberFormat="1" applyFill="1" applyBorder="1" applyAlignment="1">
      <alignment vertical="center"/>
    </xf>
    <xf numFmtId="3" fontId="0" fillId="0" borderId="42" xfId="0" applyNumberFormat="1" applyBorder="1" applyAlignment="1">
      <alignment vertical="center"/>
    </xf>
    <xf numFmtId="3" fontId="0" fillId="0" borderId="56" xfId="0" applyNumberFormat="1" applyFill="1" applyBorder="1" applyAlignment="1">
      <alignment vertical="center"/>
    </xf>
    <xf numFmtId="3" fontId="0" fillId="0" borderId="56" xfId="0" applyNumberFormat="1" applyBorder="1" applyAlignment="1">
      <alignment vertical="center"/>
    </xf>
    <xf numFmtId="3" fontId="0" fillId="0" borderId="57" xfId="0" applyNumberFormat="1" applyBorder="1" applyAlignment="1">
      <alignment vertical="center"/>
    </xf>
    <xf numFmtId="3" fontId="0" fillId="0" borderId="58" xfId="0" applyNumberForma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3" fontId="2" fillId="0" borderId="11" xfId="0" applyNumberFormat="1" applyFont="1" applyFill="1" applyBorder="1" applyAlignment="1">
      <alignment vertical="center"/>
    </xf>
    <xf numFmtId="3" fontId="0" fillId="3" borderId="56" xfId="0" applyNumberFormat="1" applyFont="1" applyFill="1" applyBorder="1" applyAlignment="1">
      <alignment vertical="center"/>
    </xf>
    <xf numFmtId="3" fontId="0" fillId="14" borderId="56" xfId="0" applyNumberForma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169" fontId="1" fillId="0" borderId="58" xfId="4" applyNumberFormat="1" applyBorder="1" applyAlignment="1">
      <alignment vertical="center"/>
    </xf>
    <xf numFmtId="0" fontId="0" fillId="0" borderId="51" xfId="0" applyFont="1" applyFill="1" applyBorder="1" applyAlignment="1">
      <alignment vertical="center"/>
    </xf>
    <xf numFmtId="3" fontId="0" fillId="0" borderId="57" xfId="0" applyNumberFormat="1" applyFont="1" applyFill="1" applyBorder="1" applyAlignment="1">
      <alignment vertical="center"/>
    </xf>
    <xf numFmtId="3" fontId="2" fillId="0" borderId="59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20" borderId="0" xfId="0" applyFont="1" applyFill="1" applyAlignment="1">
      <alignment horizontal="center"/>
    </xf>
    <xf numFmtId="3" fontId="2" fillId="20" borderId="0" xfId="0" applyNumberFormat="1" applyFont="1" applyFill="1"/>
    <xf numFmtId="3" fontId="0" fillId="20" borderId="0" xfId="0" applyNumberFormat="1" applyFill="1"/>
    <xf numFmtId="0" fontId="2" fillId="20" borderId="0" xfId="0" applyFont="1" applyFill="1" applyAlignment="1">
      <alignment horizontal="center" vertical="center"/>
    </xf>
    <xf numFmtId="10" fontId="14" fillId="0" borderId="0" xfId="6" applyNumberFormat="1" applyFont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14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170" fontId="14" fillId="0" borderId="0" xfId="0" applyNumberFormat="1" applyFont="1" applyAlignment="1">
      <alignment vertical="center"/>
    </xf>
    <xf numFmtId="171" fontId="1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3" fontId="4" fillId="0" borderId="0" xfId="0" applyNumberFormat="1" applyFont="1" applyAlignment="1">
      <alignment vertical="center"/>
    </xf>
    <xf numFmtId="170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70" fontId="4" fillId="0" borderId="0" xfId="0" applyNumberFormat="1" applyFont="1" applyAlignment="1">
      <alignment vertical="center"/>
    </xf>
    <xf numFmtId="170" fontId="13" fillId="0" borderId="0" xfId="0" applyNumberFormat="1" applyFont="1" applyFill="1" applyBorder="1" applyAlignment="1">
      <alignment vertical="center"/>
    </xf>
    <xf numFmtId="170" fontId="13" fillId="0" borderId="0" xfId="5" applyNumberFormat="1" applyFont="1" applyFill="1" applyBorder="1" applyAlignment="1">
      <alignment horizontal="right" vertical="center"/>
    </xf>
    <xf numFmtId="170" fontId="13" fillId="0" borderId="0" xfId="1" applyNumberFormat="1" applyFont="1" applyFill="1" applyBorder="1" applyAlignment="1" applyProtection="1">
      <alignment vertical="center"/>
    </xf>
    <xf numFmtId="170" fontId="14" fillId="0" borderId="0" xfId="0" applyNumberFormat="1" applyFont="1" applyFill="1" applyBorder="1" applyAlignment="1">
      <alignment vertical="center"/>
    </xf>
    <xf numFmtId="170" fontId="14" fillId="0" borderId="0" xfId="1" applyNumberFormat="1" applyFont="1" applyFill="1" applyBorder="1" applyAlignment="1" applyProtection="1">
      <alignment vertical="center"/>
    </xf>
    <xf numFmtId="170" fontId="14" fillId="0" borderId="0" xfId="5" applyNumberFormat="1" applyFont="1" applyFill="1" applyBorder="1" applyAlignment="1">
      <alignment horizontal="right" vertical="center"/>
    </xf>
    <xf numFmtId="170" fontId="14" fillId="0" borderId="0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>
      <alignment horizontal="center" vertical="center"/>
    </xf>
    <xf numFmtId="3" fontId="0" fillId="21" borderId="0" xfId="0" applyNumberFormat="1" applyFill="1" applyAlignment="1">
      <alignment vertical="center"/>
    </xf>
    <xf numFmtId="1" fontId="2" fillId="2" borderId="29" xfId="6" applyNumberFormat="1" applyFont="1" applyFill="1" applyBorder="1" applyAlignment="1">
      <alignment horizontal="center"/>
    </xf>
    <xf numFmtId="3" fontId="2" fillId="22" borderId="24" xfId="0" applyNumberFormat="1" applyFont="1" applyFill="1" applyBorder="1" applyAlignment="1"/>
    <xf numFmtId="165" fontId="9" fillId="0" borderId="30" xfId="1" applyNumberFormat="1" applyFill="1" applyBorder="1" applyAlignment="1"/>
    <xf numFmtId="3" fontId="2" fillId="0" borderId="24" xfId="5" applyNumberFormat="1" applyFont="1" applyFill="1" applyBorder="1" applyAlignment="1">
      <alignment horizontal="right"/>
    </xf>
    <xf numFmtId="165" fontId="9" fillId="0" borderId="32" xfId="1" applyNumberFormat="1" applyFill="1" applyBorder="1" applyAlignment="1"/>
    <xf numFmtId="165" fontId="2" fillId="0" borderId="24" xfId="1" applyNumberFormat="1" applyFont="1" applyFill="1" applyBorder="1" applyAlignment="1" applyProtection="1"/>
    <xf numFmtId="165" fontId="2" fillId="0" borderId="32" xfId="1" applyNumberFormat="1" applyFont="1" applyFill="1" applyBorder="1" applyAlignment="1"/>
    <xf numFmtId="3" fontId="2" fillId="0" borderId="24" xfId="0" applyNumberFormat="1" applyFont="1" applyFill="1" applyBorder="1" applyAlignment="1"/>
    <xf numFmtId="165" fontId="0" fillId="0" borderId="0" xfId="0" applyNumberFormat="1" applyAlignment="1"/>
    <xf numFmtId="9" fontId="9" fillId="0" borderId="0" xfId="6" applyAlignment="1">
      <alignment vertical="center"/>
    </xf>
    <xf numFmtId="10" fontId="9" fillId="0" borderId="0" xfId="6" applyNumberFormat="1" applyAlignment="1">
      <alignment vertical="center"/>
    </xf>
    <xf numFmtId="172" fontId="6" fillId="0" borderId="0" xfId="0" applyNumberFormat="1" applyFont="1" applyAlignment="1">
      <alignment vertical="center"/>
    </xf>
    <xf numFmtId="3" fontId="14" fillId="2" borderId="0" xfId="0" applyNumberFormat="1" applyFont="1" applyFill="1" applyBorder="1" applyAlignment="1">
      <alignment horizontal="left" vertical="top" wrapText="1"/>
    </xf>
    <xf numFmtId="3" fontId="2" fillId="2" borderId="26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62" xfId="0" applyNumberFormat="1" applyFont="1" applyFill="1" applyBorder="1" applyAlignment="1">
      <alignment horizontal="center" vertical="center"/>
    </xf>
    <xf numFmtId="3" fontId="2" fillId="2" borderId="63" xfId="0" applyNumberFormat="1" applyFont="1" applyFill="1" applyBorder="1" applyAlignment="1">
      <alignment horizontal="center" vertical="center"/>
    </xf>
    <xf numFmtId="3" fontId="2" fillId="2" borderId="65" xfId="0" applyNumberFormat="1" applyFont="1" applyFill="1" applyBorder="1" applyAlignment="1">
      <alignment horizontal="center" vertical="center"/>
    </xf>
    <xf numFmtId="3" fontId="2" fillId="2" borderId="64" xfId="0" applyNumberFormat="1" applyFont="1" applyFill="1" applyBorder="1" applyAlignment="1">
      <alignment horizontal="center" vertical="center"/>
    </xf>
    <xf numFmtId="3" fontId="2" fillId="2" borderId="65" xfId="0" applyNumberFormat="1" applyFont="1" applyFill="1" applyBorder="1" applyAlignment="1">
      <alignment horizontal="center"/>
    </xf>
    <xf numFmtId="3" fontId="2" fillId="2" borderId="64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3" fontId="2" fillId="2" borderId="26" xfId="0" applyNumberFormat="1" applyFont="1" applyFill="1" applyBorder="1" applyAlignment="1">
      <alignment horizontal="center"/>
    </xf>
    <xf numFmtId="3" fontId="2" fillId="2" borderId="68" xfId="0" applyNumberFormat="1" applyFont="1" applyFill="1" applyBorder="1" applyAlignment="1">
      <alignment horizontal="center"/>
    </xf>
    <xf numFmtId="3" fontId="2" fillId="2" borderId="27" xfId="0" applyNumberFormat="1" applyFont="1" applyFill="1" applyBorder="1" applyAlignment="1">
      <alignment horizontal="center"/>
    </xf>
    <xf numFmtId="3" fontId="2" fillId="2" borderId="68" xfId="0" applyNumberFormat="1" applyFont="1" applyFill="1" applyBorder="1" applyAlignment="1">
      <alignment horizontal="center" vertical="center"/>
    </xf>
    <xf numFmtId="170" fontId="14" fillId="2" borderId="0" xfId="0" applyNumberFormat="1" applyFont="1" applyFill="1" applyBorder="1" applyAlignment="1">
      <alignment horizontal="center" vertical="center"/>
    </xf>
    <xf numFmtId="170" fontId="14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2" fillId="0" borderId="6" xfId="0" applyFont="1" applyBorder="1" applyAlignment="1">
      <alignment horizontal="center" vertical="center" wrapText="1"/>
    </xf>
    <xf numFmtId="0" fontId="0" fillId="23" borderId="35" xfId="0" applyFont="1" applyFill="1" applyBorder="1" applyAlignment="1"/>
    <xf numFmtId="0" fontId="0" fillId="23" borderId="32" xfId="0" applyFont="1" applyFill="1" applyBorder="1" applyAlignment="1"/>
  </cellXfs>
  <cellStyles count="7">
    <cellStyle name="Comma" xfId="1" builtinId="3"/>
    <cellStyle name="Comma 2" xfId="2"/>
    <cellStyle name="Comma 3" xfId="3"/>
    <cellStyle name="Comma 4" xfId="4"/>
    <cellStyle name="Normal" xfId="0" builtinId="0"/>
    <cellStyle name="Normal_Av. Salary-08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zoomScale="90" zoomScaleNormal="90" zoomScaleSheetLayoutView="70" workbookViewId="0">
      <selection activeCell="E10" sqref="E10"/>
    </sheetView>
  </sheetViews>
  <sheetFormatPr defaultColWidth="12.5703125" defaultRowHeight="12.75" x14ac:dyDescent="0.2"/>
  <cols>
    <col min="1" max="1" width="4.85546875" style="216" customWidth="1"/>
    <col min="2" max="2" width="58.85546875" style="216" customWidth="1"/>
    <col min="3" max="3" width="18.42578125" style="216" bestFit="1" customWidth="1"/>
    <col min="4" max="4" width="17.5703125" style="216" bestFit="1" customWidth="1"/>
    <col min="5" max="8" width="17.7109375" style="240" customWidth="1"/>
    <col min="9" max="9" width="48" style="241" customWidth="1"/>
    <col min="10" max="10" width="18.85546875" style="240" bestFit="1" customWidth="1"/>
    <col min="11" max="11" width="17.7109375" style="240" customWidth="1"/>
    <col min="12" max="12" width="18.85546875" style="240" bestFit="1" customWidth="1"/>
    <col min="13" max="222" width="11.5703125" style="216" customWidth="1"/>
    <col min="223" max="16384" width="12.5703125" style="216"/>
  </cols>
  <sheetData>
    <row r="1" spans="1:12" s="220" customFormat="1" ht="15.75" x14ac:dyDescent="0.2">
      <c r="A1" s="217" t="s">
        <v>240</v>
      </c>
      <c r="B1" s="212"/>
      <c r="C1" s="212"/>
      <c r="D1" s="212"/>
      <c r="E1" s="218"/>
      <c r="F1" s="218"/>
      <c r="G1" s="218"/>
      <c r="H1" s="218"/>
      <c r="I1" s="219"/>
      <c r="J1" s="218"/>
      <c r="K1" s="218"/>
      <c r="L1" s="218"/>
    </row>
    <row r="2" spans="1:12" s="220" customFormat="1" ht="15.75" x14ac:dyDescent="0.2">
      <c r="A2" s="217" t="s">
        <v>223</v>
      </c>
      <c r="B2" s="212"/>
      <c r="C2" s="212"/>
      <c r="D2" s="212"/>
      <c r="E2" s="218"/>
      <c r="F2" s="218"/>
      <c r="G2" s="218"/>
      <c r="H2" s="218"/>
      <c r="I2" s="219"/>
      <c r="J2" s="218"/>
      <c r="K2" s="218"/>
      <c r="L2" s="218"/>
    </row>
    <row r="3" spans="1:12" s="220" customFormat="1" ht="15" x14ac:dyDescent="0.2">
      <c r="A3" s="212"/>
      <c r="B3" s="212"/>
      <c r="C3" s="212"/>
      <c r="D3" s="212"/>
      <c r="E3" s="218"/>
      <c r="F3" s="218"/>
      <c r="G3" s="218"/>
      <c r="H3" s="218"/>
      <c r="I3" s="219"/>
      <c r="J3" s="218"/>
      <c r="K3" s="218"/>
      <c r="L3" s="218"/>
    </row>
    <row r="4" spans="1:12" s="222" customFormat="1" ht="15.75" x14ac:dyDescent="0.25">
      <c r="A4" s="213" t="s">
        <v>2</v>
      </c>
      <c r="B4" s="213" t="s">
        <v>4</v>
      </c>
      <c r="C4" s="221" t="s">
        <v>8</v>
      </c>
      <c r="D4" s="221" t="s">
        <v>19</v>
      </c>
      <c r="E4" s="221" t="s">
        <v>8</v>
      </c>
      <c r="F4" s="209" t="s">
        <v>357</v>
      </c>
      <c r="G4" s="209" t="s">
        <v>8</v>
      </c>
      <c r="H4" s="209" t="s">
        <v>300</v>
      </c>
      <c r="I4" s="626" t="s">
        <v>314</v>
      </c>
      <c r="J4" s="221"/>
      <c r="K4" s="221"/>
      <c r="L4" s="221"/>
    </row>
    <row r="5" spans="1:12" s="222" customFormat="1" ht="15.75" x14ac:dyDescent="0.25">
      <c r="A5" s="213"/>
      <c r="B5" s="213"/>
      <c r="C5" s="223">
        <v>2012</v>
      </c>
      <c r="D5" s="223">
        <v>2012</v>
      </c>
      <c r="E5" s="224">
        <v>2013</v>
      </c>
      <c r="F5" s="210" t="s">
        <v>359</v>
      </c>
      <c r="G5" s="210" t="s">
        <v>360</v>
      </c>
      <c r="H5" s="210" t="s">
        <v>360</v>
      </c>
      <c r="I5" s="626"/>
      <c r="J5" s="224"/>
      <c r="K5" s="224"/>
      <c r="L5" s="224"/>
    </row>
    <row r="6" spans="1:12" s="228" customFormat="1" ht="30" customHeight="1" x14ac:dyDescent="0.2">
      <c r="A6" s="225"/>
      <c r="B6" s="214" t="s">
        <v>224</v>
      </c>
      <c r="C6" s="226">
        <v>12290756535.881599</v>
      </c>
      <c r="D6" s="226">
        <v>11409374071.440826</v>
      </c>
      <c r="E6" s="227">
        <f>detil!E6</f>
        <v>13920523773.800003</v>
      </c>
      <c r="F6" s="227">
        <f>detil!F6</f>
        <v>11997783397</v>
      </c>
      <c r="G6" s="227">
        <f>detil!H6</f>
        <v>3025352589.6000004</v>
      </c>
      <c r="H6" s="227">
        <f>detil!I6</f>
        <v>3168654437</v>
      </c>
      <c r="I6" s="211" t="s">
        <v>325</v>
      </c>
      <c r="J6" s="227"/>
      <c r="K6" s="227"/>
      <c r="L6" s="227"/>
    </row>
    <row r="7" spans="1:12" s="228" customFormat="1" ht="45" x14ac:dyDescent="0.2">
      <c r="A7" s="225"/>
      <c r="B7" s="214" t="s">
        <v>225</v>
      </c>
      <c r="C7" s="226">
        <v>1963479067.6900311</v>
      </c>
      <c r="D7" s="226">
        <v>980455570.35403109</v>
      </c>
      <c r="E7" s="227">
        <f>detil!E7</f>
        <v>821928107.20000017</v>
      </c>
      <c r="F7" s="227">
        <f>detil!F7</f>
        <v>626474567</v>
      </c>
      <c r="G7" s="227">
        <f>detil!H7</f>
        <v>154232026.80000001</v>
      </c>
      <c r="H7" s="227">
        <f>detil!I7</f>
        <v>318947368</v>
      </c>
      <c r="I7" s="211" t="s">
        <v>326</v>
      </c>
      <c r="J7" s="227"/>
      <c r="K7" s="227"/>
      <c r="L7" s="227"/>
    </row>
    <row r="8" spans="1:12" s="220" customFormat="1" ht="30" x14ac:dyDescent="0.2">
      <c r="A8" s="230"/>
      <c r="B8" s="215" t="s">
        <v>51</v>
      </c>
      <c r="C8" s="226">
        <v>476781630</v>
      </c>
      <c r="D8" s="226">
        <v>315254372</v>
      </c>
      <c r="E8" s="227">
        <f>detil!E8</f>
        <v>402000000</v>
      </c>
      <c r="F8" s="227">
        <f>detil!F8</f>
        <v>347859946</v>
      </c>
      <c r="G8" s="227">
        <f>detil!H8</f>
        <v>100500000</v>
      </c>
      <c r="H8" s="227">
        <f>detil!I8</f>
        <v>92573780</v>
      </c>
      <c r="I8" s="211" t="s">
        <v>315</v>
      </c>
      <c r="J8" s="227"/>
      <c r="K8" s="227"/>
      <c r="L8" s="227"/>
    </row>
    <row r="9" spans="1:12" s="220" customFormat="1" ht="16.899999999999999" customHeight="1" x14ac:dyDescent="0.2">
      <c r="A9" s="230"/>
      <c r="B9" s="214" t="s">
        <v>226</v>
      </c>
      <c r="C9" s="231">
        <v>14731017233.57159</v>
      </c>
      <c r="D9" s="231">
        <v>12705084013.794857</v>
      </c>
      <c r="E9" s="231">
        <f>SUM(E6:E8)</f>
        <v>15144451881.000004</v>
      </c>
      <c r="F9" s="231">
        <f>SUM(F6:F8)</f>
        <v>12972117910</v>
      </c>
      <c r="G9" s="231">
        <f>SUM(G6:G8)</f>
        <v>3280084616.4000006</v>
      </c>
      <c r="H9" s="231">
        <f>SUM(H6:H8)</f>
        <v>3580175585</v>
      </c>
      <c r="I9" s="232"/>
      <c r="J9" s="231"/>
      <c r="K9" s="231"/>
      <c r="L9" s="231"/>
    </row>
    <row r="10" spans="1:12" s="220" customFormat="1" ht="16.899999999999999" customHeight="1" x14ac:dyDescent="0.2">
      <c r="A10" s="230"/>
      <c r="B10" s="214"/>
      <c r="C10" s="226"/>
      <c r="D10" s="226"/>
      <c r="E10" s="226"/>
      <c r="F10" s="226"/>
      <c r="G10" s="226"/>
      <c r="H10" s="226"/>
      <c r="I10" s="233"/>
      <c r="J10" s="226"/>
      <c r="K10" s="226"/>
      <c r="L10" s="226"/>
    </row>
    <row r="11" spans="1:12" s="235" customFormat="1" ht="30" x14ac:dyDescent="0.2">
      <c r="A11" s="234"/>
      <c r="B11" s="215" t="s">
        <v>227</v>
      </c>
      <c r="C11" s="226">
        <v>476306792</v>
      </c>
      <c r="D11" s="226">
        <v>268102913</v>
      </c>
      <c r="E11" s="229">
        <f>detil!E11</f>
        <v>278400000</v>
      </c>
      <c r="F11" s="229">
        <f>detil!F11</f>
        <v>2200000</v>
      </c>
      <c r="G11" s="229">
        <f>detil!H11</f>
        <v>100600000</v>
      </c>
      <c r="H11" s="229">
        <f>detil!I11</f>
        <v>1200000</v>
      </c>
      <c r="I11" s="211" t="s">
        <v>316</v>
      </c>
      <c r="J11" s="227"/>
      <c r="K11" s="227"/>
      <c r="L11" s="227"/>
    </row>
    <row r="12" spans="1:12" s="235" customFormat="1" ht="30" x14ac:dyDescent="0.2">
      <c r="A12" s="234"/>
      <c r="B12" s="215" t="s">
        <v>83</v>
      </c>
      <c r="C12" s="226">
        <v>904612940</v>
      </c>
      <c r="D12" s="226">
        <v>622448096</v>
      </c>
      <c r="E12" s="229">
        <f>detil!E12</f>
        <v>700000000</v>
      </c>
      <c r="F12" s="229">
        <f>detil!F12</f>
        <v>661584579.23000002</v>
      </c>
      <c r="G12" s="229">
        <f>detil!H12</f>
        <v>201000000</v>
      </c>
      <c r="H12" s="229">
        <f>detil!I12</f>
        <v>233424540</v>
      </c>
      <c r="I12" s="211" t="s">
        <v>318</v>
      </c>
      <c r="J12" s="227"/>
      <c r="K12" s="227"/>
      <c r="L12" s="227"/>
    </row>
    <row r="13" spans="1:12" s="228" customFormat="1" ht="30" x14ac:dyDescent="0.2">
      <c r="A13" s="225"/>
      <c r="B13" s="214" t="s">
        <v>103</v>
      </c>
      <c r="C13" s="226">
        <v>4194744863.2251697</v>
      </c>
      <c r="D13" s="226">
        <v>3547836927.2251697</v>
      </c>
      <c r="E13" s="229">
        <f>detil!E13</f>
        <v>3634000000</v>
      </c>
      <c r="F13" s="229">
        <f>detil!F13</f>
        <v>4805668314.8199997</v>
      </c>
      <c r="G13" s="229">
        <f>detil!H13</f>
        <v>921000000</v>
      </c>
      <c r="H13" s="229">
        <f>detil!I13</f>
        <v>1802126508.28</v>
      </c>
      <c r="I13" s="211" t="s">
        <v>319</v>
      </c>
      <c r="J13" s="227"/>
      <c r="K13" s="227"/>
      <c r="L13" s="227"/>
    </row>
    <row r="14" spans="1:12" s="235" customFormat="1" ht="16.899999999999999" customHeight="1" x14ac:dyDescent="0.2">
      <c r="A14" s="234"/>
      <c r="B14" s="214" t="s">
        <v>228</v>
      </c>
      <c r="C14" s="231">
        <v>5575664595.2251701</v>
      </c>
      <c r="D14" s="231">
        <v>4438387936.2251701</v>
      </c>
      <c r="E14" s="231">
        <f>SUM(E11:E13)</f>
        <v>4612400000</v>
      </c>
      <c r="F14" s="231">
        <f>SUM(F11:F13)</f>
        <v>5469452894.0499992</v>
      </c>
      <c r="G14" s="231">
        <f>SUM(G11:G13)</f>
        <v>1222600000</v>
      </c>
      <c r="H14" s="231">
        <f>SUM(H11:H13)</f>
        <v>2036751048.28</v>
      </c>
      <c r="I14" s="232"/>
      <c r="J14" s="231"/>
      <c r="K14" s="231"/>
      <c r="L14" s="231"/>
    </row>
    <row r="15" spans="1:12" s="235" customFormat="1" ht="16.899999999999999" customHeight="1" x14ac:dyDescent="0.2">
      <c r="A15" s="234"/>
      <c r="B15" s="214"/>
      <c r="C15" s="226"/>
      <c r="D15" s="226"/>
      <c r="E15" s="229"/>
      <c r="F15" s="229"/>
      <c r="G15" s="229"/>
      <c r="H15" s="229"/>
      <c r="I15" s="236"/>
      <c r="J15" s="229"/>
      <c r="K15" s="229"/>
      <c r="L15" s="229"/>
    </row>
    <row r="16" spans="1:12" s="235" customFormat="1" ht="30" x14ac:dyDescent="0.2">
      <c r="A16" s="230"/>
      <c r="B16" s="215" t="s">
        <v>114</v>
      </c>
      <c r="C16" s="226">
        <v>642011000</v>
      </c>
      <c r="D16" s="226">
        <v>393677150</v>
      </c>
      <c r="E16" s="226">
        <f>detil!E16</f>
        <v>263872000</v>
      </c>
      <c r="F16" s="226">
        <f>detil!F16</f>
        <v>163830506</v>
      </c>
      <c r="G16" s="226">
        <f>detil!H16</f>
        <v>59527000</v>
      </c>
      <c r="H16" s="226">
        <f>detil!I16</f>
        <v>45123100</v>
      </c>
      <c r="I16" s="233" t="s">
        <v>320</v>
      </c>
      <c r="J16" s="227"/>
      <c r="K16" s="227"/>
      <c r="L16" s="227"/>
    </row>
    <row r="17" spans="1:12" s="235" customFormat="1" ht="30" x14ac:dyDescent="0.2">
      <c r="A17" s="234"/>
      <c r="B17" s="215" t="s">
        <v>115</v>
      </c>
      <c r="C17" s="226">
        <v>21600000</v>
      </c>
      <c r="D17" s="226">
        <v>10800000</v>
      </c>
      <c r="E17" s="226">
        <f>detil!E17</f>
        <v>29450000</v>
      </c>
      <c r="F17" s="226">
        <f>detil!F17</f>
        <v>0</v>
      </c>
      <c r="G17" s="226">
        <f>detil!H17</f>
        <v>6650000</v>
      </c>
      <c r="H17" s="226">
        <f>detil!I17</f>
        <v>0</v>
      </c>
      <c r="I17" s="211" t="s">
        <v>321</v>
      </c>
      <c r="J17" s="227"/>
      <c r="K17" s="227"/>
      <c r="L17" s="227"/>
    </row>
    <row r="18" spans="1:12" s="235" customFormat="1" ht="16.899999999999999" customHeight="1" x14ac:dyDescent="0.2">
      <c r="A18" s="234"/>
      <c r="B18" s="214" t="s">
        <v>229</v>
      </c>
      <c r="C18" s="231">
        <v>663611000</v>
      </c>
      <c r="D18" s="231">
        <v>404477150</v>
      </c>
      <c r="E18" s="231">
        <f>SUM(E16:E17)</f>
        <v>293322000</v>
      </c>
      <c r="F18" s="231">
        <f>SUM(F16:F17)</f>
        <v>163830506</v>
      </c>
      <c r="G18" s="231">
        <f>SUM(G16:G17)</f>
        <v>66177000</v>
      </c>
      <c r="H18" s="231">
        <f>SUM(H16:H17)</f>
        <v>45123100</v>
      </c>
      <c r="I18" s="232"/>
      <c r="J18" s="231"/>
      <c r="K18" s="231"/>
      <c r="L18" s="231"/>
    </row>
    <row r="19" spans="1:12" s="235" customFormat="1" ht="16.899999999999999" customHeight="1" x14ac:dyDescent="0.2">
      <c r="A19" s="234"/>
      <c r="B19" s="214"/>
      <c r="C19" s="226"/>
      <c r="D19" s="226"/>
      <c r="E19" s="226"/>
      <c r="F19" s="226"/>
      <c r="G19" s="226"/>
      <c r="H19" s="226"/>
      <c r="I19" s="233"/>
      <c r="J19" s="226"/>
      <c r="K19" s="226"/>
      <c r="L19" s="226"/>
    </row>
    <row r="20" spans="1:12" s="235" customFormat="1" ht="30" x14ac:dyDescent="0.2">
      <c r="A20" s="234"/>
      <c r="B20" s="215" t="s">
        <v>230</v>
      </c>
      <c r="C20" s="226">
        <v>599452000</v>
      </c>
      <c r="D20" s="226">
        <v>228690420</v>
      </c>
      <c r="E20" s="226">
        <f>detil!E20</f>
        <v>246000000</v>
      </c>
      <c r="F20" s="226">
        <f>detil!F20</f>
        <v>65690000</v>
      </c>
      <c r="G20" s="226">
        <f>detil!H20</f>
        <v>24000000</v>
      </c>
      <c r="H20" s="226">
        <f>detil!I20</f>
        <v>48350000</v>
      </c>
      <c r="I20" s="211" t="s">
        <v>322</v>
      </c>
      <c r="J20" s="227"/>
      <c r="K20" s="227"/>
      <c r="L20" s="227"/>
    </row>
    <row r="21" spans="1:12" s="235" customFormat="1" ht="15.75" x14ac:dyDescent="0.2">
      <c r="A21" s="234"/>
      <c r="B21" s="215" t="s">
        <v>317</v>
      </c>
      <c r="C21" s="226">
        <v>277290508.5</v>
      </c>
      <c r="D21" s="226">
        <v>126597500</v>
      </c>
      <c r="E21" s="226">
        <f>detil!E21</f>
        <v>157000000</v>
      </c>
      <c r="F21" s="226">
        <f>detil!F21</f>
        <v>5450000</v>
      </c>
      <c r="G21" s="226">
        <f>detil!H21</f>
        <v>45000000</v>
      </c>
      <c r="H21" s="226">
        <f>detil!I21</f>
        <v>5450000</v>
      </c>
      <c r="I21" s="211" t="s">
        <v>324</v>
      </c>
      <c r="J21" s="227"/>
      <c r="K21" s="227"/>
      <c r="L21" s="227"/>
    </row>
    <row r="22" spans="1:12" s="235" customFormat="1" ht="16.899999999999999" customHeight="1" x14ac:dyDescent="0.2">
      <c r="A22" s="234"/>
      <c r="B22" s="215" t="s">
        <v>231</v>
      </c>
      <c r="C22" s="231">
        <v>876742508.5</v>
      </c>
      <c r="D22" s="231">
        <v>355287920</v>
      </c>
      <c r="E22" s="231">
        <f>SUM(E20:E21)</f>
        <v>403000000</v>
      </c>
      <c r="F22" s="231">
        <f>SUM(F20:F21)</f>
        <v>71140000</v>
      </c>
      <c r="G22" s="231">
        <f>SUM(G20:G21)</f>
        <v>69000000</v>
      </c>
      <c r="H22" s="231">
        <f>SUM(H20:H21)</f>
        <v>53800000</v>
      </c>
      <c r="I22" s="232"/>
      <c r="J22" s="231"/>
      <c r="K22" s="231"/>
      <c r="L22" s="231"/>
    </row>
    <row r="23" spans="1:12" s="235" customFormat="1" ht="16.899999999999999" customHeight="1" x14ac:dyDescent="0.2">
      <c r="A23" s="234">
        <v>1</v>
      </c>
      <c r="B23" s="214" t="s">
        <v>232</v>
      </c>
      <c r="C23" s="231">
        <v>21849035337.296799</v>
      </c>
      <c r="D23" s="231">
        <v>17903237020.020027</v>
      </c>
      <c r="E23" s="231">
        <f>E22+E18+E14+E9</f>
        <v>20453173881.000004</v>
      </c>
      <c r="F23" s="231">
        <f>F22+F18+F14+F9</f>
        <v>18676541310.049999</v>
      </c>
      <c r="G23" s="231">
        <f>G22+G18+G14+G9</f>
        <v>4637861616.4000006</v>
      </c>
      <c r="H23" s="231">
        <f>H22+H18+H14+H9</f>
        <v>5715849733.2799997</v>
      </c>
      <c r="I23" s="232"/>
      <c r="J23" s="231"/>
      <c r="K23" s="231"/>
      <c r="L23" s="231"/>
    </row>
    <row r="24" spans="1:12" s="235" customFormat="1" ht="16.899999999999999" customHeight="1" x14ac:dyDescent="0.2">
      <c r="A24" s="234">
        <v>2</v>
      </c>
      <c r="B24" s="215" t="s">
        <v>233</v>
      </c>
      <c r="C24" s="231">
        <v>678300000</v>
      </c>
      <c r="D24" s="231">
        <v>478979975</v>
      </c>
      <c r="E24" s="237">
        <f>detil!E25</f>
        <v>370000000</v>
      </c>
      <c r="F24" s="237">
        <f>detil!F25</f>
        <v>230280408</v>
      </c>
      <c r="G24" s="237">
        <f>detil!H25</f>
        <v>90000000</v>
      </c>
      <c r="H24" s="237">
        <f>detil!I25</f>
        <v>49280300</v>
      </c>
      <c r="I24" s="238"/>
      <c r="J24" s="239"/>
      <c r="K24" s="239"/>
      <c r="L24" s="239"/>
    </row>
    <row r="25" spans="1:12" s="235" customFormat="1" ht="16.899999999999999" customHeight="1" x14ac:dyDescent="0.2">
      <c r="A25" s="234">
        <v>3</v>
      </c>
      <c r="B25" s="215" t="s">
        <v>234</v>
      </c>
      <c r="C25" s="231">
        <v>429872000</v>
      </c>
      <c r="D25" s="231">
        <v>231818610</v>
      </c>
      <c r="E25" s="237">
        <f>detil!E27</f>
        <v>369776200</v>
      </c>
      <c r="F25" s="237">
        <f>detil!F27</f>
        <v>10450239</v>
      </c>
      <c r="G25" s="237">
        <f>detil!H27</f>
        <v>134987600</v>
      </c>
      <c r="H25" s="237">
        <f>detil!I27</f>
        <v>0</v>
      </c>
      <c r="I25" s="238"/>
      <c r="J25" s="239"/>
      <c r="K25" s="239"/>
      <c r="L25" s="239"/>
    </row>
    <row r="26" spans="1:12" s="235" customFormat="1" ht="16.899999999999999" customHeight="1" x14ac:dyDescent="0.2">
      <c r="A26" s="234">
        <v>4</v>
      </c>
      <c r="B26" s="215" t="s">
        <v>235</v>
      </c>
      <c r="C26" s="231">
        <v>205318000</v>
      </c>
      <c r="D26" s="231">
        <v>124626200</v>
      </c>
      <c r="E26" s="231">
        <f>detil!E29</f>
        <v>155484000</v>
      </c>
      <c r="F26" s="231">
        <f>detil!F29</f>
        <v>0</v>
      </c>
      <c r="G26" s="231">
        <f>detil!H29</f>
        <v>29996000</v>
      </c>
      <c r="H26" s="231">
        <f>detil!I29</f>
        <v>0</v>
      </c>
      <c r="I26" s="238"/>
      <c r="J26" s="239"/>
      <c r="K26" s="239"/>
      <c r="L26" s="239"/>
    </row>
    <row r="27" spans="1:12" s="235" customFormat="1" ht="16.899999999999999" customHeight="1" x14ac:dyDescent="0.2">
      <c r="A27" s="234">
        <v>5</v>
      </c>
      <c r="B27" s="215" t="s">
        <v>236</v>
      </c>
      <c r="C27" s="231">
        <v>379429406</v>
      </c>
      <c r="D27" s="231">
        <v>418306629</v>
      </c>
      <c r="E27" s="237">
        <f>detil!E31</f>
        <v>347800000</v>
      </c>
      <c r="F27" s="237">
        <f>detil!F31</f>
        <v>594674521.11000001</v>
      </c>
      <c r="G27" s="237">
        <f>detil!H31</f>
        <v>73200000</v>
      </c>
      <c r="H27" s="237">
        <f>detil!I31</f>
        <v>43661000</v>
      </c>
      <c r="I27" s="238"/>
      <c r="J27" s="239"/>
      <c r="K27" s="239"/>
      <c r="L27" s="239"/>
    </row>
    <row r="28" spans="1:12" s="235" customFormat="1" ht="16.899999999999999" customHeight="1" x14ac:dyDescent="0.2">
      <c r="A28" s="234">
        <v>6</v>
      </c>
      <c r="B28" s="215" t="s">
        <v>237</v>
      </c>
      <c r="C28" s="237">
        <v>0</v>
      </c>
      <c r="D28" s="237">
        <v>18612000</v>
      </c>
      <c r="E28" s="237">
        <f>detil!E33</f>
        <v>170980000</v>
      </c>
      <c r="F28" s="237">
        <f>detil!F33</f>
        <v>108450000</v>
      </c>
      <c r="G28" s="237">
        <f>detil!H33</f>
        <v>27590000</v>
      </c>
      <c r="H28" s="237">
        <f>detil!I33</f>
        <v>1800000</v>
      </c>
      <c r="I28" s="238"/>
      <c r="J28" s="239"/>
      <c r="K28" s="239"/>
      <c r="L28" s="239"/>
    </row>
    <row r="29" spans="1:12" s="235" customFormat="1" ht="15.75" x14ac:dyDescent="0.2">
      <c r="A29" s="234">
        <v>7</v>
      </c>
      <c r="B29" s="215" t="s">
        <v>238</v>
      </c>
      <c r="C29" s="231">
        <v>12162933766</v>
      </c>
      <c r="D29" s="231">
        <v>10377188374</v>
      </c>
      <c r="E29" s="237">
        <f>detil!E35</f>
        <v>10324087527.5</v>
      </c>
      <c r="F29" s="237">
        <f>detil!F35</f>
        <v>6054078057.6700001</v>
      </c>
      <c r="G29" s="237">
        <f>detil!H35</f>
        <v>2941689673.5</v>
      </c>
      <c r="H29" s="237">
        <f>detil!I35</f>
        <v>1859608717</v>
      </c>
      <c r="I29" s="211" t="s">
        <v>323</v>
      </c>
      <c r="J29" s="239"/>
      <c r="K29" s="239"/>
      <c r="L29" s="239"/>
    </row>
    <row r="30" spans="1:12" s="235" customFormat="1" ht="16.899999999999999" customHeight="1" x14ac:dyDescent="0.2">
      <c r="A30" s="234"/>
      <c r="B30" s="215" t="s">
        <v>160</v>
      </c>
      <c r="C30" s="231">
        <v>35696888509.296761</v>
      </c>
      <c r="D30" s="231">
        <f>D23+D24+D25+D26+D27+D28+D29</f>
        <v>29552768808.020027</v>
      </c>
      <c r="E30" s="231">
        <f>E29+E27+E26+E25+E24+E23+E28</f>
        <v>32191301608.500004</v>
      </c>
      <c r="F30" s="231">
        <f>F29+F27+F26+F25+F24+F23+F28</f>
        <v>25674474535.829998</v>
      </c>
      <c r="G30" s="231">
        <f>G29+G27+G26+G25+G24+G23+G28</f>
        <v>7935324889.9000006</v>
      </c>
      <c r="H30" s="231">
        <f>H29+H27+H26+H25+H24+H23+H28</f>
        <v>7670199750.2799997</v>
      </c>
      <c r="I30" s="232"/>
      <c r="J30" s="231"/>
      <c r="K30" s="231"/>
      <c r="L30" s="231"/>
    </row>
    <row r="31" spans="1:12" s="235" customFormat="1" ht="16.899999999999999" customHeight="1" x14ac:dyDescent="0.2">
      <c r="A31" s="234">
        <v>8</v>
      </c>
      <c r="B31" s="215" t="s">
        <v>239</v>
      </c>
      <c r="C31" s="231">
        <v>4001227349.9999995</v>
      </c>
      <c r="D31" s="231">
        <v>4001227352</v>
      </c>
      <c r="E31" s="231">
        <f>detil!E38</f>
        <v>3047241012</v>
      </c>
      <c r="F31" s="231">
        <f>detil!F38</f>
        <v>3047241012</v>
      </c>
      <c r="G31" s="231">
        <f>detil!H38</f>
        <v>761810253</v>
      </c>
      <c r="H31" s="231">
        <f>detil!I38</f>
        <v>761810253</v>
      </c>
      <c r="I31" s="238"/>
      <c r="J31" s="239"/>
      <c r="K31" s="239"/>
      <c r="L31" s="239"/>
    </row>
    <row r="32" spans="1:12" s="235" customFormat="1" ht="16.899999999999999" customHeight="1" x14ac:dyDescent="0.2">
      <c r="A32" s="234"/>
      <c r="B32" s="215" t="s">
        <v>165</v>
      </c>
      <c r="C32" s="231">
        <v>39698115859.296761</v>
      </c>
      <c r="D32" s="231">
        <f>D30+D31</f>
        <v>33553996160.020027</v>
      </c>
      <c r="E32" s="231">
        <f>E30+E31</f>
        <v>35238542620.5</v>
      </c>
      <c r="F32" s="231">
        <f>F30+F31</f>
        <v>28721715547.829998</v>
      </c>
      <c r="G32" s="231">
        <f>G30+G31</f>
        <v>8697135142.9000015</v>
      </c>
      <c r="H32" s="231">
        <f>H30+H31</f>
        <v>8432010003.2799997</v>
      </c>
      <c r="I32" s="232"/>
      <c r="J32" s="231"/>
      <c r="K32" s="231"/>
      <c r="L32" s="231"/>
    </row>
    <row r="33" spans="1:15" s="235" customFormat="1" ht="16.899999999999999" customHeight="1" x14ac:dyDescent="0.2">
      <c r="A33" s="234">
        <v>9</v>
      </c>
      <c r="B33" s="215" t="s">
        <v>170</v>
      </c>
      <c r="C33" s="231">
        <v>2240550000</v>
      </c>
      <c r="D33" s="231">
        <v>2240929500</v>
      </c>
      <c r="E33" s="231">
        <f>detil!E41</f>
        <v>2240550000</v>
      </c>
      <c r="F33" s="231">
        <f>detil!F41</f>
        <v>2222550000</v>
      </c>
      <c r="G33" s="231">
        <f>detil!H41</f>
        <v>560137500</v>
      </c>
      <c r="H33" s="231">
        <f>detil!I41</f>
        <v>560137500</v>
      </c>
      <c r="I33" s="232"/>
      <c r="J33" s="231"/>
      <c r="K33" s="231"/>
      <c r="L33" s="231"/>
      <c r="O33" s="120"/>
    </row>
    <row r="34" spans="1:15" s="235" customFormat="1" ht="16.899999999999999" customHeight="1" x14ac:dyDescent="0.2">
      <c r="A34" s="234">
        <v>10</v>
      </c>
      <c r="B34" s="215" t="s">
        <v>24</v>
      </c>
      <c r="C34" s="231">
        <v>37457565859.296761</v>
      </c>
      <c r="D34" s="231">
        <f>D32-D33</f>
        <v>31313066660.020027</v>
      </c>
      <c r="E34" s="231">
        <f>E32-E33</f>
        <v>32997992620.5</v>
      </c>
      <c r="F34" s="231">
        <f>F32-F33</f>
        <v>26499165547.829998</v>
      </c>
      <c r="G34" s="231">
        <f>G32-G33</f>
        <v>8136997642.9000015</v>
      </c>
      <c r="H34" s="231">
        <f>H32-H33</f>
        <v>7871872503.2799997</v>
      </c>
      <c r="I34" s="232"/>
      <c r="J34" s="231"/>
      <c r="K34" s="231"/>
      <c r="L34" s="231"/>
    </row>
  </sheetData>
  <sheetProtection selectLockedCells="1" selectUnlockedCells="1"/>
  <mergeCells count="1">
    <mergeCell ref="I4:I5"/>
  </mergeCells>
  <printOptions horizontalCentered="1"/>
  <pageMargins left="0.5" right="0.5" top="0.78749999999999998" bottom="0.78749999999999998" header="0.51180555555555551" footer="0.51180555555555551"/>
  <pageSetup paperSize="9" scale="60" firstPageNumber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showGridLines="0" tabSelected="1" zoomScale="80" zoomScaleNormal="80" zoomScaleSheetLayoutView="70" workbookViewId="0">
      <pane xSplit="2" ySplit="5" topLeftCell="E10" activePane="bottomRight" state="frozen"/>
      <selection pane="topRight" activeCell="C1" sqref="C1"/>
      <selection pane="bottomLeft" activeCell="A6" sqref="A6"/>
      <selection pane="bottomRight" activeCell="A4" sqref="A4:P43"/>
    </sheetView>
  </sheetViews>
  <sheetFormatPr defaultColWidth="12.5703125" defaultRowHeight="12.75" x14ac:dyDescent="0.2"/>
  <cols>
    <col min="1" max="1" width="4.85546875" style="579" customWidth="1"/>
    <col min="2" max="2" width="61" style="579" customWidth="1"/>
    <col min="3" max="3" width="18.42578125" style="579" hidden="1" customWidth="1"/>
    <col min="4" max="4" width="1.85546875" style="579" hidden="1" customWidth="1"/>
    <col min="5" max="5" width="14.28515625" style="601" customWidth="1"/>
    <col min="6" max="6" width="17.7109375" style="601" hidden="1" customWidth="1"/>
    <col min="7" max="7" width="17.7109375" style="601" customWidth="1"/>
    <col min="8" max="9" width="14.28515625" style="601" customWidth="1"/>
    <col min="10" max="10" width="17.7109375" style="601" hidden="1" customWidth="1"/>
    <col min="11" max="11" width="18.85546875" style="601" hidden="1" customWidth="1"/>
    <col min="12" max="12" width="17.7109375" style="601" hidden="1" customWidth="1"/>
    <col min="13" max="13" width="18.85546875" style="601" hidden="1" customWidth="1"/>
    <col min="14" max="14" width="14.28515625" style="604" customWidth="1"/>
    <col min="15" max="15" width="11.42578125" style="579" customWidth="1"/>
    <col min="16" max="221" width="11.5703125" style="579" customWidth="1"/>
    <col min="222" max="16384" width="12.5703125" style="579"/>
  </cols>
  <sheetData>
    <row r="1" spans="1:16" s="589" customFormat="1" ht="18" x14ac:dyDescent="0.2">
      <c r="A1" s="585" t="s">
        <v>380</v>
      </c>
      <c r="B1" s="586"/>
      <c r="C1" s="586"/>
      <c r="D1" s="586"/>
      <c r="E1" s="587"/>
      <c r="F1" s="587"/>
      <c r="G1" s="587"/>
      <c r="H1" s="587"/>
      <c r="I1" s="587"/>
      <c r="J1" s="587"/>
      <c r="K1" s="587"/>
      <c r="L1" s="587"/>
      <c r="M1" s="587"/>
      <c r="N1" s="588"/>
    </row>
    <row r="2" spans="1:16" s="589" customFormat="1" ht="18" x14ac:dyDescent="0.2">
      <c r="A2" s="585" t="s">
        <v>223</v>
      </c>
      <c r="B2" s="586"/>
      <c r="C2" s="586"/>
      <c r="D2" s="586"/>
      <c r="E2" s="587"/>
      <c r="F2" s="587"/>
      <c r="G2" s="587"/>
      <c r="H2" s="587"/>
      <c r="I2" s="587"/>
      <c r="J2" s="587"/>
      <c r="K2" s="587"/>
      <c r="L2" s="587"/>
      <c r="M2" s="587"/>
      <c r="N2" s="588"/>
    </row>
    <row r="3" spans="1:16" s="589" customFormat="1" ht="15" x14ac:dyDescent="0.2">
      <c r="A3" s="586"/>
      <c r="B3" s="586"/>
      <c r="C3" s="586"/>
      <c r="D3" s="586"/>
      <c r="E3" s="587"/>
      <c r="F3" s="587"/>
      <c r="G3" s="587"/>
      <c r="H3" s="587"/>
      <c r="I3" s="587"/>
      <c r="J3" s="587"/>
      <c r="K3" s="587"/>
      <c r="L3" s="587"/>
      <c r="M3" s="587"/>
      <c r="N3" s="588"/>
    </row>
    <row r="4" spans="1:16" s="591" customFormat="1" ht="15.75" x14ac:dyDescent="0.2">
      <c r="A4" s="647" t="s">
        <v>381</v>
      </c>
      <c r="B4" s="647" t="s">
        <v>4</v>
      </c>
      <c r="C4" s="590" t="s">
        <v>8</v>
      </c>
      <c r="D4" s="590" t="s">
        <v>19</v>
      </c>
      <c r="E4" s="590" t="s">
        <v>8</v>
      </c>
      <c r="F4" s="590" t="s">
        <v>357</v>
      </c>
      <c r="G4" s="590" t="s">
        <v>300</v>
      </c>
      <c r="H4" s="590" t="s">
        <v>8</v>
      </c>
      <c r="I4" s="590" t="s">
        <v>300</v>
      </c>
      <c r="J4" s="590" t="s">
        <v>300</v>
      </c>
      <c r="K4" s="590" t="s">
        <v>300</v>
      </c>
      <c r="L4" s="590" t="s">
        <v>300</v>
      </c>
      <c r="M4" s="590" t="s">
        <v>300</v>
      </c>
      <c r="N4" s="645" t="s">
        <v>303</v>
      </c>
      <c r="O4" s="645" t="s">
        <v>356</v>
      </c>
      <c r="P4" s="646" t="s">
        <v>379</v>
      </c>
    </row>
    <row r="5" spans="1:16" s="591" customFormat="1" ht="15.75" x14ac:dyDescent="0.2">
      <c r="A5" s="647"/>
      <c r="B5" s="647"/>
      <c r="C5" s="592">
        <v>2012</v>
      </c>
      <c r="D5" s="592">
        <v>2012</v>
      </c>
      <c r="E5" s="593">
        <v>2013</v>
      </c>
      <c r="F5" s="593" t="s">
        <v>359</v>
      </c>
      <c r="G5" s="593">
        <v>2013</v>
      </c>
      <c r="H5" s="593" t="s">
        <v>376</v>
      </c>
      <c r="I5" s="593" t="s">
        <v>376</v>
      </c>
      <c r="J5" s="593" t="s">
        <v>361</v>
      </c>
      <c r="K5" s="593" t="s">
        <v>362</v>
      </c>
      <c r="L5" s="593" t="s">
        <v>363</v>
      </c>
      <c r="M5" s="593" t="s">
        <v>364</v>
      </c>
      <c r="N5" s="645"/>
      <c r="O5" s="645"/>
      <c r="P5" s="646"/>
    </row>
    <row r="6" spans="1:16" s="597" customFormat="1" ht="16.899999999999999" customHeight="1" x14ac:dyDescent="0.2">
      <c r="A6" s="580"/>
      <c r="B6" s="594" t="s">
        <v>224</v>
      </c>
      <c r="C6" s="605">
        <v>12512647072.700119</v>
      </c>
      <c r="D6" s="605">
        <v>11988574492</v>
      </c>
      <c r="E6" s="606">
        <f>'SUMMARY PER DIVISI'!AD11</f>
        <v>13920523773.800003</v>
      </c>
      <c r="F6" s="606">
        <f>'SUMMARY PER DIVISI'!T11</f>
        <v>11997783397</v>
      </c>
      <c r="G6" s="606">
        <f>'SUMMARY PER DIVISI'!T11</f>
        <v>11997783397</v>
      </c>
      <c r="H6" s="606">
        <f>'SUMMARY PER DIVISI'!P11</f>
        <v>3025352589.6000004</v>
      </c>
      <c r="I6" s="606">
        <f>'SUMMARY PER DIVISI'!Q11</f>
        <v>3168654437</v>
      </c>
      <c r="J6" s="606">
        <f>E6*1.1</f>
        <v>15312576151.180004</v>
      </c>
      <c r="K6" s="606">
        <f>J6*1.1</f>
        <v>16843833766.298006</v>
      </c>
      <c r="L6" s="606">
        <f>K6*1.1</f>
        <v>18528217142.927807</v>
      </c>
      <c r="M6" s="606">
        <f>L6*1.1</f>
        <v>20381038857.220589</v>
      </c>
      <c r="N6" s="595">
        <f>I6-H6</f>
        <v>143301847.39999962</v>
      </c>
      <c r="O6" s="596">
        <f>N6/H6*100</f>
        <v>4.736699050967359</v>
      </c>
      <c r="P6" s="577">
        <f>I6/$I$43</f>
        <v>0.40252867861867758</v>
      </c>
    </row>
    <row r="7" spans="1:16" s="597" customFormat="1" ht="16.899999999999999" customHeight="1" x14ac:dyDescent="0.2">
      <c r="A7" s="580"/>
      <c r="B7" s="594" t="s">
        <v>225</v>
      </c>
      <c r="C7" s="605">
        <v>1972003483.2420311</v>
      </c>
      <c r="D7" s="605">
        <v>980455570.35403109</v>
      </c>
      <c r="E7" s="607">
        <f>'SUMMARY PER DIVISI'!AD22</f>
        <v>821928107.20000017</v>
      </c>
      <c r="F7" s="607">
        <f>'SUMMARY PER DIVISI'!T22</f>
        <v>626474567</v>
      </c>
      <c r="G7" s="606">
        <f>'SUMMARY PER DIVISI'!T22</f>
        <v>626474567</v>
      </c>
      <c r="H7" s="607">
        <f>'SUMMARY PER DIVISI'!P22</f>
        <v>154232026.80000001</v>
      </c>
      <c r="I7" s="607">
        <f>'SUMMARY PER DIVISI'!Q22</f>
        <v>318947368</v>
      </c>
      <c r="J7" s="606">
        <f>E7*1.05</f>
        <v>863024512.56000018</v>
      </c>
      <c r="K7" s="606">
        <f t="shared" ref="K7:M8" si="0">J7*1.05</f>
        <v>906175738.1880002</v>
      </c>
      <c r="L7" s="606">
        <f t="shared" si="0"/>
        <v>951484525.09740031</v>
      </c>
      <c r="M7" s="606">
        <f t="shared" si="0"/>
        <v>999058751.35227036</v>
      </c>
      <c r="N7" s="595">
        <f>I7-H7</f>
        <v>164715341.19999999</v>
      </c>
      <c r="O7" s="596">
        <f>N7/H7*100</f>
        <v>106.79710603401082</v>
      </c>
      <c r="P7" s="577">
        <f>I7/$I$43</f>
        <v>4.051734423634315E-2</v>
      </c>
    </row>
    <row r="8" spans="1:16" s="589" customFormat="1" ht="16.899999999999999" customHeight="1" x14ac:dyDescent="0.2">
      <c r="A8" s="581"/>
      <c r="B8" s="578" t="s">
        <v>51</v>
      </c>
      <c r="C8" s="605">
        <v>476781630</v>
      </c>
      <c r="D8" s="605">
        <v>315254372</v>
      </c>
      <c r="E8" s="605">
        <f>'SUMMARY PER DIVISI'!AD23</f>
        <v>402000000</v>
      </c>
      <c r="F8" s="605">
        <f>'SUMMARY PER DIVISI'!T23</f>
        <v>347859946</v>
      </c>
      <c r="G8" s="607">
        <f>'SUMMARY PER DIVISI'!T23</f>
        <v>347859946</v>
      </c>
      <c r="H8" s="605">
        <f>'SUMMARY PER DIVISI'!P23</f>
        <v>100500000</v>
      </c>
      <c r="I8" s="605">
        <f>'SUMMARY PER DIVISI'!Q23</f>
        <v>92573780</v>
      </c>
      <c r="J8" s="606">
        <f>E8*1.05</f>
        <v>422100000</v>
      </c>
      <c r="K8" s="606">
        <f t="shared" si="0"/>
        <v>443205000</v>
      </c>
      <c r="L8" s="606">
        <f t="shared" si="0"/>
        <v>465365250</v>
      </c>
      <c r="M8" s="606">
        <f t="shared" si="0"/>
        <v>488633512.5</v>
      </c>
      <c r="N8" s="595">
        <f>I8-H8</f>
        <v>-7926220</v>
      </c>
      <c r="O8" s="596">
        <f>N8/H8*100</f>
        <v>-7.8867860696517411</v>
      </c>
      <c r="P8" s="577">
        <f>I8/$I$43</f>
        <v>1.1760071058242746E-2</v>
      </c>
    </row>
    <row r="9" spans="1:16" s="589" customFormat="1" ht="16.899999999999999" customHeight="1" x14ac:dyDescent="0.2">
      <c r="A9" s="581"/>
      <c r="B9" s="594" t="s">
        <v>226</v>
      </c>
      <c r="C9" s="608">
        <v>14961432185.94215</v>
      </c>
      <c r="D9" s="608">
        <f t="shared" ref="D9:M9" si="1">D6+D7+D8</f>
        <v>13284284434.354031</v>
      </c>
      <c r="E9" s="608">
        <f t="shared" si="1"/>
        <v>15144451881.000004</v>
      </c>
      <c r="F9" s="608">
        <f>F6+F7+F8</f>
        <v>12972117910</v>
      </c>
      <c r="G9" s="608">
        <f>SUM(G6:G8)</f>
        <v>12972117910</v>
      </c>
      <c r="H9" s="608">
        <f>H6+H7+H8</f>
        <v>3280084616.4000006</v>
      </c>
      <c r="I9" s="608">
        <f>I6+I7+I8</f>
        <v>3580175585</v>
      </c>
      <c r="J9" s="608">
        <f t="shared" si="1"/>
        <v>16597700663.740004</v>
      </c>
      <c r="K9" s="608">
        <f t="shared" si="1"/>
        <v>18193214504.486008</v>
      </c>
      <c r="L9" s="608">
        <f t="shared" si="1"/>
        <v>19945066918.025208</v>
      </c>
      <c r="M9" s="608">
        <f t="shared" si="1"/>
        <v>21868731121.072861</v>
      </c>
      <c r="N9" s="595">
        <f>I9-H9</f>
        <v>300090968.59999943</v>
      </c>
      <c r="O9" s="596">
        <f>N9/H9*100</f>
        <v>9.1488788764650533</v>
      </c>
      <c r="P9" s="577">
        <f>I9/$I$43</f>
        <v>0.45480609391326349</v>
      </c>
    </row>
    <row r="10" spans="1:16" s="589" customFormat="1" ht="8.1" customHeight="1" x14ac:dyDescent="0.2">
      <c r="A10" s="581"/>
      <c r="B10" s="594"/>
      <c r="C10" s="605"/>
      <c r="D10" s="605"/>
      <c r="E10" s="605"/>
      <c r="F10" s="605"/>
      <c r="G10" s="605"/>
      <c r="H10" s="605"/>
      <c r="I10" s="605"/>
      <c r="J10" s="605"/>
      <c r="K10" s="605"/>
      <c r="L10" s="605"/>
      <c r="M10" s="605"/>
      <c r="N10" s="595"/>
      <c r="O10" s="596"/>
      <c r="P10" s="577"/>
    </row>
    <row r="11" spans="1:16" s="598" customFormat="1" ht="16.899999999999999" customHeight="1" x14ac:dyDescent="0.2">
      <c r="A11" s="582"/>
      <c r="B11" s="578" t="s">
        <v>227</v>
      </c>
      <c r="C11" s="605">
        <v>476306792</v>
      </c>
      <c r="D11" s="605">
        <v>268102913</v>
      </c>
      <c r="E11" s="607">
        <f>'SUMMARY PER DIVISI'!AD32</f>
        <v>278400000</v>
      </c>
      <c r="F11" s="607">
        <f>'SUMMARY PER DIVISI'!T32</f>
        <v>2200000</v>
      </c>
      <c r="G11" s="607">
        <f>'SUMMARY PER DIVISI'!T32</f>
        <v>2200000</v>
      </c>
      <c r="H11" s="607">
        <f>'SUMMARY PER DIVISI'!P32</f>
        <v>100600000</v>
      </c>
      <c r="I11" s="607">
        <f>'SUMMARY PER DIVISI'!Q32</f>
        <v>1200000</v>
      </c>
      <c r="J11" s="606">
        <f>E11</f>
        <v>278400000</v>
      </c>
      <c r="K11" s="606">
        <f>J11</f>
        <v>278400000</v>
      </c>
      <c r="L11" s="606">
        <f>K11</f>
        <v>278400000</v>
      </c>
      <c r="M11" s="606">
        <f>L11</f>
        <v>278400000</v>
      </c>
      <c r="N11" s="595">
        <f>I11-H11</f>
        <v>-99400000</v>
      </c>
      <c r="O11" s="596">
        <f>N11/H11*100</f>
        <v>-98.807157057654067</v>
      </c>
      <c r="P11" s="577">
        <f>I11/$I$43</f>
        <v>1.5244149336768247E-4</v>
      </c>
    </row>
    <row r="12" spans="1:16" s="598" customFormat="1" ht="16.899999999999999" customHeight="1" x14ac:dyDescent="0.2">
      <c r="A12" s="582"/>
      <c r="B12" s="578" t="s">
        <v>83</v>
      </c>
      <c r="C12" s="605">
        <v>904612940</v>
      </c>
      <c r="D12" s="605">
        <v>622448096</v>
      </c>
      <c r="E12" s="605">
        <f>'SUMMARY PER DIVISI'!AD44</f>
        <v>700000000</v>
      </c>
      <c r="F12" s="605">
        <f>'SUMMARY PER DIVISI'!T44</f>
        <v>661584579.23000002</v>
      </c>
      <c r="G12" s="605">
        <f>'SUMMARY PER DIVISI'!T44</f>
        <v>661584579.23000002</v>
      </c>
      <c r="H12" s="605">
        <f>'SUMMARY PER DIVISI'!P44</f>
        <v>201000000</v>
      </c>
      <c r="I12" s="605">
        <f>'SUMMARY PER DIVISI'!Q44</f>
        <v>233424540</v>
      </c>
      <c r="J12" s="606">
        <f>E12*1.05</f>
        <v>735000000</v>
      </c>
      <c r="K12" s="606">
        <f t="shared" ref="K12:M13" si="2">J12*1.05</f>
        <v>771750000</v>
      </c>
      <c r="L12" s="606">
        <f t="shared" si="2"/>
        <v>810337500</v>
      </c>
      <c r="M12" s="606">
        <f t="shared" si="2"/>
        <v>850854375</v>
      </c>
      <c r="N12" s="595">
        <f>I12-H12</f>
        <v>32424540</v>
      </c>
      <c r="O12" s="596">
        <f>N12/H12*100</f>
        <v>16.131611940298505</v>
      </c>
      <c r="P12" s="577">
        <f>I12/$I$43</f>
        <v>2.9652987888553608E-2</v>
      </c>
    </row>
    <row r="13" spans="1:16" s="597" customFormat="1" ht="16.899999999999999" customHeight="1" x14ac:dyDescent="0.2">
      <c r="A13" s="580"/>
      <c r="B13" s="594" t="s">
        <v>103</v>
      </c>
      <c r="C13" s="605">
        <v>4238400863.2251697</v>
      </c>
      <c r="D13" s="605">
        <v>3547836927.2251697</v>
      </c>
      <c r="E13" s="605">
        <f>'SUMMARY PER DIVISI'!AD56</f>
        <v>3634000000</v>
      </c>
      <c r="F13" s="605">
        <f>'SUMMARY PER DIVISI'!T56</f>
        <v>4805668314.8199997</v>
      </c>
      <c r="G13" s="605">
        <f>'SUMMARY PER DIVISI'!T56</f>
        <v>4805668314.8199997</v>
      </c>
      <c r="H13" s="605">
        <f>'SUMMARY PER DIVISI'!P56</f>
        <v>921000000</v>
      </c>
      <c r="I13" s="605">
        <f>'SUMMARY PER DIVISI'!Q56</f>
        <v>1802126508.28</v>
      </c>
      <c r="J13" s="606">
        <f>E13*1.05</f>
        <v>3815700000</v>
      </c>
      <c r="K13" s="606">
        <f t="shared" si="2"/>
        <v>4006485000</v>
      </c>
      <c r="L13" s="606">
        <f t="shared" si="2"/>
        <v>4206809250</v>
      </c>
      <c r="M13" s="606">
        <f t="shared" si="2"/>
        <v>4417149712.5</v>
      </c>
      <c r="N13" s="595">
        <f>I13-H13</f>
        <v>881126508.27999997</v>
      </c>
      <c r="O13" s="596">
        <f>N13/H13*100</f>
        <v>95.670630649294239</v>
      </c>
      <c r="P13" s="577">
        <f>I13/$I$43</f>
        <v>0.22893238013307529</v>
      </c>
    </row>
    <row r="14" spans="1:16" s="598" customFormat="1" ht="16.899999999999999" customHeight="1" x14ac:dyDescent="0.2">
      <c r="A14" s="582"/>
      <c r="B14" s="594" t="s">
        <v>228</v>
      </c>
      <c r="C14" s="608">
        <v>5619320595.2251701</v>
      </c>
      <c r="D14" s="608">
        <f t="shared" ref="D14:M14" si="3">D11+D12+D13</f>
        <v>4438387936.2251701</v>
      </c>
      <c r="E14" s="608">
        <f t="shared" si="3"/>
        <v>4612400000</v>
      </c>
      <c r="F14" s="608">
        <f>F11+F12+F13</f>
        <v>5469452894.0499992</v>
      </c>
      <c r="G14" s="608">
        <f>SUM(G11:G13)</f>
        <v>5469452894.0499992</v>
      </c>
      <c r="H14" s="608">
        <f>H11+H12+H13</f>
        <v>1222600000</v>
      </c>
      <c r="I14" s="608">
        <f>I11+I12+I13</f>
        <v>2036751048.28</v>
      </c>
      <c r="J14" s="608">
        <f t="shared" si="3"/>
        <v>4829100000</v>
      </c>
      <c r="K14" s="608">
        <f t="shared" si="3"/>
        <v>5056635000</v>
      </c>
      <c r="L14" s="608">
        <f t="shared" si="3"/>
        <v>5295546750</v>
      </c>
      <c r="M14" s="608">
        <f t="shared" si="3"/>
        <v>5546404087.5</v>
      </c>
      <c r="N14" s="595">
        <f>I14-H14</f>
        <v>814151048.27999997</v>
      </c>
      <c r="O14" s="596">
        <f>N14/H14*100</f>
        <v>66.591775583183377</v>
      </c>
      <c r="P14" s="577">
        <f>I14/$I$43</f>
        <v>0.25873780951499659</v>
      </c>
    </row>
    <row r="15" spans="1:16" s="598" customFormat="1" ht="8.1" customHeight="1" x14ac:dyDescent="0.2">
      <c r="A15" s="582"/>
      <c r="B15" s="594"/>
      <c r="C15" s="605"/>
      <c r="D15" s="605"/>
      <c r="E15" s="607"/>
      <c r="F15" s="607"/>
      <c r="G15" s="607"/>
      <c r="H15" s="607"/>
      <c r="I15" s="607"/>
      <c r="J15" s="607"/>
      <c r="K15" s="607"/>
      <c r="L15" s="607"/>
      <c r="M15" s="607"/>
      <c r="N15" s="595"/>
      <c r="O15" s="596"/>
      <c r="P15" s="577"/>
    </row>
    <row r="16" spans="1:16" s="598" customFormat="1" ht="16.899999999999999" customHeight="1" x14ac:dyDescent="0.2">
      <c r="A16" s="581"/>
      <c r="B16" s="578" t="s">
        <v>114</v>
      </c>
      <c r="C16" s="605">
        <v>642011000</v>
      </c>
      <c r="D16" s="605">
        <v>393677150</v>
      </c>
      <c r="E16" s="605">
        <f>'SUMMARY PER DIVISI'!AD63</f>
        <v>263872000</v>
      </c>
      <c r="F16" s="605">
        <f>'SUMMARY PER DIVISI'!T63</f>
        <v>163830506</v>
      </c>
      <c r="G16" s="605">
        <f>'SUMMARY PER DIVISI'!T63</f>
        <v>163830506</v>
      </c>
      <c r="H16" s="605">
        <f>'SUMMARY PER DIVISI'!P63</f>
        <v>59527000</v>
      </c>
      <c r="I16" s="605">
        <f>'SUMMARY PER DIVISI'!Q63</f>
        <v>45123100</v>
      </c>
      <c r="J16" s="605">
        <v>306736000</v>
      </c>
      <c r="K16" s="606">
        <f>J16*1.05</f>
        <v>322072800</v>
      </c>
      <c r="L16" s="606">
        <v>322072800</v>
      </c>
      <c r="M16" s="606">
        <f>L16*1.05</f>
        <v>338176440</v>
      </c>
      <c r="N16" s="595">
        <f>I16-H16</f>
        <v>-14403900</v>
      </c>
      <c r="O16" s="596">
        <f>N16/H16*100</f>
        <v>-24.197255027130545</v>
      </c>
      <c r="P16" s="577">
        <f>I16/$I$43</f>
        <v>5.73219395781606E-3</v>
      </c>
    </row>
    <row r="17" spans="1:16" s="598" customFormat="1" ht="16.899999999999999" customHeight="1" x14ac:dyDescent="0.2">
      <c r="A17" s="582"/>
      <c r="B17" s="578" t="s">
        <v>115</v>
      </c>
      <c r="C17" s="605">
        <v>21600000</v>
      </c>
      <c r="D17" s="605">
        <v>10800000</v>
      </c>
      <c r="E17" s="605">
        <f>'SUMMARY PER DIVISI'!AD66</f>
        <v>29450000</v>
      </c>
      <c r="F17" s="605">
        <f>'SUMMARY PER DIVISI'!T66</f>
        <v>0</v>
      </c>
      <c r="G17" s="605">
        <f>'SUMMARY PER DIVISI'!T66</f>
        <v>0</v>
      </c>
      <c r="H17" s="605">
        <f>'SUMMARY PER DIVISI'!P66</f>
        <v>6650000</v>
      </c>
      <c r="I17" s="605">
        <f>'SUMMARY PER DIVISI'!Q66</f>
        <v>0</v>
      </c>
      <c r="J17" s="606">
        <f>E17*1.1</f>
        <v>32395000.000000004</v>
      </c>
      <c r="K17" s="606">
        <f>J17*1.1</f>
        <v>35634500.000000007</v>
      </c>
      <c r="L17" s="606">
        <f>K17*1.1</f>
        <v>39197950.000000015</v>
      </c>
      <c r="M17" s="606">
        <f>L17*1.1</f>
        <v>43117745.000000022</v>
      </c>
      <c r="N17" s="595"/>
      <c r="O17" s="596"/>
      <c r="P17" s="577"/>
    </row>
    <row r="18" spans="1:16" s="598" customFormat="1" ht="16.899999999999999" customHeight="1" x14ac:dyDescent="0.2">
      <c r="A18" s="582"/>
      <c r="B18" s="594" t="s">
        <v>229</v>
      </c>
      <c r="C18" s="608">
        <v>663611000</v>
      </c>
      <c r="D18" s="608">
        <f t="shared" ref="D18:M18" si="4">D16+D17</f>
        <v>404477150</v>
      </c>
      <c r="E18" s="608">
        <f t="shared" si="4"/>
        <v>293322000</v>
      </c>
      <c r="F18" s="608">
        <f>F16+F17</f>
        <v>163830506</v>
      </c>
      <c r="G18" s="608">
        <f>SUM(G16:G17)</f>
        <v>163830506</v>
      </c>
      <c r="H18" s="608">
        <f>H16+H17</f>
        <v>66177000</v>
      </c>
      <c r="I18" s="608">
        <f>I16+I17</f>
        <v>45123100</v>
      </c>
      <c r="J18" s="608">
        <f t="shared" si="4"/>
        <v>339131000</v>
      </c>
      <c r="K18" s="608">
        <f t="shared" si="4"/>
        <v>357707300</v>
      </c>
      <c r="L18" s="608">
        <f t="shared" si="4"/>
        <v>361270750</v>
      </c>
      <c r="M18" s="608">
        <f t="shared" si="4"/>
        <v>381294185</v>
      </c>
      <c r="N18" s="595">
        <f>I18-H18</f>
        <v>-21053900</v>
      </c>
      <c r="O18" s="596">
        <f>N18/H18*100</f>
        <v>-31.814527706000572</v>
      </c>
      <c r="P18" s="577">
        <f>I18/$I$43</f>
        <v>5.73219395781606E-3</v>
      </c>
    </row>
    <row r="19" spans="1:16" s="598" customFormat="1" ht="8.1" customHeight="1" x14ac:dyDescent="0.2">
      <c r="A19" s="582"/>
      <c r="B19" s="594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595"/>
      <c r="O19" s="596"/>
      <c r="P19" s="577"/>
    </row>
    <row r="20" spans="1:16" s="598" customFormat="1" ht="16.899999999999999" customHeight="1" x14ac:dyDescent="0.2">
      <c r="A20" s="582"/>
      <c r="B20" s="578" t="s">
        <v>230</v>
      </c>
      <c r="C20" s="605">
        <v>599452000</v>
      </c>
      <c r="D20" s="605">
        <v>228690420</v>
      </c>
      <c r="E20" s="605">
        <f>'SUMMARY PER DIVISI'!AD72</f>
        <v>246000000</v>
      </c>
      <c r="F20" s="605">
        <f>'SUMMARY PER DIVISI'!T72</f>
        <v>65690000</v>
      </c>
      <c r="G20" s="605">
        <f>'SUMMARY PER DIVISI'!T72</f>
        <v>65690000</v>
      </c>
      <c r="H20" s="605">
        <f>'SUMMARY PER DIVISI'!P72</f>
        <v>24000000</v>
      </c>
      <c r="I20" s="605">
        <f>'SUMMARY PER DIVISI'!Q72</f>
        <v>48350000</v>
      </c>
      <c r="J20" s="606">
        <f>E20*1.05</f>
        <v>258300000</v>
      </c>
      <c r="K20" s="606">
        <f t="shared" ref="K20:M21" si="5">J20*1.05</f>
        <v>271215000</v>
      </c>
      <c r="L20" s="606">
        <f t="shared" si="5"/>
        <v>284775750</v>
      </c>
      <c r="M20" s="606">
        <f t="shared" si="5"/>
        <v>299014537.5</v>
      </c>
      <c r="N20" s="595">
        <f>I20-H20</f>
        <v>24350000</v>
      </c>
      <c r="O20" s="596">
        <f>N20/H20*100</f>
        <v>101.45833333333334</v>
      </c>
      <c r="P20" s="577">
        <f>I20/$I$43</f>
        <v>6.1421218369395389E-3</v>
      </c>
    </row>
    <row r="21" spans="1:16" s="598" customFormat="1" ht="16.899999999999999" customHeight="1" x14ac:dyDescent="0.2">
      <c r="A21" s="582"/>
      <c r="B21" s="578" t="s">
        <v>126</v>
      </c>
      <c r="C21" s="605">
        <v>277290508.5</v>
      </c>
      <c r="D21" s="605">
        <v>126597500</v>
      </c>
      <c r="E21" s="605">
        <f>'SUMMARY PER DIVISI'!AD77</f>
        <v>157000000</v>
      </c>
      <c r="F21" s="605">
        <f>'SUMMARY PER DIVISI'!T77</f>
        <v>5450000</v>
      </c>
      <c r="G21" s="605">
        <f>'SUMMARY PER DIVISI'!T77</f>
        <v>5450000</v>
      </c>
      <c r="H21" s="605">
        <f>'SUMMARY PER DIVISI'!P77</f>
        <v>45000000</v>
      </c>
      <c r="I21" s="605">
        <f>'SUMMARY PER DIVISI'!Q77</f>
        <v>5450000</v>
      </c>
      <c r="J21" s="606">
        <f>E21*1.05</f>
        <v>164850000</v>
      </c>
      <c r="K21" s="606">
        <f t="shared" si="5"/>
        <v>173092500</v>
      </c>
      <c r="L21" s="606">
        <f t="shared" si="5"/>
        <v>181747125</v>
      </c>
      <c r="M21" s="606">
        <f t="shared" si="5"/>
        <v>190834481.25</v>
      </c>
      <c r="N21" s="595">
        <f>I21-H21</f>
        <v>-39550000</v>
      </c>
      <c r="O21" s="596">
        <f>N21/H21*100</f>
        <v>-87.8888888888889</v>
      </c>
      <c r="P21" s="577">
        <f>I21/$I$43</f>
        <v>6.9233844904489114E-4</v>
      </c>
    </row>
    <row r="22" spans="1:16" s="598" customFormat="1" ht="16.899999999999999" customHeight="1" x14ac:dyDescent="0.2">
      <c r="A22" s="582"/>
      <c r="B22" s="578" t="s">
        <v>231</v>
      </c>
      <c r="C22" s="608">
        <v>876742508.5</v>
      </c>
      <c r="D22" s="608">
        <f t="shared" ref="D22:M22" si="6">D20+D21</f>
        <v>355287920</v>
      </c>
      <c r="E22" s="608">
        <f t="shared" si="6"/>
        <v>403000000</v>
      </c>
      <c r="F22" s="608">
        <f>F20+F21</f>
        <v>71140000</v>
      </c>
      <c r="G22" s="608">
        <f>SUM(G20:G21)</f>
        <v>71140000</v>
      </c>
      <c r="H22" s="608">
        <f>H20+H21</f>
        <v>69000000</v>
      </c>
      <c r="I22" s="608">
        <f>I20+I21</f>
        <v>53800000</v>
      </c>
      <c r="J22" s="608">
        <f t="shared" si="6"/>
        <v>423150000</v>
      </c>
      <c r="K22" s="608">
        <f t="shared" si="6"/>
        <v>444307500</v>
      </c>
      <c r="L22" s="608">
        <f t="shared" si="6"/>
        <v>466522875</v>
      </c>
      <c r="M22" s="608">
        <f t="shared" si="6"/>
        <v>489849018.75</v>
      </c>
      <c r="N22" s="595">
        <f>I22-H22</f>
        <v>-15200000</v>
      </c>
      <c r="O22" s="596">
        <f>N22/H22*100</f>
        <v>-22.028985507246375</v>
      </c>
      <c r="P22" s="577">
        <f>I22/$I$43</f>
        <v>6.8344602859844302E-3</v>
      </c>
    </row>
    <row r="23" spans="1:16" s="598" customFormat="1" ht="16.899999999999999" customHeight="1" x14ac:dyDescent="0.2">
      <c r="A23" s="582">
        <v>1</v>
      </c>
      <c r="B23" s="594" t="s">
        <v>232</v>
      </c>
      <c r="C23" s="608">
        <v>22121106289.66732</v>
      </c>
      <c r="D23" s="608">
        <f t="shared" ref="D23:M23" si="7">D22+D18+D14+D9</f>
        <v>18482437440.579201</v>
      </c>
      <c r="E23" s="608">
        <f t="shared" si="7"/>
        <v>20453173881.000004</v>
      </c>
      <c r="F23" s="608">
        <f>F22+F18+F14+F9</f>
        <v>18676541310.049999</v>
      </c>
      <c r="G23" s="608">
        <f>G9+G14+G18+G22</f>
        <v>18676541310.049999</v>
      </c>
      <c r="H23" s="608">
        <f>H22+H18+H14+H9</f>
        <v>4637861616.4000006</v>
      </c>
      <c r="I23" s="608">
        <f>I22+I18+I14+I9</f>
        <v>5715849733.2799997</v>
      </c>
      <c r="J23" s="608">
        <f t="shared" si="7"/>
        <v>22189081663.740005</v>
      </c>
      <c r="K23" s="608">
        <f t="shared" si="7"/>
        <v>24051864304.486008</v>
      </c>
      <c r="L23" s="608">
        <f t="shared" si="7"/>
        <v>26068407293.025208</v>
      </c>
      <c r="M23" s="608">
        <f t="shared" si="7"/>
        <v>28286278412.322861</v>
      </c>
      <c r="N23" s="595">
        <f>I23-H23</f>
        <v>1077988116.8799992</v>
      </c>
      <c r="O23" s="596">
        <f>N23/H23*100</f>
        <v>23.243214352668737</v>
      </c>
      <c r="P23" s="577">
        <f>I23/$I$43</f>
        <v>0.72611055767206056</v>
      </c>
    </row>
    <row r="24" spans="1:16" s="598" customFormat="1" ht="8.1" customHeight="1" x14ac:dyDescent="0.2">
      <c r="A24" s="582"/>
      <c r="B24" s="594"/>
      <c r="C24" s="608"/>
      <c r="D24" s="608"/>
      <c r="E24" s="608"/>
      <c r="F24" s="608"/>
      <c r="G24" s="608"/>
      <c r="H24" s="608"/>
      <c r="I24" s="608"/>
      <c r="J24" s="608"/>
      <c r="K24" s="608"/>
      <c r="L24" s="608"/>
      <c r="M24" s="608"/>
      <c r="N24" s="595"/>
      <c r="O24" s="596"/>
      <c r="P24" s="577"/>
    </row>
    <row r="25" spans="1:16" s="598" customFormat="1" ht="16.899999999999999" customHeight="1" x14ac:dyDescent="0.2">
      <c r="A25" s="582">
        <v>2</v>
      </c>
      <c r="B25" s="578" t="s">
        <v>233</v>
      </c>
      <c r="C25" s="608">
        <v>678300000</v>
      </c>
      <c r="D25" s="608">
        <v>478979975</v>
      </c>
      <c r="E25" s="609">
        <f>'SUMMARY PER DIVISI'!AD86</f>
        <v>370000000</v>
      </c>
      <c r="F25" s="609">
        <f>'SUMMARY PER DIVISI'!T86</f>
        <v>230280408</v>
      </c>
      <c r="G25" s="609">
        <f>'SUMMARY PER DIVISI'!T86</f>
        <v>230280408</v>
      </c>
      <c r="H25" s="609">
        <f>'SUMMARY PER DIVISI'!P86</f>
        <v>90000000</v>
      </c>
      <c r="I25" s="609">
        <f>'SUMMARY PER DIVISI'!Q86</f>
        <v>49280300</v>
      </c>
      <c r="J25" s="610">
        <f>E25*1.1</f>
        <v>407000000.00000006</v>
      </c>
      <c r="K25" s="610">
        <f>J25*1.1</f>
        <v>447700000.00000012</v>
      </c>
      <c r="L25" s="610">
        <f>K25*1.1</f>
        <v>492470000.00000018</v>
      </c>
      <c r="M25" s="610">
        <f>L25*1.1</f>
        <v>541717000.00000024</v>
      </c>
      <c r="N25" s="595">
        <f>I25-H25</f>
        <v>-40719700</v>
      </c>
      <c r="O25" s="596">
        <f>N25/H25*100</f>
        <v>-45.24411111111111</v>
      </c>
      <c r="P25" s="577">
        <f>I25/$I$43</f>
        <v>6.2603021046728352E-3</v>
      </c>
    </row>
    <row r="26" spans="1:16" s="598" customFormat="1" ht="8.1" customHeight="1" x14ac:dyDescent="0.2">
      <c r="A26" s="582"/>
      <c r="B26" s="578"/>
      <c r="C26" s="608"/>
      <c r="D26" s="608"/>
      <c r="E26" s="609"/>
      <c r="F26" s="609"/>
      <c r="G26" s="609"/>
      <c r="H26" s="609"/>
      <c r="I26" s="609"/>
      <c r="J26" s="609"/>
      <c r="K26" s="609"/>
      <c r="L26" s="609"/>
      <c r="M26" s="609"/>
      <c r="N26" s="595"/>
      <c r="O26" s="596"/>
      <c r="P26" s="577"/>
    </row>
    <row r="27" spans="1:16" s="598" customFormat="1" ht="16.899999999999999" customHeight="1" x14ac:dyDescent="0.2">
      <c r="A27" s="582">
        <v>3</v>
      </c>
      <c r="B27" s="578" t="s">
        <v>234</v>
      </c>
      <c r="C27" s="608">
        <v>429872000</v>
      </c>
      <c r="D27" s="608">
        <v>231818610</v>
      </c>
      <c r="E27" s="609">
        <f>'SUMMARY PER DIVISI'!AD93</f>
        <v>369776200</v>
      </c>
      <c r="F27" s="609">
        <f>'SUMMARY PER DIVISI'!T93</f>
        <v>10450239</v>
      </c>
      <c r="G27" s="609">
        <f>'SUMMARY PER DIVISI'!T93</f>
        <v>10450239</v>
      </c>
      <c r="H27" s="609">
        <f>'SUMMARY PER DIVISI'!P93</f>
        <v>134987600</v>
      </c>
      <c r="I27" s="609">
        <f>'SUMMARY PER DIVISI'!Q93</f>
        <v>0</v>
      </c>
      <c r="J27" s="610">
        <f>E27*1.1</f>
        <v>406753820.00000006</v>
      </c>
      <c r="K27" s="610">
        <f>J27*1.1</f>
        <v>447429202.00000012</v>
      </c>
      <c r="L27" s="610">
        <f>K27*1.1</f>
        <v>492172122.20000017</v>
      </c>
      <c r="M27" s="610">
        <f>L27*1.1</f>
        <v>541389334.4200002</v>
      </c>
      <c r="N27" s="595">
        <f>I27-H27</f>
        <v>-134987600</v>
      </c>
      <c r="O27" s="596">
        <f>N27/H27*100</f>
        <v>-100</v>
      </c>
      <c r="P27" s="577">
        <f>I27/$I$43</f>
        <v>0</v>
      </c>
    </row>
    <row r="28" spans="1:16" s="598" customFormat="1" ht="8.1" customHeight="1" x14ac:dyDescent="0.2">
      <c r="A28" s="582"/>
      <c r="B28" s="578"/>
      <c r="C28" s="608"/>
      <c r="D28" s="608"/>
      <c r="E28" s="609"/>
      <c r="F28" s="609"/>
      <c r="G28" s="609"/>
      <c r="H28" s="609"/>
      <c r="I28" s="609"/>
      <c r="J28" s="609"/>
      <c r="K28" s="609"/>
      <c r="L28" s="609"/>
      <c r="M28" s="609"/>
      <c r="N28" s="595"/>
      <c r="O28" s="596"/>
      <c r="P28" s="577"/>
    </row>
    <row r="29" spans="1:16" s="598" customFormat="1" ht="16.899999999999999" customHeight="1" x14ac:dyDescent="0.2">
      <c r="A29" s="582">
        <v>4</v>
      </c>
      <c r="B29" s="578" t="s">
        <v>235</v>
      </c>
      <c r="C29" s="608">
        <v>205318000</v>
      </c>
      <c r="D29" s="608">
        <v>124626200</v>
      </c>
      <c r="E29" s="608">
        <f>'SUMMARY PER DIVISI'!AD96</f>
        <v>155484000</v>
      </c>
      <c r="F29" s="608">
        <f>'SUMMARY PER DIVISI'!T96</f>
        <v>0</v>
      </c>
      <c r="G29" s="608">
        <f>'SUMMARY PER DIVISI'!T96</f>
        <v>0</v>
      </c>
      <c r="H29" s="608">
        <f>'SUMMARY PER DIVISI'!P96</f>
        <v>29996000</v>
      </c>
      <c r="I29" s="608">
        <f>'SUMMARY PER DIVISI'!Q96</f>
        <v>0</v>
      </c>
      <c r="J29" s="610">
        <f>E29*1.1</f>
        <v>171032400</v>
      </c>
      <c r="K29" s="610">
        <f>J29*1.1</f>
        <v>188135640.00000003</v>
      </c>
      <c r="L29" s="610">
        <f>K29*1.1</f>
        <v>206949204.00000006</v>
      </c>
      <c r="M29" s="610">
        <f>L29*1.1</f>
        <v>227644124.4000001</v>
      </c>
      <c r="N29" s="595">
        <f>I29-H29</f>
        <v>-29996000</v>
      </c>
      <c r="O29" s="596">
        <f>N29/H29*100</f>
        <v>-100</v>
      </c>
      <c r="P29" s="577">
        <f>I29/$I$43</f>
        <v>0</v>
      </c>
    </row>
    <row r="30" spans="1:16" s="598" customFormat="1" ht="8.1" customHeight="1" x14ac:dyDescent="0.2">
      <c r="A30" s="582"/>
      <c r="B30" s="578"/>
      <c r="C30" s="608"/>
      <c r="D30" s="608"/>
      <c r="E30" s="608"/>
      <c r="F30" s="608"/>
      <c r="G30" s="608"/>
      <c r="H30" s="608"/>
      <c r="I30" s="608"/>
      <c r="J30" s="608"/>
      <c r="K30" s="608"/>
      <c r="L30" s="608"/>
      <c r="M30" s="608"/>
      <c r="N30" s="595"/>
      <c r="O30" s="596"/>
      <c r="P30" s="577"/>
    </row>
    <row r="31" spans="1:16" s="598" customFormat="1" ht="16.899999999999999" customHeight="1" x14ac:dyDescent="0.2">
      <c r="A31" s="582">
        <v>5</v>
      </c>
      <c r="B31" s="578" t="s">
        <v>236</v>
      </c>
      <c r="C31" s="608">
        <v>373429406</v>
      </c>
      <c r="D31" s="608">
        <v>418306629</v>
      </c>
      <c r="E31" s="609">
        <f>'SUMMARY PER DIVISI'!AD108</f>
        <v>347800000</v>
      </c>
      <c r="F31" s="609">
        <f>'SUMMARY PER DIVISI'!T108</f>
        <v>594674521.11000001</v>
      </c>
      <c r="G31" s="609">
        <f>'SUMMARY PER DIVISI'!T108</f>
        <v>594674521.11000001</v>
      </c>
      <c r="H31" s="609">
        <f>'SUMMARY PER DIVISI'!P108</f>
        <v>73200000</v>
      </c>
      <c r="I31" s="609">
        <f>'SUMMARY PER DIVISI'!Q108</f>
        <v>43661000</v>
      </c>
      <c r="J31" s="610">
        <f>E31*1.1</f>
        <v>382580000.00000006</v>
      </c>
      <c r="K31" s="610">
        <f>J31*1.1</f>
        <v>420838000.00000012</v>
      </c>
      <c r="L31" s="610">
        <f>K31*1.1</f>
        <v>462921800.00000018</v>
      </c>
      <c r="M31" s="610">
        <f>L31*1.1</f>
        <v>509213980.00000024</v>
      </c>
      <c r="N31" s="595">
        <f>I31-H31</f>
        <v>-29539000</v>
      </c>
      <c r="O31" s="596">
        <f>N31/H31*100</f>
        <v>-40.353825136612024</v>
      </c>
      <c r="P31" s="577">
        <f>I31/$I$43</f>
        <v>5.5464567016053198E-3</v>
      </c>
    </row>
    <row r="32" spans="1:16" s="598" customFormat="1" ht="8.1" customHeight="1" x14ac:dyDescent="0.2">
      <c r="A32" s="582"/>
      <c r="B32" s="578"/>
      <c r="C32" s="608"/>
      <c r="D32" s="608"/>
      <c r="E32" s="609"/>
      <c r="F32" s="609"/>
      <c r="G32" s="609"/>
      <c r="H32" s="609"/>
      <c r="I32" s="609"/>
      <c r="J32" s="609"/>
      <c r="K32" s="609"/>
      <c r="L32" s="609"/>
      <c r="M32" s="609"/>
      <c r="N32" s="595"/>
      <c r="O32" s="596"/>
      <c r="P32" s="577"/>
    </row>
    <row r="33" spans="1:17" s="598" customFormat="1" ht="16.899999999999999" customHeight="1" x14ac:dyDescent="0.2">
      <c r="A33" s="582">
        <v>6</v>
      </c>
      <c r="B33" s="578" t="s">
        <v>237</v>
      </c>
      <c r="C33" s="611" t="s">
        <v>327</v>
      </c>
      <c r="D33" s="609">
        <v>18612000</v>
      </c>
      <c r="E33" s="609">
        <f>'SUMMARY PER DIVISI'!AD101</f>
        <v>170980000</v>
      </c>
      <c r="F33" s="609">
        <f>'SUMMARY PER DIVISI'!T101</f>
        <v>108450000</v>
      </c>
      <c r="G33" s="609">
        <f>'SUMMARY PER DIVISI'!T101</f>
        <v>108450000</v>
      </c>
      <c r="H33" s="609">
        <f>'SUMMARY PER DIVISI'!P101</f>
        <v>27590000</v>
      </c>
      <c r="I33" s="609">
        <f>'SUMMARY PER DIVISI'!Q101</f>
        <v>1800000</v>
      </c>
      <c r="J33" s="610">
        <f>E33*1.1</f>
        <v>188078000.00000003</v>
      </c>
      <c r="K33" s="610">
        <f>J33*1.1</f>
        <v>206885800.00000006</v>
      </c>
      <c r="L33" s="610">
        <f>K33*1.1</f>
        <v>227574380.00000009</v>
      </c>
      <c r="M33" s="610">
        <f>L33*1.1</f>
        <v>250331818.00000012</v>
      </c>
      <c r="N33" s="595">
        <f>I33-H33</f>
        <v>-25790000</v>
      </c>
      <c r="O33" s="596">
        <f>N33/H33*100</f>
        <v>-93.475897064153685</v>
      </c>
      <c r="P33" s="577">
        <f>I33/$I$43</f>
        <v>2.2866224005152369E-4</v>
      </c>
      <c r="Q33" s="625"/>
    </row>
    <row r="34" spans="1:17" s="598" customFormat="1" ht="8.1" customHeight="1" x14ac:dyDescent="0.2">
      <c r="A34" s="582"/>
      <c r="B34" s="578"/>
      <c r="C34" s="608"/>
      <c r="D34" s="608"/>
      <c r="E34" s="609"/>
      <c r="F34" s="609"/>
      <c r="G34" s="609"/>
      <c r="H34" s="609"/>
      <c r="I34" s="609"/>
      <c r="J34" s="609"/>
      <c r="K34" s="609"/>
      <c r="L34" s="609"/>
      <c r="M34" s="609"/>
      <c r="N34" s="595"/>
      <c r="O34" s="596"/>
      <c r="P34" s="577"/>
    </row>
    <row r="35" spans="1:17" s="598" customFormat="1" ht="16.899999999999999" customHeight="1" x14ac:dyDescent="0.2">
      <c r="A35" s="582">
        <v>7</v>
      </c>
      <c r="B35" s="578" t="s">
        <v>238</v>
      </c>
      <c r="C35" s="608">
        <v>12162933766</v>
      </c>
      <c r="D35" s="608">
        <v>10789645198</v>
      </c>
      <c r="E35" s="609">
        <f>'SUMMARY PER DIVISI'!AD119</f>
        <v>10324087527.5</v>
      </c>
      <c r="F35" s="609">
        <f>'SUMMARY PER DIVISI'!T119</f>
        <v>6054078057.6700001</v>
      </c>
      <c r="G35" s="609">
        <f>'SUMMARY PER DIVISI'!T119</f>
        <v>6054078057.6700001</v>
      </c>
      <c r="H35" s="609">
        <f>'SUMMARY PER DIVISI'!P119</f>
        <v>2941689673.5</v>
      </c>
      <c r="I35" s="609">
        <f>'SUMMARY PER DIVISI'!Q119</f>
        <v>1859608717</v>
      </c>
      <c r="J35" s="610">
        <f>E35*1.1</f>
        <v>11356496280.25</v>
      </c>
      <c r="K35" s="610">
        <f>J35*1.1</f>
        <v>12492145908.275002</v>
      </c>
      <c r="L35" s="610">
        <f>K35*1.1</f>
        <v>13741360499.102503</v>
      </c>
      <c r="M35" s="610">
        <f>L35*1.1</f>
        <v>15115496549.012754</v>
      </c>
      <c r="N35" s="595">
        <f>I35-H35</f>
        <v>-1082080956.5</v>
      </c>
      <c r="O35" s="596">
        <f>N35/H35*100</f>
        <v>-36.784334059702104</v>
      </c>
      <c r="P35" s="577">
        <f>I35/$I$43</f>
        <v>0.23623460824919998</v>
      </c>
    </row>
    <row r="36" spans="1:17" s="598" customFormat="1" ht="16.899999999999999" customHeight="1" x14ac:dyDescent="0.2">
      <c r="A36" s="582"/>
      <c r="B36" s="578" t="s">
        <v>160</v>
      </c>
      <c r="C36" s="608">
        <v>35970959461.66732</v>
      </c>
      <c r="D36" s="608">
        <f t="shared" ref="D36:M36" si="8">D23+D25+D27+D29+D31+D33+D35</f>
        <v>30544426052.579201</v>
      </c>
      <c r="E36" s="608">
        <f>E23+E25+E27+E29+E31+E33+E35</f>
        <v>32191301608.500004</v>
      </c>
      <c r="F36" s="608">
        <f>F23+F25+F27+F29+F31+F33+F35</f>
        <v>25674474535.830002</v>
      </c>
      <c r="G36" s="608">
        <f>G23+G25+G27+G29+G31+G33+G35</f>
        <v>25674474535.830002</v>
      </c>
      <c r="H36" s="608">
        <f>H23+H25+H27+H29+H31+H33+H35</f>
        <v>7935324889.9000006</v>
      </c>
      <c r="I36" s="608">
        <f>I23+I25+I27+I29+I31+I33+I35</f>
        <v>7670199750.2799997</v>
      </c>
      <c r="J36" s="608">
        <f t="shared" si="8"/>
        <v>35101022163.990005</v>
      </c>
      <c r="K36" s="608">
        <f t="shared" si="8"/>
        <v>38254998854.761009</v>
      </c>
      <c r="L36" s="608">
        <f t="shared" si="8"/>
        <v>41691855298.327713</v>
      </c>
      <c r="M36" s="608">
        <f t="shared" si="8"/>
        <v>45472071218.155617</v>
      </c>
      <c r="N36" s="595">
        <f>I36-H36</f>
        <v>-265125139.62000084</v>
      </c>
      <c r="O36" s="596">
        <f>N36/H36*100</f>
        <v>-3.3410747927592652</v>
      </c>
      <c r="P36" s="577"/>
    </row>
    <row r="37" spans="1:17" s="599" customFormat="1" ht="8.1" customHeight="1" x14ac:dyDescent="0.2">
      <c r="A37" s="583"/>
      <c r="B37" s="578"/>
      <c r="C37" s="608"/>
      <c r="D37" s="608"/>
      <c r="E37" s="609"/>
      <c r="F37" s="609"/>
      <c r="G37" s="609"/>
      <c r="H37" s="609"/>
      <c r="I37" s="609"/>
      <c r="J37" s="609"/>
      <c r="K37" s="609"/>
      <c r="L37" s="609"/>
      <c r="M37" s="609"/>
      <c r="N37" s="595"/>
      <c r="O37" s="596"/>
      <c r="P37" s="577"/>
    </row>
    <row r="38" spans="1:17" s="598" customFormat="1" ht="16.899999999999999" customHeight="1" x14ac:dyDescent="0.2">
      <c r="A38" s="582">
        <v>8</v>
      </c>
      <c r="B38" s="578" t="s">
        <v>239</v>
      </c>
      <c r="C38" s="608">
        <v>4001227349.9999995</v>
      </c>
      <c r="D38" s="608">
        <v>4001227352</v>
      </c>
      <c r="E38" s="608">
        <f>'SUMMARY PER DIVISI'!AD122</f>
        <v>3047241012</v>
      </c>
      <c r="F38" s="608">
        <f>'SUMMARY PER DIVISI'!T122</f>
        <v>3047241012</v>
      </c>
      <c r="G38" s="608">
        <f>'SUMMARY PER DIVISI'!T122</f>
        <v>3047241012</v>
      </c>
      <c r="H38" s="608">
        <f>'SUMMARY PER DIVISI'!P122</f>
        <v>761810253</v>
      </c>
      <c r="I38" s="608">
        <f>'SUMMARY PER DIVISI'!Q122</f>
        <v>761810253</v>
      </c>
      <c r="J38" s="610">
        <v>3047241012</v>
      </c>
      <c r="K38" s="610">
        <v>3047241012</v>
      </c>
      <c r="L38" s="610">
        <v>3047241012</v>
      </c>
      <c r="M38" s="610">
        <v>3047241012</v>
      </c>
      <c r="N38" s="595">
        <f>I38-H38</f>
        <v>0</v>
      </c>
      <c r="O38" s="596">
        <f>N38/H38*100</f>
        <v>0</v>
      </c>
      <c r="P38" s="577">
        <f>I38/$I$43</f>
        <v>9.6776243858443328E-2</v>
      </c>
    </row>
    <row r="39" spans="1:17" s="598" customFormat="1" ht="16.899999999999999" customHeight="1" x14ac:dyDescent="0.2">
      <c r="A39" s="582"/>
      <c r="B39" s="578" t="s">
        <v>165</v>
      </c>
      <c r="C39" s="608">
        <v>39972186811.66732</v>
      </c>
      <c r="D39" s="608">
        <f t="shared" ref="D39:M39" si="9">D36+D38</f>
        <v>34545653404.579201</v>
      </c>
      <c r="E39" s="608">
        <f t="shared" si="9"/>
        <v>35238542620.5</v>
      </c>
      <c r="F39" s="608">
        <f>F36+F38</f>
        <v>28721715547.830002</v>
      </c>
      <c r="G39" s="608">
        <f>G36+G38</f>
        <v>28721715547.830002</v>
      </c>
      <c r="H39" s="608">
        <f>H36+H38</f>
        <v>8697135142.9000015</v>
      </c>
      <c r="I39" s="608">
        <f>I36+I38</f>
        <v>8432010003.2799997</v>
      </c>
      <c r="J39" s="608">
        <f t="shared" si="9"/>
        <v>38148263175.990005</v>
      </c>
      <c r="K39" s="608">
        <f t="shared" si="9"/>
        <v>41302239866.761009</v>
      </c>
      <c r="L39" s="608">
        <f t="shared" si="9"/>
        <v>44739096310.327713</v>
      </c>
      <c r="M39" s="608">
        <f t="shared" si="9"/>
        <v>48519312230.155617</v>
      </c>
      <c r="N39" s="595">
        <f>I39-H39</f>
        <v>-265125139.62000179</v>
      </c>
      <c r="O39" s="596">
        <f>N39/H39*100</f>
        <v>-3.0484192238456767</v>
      </c>
      <c r="P39" s="577"/>
    </row>
    <row r="40" spans="1:17" s="589" customFormat="1" ht="8.1" customHeight="1" x14ac:dyDescent="0.2">
      <c r="A40" s="581"/>
      <c r="B40" s="600"/>
      <c r="C40" s="608"/>
      <c r="D40" s="608"/>
      <c r="E40" s="608"/>
      <c r="F40" s="608"/>
      <c r="G40" s="608"/>
      <c r="H40" s="608"/>
      <c r="I40" s="608"/>
      <c r="J40" s="608"/>
      <c r="K40" s="608"/>
      <c r="L40" s="608"/>
      <c r="M40" s="608"/>
      <c r="N40" s="595"/>
      <c r="O40" s="596"/>
      <c r="P40" s="577"/>
    </row>
    <row r="41" spans="1:17" s="598" customFormat="1" ht="16.899999999999999" customHeight="1" x14ac:dyDescent="0.2">
      <c r="A41" s="582">
        <v>9</v>
      </c>
      <c r="B41" s="578" t="s">
        <v>170</v>
      </c>
      <c r="C41" s="608">
        <v>2240550000</v>
      </c>
      <c r="D41" s="608">
        <v>2240929500</v>
      </c>
      <c r="E41" s="608">
        <f>'SUMMARY PER DIVISI'!AD127</f>
        <v>2240550000</v>
      </c>
      <c r="F41" s="608">
        <f>'SUMMARY PER DIVISI'!T127</f>
        <v>2222550000</v>
      </c>
      <c r="G41" s="608">
        <f>'SUMMARY PER DIVISI'!T127</f>
        <v>2222550000</v>
      </c>
      <c r="H41" s="608">
        <f>'SUMMARY PER DIVISI'!P127</f>
        <v>560137500</v>
      </c>
      <c r="I41" s="608">
        <f>'SUMMARY PER DIVISI'!Q127</f>
        <v>560137500</v>
      </c>
      <c r="J41" s="608">
        <v>2240550000</v>
      </c>
      <c r="K41" s="608">
        <v>2240550000</v>
      </c>
      <c r="L41" s="608">
        <v>2240550000</v>
      </c>
      <c r="M41" s="608">
        <v>2240550000</v>
      </c>
      <c r="N41" s="595">
        <f>H41-I41</f>
        <v>0</v>
      </c>
      <c r="O41" s="596">
        <f>N41/H41*100</f>
        <v>0</v>
      </c>
      <c r="P41" s="577">
        <f>I41/$I$43</f>
        <v>7.1156830826033524E-2</v>
      </c>
    </row>
    <row r="42" spans="1:17" s="589" customFormat="1" ht="8.1" customHeight="1" x14ac:dyDescent="0.2">
      <c r="A42" s="581"/>
      <c r="B42" s="600"/>
      <c r="C42" s="608"/>
      <c r="D42" s="608"/>
      <c r="E42" s="608"/>
      <c r="F42" s="608"/>
      <c r="G42" s="608"/>
      <c r="H42" s="608"/>
      <c r="I42" s="608"/>
      <c r="J42" s="608"/>
      <c r="K42" s="608"/>
      <c r="L42" s="608"/>
      <c r="M42" s="608"/>
      <c r="N42" s="595"/>
      <c r="O42" s="596"/>
      <c r="P42" s="577"/>
    </row>
    <row r="43" spans="1:17" s="598" customFormat="1" ht="16.899999999999999" customHeight="1" x14ac:dyDescent="0.2">
      <c r="A43" s="582">
        <v>10</v>
      </c>
      <c r="B43" s="578" t="s">
        <v>24</v>
      </c>
      <c r="C43" s="608">
        <v>37731636811.66732</v>
      </c>
      <c r="D43" s="608">
        <f t="shared" ref="D43:M43" si="10">D39-D41</f>
        <v>32304723904.579201</v>
      </c>
      <c r="E43" s="608">
        <f t="shared" si="10"/>
        <v>32997992620.5</v>
      </c>
      <c r="F43" s="608">
        <f>F39-F41</f>
        <v>26499165547.830002</v>
      </c>
      <c r="G43" s="608">
        <f>G39-G41</f>
        <v>26499165547.830002</v>
      </c>
      <c r="H43" s="608">
        <f>H39-H41</f>
        <v>8136997642.9000015</v>
      </c>
      <c r="I43" s="608">
        <f>I39-I41</f>
        <v>7871872503.2799997</v>
      </c>
      <c r="J43" s="608">
        <f t="shared" si="10"/>
        <v>35907713175.990005</v>
      </c>
      <c r="K43" s="608">
        <f t="shared" si="10"/>
        <v>39061689866.761009</v>
      </c>
      <c r="L43" s="608">
        <f t="shared" si="10"/>
        <v>42498546310.327713</v>
      </c>
      <c r="M43" s="608">
        <f t="shared" si="10"/>
        <v>46278762230.155617</v>
      </c>
      <c r="N43" s="595">
        <f>I43-H43</f>
        <v>-265125139.62000179</v>
      </c>
      <c r="O43" s="596">
        <f>N43/H43*100</f>
        <v>-3.2582673764363044</v>
      </c>
      <c r="P43" s="577">
        <f>I43/$I$43</f>
        <v>1</v>
      </c>
    </row>
    <row r="44" spans="1:17" ht="15.75" x14ac:dyDescent="0.2">
      <c r="A44" s="612"/>
      <c r="B44" s="586"/>
      <c r="C44" s="586"/>
      <c r="D44" s="586"/>
      <c r="E44" s="587"/>
      <c r="F44" s="587"/>
      <c r="G44" s="587"/>
      <c r="H44" s="587"/>
      <c r="I44" s="587"/>
      <c r="J44" s="587"/>
      <c r="K44" s="587"/>
      <c r="L44" s="587"/>
      <c r="M44" s="587"/>
      <c r="N44" s="602"/>
      <c r="O44" s="586"/>
      <c r="P44" s="603"/>
    </row>
    <row r="45" spans="1:17" x14ac:dyDescent="0.2">
      <c r="A45" s="584"/>
      <c r="E45" s="624">
        <f>(E43-G43)/E43</f>
        <v>0.19694613388793239</v>
      </c>
      <c r="G45" s="624"/>
      <c r="H45" s="624">
        <f>(H43-I43)/H43</f>
        <v>3.2582673764363045E-2</v>
      </c>
    </row>
    <row r="46" spans="1:17" x14ac:dyDescent="0.2">
      <c r="A46" s="584"/>
      <c r="E46" s="623"/>
      <c r="H46" s="601">
        <f>H43-I43</f>
        <v>265125139.62000179</v>
      </c>
    </row>
    <row r="47" spans="1:17" x14ac:dyDescent="0.2">
      <c r="A47" s="584"/>
    </row>
    <row r="48" spans="1:17" x14ac:dyDescent="0.2">
      <c r="A48" s="584"/>
    </row>
  </sheetData>
  <sheetProtection selectLockedCells="1" selectUnlockedCells="1"/>
  <mergeCells count="5">
    <mergeCell ref="A4:A5"/>
    <mergeCell ref="B4:B5"/>
    <mergeCell ref="N4:N5"/>
    <mergeCell ref="O4:O5"/>
    <mergeCell ref="P4:P5"/>
  </mergeCells>
  <printOptions horizontalCentered="1"/>
  <pageMargins left="0.5" right="0.5" top="0.78749999999999998" bottom="0.78749999999999998" header="0.51180555555555551" footer="0.51180555555555551"/>
  <pageSetup paperSize="9" scale="69" firstPageNumber="0" orientation="landscape" r:id="rId1"/>
  <headerFooter alignWithMargins="0"/>
  <ignoredErrors>
    <ignoredError sqref="G9 G14 G18 G22:G2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7" zoomScaleNormal="87" workbookViewId="0">
      <selection activeCell="B20" sqref="B20"/>
    </sheetView>
  </sheetViews>
  <sheetFormatPr defaultRowHeight="12.75" x14ac:dyDescent="0.2"/>
  <cols>
    <col min="1" max="1" width="17.42578125" customWidth="1"/>
    <col min="2" max="2" width="19.28515625" bestFit="1" customWidth="1"/>
    <col min="3" max="6" width="12.5703125" bestFit="1" customWidth="1"/>
    <col min="7" max="7" width="14" customWidth="1"/>
    <col min="8" max="13" width="12.5703125" bestFit="1" customWidth="1"/>
    <col min="14" max="14" width="14.140625" style="2" customWidth="1"/>
    <col min="15" max="15" width="60.5703125" customWidth="1"/>
  </cols>
  <sheetData>
    <row r="1" spans="1:15" ht="18.75" x14ac:dyDescent="0.3">
      <c r="A1" s="138" t="s">
        <v>223</v>
      </c>
      <c r="L1" t="s">
        <v>298</v>
      </c>
    </row>
    <row r="2" spans="1:15" ht="17.100000000000001" customHeight="1" x14ac:dyDescent="0.25">
      <c r="A2" s="139" t="s">
        <v>243</v>
      </c>
    </row>
    <row r="3" spans="1:15" s="2" customFormat="1" ht="15.4" customHeight="1" x14ac:dyDescent="0.25">
      <c r="A3" s="139" t="s">
        <v>244</v>
      </c>
      <c r="B3" s="139" t="s">
        <v>245</v>
      </c>
    </row>
    <row r="5" spans="1:15" s="142" customFormat="1" ht="20.65" customHeight="1" x14ac:dyDescent="0.2">
      <c r="A5" s="140"/>
      <c r="B5" s="141">
        <v>41275</v>
      </c>
      <c r="C5" s="141">
        <v>41306</v>
      </c>
      <c r="D5" s="141">
        <v>41334</v>
      </c>
      <c r="E5" s="141">
        <v>41365</v>
      </c>
      <c r="F5" s="141">
        <v>41395</v>
      </c>
      <c r="G5" s="141">
        <v>41426</v>
      </c>
      <c r="H5" s="141">
        <v>41456</v>
      </c>
      <c r="I5" s="141">
        <v>41487</v>
      </c>
      <c r="J5" s="141">
        <v>41518</v>
      </c>
      <c r="K5" s="141">
        <v>41548</v>
      </c>
      <c r="L5" s="141">
        <v>41579</v>
      </c>
      <c r="M5" s="141">
        <v>41609</v>
      </c>
      <c r="N5" s="140" t="s">
        <v>246</v>
      </c>
      <c r="O5" s="140" t="s">
        <v>247</v>
      </c>
    </row>
    <row r="6" spans="1:15" x14ac:dyDescent="0.2">
      <c r="A6" s="143" t="s">
        <v>248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</row>
    <row r="7" spans="1:15" s="167" customFormat="1" x14ac:dyDescent="0.2">
      <c r="A7" s="164" t="s">
        <v>249</v>
      </c>
      <c r="B7" s="165"/>
      <c r="C7" s="164"/>
      <c r="D7" s="165"/>
      <c r="E7" s="165">
        <v>6650000</v>
      </c>
      <c r="F7" s="165"/>
      <c r="G7" s="165"/>
      <c r="H7" s="165"/>
      <c r="I7" s="165"/>
      <c r="J7" s="165"/>
      <c r="K7" s="165">
        <v>6650000</v>
      </c>
      <c r="L7" s="165"/>
      <c r="M7" s="165"/>
      <c r="N7" s="166">
        <f t="shared" ref="N7:N13" si="0">SUM(B7:M7)</f>
        <v>13300000</v>
      </c>
      <c r="O7" s="164" t="s">
        <v>250</v>
      </c>
    </row>
    <row r="8" spans="1:15" s="167" customFormat="1" x14ac:dyDescent="0.2">
      <c r="A8" s="164" t="s">
        <v>251</v>
      </c>
      <c r="C8" s="165"/>
      <c r="D8" s="165"/>
      <c r="E8" s="165"/>
      <c r="F8" s="165">
        <v>4750000</v>
      </c>
      <c r="G8" s="165"/>
      <c r="H8" s="165"/>
      <c r="I8" s="165"/>
      <c r="J8" s="165">
        <v>4750000</v>
      </c>
      <c r="K8" s="165"/>
      <c r="L8" s="165"/>
      <c r="M8" s="165"/>
      <c r="N8" s="166">
        <f t="shared" si="0"/>
        <v>9500000</v>
      </c>
      <c r="O8" s="164" t="s">
        <v>252</v>
      </c>
    </row>
    <row r="9" spans="1:15" s="62" customFormat="1" x14ac:dyDescent="0.2">
      <c r="A9" s="29" t="s">
        <v>253</v>
      </c>
      <c r="B9" s="146">
        <v>674500</v>
      </c>
      <c r="C9" s="146">
        <v>674500</v>
      </c>
      <c r="D9" s="146">
        <v>674500</v>
      </c>
      <c r="E9" s="146">
        <v>674500</v>
      </c>
      <c r="F9" s="146">
        <v>674500</v>
      </c>
      <c r="G9" s="146">
        <v>674500</v>
      </c>
      <c r="H9" s="146">
        <v>674500</v>
      </c>
      <c r="I9" s="146">
        <v>674500</v>
      </c>
      <c r="J9" s="146">
        <v>674500</v>
      </c>
      <c r="K9" s="146">
        <v>674500</v>
      </c>
      <c r="L9" s="146">
        <v>674500</v>
      </c>
      <c r="M9" s="146">
        <v>674500</v>
      </c>
      <c r="N9" s="145">
        <f t="shared" si="0"/>
        <v>8094000</v>
      </c>
      <c r="O9" s="29" t="s">
        <v>254</v>
      </c>
    </row>
    <row r="10" spans="1:15" x14ac:dyDescent="0.2">
      <c r="A10" s="29" t="s">
        <v>255</v>
      </c>
      <c r="B10" s="147"/>
      <c r="C10" s="147">
        <v>2850000</v>
      </c>
      <c r="D10" s="147"/>
      <c r="E10" s="147"/>
      <c r="F10" s="147"/>
      <c r="G10" s="147">
        <v>2850000</v>
      </c>
      <c r="H10" s="147"/>
      <c r="I10" s="147"/>
      <c r="J10" s="147"/>
      <c r="K10" s="147"/>
      <c r="L10" s="147"/>
      <c r="M10" s="147"/>
      <c r="N10" s="145">
        <f t="shared" si="0"/>
        <v>5700000</v>
      </c>
      <c r="O10" s="29" t="s">
        <v>256</v>
      </c>
    </row>
    <row r="11" spans="1:15" x14ac:dyDescent="0.2">
      <c r="A11" s="29" t="s">
        <v>257</v>
      </c>
      <c r="B11" s="147"/>
      <c r="C11" s="147">
        <v>400000</v>
      </c>
      <c r="D11" s="147"/>
      <c r="E11" s="147"/>
      <c r="F11" s="147"/>
      <c r="G11" s="147">
        <v>0</v>
      </c>
      <c r="H11" s="147"/>
      <c r="I11" s="147">
        <v>350000</v>
      </c>
      <c r="J11" s="147"/>
      <c r="K11" s="147">
        <v>350000</v>
      </c>
      <c r="L11" s="147"/>
      <c r="M11" s="147"/>
      <c r="N11" s="145">
        <f t="shared" si="0"/>
        <v>1100000</v>
      </c>
      <c r="O11" s="29" t="s">
        <v>258</v>
      </c>
    </row>
    <row r="12" spans="1:15" x14ac:dyDescent="0.2">
      <c r="A12" s="29" t="s">
        <v>259</v>
      </c>
      <c r="B12" s="147"/>
      <c r="C12" s="147">
        <v>25650000</v>
      </c>
      <c r="D12" s="147"/>
      <c r="E12" s="147"/>
      <c r="F12" s="147">
        <v>19950000</v>
      </c>
      <c r="G12" s="147"/>
      <c r="H12" s="147"/>
      <c r="I12" s="147"/>
      <c r="J12" s="147"/>
      <c r="K12" s="147"/>
      <c r="L12" s="147"/>
      <c r="M12" s="147"/>
      <c r="N12" s="145">
        <f t="shared" si="0"/>
        <v>45600000</v>
      </c>
      <c r="O12" s="29" t="s">
        <v>260</v>
      </c>
    </row>
    <row r="13" spans="1:15" x14ac:dyDescent="0.2">
      <c r="A13" s="29" t="s">
        <v>261</v>
      </c>
      <c r="B13" s="147"/>
      <c r="C13" s="147"/>
      <c r="D13" s="147">
        <v>1064000</v>
      </c>
      <c r="E13" s="147"/>
      <c r="F13" s="147">
        <v>1064000</v>
      </c>
      <c r="G13" s="147"/>
      <c r="H13" s="147"/>
      <c r="I13" s="147"/>
      <c r="J13" s="147"/>
      <c r="K13" s="147"/>
      <c r="L13" s="147"/>
      <c r="M13" s="147"/>
      <c r="N13" s="145">
        <f t="shared" si="0"/>
        <v>2128000</v>
      </c>
      <c r="O13" s="29" t="s">
        <v>262</v>
      </c>
    </row>
    <row r="14" spans="1:15" s="2" customFormat="1" x14ac:dyDescent="0.2">
      <c r="A14" s="105" t="s">
        <v>263</v>
      </c>
      <c r="B14" s="148">
        <f t="shared" ref="B14:N14" si="1">SUM(B7:B13)</f>
        <v>674500</v>
      </c>
      <c r="C14" s="148">
        <f t="shared" si="1"/>
        <v>29574500</v>
      </c>
      <c r="D14" s="148">
        <f t="shared" si="1"/>
        <v>1738500</v>
      </c>
      <c r="E14" s="148">
        <f t="shared" si="1"/>
        <v>7324500</v>
      </c>
      <c r="F14" s="148">
        <f t="shared" si="1"/>
        <v>26438500</v>
      </c>
      <c r="G14" s="148">
        <f t="shared" si="1"/>
        <v>3524500</v>
      </c>
      <c r="H14" s="148">
        <f t="shared" si="1"/>
        <v>674500</v>
      </c>
      <c r="I14" s="148">
        <f t="shared" si="1"/>
        <v>1024500</v>
      </c>
      <c r="J14" s="148">
        <f t="shared" si="1"/>
        <v>5424500</v>
      </c>
      <c r="K14" s="148">
        <f t="shared" si="1"/>
        <v>7674500</v>
      </c>
      <c r="L14" s="148">
        <f t="shared" si="1"/>
        <v>674500</v>
      </c>
      <c r="M14" s="148">
        <f t="shared" si="1"/>
        <v>674500</v>
      </c>
      <c r="N14" s="145">
        <f t="shared" si="1"/>
        <v>85422000</v>
      </c>
      <c r="O14" s="149"/>
    </row>
    <row r="15" spans="1:15" x14ac:dyDescent="0.2">
      <c r="A15" s="29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5"/>
      <c r="O15" s="29"/>
    </row>
    <row r="16" spans="1:15" x14ac:dyDescent="0.2">
      <c r="A16" s="143" t="s">
        <v>264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9"/>
    </row>
    <row r="17" spans="1:15" s="171" customFormat="1" x14ac:dyDescent="0.2">
      <c r="A17" s="168" t="s">
        <v>249</v>
      </c>
      <c r="B17" s="169">
        <v>6650000</v>
      </c>
      <c r="C17" s="169"/>
      <c r="D17" s="169"/>
      <c r="E17" s="169"/>
      <c r="F17" s="169"/>
      <c r="G17" s="169"/>
      <c r="H17" s="169">
        <v>6650000</v>
      </c>
      <c r="I17" s="169"/>
      <c r="J17" s="169"/>
      <c r="K17" s="169"/>
      <c r="L17" s="169"/>
      <c r="M17" s="169"/>
      <c r="N17" s="170">
        <f t="shared" ref="N17:N22" si="2">SUM(B17:M17)</f>
        <v>13300000</v>
      </c>
      <c r="O17" s="168" t="s">
        <v>250</v>
      </c>
    </row>
    <row r="18" spans="1:15" x14ac:dyDescent="0.2">
      <c r="A18" s="29" t="s">
        <v>251</v>
      </c>
      <c r="B18" s="172">
        <v>4750000</v>
      </c>
      <c r="C18" s="146"/>
      <c r="D18" s="147">
        <v>4750000</v>
      </c>
      <c r="E18" s="147"/>
      <c r="F18" s="147"/>
      <c r="G18" s="147"/>
      <c r="H18" s="147">
        <v>4750000</v>
      </c>
      <c r="I18" s="147"/>
      <c r="J18" s="147"/>
      <c r="K18" s="147"/>
      <c r="L18" s="147">
        <v>4750000</v>
      </c>
      <c r="M18" s="147"/>
      <c r="N18" s="145">
        <f>SUM(B18:M18)</f>
        <v>19000000</v>
      </c>
      <c r="O18" s="29" t="s">
        <v>252</v>
      </c>
    </row>
    <row r="19" spans="1:15" x14ac:dyDescent="0.2">
      <c r="A19" s="29" t="s">
        <v>253</v>
      </c>
      <c r="B19" s="147">
        <v>674500</v>
      </c>
      <c r="C19" s="147">
        <v>674500</v>
      </c>
      <c r="D19" s="147">
        <v>674500</v>
      </c>
      <c r="E19" s="147">
        <v>674500</v>
      </c>
      <c r="F19" s="147">
        <v>674500</v>
      </c>
      <c r="G19" s="147">
        <v>674500</v>
      </c>
      <c r="H19" s="147">
        <v>674500</v>
      </c>
      <c r="I19" s="147">
        <v>674500</v>
      </c>
      <c r="J19" s="147">
        <v>674500</v>
      </c>
      <c r="K19" s="147">
        <v>674500</v>
      </c>
      <c r="L19" s="147">
        <v>674500</v>
      </c>
      <c r="M19" s="147">
        <v>674500</v>
      </c>
      <c r="N19" s="145">
        <f t="shared" si="2"/>
        <v>8094000</v>
      </c>
      <c r="O19" s="29" t="s">
        <v>254</v>
      </c>
    </row>
    <row r="20" spans="1:15" x14ac:dyDescent="0.2">
      <c r="A20" s="29" t="s">
        <v>255</v>
      </c>
      <c r="B20" s="150">
        <v>1900000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45">
        <f t="shared" si="2"/>
        <v>1900000</v>
      </c>
      <c r="O20" s="29" t="s">
        <v>265</v>
      </c>
    </row>
    <row r="21" spans="1:15" x14ac:dyDescent="0.2">
      <c r="A21" s="29" t="s">
        <v>257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>
        <v>23750000</v>
      </c>
      <c r="M21" s="150"/>
      <c r="N21" s="145">
        <f t="shared" si="2"/>
        <v>23750000</v>
      </c>
      <c r="O21" s="29" t="s">
        <v>266</v>
      </c>
    </row>
    <row r="22" spans="1:15" x14ac:dyDescent="0.2">
      <c r="A22" s="29" t="s">
        <v>267</v>
      </c>
      <c r="B22" s="150">
        <v>16910000</v>
      </c>
      <c r="C22" s="150">
        <v>16910000</v>
      </c>
      <c r="D22" s="150">
        <v>16910000</v>
      </c>
      <c r="E22" s="150">
        <v>16910000</v>
      </c>
      <c r="F22" s="150">
        <v>16910000</v>
      </c>
      <c r="G22" s="150">
        <v>16910000</v>
      </c>
      <c r="H22" s="150">
        <v>16910000</v>
      </c>
      <c r="I22" s="150">
        <v>16910000</v>
      </c>
      <c r="J22" s="150">
        <v>16910000</v>
      </c>
      <c r="K22" s="150">
        <v>16910000</v>
      </c>
      <c r="L22" s="150">
        <v>16910000</v>
      </c>
      <c r="M22" s="150">
        <v>16910000</v>
      </c>
      <c r="N22" s="145">
        <f t="shared" si="2"/>
        <v>202920000</v>
      </c>
      <c r="O22" s="29" t="s">
        <v>268</v>
      </c>
    </row>
    <row r="23" spans="1:15" s="2" customFormat="1" x14ac:dyDescent="0.2">
      <c r="A23" s="105" t="s">
        <v>263</v>
      </c>
      <c r="B23" s="145">
        <f t="shared" ref="B23:N23" si="3">SUM(B17:B22)</f>
        <v>30884500</v>
      </c>
      <c r="C23" s="145">
        <f t="shared" si="3"/>
        <v>17584500</v>
      </c>
      <c r="D23" s="145">
        <f t="shared" si="3"/>
        <v>22334500</v>
      </c>
      <c r="E23" s="145">
        <f t="shared" si="3"/>
        <v>17584500</v>
      </c>
      <c r="F23" s="145">
        <f t="shared" si="3"/>
        <v>17584500</v>
      </c>
      <c r="G23" s="145">
        <f t="shared" si="3"/>
        <v>17584500</v>
      </c>
      <c r="H23" s="145">
        <f t="shared" si="3"/>
        <v>28984500</v>
      </c>
      <c r="I23" s="145">
        <f t="shared" si="3"/>
        <v>17584500</v>
      </c>
      <c r="J23" s="145">
        <f t="shared" si="3"/>
        <v>17584500</v>
      </c>
      <c r="K23" s="145">
        <f t="shared" si="3"/>
        <v>17584500</v>
      </c>
      <c r="L23" s="145">
        <f t="shared" si="3"/>
        <v>46084500</v>
      </c>
      <c r="M23" s="145">
        <f t="shared" si="3"/>
        <v>17584500</v>
      </c>
      <c r="N23" s="145">
        <f t="shared" si="3"/>
        <v>268964000</v>
      </c>
      <c r="O23" s="149"/>
    </row>
    <row r="24" spans="1:15" x14ac:dyDescent="0.2">
      <c r="A24" s="29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45"/>
      <c r="O24" s="29"/>
    </row>
    <row r="25" spans="1:15" x14ac:dyDescent="0.2">
      <c r="A25" s="143" t="s">
        <v>269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51"/>
      <c r="O25" s="149"/>
    </row>
    <row r="26" spans="1:15" x14ac:dyDescent="0.2">
      <c r="A26" s="41" t="s">
        <v>253</v>
      </c>
      <c r="B26" s="147">
        <v>47500</v>
      </c>
      <c r="C26" s="147">
        <v>47500</v>
      </c>
      <c r="D26" s="147">
        <v>47500</v>
      </c>
      <c r="E26" s="147">
        <v>47500</v>
      </c>
      <c r="F26" s="147">
        <v>47500</v>
      </c>
      <c r="G26" s="147">
        <v>47500</v>
      </c>
      <c r="H26" s="147">
        <v>47500</v>
      </c>
      <c r="I26" s="147">
        <v>47500</v>
      </c>
      <c r="J26" s="147">
        <v>47500</v>
      </c>
      <c r="K26" s="147">
        <v>47500</v>
      </c>
      <c r="L26" s="147">
        <v>47500</v>
      </c>
      <c r="M26" s="147">
        <v>47500</v>
      </c>
      <c r="N26" s="148">
        <f>SUM(B26:M26)</f>
        <v>570000</v>
      </c>
      <c r="O26" s="41" t="s">
        <v>270</v>
      </c>
    </row>
    <row r="27" spans="1:15" x14ac:dyDescent="0.2">
      <c r="A27" s="41" t="s">
        <v>255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8">
        <f>SUM(B27:M27)</f>
        <v>0</v>
      </c>
      <c r="O27" s="41"/>
    </row>
    <row r="28" spans="1:15" x14ac:dyDescent="0.2">
      <c r="A28" s="41" t="s">
        <v>257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8">
        <f>SUM(B28:M28)</f>
        <v>0</v>
      </c>
      <c r="O28" s="41"/>
    </row>
    <row r="29" spans="1:15" x14ac:dyDescent="0.2">
      <c r="A29" s="41" t="s">
        <v>267</v>
      </c>
      <c r="B29" s="147">
        <v>0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  <c r="K29" s="147">
        <v>0</v>
      </c>
      <c r="L29" s="147">
        <v>0</v>
      </c>
      <c r="M29" s="147">
        <v>0</v>
      </c>
      <c r="N29" s="148">
        <f>SUM(B29:M29)</f>
        <v>0</v>
      </c>
      <c r="O29" s="41"/>
    </row>
    <row r="30" spans="1:15" s="2" customFormat="1" x14ac:dyDescent="0.2">
      <c r="A30" s="24" t="s">
        <v>263</v>
      </c>
      <c r="B30" s="148">
        <f t="shared" ref="B30:N30" si="4">SUM(B26:B29)</f>
        <v>47500</v>
      </c>
      <c r="C30" s="148">
        <f t="shared" si="4"/>
        <v>47500</v>
      </c>
      <c r="D30" s="148">
        <f t="shared" si="4"/>
        <v>47500</v>
      </c>
      <c r="E30" s="148">
        <f t="shared" si="4"/>
        <v>47500</v>
      </c>
      <c r="F30" s="148">
        <f t="shared" si="4"/>
        <v>47500</v>
      </c>
      <c r="G30" s="148">
        <f t="shared" si="4"/>
        <v>47500</v>
      </c>
      <c r="H30" s="148">
        <f t="shared" si="4"/>
        <v>47500</v>
      </c>
      <c r="I30" s="148">
        <f t="shared" si="4"/>
        <v>47500</v>
      </c>
      <c r="J30" s="148">
        <f t="shared" si="4"/>
        <v>47500</v>
      </c>
      <c r="K30" s="148">
        <f t="shared" si="4"/>
        <v>47500</v>
      </c>
      <c r="L30" s="148">
        <f t="shared" si="4"/>
        <v>47500</v>
      </c>
      <c r="M30" s="148">
        <f t="shared" si="4"/>
        <v>47500</v>
      </c>
      <c r="N30" s="148">
        <f t="shared" si="4"/>
        <v>570000</v>
      </c>
      <c r="O30" s="106"/>
    </row>
    <row r="31" spans="1:15" x14ac:dyDescent="0.2">
      <c r="A31" s="29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45"/>
      <c r="O31" s="29"/>
    </row>
    <row r="32" spans="1:15" x14ac:dyDescent="0.2">
      <c r="A32" s="29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45"/>
      <c r="O32" s="29"/>
    </row>
    <row r="33" spans="1:15" s="2" customFormat="1" x14ac:dyDescent="0.2">
      <c r="A33" s="105" t="s">
        <v>246</v>
      </c>
      <c r="B33" s="152">
        <f t="shared" ref="B33:N33" si="5">B14+B23+B30</f>
        <v>31606500</v>
      </c>
      <c r="C33" s="152">
        <f t="shared" si="5"/>
        <v>47206500</v>
      </c>
      <c r="D33" s="152">
        <f t="shared" si="5"/>
        <v>24120500</v>
      </c>
      <c r="E33" s="152">
        <f t="shared" si="5"/>
        <v>24956500</v>
      </c>
      <c r="F33" s="152">
        <f t="shared" si="5"/>
        <v>44070500</v>
      </c>
      <c r="G33" s="152">
        <f t="shared" si="5"/>
        <v>21156500</v>
      </c>
      <c r="H33" s="152">
        <f t="shared" si="5"/>
        <v>29706500</v>
      </c>
      <c r="I33" s="152">
        <f t="shared" si="5"/>
        <v>18656500</v>
      </c>
      <c r="J33" s="152">
        <f t="shared" si="5"/>
        <v>23056500</v>
      </c>
      <c r="K33" s="152">
        <f t="shared" si="5"/>
        <v>25306500</v>
      </c>
      <c r="L33" s="152">
        <f t="shared" si="5"/>
        <v>46806500</v>
      </c>
      <c r="M33" s="152">
        <f t="shared" si="5"/>
        <v>18306500</v>
      </c>
      <c r="N33" s="152">
        <f t="shared" si="5"/>
        <v>354956000</v>
      </c>
      <c r="O33" s="149"/>
    </row>
    <row r="34" spans="1: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105"/>
      <c r="O34" s="29"/>
    </row>
    <row r="35" spans="1:15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105"/>
      <c r="O35" s="29"/>
    </row>
    <row r="37" spans="1:15" x14ac:dyDescent="0.2">
      <c r="A37" s="2" t="s">
        <v>271</v>
      </c>
    </row>
    <row r="39" spans="1:15" s="89" customFormat="1" x14ac:dyDescent="0.2">
      <c r="A39" s="89" t="s">
        <v>272</v>
      </c>
      <c r="C39" s="89" t="s">
        <v>273</v>
      </c>
      <c r="G39" s="89" t="s">
        <v>274</v>
      </c>
      <c r="N39" s="8"/>
    </row>
  </sheetData>
  <sheetProtection selectLockedCells="1" selectUnlockedCells="1"/>
  <pageMargins left="0.28958333333333336" right="0.24930555555555556" top="0.38541666666666669" bottom="0.4861111111111111" header="0.51180555555555551" footer="0.51180555555555551"/>
  <pageSetup paperSize="9" scale="62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7" zoomScaleNormal="87" workbookViewId="0">
      <selection activeCell="F31" sqref="F31"/>
    </sheetView>
  </sheetViews>
  <sheetFormatPr defaultColWidth="11.5703125" defaultRowHeight="12.75" x14ac:dyDescent="0.2"/>
  <cols>
    <col min="1" max="1" width="3.5703125" customWidth="1"/>
    <col min="2" max="2" width="5" customWidth="1"/>
    <col min="3" max="3" width="28.7109375" customWidth="1"/>
    <col min="4" max="4" width="16" style="89" customWidth="1"/>
    <col min="5" max="5" width="8.140625" customWidth="1"/>
    <col min="6" max="6" width="13.7109375" customWidth="1"/>
    <col min="7" max="7" width="11.28515625" customWidth="1"/>
    <col min="8" max="8" width="9.5703125" style="89" customWidth="1"/>
    <col min="9" max="9" width="19.140625" style="2" customWidth="1"/>
    <col min="10" max="10" width="23.5703125" customWidth="1"/>
    <col min="11" max="255" width="9.140625" customWidth="1"/>
  </cols>
  <sheetData>
    <row r="1" spans="1:10" x14ac:dyDescent="0.2">
      <c r="A1" s="62"/>
      <c r="B1" s="650" t="s">
        <v>223</v>
      </c>
      <c r="C1" s="650"/>
    </row>
    <row r="2" spans="1:10" x14ac:dyDescent="0.2">
      <c r="A2" s="62"/>
      <c r="B2" s="650">
        <v>2013</v>
      </c>
      <c r="C2" s="650"/>
    </row>
    <row r="3" spans="1:10" x14ac:dyDescent="0.2">
      <c r="A3" s="62"/>
      <c r="B3" s="650" t="s">
        <v>275</v>
      </c>
      <c r="C3" s="650"/>
    </row>
    <row r="5" spans="1:10" s="2" customFormat="1" ht="12.75" customHeight="1" x14ac:dyDescent="0.2">
      <c r="B5" s="648" t="s">
        <v>276</v>
      </c>
      <c r="C5" s="648" t="s">
        <v>277</v>
      </c>
      <c r="D5" s="651" t="s">
        <v>278</v>
      </c>
      <c r="E5" s="648" t="s">
        <v>279</v>
      </c>
      <c r="F5" s="648" t="s">
        <v>280</v>
      </c>
      <c r="G5" s="648" t="s">
        <v>281</v>
      </c>
      <c r="H5" s="648"/>
      <c r="I5" s="648"/>
      <c r="J5" s="649" t="s">
        <v>282</v>
      </c>
    </row>
    <row r="6" spans="1:10" s="2" customFormat="1" ht="15" x14ac:dyDescent="0.25">
      <c r="B6" s="648"/>
      <c r="C6" s="648"/>
      <c r="D6" s="648"/>
      <c r="E6" s="648"/>
      <c r="F6" s="648"/>
      <c r="G6" s="153" t="s">
        <v>283</v>
      </c>
      <c r="H6" s="153" t="s">
        <v>279</v>
      </c>
      <c r="I6" s="154" t="s">
        <v>246</v>
      </c>
      <c r="J6" s="649"/>
    </row>
    <row r="7" spans="1:10" x14ac:dyDescent="0.2">
      <c r="B7" s="29">
        <v>1</v>
      </c>
      <c r="C7" s="29" t="s">
        <v>284</v>
      </c>
      <c r="D7" s="155">
        <v>750</v>
      </c>
      <c r="E7" s="155">
        <v>85</v>
      </c>
      <c r="F7" s="156">
        <v>605625000</v>
      </c>
      <c r="G7" s="157"/>
      <c r="H7" s="158"/>
      <c r="I7" s="159"/>
      <c r="J7" s="29" t="s">
        <v>285</v>
      </c>
    </row>
    <row r="8" spans="1:10" x14ac:dyDescent="0.2">
      <c r="B8" s="29">
        <v>2</v>
      </c>
      <c r="C8" s="29" t="s">
        <v>286</v>
      </c>
      <c r="D8" s="155">
        <v>5000</v>
      </c>
      <c r="E8" s="155">
        <v>1</v>
      </c>
      <c r="F8" s="156">
        <v>47500000</v>
      </c>
      <c r="G8" s="157"/>
      <c r="H8" s="158"/>
      <c r="I8" s="159"/>
      <c r="J8" s="29" t="s">
        <v>285</v>
      </c>
    </row>
    <row r="9" spans="1:10" x14ac:dyDescent="0.2">
      <c r="B9" s="29">
        <v>3</v>
      </c>
      <c r="C9" s="29" t="s">
        <v>287</v>
      </c>
      <c r="D9" s="155">
        <v>200</v>
      </c>
      <c r="E9" s="155">
        <v>5</v>
      </c>
      <c r="F9" s="156">
        <v>9500000</v>
      </c>
      <c r="G9" s="157"/>
      <c r="H9" s="158"/>
      <c r="I9" s="159"/>
      <c r="J9" s="29" t="s">
        <v>285</v>
      </c>
    </row>
    <row r="10" spans="1:10" x14ac:dyDescent="0.2">
      <c r="B10" s="29">
        <v>4</v>
      </c>
      <c r="C10" s="29" t="s">
        <v>288</v>
      </c>
      <c r="D10" s="155">
        <v>200</v>
      </c>
      <c r="E10" s="155">
        <v>7</v>
      </c>
      <c r="F10" s="156">
        <v>13300000</v>
      </c>
      <c r="G10" s="157"/>
      <c r="H10" s="158"/>
      <c r="I10" s="159"/>
      <c r="J10" s="29" t="s">
        <v>285</v>
      </c>
    </row>
    <row r="11" spans="1:10" x14ac:dyDescent="0.2">
      <c r="B11" s="29">
        <v>5</v>
      </c>
      <c r="C11" s="29" t="s">
        <v>289</v>
      </c>
      <c r="D11" s="155">
        <v>178</v>
      </c>
      <c r="E11" s="155">
        <v>18</v>
      </c>
      <c r="F11" s="156">
        <v>30438000</v>
      </c>
      <c r="G11" s="157"/>
      <c r="H11" s="158"/>
      <c r="I11" s="159"/>
      <c r="J11" s="29" t="s">
        <v>285</v>
      </c>
    </row>
    <row r="12" spans="1:10" x14ac:dyDescent="0.2">
      <c r="B12" s="29">
        <v>6</v>
      </c>
      <c r="C12" s="29" t="s">
        <v>290</v>
      </c>
      <c r="D12" s="155">
        <v>700</v>
      </c>
      <c r="E12" s="155">
        <v>3</v>
      </c>
      <c r="F12" s="156">
        <v>19950000</v>
      </c>
      <c r="G12" s="157"/>
      <c r="H12" s="158"/>
      <c r="I12" s="159"/>
      <c r="J12" s="29" t="s">
        <v>285</v>
      </c>
    </row>
    <row r="13" spans="1:10" x14ac:dyDescent="0.2">
      <c r="B13" s="29">
        <v>7</v>
      </c>
      <c r="C13" s="29" t="s">
        <v>291</v>
      </c>
      <c r="D13" s="155">
        <v>500</v>
      </c>
      <c r="E13" s="155">
        <v>2</v>
      </c>
      <c r="F13" s="156">
        <v>9500000</v>
      </c>
      <c r="G13" s="157"/>
      <c r="H13" s="158"/>
      <c r="I13" s="159"/>
      <c r="J13" s="29" t="s">
        <v>285</v>
      </c>
    </row>
    <row r="14" spans="1:10" x14ac:dyDescent="0.2">
      <c r="B14" s="29">
        <v>8</v>
      </c>
      <c r="C14" s="29" t="s">
        <v>292</v>
      </c>
      <c r="D14" s="155">
        <v>5000</v>
      </c>
      <c r="E14" s="155">
        <v>1</v>
      </c>
      <c r="F14" s="156">
        <v>47500000</v>
      </c>
      <c r="G14" s="157"/>
      <c r="H14" s="158"/>
      <c r="I14" s="159"/>
      <c r="J14" s="29" t="s">
        <v>285</v>
      </c>
    </row>
    <row r="15" spans="1:10" x14ac:dyDescent="0.2">
      <c r="B15" s="29">
        <v>9</v>
      </c>
      <c r="C15" s="29" t="s">
        <v>293</v>
      </c>
      <c r="D15" s="155">
        <v>75</v>
      </c>
      <c r="E15" s="155">
        <v>20</v>
      </c>
      <c r="F15" s="156">
        <v>14250000</v>
      </c>
      <c r="G15" s="157"/>
      <c r="H15" s="158"/>
      <c r="I15" s="159"/>
      <c r="J15" s="29" t="s">
        <v>285</v>
      </c>
    </row>
    <row r="16" spans="1:10" x14ac:dyDescent="0.2">
      <c r="B16" s="29">
        <v>10</v>
      </c>
      <c r="C16" s="29" t="s">
        <v>294</v>
      </c>
      <c r="D16" s="155">
        <v>2500</v>
      </c>
      <c r="E16" s="155">
        <v>1</v>
      </c>
      <c r="F16" s="156">
        <v>23750000</v>
      </c>
      <c r="G16" s="157"/>
      <c r="H16" s="158"/>
      <c r="I16" s="159"/>
      <c r="J16" s="29" t="s">
        <v>285</v>
      </c>
    </row>
    <row r="17" spans="2:10" x14ac:dyDescent="0.2">
      <c r="B17" s="29">
        <v>11</v>
      </c>
      <c r="C17" s="29" t="s">
        <v>295</v>
      </c>
      <c r="D17" s="155">
        <v>700</v>
      </c>
      <c r="E17" s="155">
        <v>1</v>
      </c>
      <c r="F17" s="156">
        <v>6650000</v>
      </c>
      <c r="G17" s="157"/>
      <c r="H17" s="158"/>
      <c r="I17" s="159"/>
      <c r="J17" s="29"/>
    </row>
    <row r="18" spans="2:10" x14ac:dyDescent="0.2">
      <c r="B18" s="29">
        <v>12</v>
      </c>
      <c r="C18" s="29" t="s">
        <v>296</v>
      </c>
      <c r="D18" s="155">
        <v>3500</v>
      </c>
      <c r="E18" s="155">
        <v>3</v>
      </c>
      <c r="F18" s="156">
        <v>99750000</v>
      </c>
      <c r="G18" s="157"/>
      <c r="H18" s="158"/>
      <c r="I18" s="159"/>
      <c r="J18" s="29"/>
    </row>
    <row r="19" spans="2:10" x14ac:dyDescent="0.2">
      <c r="B19" s="29">
        <v>13</v>
      </c>
      <c r="C19" s="29"/>
      <c r="D19" s="155"/>
      <c r="E19" s="155"/>
      <c r="F19" s="156"/>
      <c r="G19" s="157"/>
      <c r="H19" s="158"/>
      <c r="I19" s="159"/>
      <c r="J19" s="29"/>
    </row>
    <row r="20" spans="2:10" x14ac:dyDescent="0.2">
      <c r="B20" s="29">
        <v>14</v>
      </c>
      <c r="C20" s="29"/>
      <c r="D20" s="155"/>
      <c r="E20" s="155"/>
      <c r="F20" s="156"/>
      <c r="G20" s="157"/>
      <c r="H20" s="158"/>
      <c r="I20" s="159"/>
      <c r="J20" s="29"/>
    </row>
    <row r="21" spans="2:10" x14ac:dyDescent="0.2">
      <c r="B21" s="29">
        <v>15</v>
      </c>
      <c r="C21" s="29"/>
      <c r="D21" s="155"/>
      <c r="E21" s="155"/>
      <c r="F21" s="156"/>
      <c r="G21" s="157"/>
      <c r="H21" s="158"/>
      <c r="I21" s="159"/>
      <c r="J21" s="29"/>
    </row>
    <row r="22" spans="2:10" x14ac:dyDescent="0.2">
      <c r="B22" s="29"/>
      <c r="C22" s="29"/>
      <c r="D22" s="160"/>
      <c r="E22" s="161"/>
      <c r="F22" s="156"/>
      <c r="G22" s="157"/>
      <c r="H22" s="158"/>
      <c r="I22" s="105"/>
      <c r="J22" s="29"/>
    </row>
    <row r="23" spans="2:10" ht="19.899999999999999" customHeight="1" x14ac:dyDescent="0.2">
      <c r="B23" s="29"/>
      <c r="C23" s="140" t="s">
        <v>246</v>
      </c>
      <c r="D23" s="161"/>
      <c r="E23" s="161"/>
      <c r="F23" s="162">
        <f>SUM(F7:F17)</f>
        <v>827963000</v>
      </c>
      <c r="G23" s="29"/>
      <c r="H23" s="161"/>
      <c r="I23" s="105"/>
      <c r="J23" s="29"/>
    </row>
    <row r="27" spans="2:10" s="89" customFormat="1" x14ac:dyDescent="0.2">
      <c r="C27" s="163" t="s">
        <v>297</v>
      </c>
      <c r="D27" s="163"/>
      <c r="F27" s="89" t="s">
        <v>274</v>
      </c>
      <c r="I27" s="8"/>
    </row>
    <row r="28" spans="2:10" x14ac:dyDescent="0.2">
      <c r="C28" s="110"/>
    </row>
    <row r="29" spans="2:10" x14ac:dyDescent="0.2">
      <c r="C29" s="110"/>
    </row>
    <row r="30" spans="2:10" x14ac:dyDescent="0.2">
      <c r="C30" s="110"/>
    </row>
    <row r="31" spans="2:10" x14ac:dyDescent="0.2">
      <c r="C31" s="110"/>
    </row>
    <row r="32" spans="2:10" s="89" customFormat="1" x14ac:dyDescent="0.2">
      <c r="C32" s="163"/>
      <c r="I32" s="8"/>
    </row>
  </sheetData>
  <sheetProtection selectLockedCells="1" selectUnlockedCells="1"/>
  <mergeCells count="10">
    <mergeCell ref="E5:E6"/>
    <mergeCell ref="F5:F6"/>
    <mergeCell ref="G5:I5"/>
    <mergeCell ref="J5:J6"/>
    <mergeCell ref="B1:C1"/>
    <mergeCell ref="B2:C2"/>
    <mergeCell ref="B3:C3"/>
    <mergeCell ref="B5:B6"/>
    <mergeCell ref="C5:C6"/>
    <mergeCell ref="D5:D6"/>
  </mergeCells>
  <pageMargins left="0.60277777777777775" right="0.23958333333333334" top="0.98402777777777772" bottom="0.98402777777777772" header="0.51180555555555551" footer="0.51180555555555551"/>
  <pageSetup scale="80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3"/>
  <sheetViews>
    <sheetView zoomScale="70" zoomScaleNormal="70" zoomScaleSheetLayoutView="70" workbookViewId="0">
      <pane xSplit="3" ySplit="5" topLeftCell="T81" activePane="bottomRight" state="frozen"/>
      <selection pane="topRight" activeCell="D1" sqref="D1"/>
      <selection pane="bottomLeft" activeCell="A132" sqref="A132"/>
      <selection pane="bottomRight" activeCell="T94" sqref="T94"/>
    </sheetView>
  </sheetViews>
  <sheetFormatPr defaultColWidth="11.5703125" defaultRowHeight="12.75" x14ac:dyDescent="0.2"/>
  <cols>
    <col min="1" max="1" width="3.85546875" customWidth="1"/>
    <col min="2" max="2" width="24.140625" customWidth="1"/>
    <col min="3" max="3" width="30" customWidth="1"/>
    <col min="4" max="4" width="15.7109375" style="1" customWidth="1"/>
    <col min="5" max="5" width="14.85546875" style="1" customWidth="1"/>
    <col min="6" max="7" width="15.7109375" style="1" customWidth="1"/>
    <col min="8" max="8" width="14.85546875" style="1" customWidth="1"/>
    <col min="9" max="10" width="15.7109375" style="1" customWidth="1"/>
    <col min="11" max="11" width="15.28515625" style="1" customWidth="1"/>
    <col min="12" max="14" width="16.42578125" style="1" customWidth="1"/>
    <col min="15" max="15" width="15.28515625" style="1" customWidth="1"/>
    <col min="16" max="16" width="18.140625" style="1" customWidth="1"/>
    <col min="17" max="17" width="15.28515625" style="1" customWidth="1"/>
    <col min="18" max="18" width="15.7109375" style="1" customWidth="1"/>
    <col min="19" max="19" width="14.42578125" style="1" customWidth="1"/>
    <col min="20" max="21" width="15.7109375" style="1" customWidth="1"/>
    <col min="22" max="22" width="17.140625" style="1" customWidth="1"/>
    <col min="23" max="23" width="15.7109375" style="1" customWidth="1"/>
    <col min="24" max="25" width="16.42578125" style="1" customWidth="1"/>
    <col min="26" max="26" width="13.85546875" style="1" customWidth="1"/>
    <col min="27" max="27" width="13.42578125" style="1" bestFit="1" customWidth="1"/>
    <col min="28" max="28" width="13.85546875" style="1" customWidth="1"/>
    <col min="29" max="29" width="14.28515625" style="1" customWidth="1"/>
    <col min="30" max="30" width="15.28515625" style="1" bestFit="1" customWidth="1"/>
    <col min="31" max="31" width="14.28515625" style="1" customWidth="1"/>
    <col min="32" max="32" width="13.85546875" style="1" customWidth="1"/>
    <col min="33" max="33" width="13.42578125" style="1" bestFit="1" customWidth="1"/>
    <col min="34" max="34" width="13.85546875" style="1" hidden="1" customWidth="1"/>
    <col min="35" max="36" width="14.42578125" style="1" bestFit="1" customWidth="1"/>
    <col min="37" max="37" width="13.85546875" style="1" bestFit="1" customWidth="1"/>
    <col min="38" max="38" width="11.5703125" style="1" customWidth="1"/>
    <col min="39" max="40" width="13.85546875" style="1" bestFit="1" customWidth="1"/>
    <col min="41" max="41" width="11.5703125" style="1" customWidth="1"/>
    <col min="42" max="43" width="13.85546875" style="1" bestFit="1" customWidth="1"/>
    <col min="44" max="44" width="11.5703125" style="1" customWidth="1"/>
    <col min="45" max="45" width="13.85546875" style="1" bestFit="1" customWidth="1"/>
    <col min="46" max="47" width="11.5703125" style="1" customWidth="1"/>
    <col min="48" max="48" width="16.42578125" style="1" customWidth="1"/>
    <col min="49" max="49" width="0" style="36" hidden="1" customWidth="1"/>
    <col min="50" max="50" width="17.28515625" style="1" customWidth="1"/>
    <col min="51" max="54" width="0" style="1" hidden="1" customWidth="1"/>
  </cols>
  <sheetData>
    <row r="1" spans="1:54" x14ac:dyDescent="0.2">
      <c r="A1" s="2" t="s">
        <v>0</v>
      </c>
      <c r="B1" s="2"/>
      <c r="S1" s="1">
        <v>482037482</v>
      </c>
      <c r="T1" s="1">
        <v>600766</v>
      </c>
      <c r="U1" s="1">
        <v>22199585</v>
      </c>
    </row>
    <row r="2" spans="1:54" x14ac:dyDescent="0.2">
      <c r="A2" s="2" t="s">
        <v>25</v>
      </c>
      <c r="B2" s="2"/>
      <c r="P2" s="1">
        <v>369364055</v>
      </c>
      <c r="S2" s="1">
        <v>342379845</v>
      </c>
    </row>
    <row r="3" spans="1:54" x14ac:dyDescent="0.2">
      <c r="P3" s="13">
        <v>139657637</v>
      </c>
    </row>
    <row r="4" spans="1:54" s="8" customFormat="1" x14ac:dyDescent="0.2">
      <c r="A4" s="3" t="s">
        <v>2</v>
      </c>
      <c r="B4" s="4" t="s">
        <v>3</v>
      </c>
      <c r="C4" s="5" t="s">
        <v>4</v>
      </c>
      <c r="D4" s="6" t="s">
        <v>5</v>
      </c>
      <c r="E4" s="6"/>
      <c r="F4" s="6"/>
      <c r="G4" s="6" t="s">
        <v>6</v>
      </c>
      <c r="H4" s="6"/>
      <c r="I4" s="6"/>
      <c r="J4" s="6" t="s">
        <v>7</v>
      </c>
      <c r="K4" s="6"/>
      <c r="L4" s="6"/>
      <c r="M4" s="173" t="s">
        <v>8</v>
      </c>
      <c r="N4" s="173" t="s">
        <v>300</v>
      </c>
      <c r="O4" s="7" t="s">
        <v>9</v>
      </c>
      <c r="P4" s="7"/>
      <c r="Q4" s="7"/>
      <c r="R4" s="7" t="s">
        <v>10</v>
      </c>
      <c r="S4" s="7"/>
      <c r="T4" s="7"/>
      <c r="U4" s="7" t="s">
        <v>11</v>
      </c>
      <c r="V4" s="7"/>
      <c r="W4" s="7"/>
      <c r="X4" s="173" t="s">
        <v>300</v>
      </c>
      <c r="Y4" s="173" t="s">
        <v>300</v>
      </c>
      <c r="Z4" s="7" t="s">
        <v>12</v>
      </c>
      <c r="AA4" s="7"/>
      <c r="AB4" s="7"/>
      <c r="AC4" s="7" t="s">
        <v>13</v>
      </c>
      <c r="AD4" s="7"/>
      <c r="AE4" s="7"/>
      <c r="AF4" s="7" t="s">
        <v>14</v>
      </c>
      <c r="AG4" s="7"/>
      <c r="AH4" s="7"/>
      <c r="AI4" s="173" t="s">
        <v>8</v>
      </c>
      <c r="AJ4" s="173" t="s">
        <v>300</v>
      </c>
      <c r="AK4" s="7" t="s">
        <v>15</v>
      </c>
      <c r="AL4" s="7"/>
      <c r="AM4" s="7"/>
      <c r="AN4" s="7" t="s">
        <v>16</v>
      </c>
      <c r="AO4" s="7"/>
      <c r="AP4" s="7"/>
      <c r="AQ4" s="7" t="s">
        <v>17</v>
      </c>
      <c r="AR4" s="7"/>
      <c r="AS4" s="7"/>
      <c r="AT4" s="173" t="s">
        <v>8</v>
      </c>
      <c r="AU4" s="173" t="s">
        <v>300</v>
      </c>
      <c r="AV4" s="7" t="s">
        <v>18</v>
      </c>
      <c r="AW4" s="7" t="s">
        <v>300</v>
      </c>
      <c r="AX4" s="7" t="s">
        <v>301</v>
      </c>
      <c r="AY4" s="7" t="s">
        <v>19</v>
      </c>
      <c r="AZ4" s="7" t="s">
        <v>19</v>
      </c>
      <c r="BA4" s="7" t="s">
        <v>19</v>
      </c>
      <c r="BB4" s="7" t="s">
        <v>19</v>
      </c>
    </row>
    <row r="5" spans="1:54" s="8" customFormat="1" x14ac:dyDescent="0.2">
      <c r="A5" s="3"/>
      <c r="B5" s="4"/>
      <c r="C5" s="5"/>
      <c r="D5" s="7" t="s">
        <v>20</v>
      </c>
      <c r="E5" s="7" t="s">
        <v>302</v>
      </c>
      <c r="F5" s="7" t="s">
        <v>303</v>
      </c>
      <c r="G5" s="7" t="s">
        <v>20</v>
      </c>
      <c r="H5" s="7" t="s">
        <v>302</v>
      </c>
      <c r="I5" s="7" t="s">
        <v>303</v>
      </c>
      <c r="J5" s="7" t="s">
        <v>20</v>
      </c>
      <c r="K5" s="7" t="s">
        <v>302</v>
      </c>
      <c r="L5" s="7" t="s">
        <v>303</v>
      </c>
      <c r="M5" s="173" t="s">
        <v>304</v>
      </c>
      <c r="N5" s="173" t="s">
        <v>304</v>
      </c>
      <c r="O5" s="7" t="s">
        <v>20</v>
      </c>
      <c r="P5" s="7" t="s">
        <v>302</v>
      </c>
      <c r="Q5" s="7" t="s">
        <v>303</v>
      </c>
      <c r="R5" s="7" t="s">
        <v>20</v>
      </c>
      <c r="S5" s="7" t="s">
        <v>302</v>
      </c>
      <c r="T5" s="7" t="s">
        <v>303</v>
      </c>
      <c r="U5" s="7" t="s">
        <v>20</v>
      </c>
      <c r="V5" s="7" t="s">
        <v>302</v>
      </c>
      <c r="W5" s="7" t="s">
        <v>303</v>
      </c>
      <c r="X5" s="173" t="s">
        <v>305</v>
      </c>
      <c r="Y5" s="173" t="s">
        <v>305</v>
      </c>
      <c r="Z5" s="7" t="s">
        <v>20</v>
      </c>
      <c r="AA5" s="7" t="s">
        <v>302</v>
      </c>
      <c r="AB5" s="7" t="s">
        <v>303</v>
      </c>
      <c r="AC5" s="7" t="s">
        <v>20</v>
      </c>
      <c r="AD5" s="7" t="s">
        <v>302</v>
      </c>
      <c r="AE5" s="7" t="s">
        <v>303</v>
      </c>
      <c r="AF5" s="7" t="s">
        <v>20</v>
      </c>
      <c r="AG5" s="7" t="s">
        <v>302</v>
      </c>
      <c r="AH5" s="7" t="s">
        <v>303</v>
      </c>
      <c r="AI5" s="173" t="s">
        <v>306</v>
      </c>
      <c r="AJ5" s="173" t="s">
        <v>306</v>
      </c>
      <c r="AK5" s="7" t="s">
        <v>20</v>
      </c>
      <c r="AL5" s="7" t="s">
        <v>302</v>
      </c>
      <c r="AM5" s="7" t="s">
        <v>303</v>
      </c>
      <c r="AN5" s="7" t="s">
        <v>20</v>
      </c>
      <c r="AO5" s="7" t="s">
        <v>302</v>
      </c>
      <c r="AP5" s="7" t="s">
        <v>303</v>
      </c>
      <c r="AQ5" s="7" t="s">
        <v>20</v>
      </c>
      <c r="AR5" s="7" t="s">
        <v>302</v>
      </c>
      <c r="AS5" s="7" t="s">
        <v>303</v>
      </c>
      <c r="AT5" s="173" t="s">
        <v>307</v>
      </c>
      <c r="AU5" s="173" t="s">
        <v>307</v>
      </c>
      <c r="AV5" s="7" t="s">
        <v>308</v>
      </c>
      <c r="AW5" s="9">
        <v>2012</v>
      </c>
      <c r="AX5" s="9">
        <v>2012</v>
      </c>
      <c r="AY5" s="9">
        <v>2013</v>
      </c>
      <c r="AZ5" s="9">
        <v>2014</v>
      </c>
      <c r="BA5" s="9">
        <v>2015</v>
      </c>
      <c r="BB5" s="9">
        <v>2016</v>
      </c>
    </row>
    <row r="6" spans="1:54" ht="16.899999999999999" customHeight="1" x14ac:dyDescent="0.25">
      <c r="A6" s="10">
        <v>1</v>
      </c>
      <c r="B6" s="11" t="s">
        <v>21</v>
      </c>
      <c r="C6" s="12" t="s">
        <v>22</v>
      </c>
      <c r="D6" s="1">
        <f>391706152-D10</f>
        <v>389706152</v>
      </c>
      <c r="E6" s="13">
        <v>378577686</v>
      </c>
      <c r="F6" s="14">
        <f>D6-E6</f>
        <v>11128466</v>
      </c>
      <c r="G6" s="1">
        <f>391706152-G10</f>
        <v>389706152</v>
      </c>
      <c r="H6" s="13">
        <v>354102538</v>
      </c>
      <c r="I6" s="14">
        <f>G6-H6</f>
        <v>35603614</v>
      </c>
      <c r="J6" s="1">
        <f>391706152-J10</f>
        <v>389706152</v>
      </c>
      <c r="K6" s="13">
        <v>378030931</v>
      </c>
      <c r="L6" s="14">
        <f>J6-K6</f>
        <v>11675221</v>
      </c>
      <c r="M6" s="174">
        <f t="shared" ref="M6:N10" si="0">D6+G6+J6</f>
        <v>1169118456</v>
      </c>
      <c r="N6" s="174">
        <f t="shared" si="0"/>
        <v>1110711155</v>
      </c>
      <c r="O6" s="15">
        <f>(J6*1.12)-O10</f>
        <v>434470890.24000007</v>
      </c>
      <c r="P6" s="1">
        <v>369364055</v>
      </c>
      <c r="Q6" s="14">
        <f>O6-P6</f>
        <v>65106835.240000069</v>
      </c>
      <c r="R6" s="15">
        <f>O6</f>
        <v>434470890.24000007</v>
      </c>
      <c r="S6" s="1">
        <v>342379845</v>
      </c>
      <c r="T6" s="14">
        <f>R6-S6</f>
        <v>92091045.240000069</v>
      </c>
      <c r="U6" s="15">
        <f>R6</f>
        <v>434470890.24000007</v>
      </c>
      <c r="V6" s="175">
        <f>481395102-V107</f>
        <v>341737465</v>
      </c>
      <c r="W6" s="14">
        <f>U6-V6</f>
        <v>92733425.240000069</v>
      </c>
      <c r="X6" s="174">
        <f t="shared" ref="X6:Y10" si="1">O6+R6+U6</f>
        <v>1303412670.7200003</v>
      </c>
      <c r="Y6" s="174">
        <f t="shared" si="1"/>
        <v>1053481365</v>
      </c>
      <c r="Z6" s="15">
        <f>U6</f>
        <v>434470890.24000007</v>
      </c>
      <c r="AA6" s="176">
        <v>478130915.74000001</v>
      </c>
      <c r="AB6" s="14">
        <f>Z6-AA6</f>
        <v>-43660025.49999994</v>
      </c>
      <c r="AC6" s="15">
        <f>Z6*2</f>
        <v>868941780.48000014</v>
      </c>
      <c r="AD6" s="176">
        <v>1137265006.28</v>
      </c>
      <c r="AE6" s="14">
        <f>AC6-AD6</f>
        <v>-268323225.79999983</v>
      </c>
      <c r="AF6" s="15">
        <f>Z6</f>
        <v>434470890.24000007</v>
      </c>
      <c r="AG6" s="177">
        <v>477092968</v>
      </c>
      <c r="AH6" s="14">
        <f>AF6-AG6</f>
        <v>-42622077.759999931</v>
      </c>
      <c r="AI6" s="174">
        <f>AF6+AC6+Z6</f>
        <v>1737883560.9600003</v>
      </c>
      <c r="AJ6" s="174">
        <f>AA6+AD6+AG6</f>
        <v>2092488890.02</v>
      </c>
      <c r="AK6" s="15">
        <f>AF6</f>
        <v>434470890.24000007</v>
      </c>
      <c r="AL6" s="13"/>
      <c r="AM6" s="14">
        <f>AK6-AL6</f>
        <v>434470890.24000007</v>
      </c>
      <c r="AN6" s="15">
        <f>AK6</f>
        <v>434470890.24000007</v>
      </c>
      <c r="AO6" s="13"/>
      <c r="AP6" s="14">
        <f>AN6-AO6</f>
        <v>434470890.24000007</v>
      </c>
      <c r="AQ6" s="15">
        <f>AN6*2</f>
        <v>868941780.48000014</v>
      </c>
      <c r="AR6" s="13"/>
      <c r="AS6" s="14">
        <f>AQ6-AR6</f>
        <v>868941780.48000014</v>
      </c>
      <c r="AT6" s="174"/>
      <c r="AU6" s="174">
        <f>AL6+AO6+AR6</f>
        <v>0</v>
      </c>
      <c r="AV6" s="14">
        <f t="shared" ref="AV6:AW10" si="2">AQ6+AN6+AK6+AF6+AC6+Z6+U6+R6+O6+J6+G6+D6</f>
        <v>5948298248.6400003</v>
      </c>
      <c r="AW6" s="14">
        <f t="shared" si="2"/>
        <v>4256681410.02</v>
      </c>
      <c r="AX6" s="178">
        <f>(AV6-(M6+X6))+AW6</f>
        <v>7732448531.9400005</v>
      </c>
      <c r="AY6" s="16">
        <f>AW6*1.1</f>
        <v>4682349551.0220003</v>
      </c>
      <c r="AZ6" s="16">
        <f t="shared" ref="AZ6:BB10" si="3">AY6*1.1</f>
        <v>5150584506.1242008</v>
      </c>
      <c r="BA6" s="16">
        <f t="shared" si="3"/>
        <v>5665642956.7366209</v>
      </c>
      <c r="BB6" s="16">
        <f t="shared" si="3"/>
        <v>6232207252.4102831</v>
      </c>
    </row>
    <row r="7" spans="1:54" ht="16.899999999999999" customHeight="1" x14ac:dyDescent="0.2">
      <c r="A7" s="10">
        <v>2</v>
      </c>
      <c r="B7" s="11" t="s">
        <v>26</v>
      </c>
      <c r="C7" s="12" t="s">
        <v>27</v>
      </c>
      <c r="D7" s="37"/>
      <c r="E7" s="13">
        <v>679428</v>
      </c>
      <c r="F7" s="14">
        <f>D7-E7</f>
        <v>-679428</v>
      </c>
      <c r="G7" s="37"/>
      <c r="H7" s="13">
        <v>621941</v>
      </c>
      <c r="I7" s="14">
        <f>G7-H7</f>
        <v>-621941</v>
      </c>
      <c r="J7" s="37"/>
      <c r="K7" s="13">
        <v>661978</v>
      </c>
      <c r="L7" s="14">
        <f>J7-K7</f>
        <v>-661978</v>
      </c>
      <c r="M7" s="174">
        <f t="shared" si="0"/>
        <v>0</v>
      </c>
      <c r="N7" s="174">
        <f t="shared" si="0"/>
        <v>1963347</v>
      </c>
      <c r="O7" s="37"/>
      <c r="P7" s="13">
        <v>655835</v>
      </c>
      <c r="Q7" s="14">
        <f>O7-P7</f>
        <v>-655835</v>
      </c>
      <c r="R7" s="37"/>
      <c r="S7" s="13">
        <v>600766</v>
      </c>
      <c r="T7" s="14">
        <f>R7-S7</f>
        <v>-600766</v>
      </c>
      <c r="U7" s="37"/>
      <c r="V7" s="175">
        <v>601630</v>
      </c>
      <c r="W7" s="14">
        <f>U7-V7</f>
        <v>-601630</v>
      </c>
      <c r="X7" s="174">
        <f t="shared" si="1"/>
        <v>0</v>
      </c>
      <c r="Y7" s="174">
        <f t="shared" si="1"/>
        <v>1858231</v>
      </c>
      <c r="Z7" s="37"/>
      <c r="AA7" s="13"/>
      <c r="AB7" s="14">
        <f>Z7-AA7</f>
        <v>0</v>
      </c>
      <c r="AC7" s="37"/>
      <c r="AD7" s="13"/>
      <c r="AE7" s="14">
        <f>AC7-AD7</f>
        <v>0</v>
      </c>
      <c r="AF7" s="37"/>
      <c r="AG7" s="13"/>
      <c r="AH7" s="14">
        <f>AF7-AG7</f>
        <v>0</v>
      </c>
      <c r="AI7" s="174">
        <f>AF7+AC7+Z7</f>
        <v>0</v>
      </c>
      <c r="AJ7" s="174">
        <f>AA7+AD7+AG7</f>
        <v>0</v>
      </c>
      <c r="AK7" s="37"/>
      <c r="AL7" s="13"/>
      <c r="AM7" s="14">
        <f>AK7-AL7</f>
        <v>0</v>
      </c>
      <c r="AN7" s="37"/>
      <c r="AO7" s="13"/>
      <c r="AP7" s="14">
        <f>AN7-AO7</f>
        <v>0</v>
      </c>
      <c r="AQ7" s="37"/>
      <c r="AR7" s="13"/>
      <c r="AS7" s="14">
        <f>AQ7-AR7</f>
        <v>0</v>
      </c>
      <c r="AT7" s="174"/>
      <c r="AU7" s="174">
        <f>AL7+AO7+AR7</f>
        <v>0</v>
      </c>
      <c r="AV7" s="38">
        <f t="shared" si="2"/>
        <v>0</v>
      </c>
      <c r="AW7" s="14">
        <f t="shared" si="2"/>
        <v>3821578</v>
      </c>
      <c r="AX7" s="178">
        <f>(AV7-(M7+X7))+AW7</f>
        <v>3821578</v>
      </c>
      <c r="AY7" s="16">
        <f>AW7*1.1</f>
        <v>4203735.8000000007</v>
      </c>
      <c r="AZ7" s="16">
        <f t="shared" si="3"/>
        <v>4624109.3800000008</v>
      </c>
      <c r="BA7" s="16">
        <f t="shared" si="3"/>
        <v>5086520.3180000009</v>
      </c>
      <c r="BB7" s="16">
        <f t="shared" si="3"/>
        <v>5595172.3498000018</v>
      </c>
    </row>
    <row r="8" spans="1:54" ht="16.899999999999999" customHeight="1" x14ac:dyDescent="0.2">
      <c r="A8" s="10">
        <v>3</v>
      </c>
      <c r="B8" s="11" t="s">
        <v>28</v>
      </c>
      <c r="C8" s="12" t="s">
        <v>29</v>
      </c>
      <c r="D8" s="37"/>
      <c r="E8" s="13">
        <v>24685760</v>
      </c>
      <c r="F8" s="14">
        <f>D8-E8</f>
        <v>-24685760</v>
      </c>
      <c r="G8" s="37"/>
      <c r="H8" s="13">
        <v>23035431</v>
      </c>
      <c r="I8" s="14">
        <f>G8-H8</f>
        <v>-23035431</v>
      </c>
      <c r="J8" s="37"/>
      <c r="K8" s="13">
        <v>24198057</v>
      </c>
      <c r="L8" s="14">
        <f>J8-K8</f>
        <v>-24198057</v>
      </c>
      <c r="M8" s="174">
        <f t="shared" si="0"/>
        <v>0</v>
      </c>
      <c r="N8" s="174">
        <f t="shared" si="0"/>
        <v>71919248</v>
      </c>
      <c r="O8" s="37"/>
      <c r="P8" s="13">
        <v>4107230</v>
      </c>
      <c r="Q8" s="14">
        <f>O8-P8</f>
        <v>-4107230</v>
      </c>
      <c r="R8" s="37"/>
      <c r="S8" s="13">
        <v>3834180</v>
      </c>
      <c r="T8" s="14">
        <f>R8-S8</f>
        <v>-3834180</v>
      </c>
      <c r="U8" s="37"/>
      <c r="V8" s="175">
        <v>3838464</v>
      </c>
      <c r="W8" s="14">
        <f>U8-V8</f>
        <v>-3838464</v>
      </c>
      <c r="X8" s="174">
        <f t="shared" si="1"/>
        <v>0</v>
      </c>
      <c r="Y8" s="174">
        <f t="shared" si="1"/>
        <v>11779874</v>
      </c>
      <c r="Z8" s="37"/>
      <c r="AA8" s="13"/>
      <c r="AB8" s="14">
        <f>Z8-AA8</f>
        <v>0</v>
      </c>
      <c r="AC8" s="37"/>
      <c r="AD8" s="13"/>
      <c r="AE8" s="14">
        <f>AC8-AD8</f>
        <v>0</v>
      </c>
      <c r="AF8" s="37"/>
      <c r="AG8" s="13"/>
      <c r="AH8" s="14">
        <f>AF8-AG8</f>
        <v>0</v>
      </c>
      <c r="AI8" s="174">
        <f>AF8+AC8+Z8</f>
        <v>0</v>
      </c>
      <c r="AJ8" s="174">
        <f>AA8+AD8+AG8</f>
        <v>0</v>
      </c>
      <c r="AK8" s="37"/>
      <c r="AL8" s="13"/>
      <c r="AM8" s="14">
        <f>AK8-AL8</f>
        <v>0</v>
      </c>
      <c r="AN8" s="37"/>
      <c r="AO8" s="13"/>
      <c r="AP8" s="14">
        <f>AN8-AO8</f>
        <v>0</v>
      </c>
      <c r="AQ8" s="37"/>
      <c r="AR8" s="13"/>
      <c r="AS8" s="14">
        <f>AQ8-AR8</f>
        <v>0</v>
      </c>
      <c r="AT8" s="174"/>
      <c r="AU8" s="174">
        <f>AL8+AO8+AR8</f>
        <v>0</v>
      </c>
      <c r="AV8" s="38">
        <f t="shared" si="2"/>
        <v>0</v>
      </c>
      <c r="AW8" s="14">
        <f t="shared" si="2"/>
        <v>83699122</v>
      </c>
      <c r="AX8" s="178">
        <f>(AV8-(M8+X8))+AW8</f>
        <v>83699122</v>
      </c>
      <c r="AY8" s="16">
        <f>AW8*1.1</f>
        <v>92069034.200000003</v>
      </c>
      <c r="AZ8" s="16">
        <f t="shared" si="3"/>
        <v>101275937.62</v>
      </c>
      <c r="BA8" s="16">
        <f t="shared" si="3"/>
        <v>111403531.38200001</v>
      </c>
      <c r="BB8" s="16">
        <f t="shared" si="3"/>
        <v>122543884.52020003</v>
      </c>
    </row>
    <row r="9" spans="1:54" ht="16.899999999999999" customHeight="1" x14ac:dyDescent="0.25">
      <c r="A9" s="10">
        <v>4</v>
      </c>
      <c r="B9" s="11" t="s">
        <v>30</v>
      </c>
      <c r="C9" s="12" t="s">
        <v>31</v>
      </c>
      <c r="D9" s="14">
        <f>D6*0.0515</f>
        <v>20069866.827999998</v>
      </c>
      <c r="E9" s="13"/>
      <c r="F9" s="14">
        <f>D9-E9</f>
        <v>20069866.827999998</v>
      </c>
      <c r="G9" s="14">
        <f>G6*0.0515</f>
        <v>20069866.827999998</v>
      </c>
      <c r="H9" s="13"/>
      <c r="I9" s="14">
        <f>G9-H9</f>
        <v>20069866.827999998</v>
      </c>
      <c r="J9" s="14">
        <f>J6*0.0515</f>
        <v>20069866.827999998</v>
      </c>
      <c r="K9" s="13"/>
      <c r="L9" s="14">
        <f>J9-K9</f>
        <v>20069866.827999998</v>
      </c>
      <c r="M9" s="174">
        <f t="shared" si="0"/>
        <v>60209600.483999997</v>
      </c>
      <c r="N9" s="174">
        <f t="shared" si="0"/>
        <v>0</v>
      </c>
      <c r="O9" s="14">
        <f>O6*0.0515</f>
        <v>22375250.847360004</v>
      </c>
      <c r="P9" s="13">
        <v>19673289</v>
      </c>
      <c r="Q9" s="14">
        <f>O9-P9</f>
        <v>2701961.8473600037</v>
      </c>
      <c r="R9" s="14">
        <f>R6*0.0515</f>
        <v>22375250.847360004</v>
      </c>
      <c r="S9" s="13">
        <v>18365404</v>
      </c>
      <c r="T9" s="14">
        <f>R9-S9</f>
        <v>4009846.8473600037</v>
      </c>
      <c r="U9" s="14">
        <f>U6*0.0515</f>
        <v>22375250.847360004</v>
      </c>
      <c r="V9" s="175">
        <v>18385924</v>
      </c>
      <c r="W9" s="14">
        <f>U9-V9</f>
        <v>3989326.8473600037</v>
      </c>
      <c r="X9" s="174">
        <f t="shared" si="1"/>
        <v>67125752.542080015</v>
      </c>
      <c r="Y9" s="174">
        <f t="shared" si="1"/>
        <v>56424617</v>
      </c>
      <c r="Z9" s="14">
        <f>Z6*0.0515</f>
        <v>22375250.847360004</v>
      </c>
      <c r="AA9" s="176">
        <v>18125665.370000001</v>
      </c>
      <c r="AB9" s="14">
        <f>Z9-AA9</f>
        <v>4249585.4773600027</v>
      </c>
      <c r="AC9" s="14">
        <f>Z9</f>
        <v>22375250.847360004</v>
      </c>
      <c r="AD9" s="176">
        <v>18355931.719999999</v>
      </c>
      <c r="AE9" s="14">
        <f>AC9-AD9</f>
        <v>4019319.1273600049</v>
      </c>
      <c r="AF9" s="14">
        <f>AF6*0.0515</f>
        <v>22375250.847360004</v>
      </c>
      <c r="AG9" s="177">
        <v>17807818</v>
      </c>
      <c r="AH9" s="14">
        <f>AF9-AG9</f>
        <v>4567432.8473600037</v>
      </c>
      <c r="AI9" s="174">
        <f>AF9+AC9+Z9</f>
        <v>67125752.542080015</v>
      </c>
      <c r="AJ9" s="174">
        <f>AA9+AD9+AG9</f>
        <v>54289415.090000004</v>
      </c>
      <c r="AK9" s="14">
        <f>AK6*0.0515</f>
        <v>22375250.847360004</v>
      </c>
      <c r="AL9" s="13"/>
      <c r="AM9" s="14">
        <f>AK9-AL9</f>
        <v>22375250.847360004</v>
      </c>
      <c r="AN9" s="14">
        <f>AN6*0.0515</f>
        <v>22375250.847360004</v>
      </c>
      <c r="AO9" s="13"/>
      <c r="AP9" s="14">
        <f>AN9-AO9</f>
        <v>22375250.847360004</v>
      </c>
      <c r="AQ9" s="14">
        <f>AN9</f>
        <v>22375250.847360004</v>
      </c>
      <c r="AR9" s="13"/>
      <c r="AS9" s="14">
        <f>AQ9-AR9</f>
        <v>22375250.847360004</v>
      </c>
      <c r="AT9" s="174"/>
      <c r="AU9" s="174">
        <f>AL9+AO9+AR9</f>
        <v>0</v>
      </c>
      <c r="AV9" s="38">
        <f t="shared" si="2"/>
        <v>261586858.1102401</v>
      </c>
      <c r="AW9" s="14">
        <f t="shared" si="2"/>
        <v>110714032.09</v>
      </c>
      <c r="AX9" s="178">
        <f>(AV9-(M9+X9))+AW9</f>
        <v>244965537.17416009</v>
      </c>
      <c r="AY9" s="16">
        <f>AW9*1.1</f>
        <v>121785435.29900001</v>
      </c>
      <c r="AZ9" s="16">
        <f t="shared" si="3"/>
        <v>133963978.82890002</v>
      </c>
      <c r="BA9" s="16">
        <f t="shared" si="3"/>
        <v>147360376.71179003</v>
      </c>
      <c r="BB9" s="16">
        <f t="shared" si="3"/>
        <v>162096414.38296905</v>
      </c>
    </row>
    <row r="10" spans="1:54" s="36" customFormat="1" ht="16.899999999999999" customHeight="1" x14ac:dyDescent="0.2">
      <c r="A10" s="10">
        <v>5</v>
      </c>
      <c r="B10" s="11" t="s">
        <v>21</v>
      </c>
      <c r="C10" s="39" t="s">
        <v>32</v>
      </c>
      <c r="D10" s="14">
        <v>2000000</v>
      </c>
      <c r="E10" s="13"/>
      <c r="F10" s="14">
        <f>D10-E10</f>
        <v>2000000</v>
      </c>
      <c r="G10" s="14">
        <v>2000000</v>
      </c>
      <c r="H10" s="13"/>
      <c r="I10" s="14">
        <f>G10-H10</f>
        <v>2000000</v>
      </c>
      <c r="J10" s="14">
        <v>2000000</v>
      </c>
      <c r="K10" s="13"/>
      <c r="L10" s="14">
        <f>J10-K10</f>
        <v>2000000</v>
      </c>
      <c r="M10" s="174">
        <f t="shared" si="0"/>
        <v>6000000</v>
      </c>
      <c r="N10" s="174">
        <f t="shared" si="0"/>
        <v>0</v>
      </c>
      <c r="O10" s="14">
        <v>2000000</v>
      </c>
      <c r="P10" s="13"/>
      <c r="Q10" s="14">
        <f>O10-P10</f>
        <v>2000000</v>
      </c>
      <c r="R10" s="14">
        <v>2000000</v>
      </c>
      <c r="S10" s="13"/>
      <c r="T10" s="14">
        <f>R10-S10</f>
        <v>2000000</v>
      </c>
      <c r="U10" s="14">
        <v>2000000</v>
      </c>
      <c r="V10" s="13"/>
      <c r="W10" s="14">
        <f>U10-V10</f>
        <v>2000000</v>
      </c>
      <c r="X10" s="174">
        <f t="shared" si="1"/>
        <v>6000000</v>
      </c>
      <c r="Y10" s="174">
        <f t="shared" si="1"/>
        <v>0</v>
      </c>
      <c r="Z10" s="14">
        <v>2000000</v>
      </c>
      <c r="AA10" s="13"/>
      <c r="AB10" s="14">
        <f>Z10-AA10</f>
        <v>2000000</v>
      </c>
      <c r="AC10" s="14">
        <v>2000000</v>
      </c>
      <c r="AD10" s="13"/>
      <c r="AE10" s="14">
        <f>AC10-AD10</f>
        <v>2000000</v>
      </c>
      <c r="AF10" s="14">
        <v>2000000</v>
      </c>
      <c r="AG10" s="13"/>
      <c r="AH10" s="14">
        <f>AF10-AG10</f>
        <v>2000000</v>
      </c>
      <c r="AI10" s="174">
        <f>AF10+AC10+Z10</f>
        <v>6000000</v>
      </c>
      <c r="AJ10" s="174">
        <f>AA10+AD10+AG10</f>
        <v>0</v>
      </c>
      <c r="AK10" s="14">
        <v>2000000</v>
      </c>
      <c r="AL10" s="13"/>
      <c r="AM10" s="14">
        <f>AK10-AL10</f>
        <v>2000000</v>
      </c>
      <c r="AN10" s="14">
        <v>2000000</v>
      </c>
      <c r="AO10" s="13"/>
      <c r="AP10" s="14">
        <f>AN10-AO10</f>
        <v>2000000</v>
      </c>
      <c r="AQ10" s="14">
        <v>2000000</v>
      </c>
      <c r="AR10" s="13"/>
      <c r="AS10" s="14">
        <f>AQ10-AR10</f>
        <v>2000000</v>
      </c>
      <c r="AT10" s="174"/>
      <c r="AU10" s="174">
        <f>AL10+AO10+AR10</f>
        <v>0</v>
      </c>
      <c r="AV10" s="38">
        <f t="shared" si="2"/>
        <v>24000000</v>
      </c>
      <c r="AW10" s="14">
        <f t="shared" si="2"/>
        <v>0</v>
      </c>
      <c r="AX10" s="178">
        <f>(AV10-(M10+X10))+AW10</f>
        <v>12000000</v>
      </c>
      <c r="AY10" s="16">
        <f>AW10*1.1</f>
        <v>0</v>
      </c>
      <c r="AZ10" s="16">
        <f t="shared" si="3"/>
        <v>0</v>
      </c>
      <c r="BA10" s="16">
        <f t="shared" si="3"/>
        <v>0</v>
      </c>
      <c r="BB10" s="16">
        <f t="shared" si="3"/>
        <v>0</v>
      </c>
    </row>
    <row r="11" spans="1:54" s="21" customFormat="1" ht="16.899999999999999" customHeight="1" x14ac:dyDescent="0.2">
      <c r="A11" s="17"/>
      <c r="B11" s="18"/>
      <c r="C11" s="19" t="s">
        <v>23</v>
      </c>
      <c r="D11" s="20">
        <f t="shared" ref="D11:AH11" si="4">SUM(D6:D10)</f>
        <v>411776018.82800001</v>
      </c>
      <c r="E11" s="20">
        <f t="shared" si="4"/>
        <v>403942874</v>
      </c>
      <c r="F11" s="20">
        <f t="shared" si="4"/>
        <v>7833144.8279999979</v>
      </c>
      <c r="G11" s="20">
        <f t="shared" si="4"/>
        <v>411776018.82800001</v>
      </c>
      <c r="H11" s="20">
        <f t="shared" si="4"/>
        <v>377759910</v>
      </c>
      <c r="I11" s="20">
        <f t="shared" si="4"/>
        <v>34016108.827999994</v>
      </c>
      <c r="J11" s="20">
        <f t="shared" si="4"/>
        <v>411776018.82800001</v>
      </c>
      <c r="K11" s="20">
        <f t="shared" si="4"/>
        <v>402890966</v>
      </c>
      <c r="L11" s="20">
        <f t="shared" si="4"/>
        <v>8885052.8279999979</v>
      </c>
      <c r="M11" s="20">
        <f t="shared" si="4"/>
        <v>1235328056.484</v>
      </c>
      <c r="N11" s="20">
        <f t="shared" si="4"/>
        <v>1184593750</v>
      </c>
      <c r="O11" s="20">
        <f t="shared" si="4"/>
        <v>458846141.08736008</v>
      </c>
      <c r="P11" s="20">
        <f t="shared" si="4"/>
        <v>393800409</v>
      </c>
      <c r="Q11" s="20">
        <f t="shared" si="4"/>
        <v>65045732.087360069</v>
      </c>
      <c r="R11" s="20">
        <f t="shared" si="4"/>
        <v>458846141.08736008</v>
      </c>
      <c r="S11" s="20">
        <f t="shared" si="4"/>
        <v>365180195</v>
      </c>
      <c r="T11" s="20">
        <f t="shared" si="4"/>
        <v>93665946.087360069</v>
      </c>
      <c r="U11" s="20">
        <f t="shared" si="4"/>
        <v>458846141.08736008</v>
      </c>
      <c r="V11" s="20">
        <f t="shared" si="4"/>
        <v>364563483</v>
      </c>
      <c r="W11" s="20">
        <f t="shared" si="4"/>
        <v>94282658.087360069</v>
      </c>
      <c r="X11" s="20">
        <f t="shared" si="4"/>
        <v>1376538423.2620802</v>
      </c>
      <c r="Y11" s="20">
        <f t="shared" si="4"/>
        <v>1123544087</v>
      </c>
      <c r="Z11" s="20">
        <f t="shared" si="4"/>
        <v>458846141.08736008</v>
      </c>
      <c r="AA11" s="20">
        <f t="shared" si="4"/>
        <v>496256581.11000001</v>
      </c>
      <c r="AB11" s="20">
        <f t="shared" si="4"/>
        <v>-37410440.022639938</v>
      </c>
      <c r="AC11" s="20">
        <f t="shared" si="4"/>
        <v>893317031.32736015</v>
      </c>
      <c r="AD11" s="20">
        <f t="shared" si="4"/>
        <v>1155620938</v>
      </c>
      <c r="AE11" s="20">
        <f t="shared" si="4"/>
        <v>-262303906.67263982</v>
      </c>
      <c r="AF11" s="20">
        <f t="shared" si="4"/>
        <v>458846141.08736008</v>
      </c>
      <c r="AG11" s="20">
        <f t="shared" si="4"/>
        <v>494900786</v>
      </c>
      <c r="AH11" s="20">
        <f t="shared" si="4"/>
        <v>-36054644.912639931</v>
      </c>
      <c r="AI11" s="20">
        <f>SUM(AI6:AI10)</f>
        <v>1811009313.5020802</v>
      </c>
      <c r="AJ11" s="20">
        <f t="shared" ref="AJ11:BB11" si="5">SUM(AJ6:AJ10)</f>
        <v>2146778305.1099999</v>
      </c>
      <c r="AK11" s="20">
        <f t="shared" si="5"/>
        <v>458846141.08736008</v>
      </c>
      <c r="AL11" s="20">
        <f t="shared" si="5"/>
        <v>0</v>
      </c>
      <c r="AM11" s="20">
        <f t="shared" si="5"/>
        <v>458846141.08736008</v>
      </c>
      <c r="AN11" s="20">
        <f t="shared" si="5"/>
        <v>458846141.08736008</v>
      </c>
      <c r="AO11" s="20">
        <f t="shared" si="5"/>
        <v>0</v>
      </c>
      <c r="AP11" s="20">
        <f t="shared" si="5"/>
        <v>458846141.08736008</v>
      </c>
      <c r="AQ11" s="20">
        <f t="shared" si="5"/>
        <v>893317031.32736015</v>
      </c>
      <c r="AR11" s="20">
        <f t="shared" si="5"/>
        <v>0</v>
      </c>
      <c r="AS11" s="20">
        <f t="shared" si="5"/>
        <v>893317031.32736015</v>
      </c>
      <c r="AT11" s="20">
        <f t="shared" si="5"/>
        <v>0</v>
      </c>
      <c r="AU11" s="20">
        <f t="shared" si="5"/>
        <v>0</v>
      </c>
      <c r="AV11" s="20">
        <f t="shared" si="5"/>
        <v>6233885106.7502403</v>
      </c>
      <c r="AW11" s="20">
        <f t="shared" si="5"/>
        <v>4454916142.1100006</v>
      </c>
      <c r="AX11" s="20">
        <f t="shared" si="5"/>
        <v>8076934769.1141605</v>
      </c>
      <c r="AY11" s="20">
        <f t="shared" si="5"/>
        <v>4900407756.3210001</v>
      </c>
      <c r="AZ11" s="20">
        <f t="shared" si="5"/>
        <v>5390448531.9531012</v>
      </c>
      <c r="BA11" s="20">
        <f t="shared" si="5"/>
        <v>5929493385.1484108</v>
      </c>
      <c r="BB11" s="20">
        <f t="shared" si="5"/>
        <v>6522442723.6632519</v>
      </c>
    </row>
    <row r="12" spans="1:54" s="36" customFormat="1" ht="16.899999999999999" customHeight="1" x14ac:dyDescent="0.25">
      <c r="A12" s="40">
        <v>1</v>
      </c>
      <c r="B12" s="27" t="s">
        <v>33</v>
      </c>
      <c r="C12" s="41" t="s">
        <v>34</v>
      </c>
      <c r="D12" s="14">
        <f>0.05*D6</f>
        <v>19485307.600000001</v>
      </c>
      <c r="E12" s="13">
        <f>124100+687000+288400+280000+280000+91000+105000+550000+345000+592500+2375000</f>
        <v>5718000</v>
      </c>
      <c r="F12" s="14">
        <f t="shared" ref="F12:F21" si="6">D12-E12</f>
        <v>13767307.600000001</v>
      </c>
      <c r="G12" s="14">
        <f>0.05*G6</f>
        <v>19485307.600000001</v>
      </c>
      <c r="H12" s="13">
        <v>18940065</v>
      </c>
      <c r="I12" s="14">
        <f t="shared" ref="I12:I21" si="7">G12-H12</f>
        <v>545242.60000000149</v>
      </c>
      <c r="J12" s="14">
        <f>0.05*J6</f>
        <v>19485307.600000001</v>
      </c>
      <c r="K12" s="13">
        <v>28720000</v>
      </c>
      <c r="L12" s="14">
        <f t="shared" ref="L12:L21" si="8">J12-K12</f>
        <v>-9234692.3999999985</v>
      </c>
      <c r="M12" s="174">
        <f t="shared" ref="M12:N21" si="9">D12+G12+J12</f>
        <v>58455922.800000004</v>
      </c>
      <c r="N12" s="174">
        <f t="shared" si="9"/>
        <v>53378065</v>
      </c>
      <c r="O12" s="14">
        <f>0.05*O6</f>
        <v>21723544.512000006</v>
      </c>
      <c r="P12" s="13">
        <v>10015271</v>
      </c>
      <c r="Q12" s="14">
        <f t="shared" ref="Q12:Q21" si="10">O12-P12</f>
        <v>11708273.512000006</v>
      </c>
      <c r="R12" s="14">
        <f>0.05*R6</f>
        <v>21723544.512000006</v>
      </c>
      <c r="S12" s="13">
        <v>21807569</v>
      </c>
      <c r="T12" s="14">
        <f t="shared" ref="T12:T21" si="11">R12-S12</f>
        <v>-84024.487999994308</v>
      </c>
      <c r="U12" s="14">
        <f>0.05*U6</f>
        <v>21723544.512000006</v>
      </c>
      <c r="V12" s="175">
        <v>9273461</v>
      </c>
      <c r="W12" s="14">
        <f t="shared" ref="W12:W21" si="12">U12-V12</f>
        <v>12450083.512000006</v>
      </c>
      <c r="X12" s="174">
        <f t="shared" ref="X12:Y21" si="13">O12+R12+U12</f>
        <v>65170633.536000013</v>
      </c>
      <c r="Y12" s="174">
        <f t="shared" si="13"/>
        <v>41096301</v>
      </c>
      <c r="Z12" s="14">
        <f>0.05*Z6</f>
        <v>21723544.512000006</v>
      </c>
      <c r="AA12" s="176">
        <v>38358725</v>
      </c>
      <c r="AB12" s="14">
        <f t="shared" ref="AB12:AB21" si="14">Z12-AA12</f>
        <v>-16635180.487999994</v>
      </c>
      <c r="AC12" s="14">
        <f>Z12</f>
        <v>21723544.512000006</v>
      </c>
      <c r="AD12" s="176">
        <v>5091031</v>
      </c>
      <c r="AE12" s="14">
        <f t="shared" ref="AE12:AE21" si="15">AC12-AD12</f>
        <v>16632513.512000006</v>
      </c>
      <c r="AF12" s="14">
        <f>0.05*AF6</f>
        <v>21723544.512000006</v>
      </c>
      <c r="AG12" s="177">
        <v>89880317</v>
      </c>
      <c r="AH12" s="14">
        <f t="shared" ref="AH12:AH21" si="16">AF12-AG12</f>
        <v>-68156772.487999991</v>
      </c>
      <c r="AI12" s="174">
        <f>AF12+AC12+Z12</f>
        <v>65170633.536000013</v>
      </c>
      <c r="AJ12" s="174">
        <f t="shared" ref="AJ12:AJ21" si="17">AA12+AD12+AG12</f>
        <v>133330073</v>
      </c>
      <c r="AK12" s="14">
        <f>0.05*AK6</f>
        <v>21723544.512000006</v>
      </c>
      <c r="AL12" s="13"/>
      <c r="AM12" s="14">
        <f t="shared" ref="AM12:AM21" si="18">AK12-AL12</f>
        <v>21723544.512000006</v>
      </c>
      <c r="AN12" s="14">
        <f>0.05*AN6</f>
        <v>21723544.512000006</v>
      </c>
      <c r="AO12" s="13"/>
      <c r="AP12" s="14">
        <f t="shared" ref="AP12:AP21" si="19">AN12-AO12</f>
        <v>21723544.512000006</v>
      </c>
      <c r="AQ12" s="14">
        <f>AN12</f>
        <v>21723544.512000006</v>
      </c>
      <c r="AR12" s="13"/>
      <c r="AS12" s="14">
        <f t="shared" ref="AS12:AS21" si="20">AQ12-AR12</f>
        <v>21723544.512000006</v>
      </c>
      <c r="AT12" s="174"/>
      <c r="AU12" s="174">
        <f t="shared" ref="AU12:AU21" si="21">AL12+AO12+AR12</f>
        <v>0</v>
      </c>
      <c r="AV12" s="38">
        <f t="shared" ref="AV12:AW21" si="22">AQ12+AN12+AK12+AF12+AC12+Z12+U12+R12+O12+J12+G12+D12</f>
        <v>253967823.40800002</v>
      </c>
      <c r="AW12" s="14">
        <f t="shared" si="22"/>
        <v>227804439</v>
      </c>
      <c r="AX12" s="178">
        <f t="shared" ref="AX12:AX21" si="23">(AV12-(M12+X12))+AW12</f>
        <v>358145706.07200003</v>
      </c>
      <c r="AY12" s="16">
        <f t="shared" ref="AY12:AY21" si="24">AW12*1.1</f>
        <v>250584882.90000001</v>
      </c>
      <c r="AZ12" s="16">
        <f t="shared" ref="AZ12:BB21" si="25">AY12*1.1</f>
        <v>275643371.19000006</v>
      </c>
      <c r="BA12" s="16">
        <f t="shared" si="25"/>
        <v>303207708.30900007</v>
      </c>
      <c r="BB12" s="16">
        <f t="shared" si="25"/>
        <v>333528479.13990009</v>
      </c>
    </row>
    <row r="13" spans="1:54" s="36" customFormat="1" ht="16.899999999999999" customHeight="1" x14ac:dyDescent="0.2">
      <c r="A13" s="40">
        <v>2</v>
      </c>
      <c r="B13" s="27" t="s">
        <v>33</v>
      </c>
      <c r="C13" s="29" t="s">
        <v>35</v>
      </c>
      <c r="D13" s="14"/>
      <c r="E13" s="13"/>
      <c r="F13" s="14">
        <f t="shared" si="6"/>
        <v>0</v>
      </c>
      <c r="G13" s="14"/>
      <c r="H13" s="13"/>
      <c r="I13" s="14">
        <f t="shared" si="7"/>
        <v>0</v>
      </c>
      <c r="J13" s="14"/>
      <c r="K13" s="13"/>
      <c r="L13" s="14">
        <f t="shared" si="8"/>
        <v>0</v>
      </c>
      <c r="M13" s="174">
        <f t="shared" si="9"/>
        <v>0</v>
      </c>
      <c r="N13" s="174">
        <f t="shared" si="9"/>
        <v>0</v>
      </c>
      <c r="O13" s="14"/>
      <c r="P13" s="13"/>
      <c r="Q13" s="14">
        <f t="shared" si="10"/>
        <v>0</v>
      </c>
      <c r="R13" s="14"/>
      <c r="S13" s="13"/>
      <c r="T13" s="14">
        <f t="shared" si="11"/>
        <v>0</v>
      </c>
      <c r="U13" s="14"/>
      <c r="V13" s="13"/>
      <c r="W13" s="14">
        <f t="shared" si="12"/>
        <v>0</v>
      </c>
      <c r="X13" s="174">
        <f t="shared" si="13"/>
        <v>0</v>
      </c>
      <c r="Y13" s="174">
        <f t="shared" si="13"/>
        <v>0</v>
      </c>
      <c r="Z13" s="14"/>
      <c r="AA13" s="13"/>
      <c r="AB13" s="14">
        <f t="shared" si="14"/>
        <v>0</v>
      </c>
      <c r="AC13" s="14"/>
      <c r="AD13" s="13"/>
      <c r="AE13" s="14">
        <f t="shared" si="15"/>
        <v>0</v>
      </c>
      <c r="AF13" s="14"/>
      <c r="AG13" s="13"/>
      <c r="AH13" s="14">
        <f t="shared" si="16"/>
        <v>0</v>
      </c>
      <c r="AI13" s="174">
        <f t="shared" ref="AI13:AI21" si="26">AF13+AC13+Z13</f>
        <v>0</v>
      </c>
      <c r="AJ13" s="174">
        <f t="shared" si="17"/>
        <v>0</v>
      </c>
      <c r="AK13" s="14"/>
      <c r="AL13" s="13"/>
      <c r="AM13" s="14">
        <f t="shared" si="18"/>
        <v>0</v>
      </c>
      <c r="AN13" s="14"/>
      <c r="AO13" s="13"/>
      <c r="AP13" s="14">
        <f t="shared" si="19"/>
        <v>0</v>
      </c>
      <c r="AQ13" s="14"/>
      <c r="AR13" s="13"/>
      <c r="AS13" s="14">
        <f t="shared" si="20"/>
        <v>0</v>
      </c>
      <c r="AT13" s="174"/>
      <c r="AU13" s="174">
        <f t="shared" si="21"/>
        <v>0</v>
      </c>
      <c r="AV13" s="38">
        <f t="shared" si="22"/>
        <v>0</v>
      </c>
      <c r="AW13" s="14">
        <f t="shared" si="22"/>
        <v>0</v>
      </c>
      <c r="AX13" s="178">
        <f t="shared" si="23"/>
        <v>0</v>
      </c>
      <c r="AY13" s="16">
        <f t="shared" si="24"/>
        <v>0</v>
      </c>
      <c r="AZ13" s="16">
        <f t="shared" si="25"/>
        <v>0</v>
      </c>
      <c r="BA13" s="16">
        <f t="shared" si="25"/>
        <v>0</v>
      </c>
      <c r="BB13" s="16">
        <f t="shared" si="25"/>
        <v>0</v>
      </c>
    </row>
    <row r="14" spans="1:54" s="36" customFormat="1" ht="16.899999999999999" customHeight="1" x14ac:dyDescent="0.2">
      <c r="A14" s="40">
        <v>3</v>
      </c>
      <c r="B14" s="42" t="s">
        <v>36</v>
      </c>
      <c r="C14" s="43" t="s">
        <v>37</v>
      </c>
      <c r="D14" s="14">
        <v>45000000</v>
      </c>
      <c r="E14" s="13"/>
      <c r="F14" s="14">
        <f t="shared" si="6"/>
        <v>45000000</v>
      </c>
      <c r="G14" s="14"/>
      <c r="H14" s="13"/>
      <c r="I14" s="14">
        <f t="shared" si="7"/>
        <v>0</v>
      </c>
      <c r="J14" s="14"/>
      <c r="K14" s="13"/>
      <c r="L14" s="14">
        <f t="shared" si="8"/>
        <v>0</v>
      </c>
      <c r="M14" s="174">
        <f t="shared" si="9"/>
        <v>45000000</v>
      </c>
      <c r="N14" s="174">
        <f t="shared" si="9"/>
        <v>0</v>
      </c>
      <c r="O14" s="14"/>
      <c r="P14" s="13"/>
      <c r="Q14" s="14">
        <f t="shared" si="10"/>
        <v>0</v>
      </c>
      <c r="R14" s="14"/>
      <c r="S14" s="13"/>
      <c r="T14" s="14">
        <f t="shared" si="11"/>
        <v>0</v>
      </c>
      <c r="U14" s="14"/>
      <c r="V14" s="13"/>
      <c r="W14" s="14">
        <f t="shared" si="12"/>
        <v>0</v>
      </c>
      <c r="X14" s="174">
        <f t="shared" si="13"/>
        <v>0</v>
      </c>
      <c r="Y14" s="174">
        <f t="shared" si="13"/>
        <v>0</v>
      </c>
      <c r="Z14" s="14"/>
      <c r="AA14" s="13"/>
      <c r="AB14" s="14">
        <f t="shared" si="14"/>
        <v>0</v>
      </c>
      <c r="AC14" s="14"/>
      <c r="AD14" s="13"/>
      <c r="AE14" s="14">
        <f t="shared" si="15"/>
        <v>0</v>
      </c>
      <c r="AF14" s="14"/>
      <c r="AG14" s="13"/>
      <c r="AH14" s="14">
        <f t="shared" si="16"/>
        <v>0</v>
      </c>
      <c r="AI14" s="174">
        <f t="shared" si="26"/>
        <v>0</v>
      </c>
      <c r="AJ14" s="174">
        <f t="shared" si="17"/>
        <v>0</v>
      </c>
      <c r="AK14" s="14"/>
      <c r="AL14" s="13"/>
      <c r="AM14" s="14">
        <f t="shared" si="18"/>
        <v>0</v>
      </c>
      <c r="AN14" s="14"/>
      <c r="AO14" s="13"/>
      <c r="AP14" s="14">
        <f t="shared" si="19"/>
        <v>0</v>
      </c>
      <c r="AQ14" s="14"/>
      <c r="AR14" s="13"/>
      <c r="AS14" s="14">
        <f t="shared" si="20"/>
        <v>0</v>
      </c>
      <c r="AT14" s="174"/>
      <c r="AU14" s="174">
        <f t="shared" si="21"/>
        <v>0</v>
      </c>
      <c r="AV14" s="38">
        <f t="shared" si="22"/>
        <v>45000000</v>
      </c>
      <c r="AW14" s="14">
        <f t="shared" si="22"/>
        <v>0</v>
      </c>
      <c r="AX14" s="178">
        <f t="shared" si="23"/>
        <v>0</v>
      </c>
      <c r="AY14" s="16">
        <f t="shared" si="24"/>
        <v>0</v>
      </c>
      <c r="AZ14" s="16">
        <f t="shared" si="25"/>
        <v>0</v>
      </c>
      <c r="BA14" s="16">
        <f t="shared" si="25"/>
        <v>0</v>
      </c>
      <c r="BB14" s="16">
        <f t="shared" si="25"/>
        <v>0</v>
      </c>
    </row>
    <row r="15" spans="1:54" s="36" customFormat="1" ht="16.899999999999999" customHeight="1" x14ac:dyDescent="0.2">
      <c r="A15" s="40">
        <v>4</v>
      </c>
      <c r="B15" s="42" t="s">
        <v>36</v>
      </c>
      <c r="C15" s="44" t="s">
        <v>38</v>
      </c>
      <c r="D15" s="14">
        <v>2000000</v>
      </c>
      <c r="E15" s="13"/>
      <c r="F15" s="14">
        <f t="shared" si="6"/>
        <v>2000000</v>
      </c>
      <c r="G15" s="14">
        <v>2000000</v>
      </c>
      <c r="H15" s="13"/>
      <c r="I15" s="14">
        <f t="shared" si="7"/>
        <v>2000000</v>
      </c>
      <c r="J15" s="14">
        <v>2000000</v>
      </c>
      <c r="K15" s="13"/>
      <c r="L15" s="14">
        <f t="shared" si="8"/>
        <v>2000000</v>
      </c>
      <c r="M15" s="174">
        <f t="shared" si="9"/>
        <v>6000000</v>
      </c>
      <c r="N15" s="174">
        <f t="shared" si="9"/>
        <v>0</v>
      </c>
      <c r="O15" s="14">
        <v>2000000</v>
      </c>
      <c r="P15" s="13"/>
      <c r="Q15" s="14">
        <f t="shared" si="10"/>
        <v>2000000</v>
      </c>
      <c r="R15" s="14">
        <v>2000000</v>
      </c>
      <c r="S15" s="13"/>
      <c r="T15" s="14">
        <f t="shared" si="11"/>
        <v>2000000</v>
      </c>
      <c r="U15" s="14">
        <v>2000000</v>
      </c>
      <c r="V15" s="13"/>
      <c r="W15" s="14">
        <f t="shared" si="12"/>
        <v>2000000</v>
      </c>
      <c r="X15" s="174">
        <f t="shared" si="13"/>
        <v>6000000</v>
      </c>
      <c r="Y15" s="174">
        <f t="shared" si="13"/>
        <v>0</v>
      </c>
      <c r="Z15" s="14">
        <v>2000000</v>
      </c>
      <c r="AA15" s="13"/>
      <c r="AB15" s="14">
        <f t="shared" si="14"/>
        <v>2000000</v>
      </c>
      <c r="AC15" s="14">
        <v>2000000</v>
      </c>
      <c r="AD15" s="13"/>
      <c r="AE15" s="14">
        <f t="shared" si="15"/>
        <v>2000000</v>
      </c>
      <c r="AF15" s="14">
        <v>2000000</v>
      </c>
      <c r="AG15" s="13"/>
      <c r="AH15" s="14">
        <f t="shared" si="16"/>
        <v>2000000</v>
      </c>
      <c r="AI15" s="174">
        <f t="shared" si="26"/>
        <v>6000000</v>
      </c>
      <c r="AJ15" s="174">
        <f t="shared" si="17"/>
        <v>0</v>
      </c>
      <c r="AK15" s="14">
        <v>2000000</v>
      </c>
      <c r="AL15" s="13"/>
      <c r="AM15" s="14">
        <f t="shared" si="18"/>
        <v>2000000</v>
      </c>
      <c r="AN15" s="14">
        <v>2000000</v>
      </c>
      <c r="AO15" s="13"/>
      <c r="AP15" s="14">
        <f t="shared" si="19"/>
        <v>2000000</v>
      </c>
      <c r="AQ15" s="14">
        <v>2000000</v>
      </c>
      <c r="AR15" s="13"/>
      <c r="AS15" s="14">
        <f t="shared" si="20"/>
        <v>2000000</v>
      </c>
      <c r="AT15" s="174"/>
      <c r="AU15" s="174">
        <f t="shared" si="21"/>
        <v>0</v>
      </c>
      <c r="AV15" s="38">
        <f t="shared" si="22"/>
        <v>24000000</v>
      </c>
      <c r="AW15" s="14">
        <f t="shared" si="22"/>
        <v>0</v>
      </c>
      <c r="AX15" s="178">
        <f t="shared" si="23"/>
        <v>12000000</v>
      </c>
      <c r="AY15" s="16">
        <f t="shared" si="24"/>
        <v>0</v>
      </c>
      <c r="AZ15" s="16">
        <f t="shared" si="25"/>
        <v>0</v>
      </c>
      <c r="BA15" s="16">
        <f t="shared" si="25"/>
        <v>0</v>
      </c>
      <c r="BB15" s="16">
        <f t="shared" si="25"/>
        <v>0</v>
      </c>
    </row>
    <row r="16" spans="1:54" s="36" customFormat="1" ht="16.899999999999999" customHeight="1" x14ac:dyDescent="0.2">
      <c r="A16" s="40">
        <v>5</v>
      </c>
      <c r="B16" s="42" t="s">
        <v>39</v>
      </c>
      <c r="C16" s="44" t="s">
        <v>40</v>
      </c>
      <c r="D16" s="14">
        <v>1000000</v>
      </c>
      <c r="E16" s="13"/>
      <c r="F16" s="14">
        <f t="shared" si="6"/>
        <v>1000000</v>
      </c>
      <c r="G16" s="14">
        <v>1000000</v>
      </c>
      <c r="H16" s="13"/>
      <c r="I16" s="14">
        <f t="shared" si="7"/>
        <v>1000000</v>
      </c>
      <c r="J16" s="14">
        <v>1000000</v>
      </c>
      <c r="K16" s="13"/>
      <c r="L16" s="14">
        <f t="shared" si="8"/>
        <v>1000000</v>
      </c>
      <c r="M16" s="174">
        <f t="shared" si="9"/>
        <v>3000000</v>
      </c>
      <c r="N16" s="174">
        <f t="shared" si="9"/>
        <v>0</v>
      </c>
      <c r="O16" s="14">
        <v>1000000</v>
      </c>
      <c r="P16" s="13"/>
      <c r="Q16" s="14">
        <f t="shared" si="10"/>
        <v>1000000</v>
      </c>
      <c r="R16" s="14">
        <v>1000000</v>
      </c>
      <c r="S16" s="13"/>
      <c r="T16" s="14">
        <f t="shared" si="11"/>
        <v>1000000</v>
      </c>
      <c r="U16" s="14">
        <v>1000000</v>
      </c>
      <c r="V16" s="13"/>
      <c r="W16" s="14">
        <f t="shared" si="12"/>
        <v>1000000</v>
      </c>
      <c r="X16" s="174">
        <f t="shared" si="13"/>
        <v>3000000</v>
      </c>
      <c r="Y16" s="174">
        <f t="shared" si="13"/>
        <v>0</v>
      </c>
      <c r="Z16" s="14">
        <v>1000000</v>
      </c>
      <c r="AA16" s="13"/>
      <c r="AB16" s="14">
        <f t="shared" si="14"/>
        <v>1000000</v>
      </c>
      <c r="AC16" s="14">
        <v>1000000</v>
      </c>
      <c r="AD16" s="13"/>
      <c r="AE16" s="14">
        <f t="shared" si="15"/>
        <v>1000000</v>
      </c>
      <c r="AF16" s="14">
        <v>1000000</v>
      </c>
      <c r="AG16" s="13"/>
      <c r="AH16" s="14">
        <f t="shared" si="16"/>
        <v>1000000</v>
      </c>
      <c r="AI16" s="174">
        <f t="shared" si="26"/>
        <v>3000000</v>
      </c>
      <c r="AJ16" s="174">
        <f t="shared" si="17"/>
        <v>0</v>
      </c>
      <c r="AK16" s="14">
        <v>1000000</v>
      </c>
      <c r="AL16" s="13"/>
      <c r="AM16" s="14">
        <f t="shared" si="18"/>
        <v>1000000</v>
      </c>
      <c r="AN16" s="14">
        <v>1000000</v>
      </c>
      <c r="AO16" s="13"/>
      <c r="AP16" s="14">
        <f t="shared" si="19"/>
        <v>1000000</v>
      </c>
      <c r="AQ16" s="14">
        <v>1000000</v>
      </c>
      <c r="AR16" s="13"/>
      <c r="AS16" s="14">
        <f t="shared" si="20"/>
        <v>1000000</v>
      </c>
      <c r="AT16" s="174"/>
      <c r="AU16" s="174">
        <f t="shared" si="21"/>
        <v>0</v>
      </c>
      <c r="AV16" s="38">
        <f t="shared" si="22"/>
        <v>12000000</v>
      </c>
      <c r="AW16" s="14">
        <f t="shared" si="22"/>
        <v>0</v>
      </c>
      <c r="AX16" s="178">
        <f t="shared" si="23"/>
        <v>6000000</v>
      </c>
      <c r="AY16" s="16">
        <f t="shared" si="24"/>
        <v>0</v>
      </c>
      <c r="AZ16" s="16">
        <f t="shared" si="25"/>
        <v>0</v>
      </c>
      <c r="BA16" s="16">
        <f t="shared" si="25"/>
        <v>0</v>
      </c>
      <c r="BB16" s="16">
        <f t="shared" si="25"/>
        <v>0</v>
      </c>
    </row>
    <row r="17" spans="1:54" s="36" customFormat="1" ht="16.899999999999999" customHeight="1" x14ac:dyDescent="0.2">
      <c r="A17" s="40">
        <v>6</v>
      </c>
      <c r="B17" s="42" t="s">
        <v>36</v>
      </c>
      <c r="C17" s="29" t="s">
        <v>41</v>
      </c>
      <c r="D17" s="14"/>
      <c r="E17" s="13"/>
      <c r="F17" s="14">
        <f t="shared" si="6"/>
        <v>0</v>
      </c>
      <c r="G17" s="14"/>
      <c r="H17" s="13"/>
      <c r="I17" s="14">
        <f t="shared" si="7"/>
        <v>0</v>
      </c>
      <c r="J17" s="14"/>
      <c r="K17" s="13"/>
      <c r="L17" s="14">
        <f t="shared" si="8"/>
        <v>0</v>
      </c>
      <c r="M17" s="174">
        <f t="shared" si="9"/>
        <v>0</v>
      </c>
      <c r="N17" s="174">
        <f t="shared" si="9"/>
        <v>0</v>
      </c>
      <c r="O17" s="14"/>
      <c r="P17" s="13"/>
      <c r="Q17" s="14">
        <f t="shared" si="10"/>
        <v>0</v>
      </c>
      <c r="R17" s="14"/>
      <c r="S17" s="13"/>
      <c r="T17" s="14">
        <f t="shared" si="11"/>
        <v>0</v>
      </c>
      <c r="U17" s="14"/>
      <c r="V17" s="13"/>
      <c r="W17" s="14">
        <f t="shared" si="12"/>
        <v>0</v>
      </c>
      <c r="X17" s="174">
        <f t="shared" si="13"/>
        <v>0</v>
      </c>
      <c r="Y17" s="174">
        <f t="shared" si="13"/>
        <v>0</v>
      </c>
      <c r="Z17" s="14"/>
      <c r="AA17" s="13"/>
      <c r="AB17" s="14">
        <f t="shared" si="14"/>
        <v>0</v>
      </c>
      <c r="AC17" s="14">
        <f>51*200000</f>
        <v>10200000</v>
      </c>
      <c r="AD17" s="13"/>
      <c r="AE17" s="14">
        <f t="shared" si="15"/>
        <v>10200000</v>
      </c>
      <c r="AF17" s="14"/>
      <c r="AG17" s="13"/>
      <c r="AH17" s="14">
        <f t="shared" si="16"/>
        <v>0</v>
      </c>
      <c r="AI17" s="174">
        <f t="shared" si="26"/>
        <v>10200000</v>
      </c>
      <c r="AJ17" s="174">
        <f t="shared" si="17"/>
        <v>0</v>
      </c>
      <c r="AK17" s="14"/>
      <c r="AL17" s="13"/>
      <c r="AM17" s="14">
        <f t="shared" si="18"/>
        <v>0</v>
      </c>
      <c r="AN17" s="14"/>
      <c r="AO17" s="13"/>
      <c r="AP17" s="14">
        <f t="shared" si="19"/>
        <v>0</v>
      </c>
      <c r="AQ17" s="14"/>
      <c r="AR17" s="13"/>
      <c r="AS17" s="14">
        <f t="shared" si="20"/>
        <v>0</v>
      </c>
      <c r="AT17" s="174"/>
      <c r="AU17" s="174">
        <f t="shared" si="21"/>
        <v>0</v>
      </c>
      <c r="AV17" s="38">
        <f t="shared" si="22"/>
        <v>10200000</v>
      </c>
      <c r="AW17" s="14">
        <f t="shared" si="22"/>
        <v>0</v>
      </c>
      <c r="AX17" s="178">
        <f t="shared" si="23"/>
        <v>10200000</v>
      </c>
      <c r="AY17" s="16">
        <f t="shared" si="24"/>
        <v>0</v>
      </c>
      <c r="AZ17" s="16">
        <f t="shared" si="25"/>
        <v>0</v>
      </c>
      <c r="BA17" s="16">
        <f t="shared" si="25"/>
        <v>0</v>
      </c>
      <c r="BB17" s="16">
        <f t="shared" si="25"/>
        <v>0</v>
      </c>
    </row>
    <row r="18" spans="1:54" s="36" customFormat="1" ht="16.899999999999999" customHeight="1" x14ac:dyDescent="0.2">
      <c r="A18" s="14">
        <v>7</v>
      </c>
      <c r="B18" s="13" t="s">
        <v>36</v>
      </c>
      <c r="C18" s="29" t="s">
        <v>42</v>
      </c>
      <c r="D18" s="14"/>
      <c r="E18" s="13"/>
      <c r="F18" s="14">
        <f t="shared" si="6"/>
        <v>0</v>
      </c>
      <c r="G18" s="14"/>
      <c r="H18" s="13"/>
      <c r="I18" s="14">
        <f t="shared" si="7"/>
        <v>0</v>
      </c>
      <c r="J18" s="14"/>
      <c r="K18" s="13"/>
      <c r="L18" s="14">
        <f t="shared" si="8"/>
        <v>0</v>
      </c>
      <c r="M18" s="174">
        <f t="shared" si="9"/>
        <v>0</v>
      </c>
      <c r="N18" s="174">
        <f t="shared" si="9"/>
        <v>0</v>
      </c>
      <c r="O18" s="14"/>
      <c r="P18" s="13"/>
      <c r="Q18" s="14">
        <f t="shared" si="10"/>
        <v>0</v>
      </c>
      <c r="R18" s="14"/>
      <c r="S18" s="13"/>
      <c r="T18" s="14">
        <f t="shared" si="11"/>
        <v>0</v>
      </c>
      <c r="U18" s="14"/>
      <c r="V18" s="13"/>
      <c r="W18" s="14">
        <f t="shared" si="12"/>
        <v>0</v>
      </c>
      <c r="X18" s="174">
        <f t="shared" si="13"/>
        <v>0</v>
      </c>
      <c r="Y18" s="174">
        <f t="shared" si="13"/>
        <v>0</v>
      </c>
      <c r="Z18" s="14"/>
      <c r="AA18" s="13"/>
      <c r="AB18" s="14">
        <f t="shared" si="14"/>
        <v>0</v>
      </c>
      <c r="AC18" s="14">
        <f>51*300000</f>
        <v>15300000</v>
      </c>
      <c r="AD18" s="13"/>
      <c r="AE18" s="14">
        <f t="shared" si="15"/>
        <v>15300000</v>
      </c>
      <c r="AF18" s="14"/>
      <c r="AG18" s="13"/>
      <c r="AH18" s="14">
        <f t="shared" si="16"/>
        <v>0</v>
      </c>
      <c r="AI18" s="174">
        <f t="shared" si="26"/>
        <v>15300000</v>
      </c>
      <c r="AJ18" s="174">
        <f t="shared" si="17"/>
        <v>0</v>
      </c>
      <c r="AK18" s="14"/>
      <c r="AL18" s="13"/>
      <c r="AM18" s="14">
        <f t="shared" si="18"/>
        <v>0</v>
      </c>
      <c r="AN18" s="14"/>
      <c r="AO18" s="13"/>
      <c r="AP18" s="14">
        <f t="shared" si="19"/>
        <v>0</v>
      </c>
      <c r="AQ18" s="14"/>
      <c r="AR18" s="13"/>
      <c r="AS18" s="14">
        <f t="shared" si="20"/>
        <v>0</v>
      </c>
      <c r="AT18" s="174"/>
      <c r="AU18" s="174">
        <f t="shared" si="21"/>
        <v>0</v>
      </c>
      <c r="AV18" s="38">
        <f t="shared" si="22"/>
        <v>15300000</v>
      </c>
      <c r="AW18" s="14">
        <f t="shared" si="22"/>
        <v>0</v>
      </c>
      <c r="AX18" s="178">
        <f t="shared" si="23"/>
        <v>15300000</v>
      </c>
      <c r="AY18" s="16">
        <f t="shared" si="24"/>
        <v>0</v>
      </c>
      <c r="AZ18" s="16">
        <f t="shared" si="25"/>
        <v>0</v>
      </c>
      <c r="BA18" s="16">
        <f t="shared" si="25"/>
        <v>0</v>
      </c>
      <c r="BB18" s="16">
        <f t="shared" si="25"/>
        <v>0</v>
      </c>
    </row>
    <row r="19" spans="1:54" s="36" customFormat="1" ht="16.899999999999999" customHeight="1" x14ac:dyDescent="0.2">
      <c r="A19" s="14">
        <v>8</v>
      </c>
      <c r="B19" s="13" t="s">
        <v>43</v>
      </c>
      <c r="C19" s="41" t="s">
        <v>44</v>
      </c>
      <c r="D19" s="14"/>
      <c r="E19" s="13"/>
      <c r="F19" s="14">
        <f t="shared" si="6"/>
        <v>0</v>
      </c>
      <c r="G19" s="1">
        <f>105000000*1.2</f>
        <v>126000000</v>
      </c>
      <c r="H19" s="13"/>
      <c r="I19" s="14">
        <f t="shared" si="7"/>
        <v>126000000</v>
      </c>
      <c r="J19" s="14"/>
      <c r="K19" s="13"/>
      <c r="L19" s="14">
        <f t="shared" si="8"/>
        <v>0</v>
      </c>
      <c r="M19" s="174">
        <f t="shared" si="9"/>
        <v>126000000</v>
      </c>
      <c r="N19" s="174">
        <f t="shared" si="9"/>
        <v>0</v>
      </c>
      <c r="O19" s="14"/>
      <c r="P19" s="13"/>
      <c r="Q19" s="14">
        <f t="shared" si="10"/>
        <v>0</v>
      </c>
      <c r="R19" s="1">
        <f>105000000*1.2</f>
        <v>126000000</v>
      </c>
      <c r="S19" s="13"/>
      <c r="T19" s="14">
        <f t="shared" si="11"/>
        <v>126000000</v>
      </c>
      <c r="U19" s="14"/>
      <c r="V19" s="13"/>
      <c r="W19" s="14">
        <f t="shared" si="12"/>
        <v>0</v>
      </c>
      <c r="X19" s="174">
        <f t="shared" si="13"/>
        <v>126000000</v>
      </c>
      <c r="Y19" s="174">
        <f t="shared" si="13"/>
        <v>0</v>
      </c>
      <c r="Z19" s="14"/>
      <c r="AA19" s="13"/>
      <c r="AB19" s="14">
        <f t="shared" si="14"/>
        <v>0</v>
      </c>
      <c r="AC19" s="1">
        <f>105000000*1.2</f>
        <v>126000000</v>
      </c>
      <c r="AD19" s="13"/>
      <c r="AE19" s="14">
        <f t="shared" si="15"/>
        <v>126000000</v>
      </c>
      <c r="AF19" s="14"/>
      <c r="AG19" s="13"/>
      <c r="AH19" s="14">
        <f t="shared" si="16"/>
        <v>0</v>
      </c>
      <c r="AI19" s="174">
        <f t="shared" si="26"/>
        <v>126000000</v>
      </c>
      <c r="AJ19" s="174">
        <f t="shared" si="17"/>
        <v>0</v>
      </c>
      <c r="AK19" s="14"/>
      <c r="AL19" s="13"/>
      <c r="AM19" s="14">
        <f t="shared" si="18"/>
        <v>0</v>
      </c>
      <c r="AN19" s="1">
        <f>105000000*1.2</f>
        <v>126000000</v>
      </c>
      <c r="AO19" s="13"/>
      <c r="AP19" s="14">
        <f t="shared" si="19"/>
        <v>126000000</v>
      </c>
      <c r="AQ19" s="14"/>
      <c r="AR19" s="13"/>
      <c r="AS19" s="14">
        <f t="shared" si="20"/>
        <v>0</v>
      </c>
      <c r="AT19" s="174"/>
      <c r="AU19" s="174">
        <f t="shared" si="21"/>
        <v>0</v>
      </c>
      <c r="AV19" s="38">
        <f t="shared" si="22"/>
        <v>504000000</v>
      </c>
      <c r="AW19" s="14">
        <f t="shared" si="22"/>
        <v>0</v>
      </c>
      <c r="AX19" s="178">
        <f t="shared" si="23"/>
        <v>252000000</v>
      </c>
      <c r="AY19" s="16">
        <f t="shared" si="24"/>
        <v>0</v>
      </c>
      <c r="AZ19" s="16">
        <f t="shared" si="25"/>
        <v>0</v>
      </c>
      <c r="BA19" s="16">
        <f t="shared" si="25"/>
        <v>0</v>
      </c>
      <c r="BB19" s="16">
        <f t="shared" si="25"/>
        <v>0</v>
      </c>
    </row>
    <row r="20" spans="1:54" s="36" customFormat="1" ht="16.899999999999999" customHeight="1" x14ac:dyDescent="0.2">
      <c r="A20" s="14">
        <v>9</v>
      </c>
      <c r="B20" s="41" t="s">
        <v>45</v>
      </c>
      <c r="C20" s="41" t="s">
        <v>46</v>
      </c>
      <c r="D20" s="14">
        <v>350000000</v>
      </c>
      <c r="E20" s="13"/>
      <c r="F20" s="14">
        <f t="shared" si="6"/>
        <v>350000000</v>
      </c>
      <c r="G20" s="14"/>
      <c r="H20" s="13"/>
      <c r="I20" s="14">
        <f t="shared" si="7"/>
        <v>0</v>
      </c>
      <c r="J20" s="14"/>
      <c r="K20" s="13"/>
      <c r="L20" s="14">
        <f t="shared" si="8"/>
        <v>0</v>
      </c>
      <c r="M20" s="174">
        <f t="shared" si="9"/>
        <v>350000000</v>
      </c>
      <c r="N20" s="174">
        <f t="shared" si="9"/>
        <v>0</v>
      </c>
      <c r="O20" s="14"/>
      <c r="P20" s="13"/>
      <c r="Q20" s="14">
        <f t="shared" si="10"/>
        <v>0</v>
      </c>
      <c r="R20" s="14"/>
      <c r="S20" s="13"/>
      <c r="T20" s="14">
        <f t="shared" si="11"/>
        <v>0</v>
      </c>
      <c r="U20" s="14"/>
      <c r="V20" s="13"/>
      <c r="W20" s="14">
        <f t="shared" si="12"/>
        <v>0</v>
      </c>
      <c r="X20" s="174">
        <f t="shared" si="13"/>
        <v>0</v>
      </c>
      <c r="Y20" s="174">
        <f t="shared" si="13"/>
        <v>0</v>
      </c>
      <c r="Z20" s="14"/>
      <c r="AA20" s="13"/>
      <c r="AB20" s="14">
        <f t="shared" si="14"/>
        <v>0</v>
      </c>
      <c r="AC20" s="14"/>
      <c r="AD20" s="13"/>
      <c r="AE20" s="14">
        <f t="shared" si="15"/>
        <v>0</v>
      </c>
      <c r="AF20" s="14"/>
      <c r="AG20" s="13"/>
      <c r="AH20" s="14">
        <f t="shared" si="16"/>
        <v>0</v>
      </c>
      <c r="AI20" s="174">
        <f t="shared" si="26"/>
        <v>0</v>
      </c>
      <c r="AJ20" s="174">
        <f t="shared" si="17"/>
        <v>0</v>
      </c>
      <c r="AK20" s="14"/>
      <c r="AL20" s="13"/>
      <c r="AM20" s="14">
        <f t="shared" si="18"/>
        <v>0</v>
      </c>
      <c r="AN20" s="14"/>
      <c r="AO20" s="13"/>
      <c r="AP20" s="14">
        <f t="shared" si="19"/>
        <v>0</v>
      </c>
      <c r="AQ20" s="14"/>
      <c r="AR20" s="13"/>
      <c r="AS20" s="14">
        <f t="shared" si="20"/>
        <v>0</v>
      </c>
      <c r="AT20" s="174"/>
      <c r="AU20" s="174">
        <f t="shared" si="21"/>
        <v>0</v>
      </c>
      <c r="AV20" s="38">
        <f t="shared" si="22"/>
        <v>350000000</v>
      </c>
      <c r="AW20" s="14">
        <f t="shared" si="22"/>
        <v>0</v>
      </c>
      <c r="AX20" s="178">
        <f t="shared" si="23"/>
        <v>0</v>
      </c>
      <c r="AY20" s="16">
        <f t="shared" si="24"/>
        <v>0</v>
      </c>
      <c r="AZ20" s="16">
        <f t="shared" si="25"/>
        <v>0</v>
      </c>
      <c r="BA20" s="16">
        <f t="shared" si="25"/>
        <v>0</v>
      </c>
      <c r="BB20" s="16">
        <f t="shared" si="25"/>
        <v>0</v>
      </c>
    </row>
    <row r="21" spans="1:54" s="36" customFormat="1" ht="16.899999999999999" customHeight="1" x14ac:dyDescent="0.2">
      <c r="A21" s="14">
        <v>10</v>
      </c>
      <c r="B21" s="41" t="s">
        <v>47</v>
      </c>
      <c r="C21" s="41" t="s">
        <v>48</v>
      </c>
      <c r="D21" s="14"/>
      <c r="E21" s="13"/>
      <c r="F21" s="14">
        <f t="shared" si="6"/>
        <v>0</v>
      </c>
      <c r="G21" s="14"/>
      <c r="H21" s="13"/>
      <c r="I21" s="14">
        <f t="shared" si="7"/>
        <v>0</v>
      </c>
      <c r="J21" s="14"/>
      <c r="K21" s="13"/>
      <c r="L21" s="14">
        <f t="shared" si="8"/>
        <v>0</v>
      </c>
      <c r="M21" s="174">
        <f t="shared" si="9"/>
        <v>0</v>
      </c>
      <c r="N21" s="174">
        <f t="shared" si="9"/>
        <v>0</v>
      </c>
      <c r="O21" s="14"/>
      <c r="P21" s="13"/>
      <c r="Q21" s="14">
        <f t="shared" si="10"/>
        <v>0</v>
      </c>
      <c r="R21" s="14">
        <f>5*10000000</f>
        <v>50000000</v>
      </c>
      <c r="S21" s="13"/>
      <c r="T21" s="14">
        <f t="shared" si="11"/>
        <v>50000000</v>
      </c>
      <c r="U21" s="14"/>
      <c r="V21" s="13"/>
      <c r="W21" s="14">
        <f t="shared" si="12"/>
        <v>0</v>
      </c>
      <c r="X21" s="174">
        <f t="shared" si="13"/>
        <v>50000000</v>
      </c>
      <c r="Y21" s="174">
        <f t="shared" si="13"/>
        <v>0</v>
      </c>
      <c r="Z21" s="14"/>
      <c r="AA21" s="13"/>
      <c r="AB21" s="14">
        <f t="shared" si="14"/>
        <v>0</v>
      </c>
      <c r="AC21" s="14"/>
      <c r="AD21" s="13"/>
      <c r="AE21" s="14">
        <f t="shared" si="15"/>
        <v>0</v>
      </c>
      <c r="AF21" s="14"/>
      <c r="AG21" s="13"/>
      <c r="AH21" s="14">
        <f t="shared" si="16"/>
        <v>0</v>
      </c>
      <c r="AI21" s="174">
        <f t="shared" si="26"/>
        <v>0</v>
      </c>
      <c r="AJ21" s="174">
        <f t="shared" si="17"/>
        <v>0</v>
      </c>
      <c r="AK21" s="14"/>
      <c r="AL21" s="13"/>
      <c r="AM21" s="14">
        <f t="shared" si="18"/>
        <v>0</v>
      </c>
      <c r="AN21" s="14">
        <f>5*10000000</f>
        <v>50000000</v>
      </c>
      <c r="AO21" s="13"/>
      <c r="AP21" s="14">
        <f t="shared" si="19"/>
        <v>50000000</v>
      </c>
      <c r="AQ21" s="14"/>
      <c r="AR21" s="13"/>
      <c r="AS21" s="14">
        <f t="shared" si="20"/>
        <v>0</v>
      </c>
      <c r="AT21" s="174"/>
      <c r="AU21" s="174">
        <f t="shared" si="21"/>
        <v>0</v>
      </c>
      <c r="AV21" s="38">
        <f t="shared" si="22"/>
        <v>100000000</v>
      </c>
      <c r="AW21" s="14">
        <f t="shared" si="22"/>
        <v>0</v>
      </c>
      <c r="AX21" s="178">
        <f t="shared" si="23"/>
        <v>50000000</v>
      </c>
      <c r="AY21" s="16">
        <f t="shared" si="24"/>
        <v>0</v>
      </c>
      <c r="AZ21" s="16">
        <f t="shared" si="25"/>
        <v>0</v>
      </c>
      <c r="BA21" s="16">
        <f t="shared" si="25"/>
        <v>0</v>
      </c>
      <c r="BB21" s="16">
        <f t="shared" si="25"/>
        <v>0</v>
      </c>
    </row>
    <row r="22" spans="1:54" s="21" customFormat="1" ht="16.899999999999999" customHeight="1" x14ac:dyDescent="0.2">
      <c r="A22" s="38"/>
      <c r="B22" s="45"/>
      <c r="C22" s="19" t="s">
        <v>49</v>
      </c>
      <c r="D22" s="46">
        <f t="shared" ref="D22:BB22" si="27">SUM(D12:D21)</f>
        <v>417485307.60000002</v>
      </c>
      <c r="E22" s="46">
        <f t="shared" si="27"/>
        <v>5718000</v>
      </c>
      <c r="F22" s="46">
        <f t="shared" si="27"/>
        <v>411767307.60000002</v>
      </c>
      <c r="G22" s="46">
        <f t="shared" si="27"/>
        <v>148485307.59999999</v>
      </c>
      <c r="H22" s="46">
        <f t="shared" si="27"/>
        <v>18940065</v>
      </c>
      <c r="I22" s="46">
        <f t="shared" si="27"/>
        <v>129545242.59999999</v>
      </c>
      <c r="J22" s="46">
        <f t="shared" si="27"/>
        <v>22485307.600000001</v>
      </c>
      <c r="K22" s="46">
        <f t="shared" si="27"/>
        <v>28720000</v>
      </c>
      <c r="L22" s="46">
        <f t="shared" si="27"/>
        <v>-6234692.3999999985</v>
      </c>
      <c r="M22" s="46">
        <f t="shared" si="27"/>
        <v>588455922.79999995</v>
      </c>
      <c r="N22" s="46">
        <f t="shared" si="27"/>
        <v>53378065</v>
      </c>
      <c r="O22" s="46">
        <f t="shared" si="27"/>
        <v>24723544.512000006</v>
      </c>
      <c r="P22" s="46">
        <f t="shared" si="27"/>
        <v>10015271</v>
      </c>
      <c r="Q22" s="46">
        <f t="shared" si="27"/>
        <v>14708273.512000006</v>
      </c>
      <c r="R22" s="46">
        <f t="shared" si="27"/>
        <v>200723544.51199999</v>
      </c>
      <c r="S22" s="46">
        <f t="shared" si="27"/>
        <v>21807569</v>
      </c>
      <c r="T22" s="46">
        <f t="shared" si="27"/>
        <v>178915975.51200002</v>
      </c>
      <c r="U22" s="46">
        <f t="shared" si="27"/>
        <v>24723544.512000006</v>
      </c>
      <c r="V22" s="46">
        <f t="shared" si="27"/>
        <v>9273461</v>
      </c>
      <c r="W22" s="46">
        <f t="shared" si="27"/>
        <v>15450083.512000006</v>
      </c>
      <c r="X22" s="46">
        <f t="shared" si="27"/>
        <v>250170633.53600001</v>
      </c>
      <c r="Y22" s="46">
        <f t="shared" si="27"/>
        <v>41096301</v>
      </c>
      <c r="Z22" s="46">
        <f t="shared" si="27"/>
        <v>24723544.512000006</v>
      </c>
      <c r="AA22" s="46">
        <f t="shared" si="27"/>
        <v>38358725</v>
      </c>
      <c r="AB22" s="46">
        <f t="shared" si="27"/>
        <v>-13635180.487999994</v>
      </c>
      <c r="AC22" s="46">
        <f t="shared" si="27"/>
        <v>176223544.51200002</v>
      </c>
      <c r="AD22" s="46">
        <f t="shared" si="27"/>
        <v>5091031</v>
      </c>
      <c r="AE22" s="46">
        <f t="shared" si="27"/>
        <v>171132513.51200002</v>
      </c>
      <c r="AF22" s="46">
        <f t="shared" si="27"/>
        <v>24723544.512000006</v>
      </c>
      <c r="AG22" s="46">
        <f t="shared" si="27"/>
        <v>89880317</v>
      </c>
      <c r="AH22" s="46">
        <f t="shared" si="27"/>
        <v>-65156772.487999991</v>
      </c>
      <c r="AI22" s="46">
        <f t="shared" si="27"/>
        <v>225670633.53600001</v>
      </c>
      <c r="AJ22" s="46">
        <f t="shared" si="27"/>
        <v>133330073</v>
      </c>
      <c r="AK22" s="46">
        <f t="shared" si="27"/>
        <v>24723544.512000006</v>
      </c>
      <c r="AL22" s="46">
        <f t="shared" si="27"/>
        <v>0</v>
      </c>
      <c r="AM22" s="46">
        <f t="shared" si="27"/>
        <v>24723544.512000006</v>
      </c>
      <c r="AN22" s="46">
        <f t="shared" si="27"/>
        <v>200723544.51199999</v>
      </c>
      <c r="AO22" s="46">
        <f t="shared" si="27"/>
        <v>0</v>
      </c>
      <c r="AP22" s="46">
        <f t="shared" si="27"/>
        <v>200723544.51199999</v>
      </c>
      <c r="AQ22" s="46">
        <f t="shared" si="27"/>
        <v>24723544.512000006</v>
      </c>
      <c r="AR22" s="46">
        <f t="shared" si="27"/>
        <v>0</v>
      </c>
      <c r="AS22" s="46">
        <f t="shared" si="27"/>
        <v>24723544.512000006</v>
      </c>
      <c r="AT22" s="46">
        <f t="shared" si="27"/>
        <v>0</v>
      </c>
      <c r="AU22" s="46">
        <f t="shared" si="27"/>
        <v>0</v>
      </c>
      <c r="AV22" s="46">
        <f t="shared" si="27"/>
        <v>1314467823.408</v>
      </c>
      <c r="AW22" s="46">
        <f t="shared" si="27"/>
        <v>227804439</v>
      </c>
      <c r="AX22" s="46">
        <f t="shared" si="27"/>
        <v>703645706.07200003</v>
      </c>
      <c r="AY22" s="46">
        <f t="shared" si="27"/>
        <v>250584882.90000001</v>
      </c>
      <c r="AZ22" s="46">
        <f t="shared" si="27"/>
        <v>275643371.19000006</v>
      </c>
      <c r="BA22" s="46">
        <f t="shared" si="27"/>
        <v>303207708.30900007</v>
      </c>
      <c r="BB22" s="46">
        <f t="shared" si="27"/>
        <v>333528479.13990009</v>
      </c>
    </row>
    <row r="23" spans="1:54" ht="16.899999999999999" customHeight="1" x14ac:dyDescent="0.2">
      <c r="A23" s="29">
        <v>1</v>
      </c>
      <c r="B23" s="41" t="s">
        <v>50</v>
      </c>
      <c r="C23" s="47" t="s">
        <v>51</v>
      </c>
      <c r="D23" s="48">
        <v>7635000</v>
      </c>
      <c r="E23" s="48">
        <v>8489422</v>
      </c>
      <c r="F23" s="48">
        <f t="shared" ref="F23:F31" si="28">D23-E23</f>
        <v>-854422</v>
      </c>
      <c r="G23" s="48">
        <v>7635000</v>
      </c>
      <c r="H23" s="48">
        <v>5751705</v>
      </c>
      <c r="I23" s="48">
        <f t="shared" ref="I23:I31" si="29">G23-H23</f>
        <v>1883295</v>
      </c>
      <c r="J23" s="48">
        <v>7635000</v>
      </c>
      <c r="K23" s="48"/>
      <c r="L23" s="48">
        <f t="shared" ref="L23:L31" si="30">J23-K23</f>
        <v>7635000</v>
      </c>
      <c r="M23" s="48">
        <f t="shared" ref="M23:N31" si="31">D23+G23+J23</f>
        <v>22905000</v>
      </c>
      <c r="N23" s="48">
        <f t="shared" si="31"/>
        <v>14241127</v>
      </c>
      <c r="O23" s="48">
        <v>7635000</v>
      </c>
      <c r="P23" s="48"/>
      <c r="Q23" s="48">
        <f t="shared" ref="Q23:Q31" si="32">O23-P23</f>
        <v>7635000</v>
      </c>
      <c r="R23" s="48">
        <v>7635000</v>
      </c>
      <c r="S23" s="48"/>
      <c r="T23" s="48">
        <f t="shared" ref="T23:T31" si="33">R23-S23</f>
        <v>7635000</v>
      </c>
      <c r="U23" s="48">
        <v>7635000</v>
      </c>
      <c r="V23" s="48"/>
      <c r="W23" s="48">
        <f t="shared" ref="W23:W31" si="34">U23-V23</f>
        <v>7635000</v>
      </c>
      <c r="X23" s="179">
        <f t="shared" ref="X23:Y31" si="35">O23+R23+U23</f>
        <v>22905000</v>
      </c>
      <c r="Y23" s="179">
        <f t="shared" si="35"/>
        <v>0</v>
      </c>
      <c r="Z23" s="48">
        <v>7635000</v>
      </c>
      <c r="AA23" s="48"/>
      <c r="AB23" s="48">
        <f t="shared" ref="AB23:AB31" si="36">Z23-AA23</f>
        <v>7635000</v>
      </c>
      <c r="AC23" s="48">
        <v>7635000</v>
      </c>
      <c r="AD23" s="48"/>
      <c r="AE23" s="48">
        <f t="shared" ref="AE23:AE31" si="37">AC23-AD23</f>
        <v>7635000</v>
      </c>
      <c r="AF23" s="48">
        <v>7635000</v>
      </c>
      <c r="AG23" s="48"/>
      <c r="AH23" s="48">
        <f t="shared" ref="AH23:AH31" si="38">AF23-AG23</f>
        <v>7635000</v>
      </c>
      <c r="AI23" s="179"/>
      <c r="AJ23" s="179">
        <f t="shared" ref="AJ23:AJ31" si="39">AA23+AD23+AG23</f>
        <v>0</v>
      </c>
      <c r="AK23" s="48">
        <v>7635000</v>
      </c>
      <c r="AL23" s="48"/>
      <c r="AM23" s="48">
        <f t="shared" ref="AM23:AM31" si="40">AK23-AL23</f>
        <v>7635000</v>
      </c>
      <c r="AN23" s="48">
        <v>7635000</v>
      </c>
      <c r="AO23" s="48"/>
      <c r="AP23" s="48">
        <f t="shared" ref="AP23:AP31" si="41">AN23-AO23</f>
        <v>7635000</v>
      </c>
      <c r="AQ23" s="48">
        <v>7635000</v>
      </c>
      <c r="AR23" s="48"/>
      <c r="AS23" s="48">
        <f t="shared" ref="AS23:AS31" si="42">AQ23-AR23</f>
        <v>7635000</v>
      </c>
      <c r="AT23" s="179"/>
      <c r="AU23" s="179">
        <f t="shared" ref="AU23:AU31" si="43">AL23+AO23+AR23</f>
        <v>0</v>
      </c>
      <c r="AV23" s="19">
        <f t="shared" ref="AV23:AW31" si="44">AQ23+AN23+AK23+AF23+AC23+Z23+U23+R23+O23+J23+G23+D23</f>
        <v>91620000</v>
      </c>
      <c r="AW23" s="19">
        <f t="shared" si="44"/>
        <v>14241127</v>
      </c>
      <c r="AX23" s="180">
        <f t="shared" ref="AX23:AX31" si="45">(AV23-(M23+X23))+AW23</f>
        <v>60051127</v>
      </c>
      <c r="AY23" s="46">
        <f>SUM(AY13:AY22)</f>
        <v>250584882.90000001</v>
      </c>
      <c r="AZ23" s="46">
        <f>SUM(AZ13:AZ22)</f>
        <v>275643371.19000006</v>
      </c>
      <c r="BA23" s="46">
        <f>SUM(BA13:BA22)</f>
        <v>303207708.30900007</v>
      </c>
      <c r="BB23" s="46">
        <f>SUM(BB13:BB22)</f>
        <v>333528479.13990009</v>
      </c>
    </row>
    <row r="24" spans="1:54" ht="16.899999999999999" customHeight="1" x14ac:dyDescent="0.2">
      <c r="A24" s="29">
        <v>1</v>
      </c>
      <c r="B24" s="13" t="s">
        <v>39</v>
      </c>
      <c r="C24" s="29" t="s">
        <v>52</v>
      </c>
      <c r="D24" s="14"/>
      <c r="E24" s="13"/>
      <c r="F24" s="14">
        <f t="shared" si="28"/>
        <v>0</v>
      </c>
      <c r="G24" s="14"/>
      <c r="H24" s="13"/>
      <c r="I24" s="14">
        <f t="shared" si="29"/>
        <v>0</v>
      </c>
      <c r="J24" s="14"/>
      <c r="K24" s="13"/>
      <c r="L24" s="14">
        <f t="shared" si="30"/>
        <v>0</v>
      </c>
      <c r="M24" s="174">
        <f t="shared" si="31"/>
        <v>0</v>
      </c>
      <c r="N24" s="174">
        <f t="shared" si="31"/>
        <v>0</v>
      </c>
      <c r="O24" s="14"/>
      <c r="P24" s="13"/>
      <c r="Q24" s="14">
        <f t="shared" si="32"/>
        <v>0</v>
      </c>
      <c r="R24" s="14"/>
      <c r="S24" s="13"/>
      <c r="T24" s="14">
        <f t="shared" si="33"/>
        <v>0</v>
      </c>
      <c r="U24" s="14"/>
      <c r="V24" s="13"/>
      <c r="W24" s="14">
        <f t="shared" si="34"/>
        <v>0</v>
      </c>
      <c r="X24" s="174">
        <f t="shared" si="35"/>
        <v>0</v>
      </c>
      <c r="Y24" s="174">
        <f t="shared" si="35"/>
        <v>0</v>
      </c>
      <c r="Z24" s="14"/>
      <c r="AA24" s="13"/>
      <c r="AB24" s="14">
        <f t="shared" si="36"/>
        <v>0</v>
      </c>
      <c r="AC24" s="14"/>
      <c r="AD24" s="13"/>
      <c r="AE24" s="14">
        <f t="shared" si="37"/>
        <v>0</v>
      </c>
      <c r="AF24" s="14"/>
      <c r="AG24" s="13"/>
      <c r="AH24" s="14">
        <f t="shared" si="38"/>
        <v>0</v>
      </c>
      <c r="AI24" s="174">
        <f>AF24+AC24+Z24</f>
        <v>0</v>
      </c>
      <c r="AJ24" s="174">
        <f t="shared" si="39"/>
        <v>0</v>
      </c>
      <c r="AK24" s="14"/>
      <c r="AL24" s="13"/>
      <c r="AM24" s="14">
        <f t="shared" si="40"/>
        <v>0</v>
      </c>
      <c r="AN24" s="14"/>
      <c r="AO24" s="13"/>
      <c r="AP24" s="14">
        <f t="shared" si="41"/>
        <v>0</v>
      </c>
      <c r="AQ24" s="14"/>
      <c r="AR24" s="13"/>
      <c r="AS24" s="14">
        <f t="shared" si="42"/>
        <v>0</v>
      </c>
      <c r="AT24" s="174"/>
      <c r="AU24" s="174">
        <f t="shared" si="43"/>
        <v>0</v>
      </c>
      <c r="AV24" s="38">
        <f t="shared" si="44"/>
        <v>0</v>
      </c>
      <c r="AW24" s="14">
        <f t="shared" si="44"/>
        <v>0</v>
      </c>
      <c r="AX24" s="178">
        <f t="shared" si="45"/>
        <v>0</v>
      </c>
      <c r="AY24" s="16">
        <f t="shared" ref="AY24:AY31" si="46">AW24*1.1</f>
        <v>0</v>
      </c>
      <c r="AZ24" s="16">
        <f t="shared" ref="AZ24:BB31" si="47">AY24*1.1</f>
        <v>0</v>
      </c>
      <c r="BA24" s="16">
        <f t="shared" si="47"/>
        <v>0</v>
      </c>
      <c r="BB24" s="16">
        <f t="shared" si="47"/>
        <v>0</v>
      </c>
    </row>
    <row r="25" spans="1:54" ht="16.899999999999999" customHeight="1" x14ac:dyDescent="0.2">
      <c r="A25" s="29">
        <v>2</v>
      </c>
      <c r="B25" s="13" t="s">
        <v>53</v>
      </c>
      <c r="C25" s="29" t="s">
        <v>54</v>
      </c>
      <c r="D25" s="14">
        <v>60000000</v>
      </c>
      <c r="E25" s="13"/>
      <c r="F25" s="14">
        <f t="shared" si="28"/>
        <v>60000000</v>
      </c>
      <c r="G25" s="14"/>
      <c r="H25" s="13"/>
      <c r="I25" s="14">
        <f t="shared" si="29"/>
        <v>0</v>
      </c>
      <c r="J25" s="14"/>
      <c r="K25" s="13"/>
      <c r="L25" s="14">
        <f t="shared" si="30"/>
        <v>0</v>
      </c>
      <c r="M25" s="174">
        <f t="shared" si="31"/>
        <v>60000000</v>
      </c>
      <c r="N25" s="174">
        <f t="shared" si="31"/>
        <v>0</v>
      </c>
      <c r="O25" s="14">
        <v>30000000</v>
      </c>
      <c r="P25" s="13"/>
      <c r="Q25" s="14">
        <f t="shared" si="32"/>
        <v>30000000</v>
      </c>
      <c r="R25" s="14"/>
      <c r="S25" s="13"/>
      <c r="T25" s="14">
        <f t="shared" si="33"/>
        <v>0</v>
      </c>
      <c r="U25" s="14"/>
      <c r="V25" s="13"/>
      <c r="W25" s="14">
        <f t="shared" si="34"/>
        <v>0</v>
      </c>
      <c r="X25" s="174">
        <f t="shared" si="35"/>
        <v>30000000</v>
      </c>
      <c r="Y25" s="174">
        <f t="shared" si="35"/>
        <v>0</v>
      </c>
      <c r="Z25" s="14">
        <v>30000000</v>
      </c>
      <c r="AA25" s="13"/>
      <c r="AB25" s="14">
        <f t="shared" si="36"/>
        <v>30000000</v>
      </c>
      <c r="AC25" s="14"/>
      <c r="AD25" s="13"/>
      <c r="AE25" s="14">
        <f t="shared" si="37"/>
        <v>0</v>
      </c>
      <c r="AF25" s="14"/>
      <c r="AG25" s="13"/>
      <c r="AH25" s="14">
        <f t="shared" si="38"/>
        <v>0</v>
      </c>
      <c r="AI25" s="174">
        <f t="shared" ref="AI25:AI55" si="48">AF25+AC25+Z25</f>
        <v>30000000</v>
      </c>
      <c r="AJ25" s="174">
        <f t="shared" si="39"/>
        <v>0</v>
      </c>
      <c r="AK25" s="14">
        <v>30000000</v>
      </c>
      <c r="AL25" s="13"/>
      <c r="AM25" s="14">
        <f t="shared" si="40"/>
        <v>30000000</v>
      </c>
      <c r="AN25" s="14"/>
      <c r="AO25" s="13"/>
      <c r="AP25" s="14">
        <f t="shared" si="41"/>
        <v>0</v>
      </c>
      <c r="AQ25" s="14">
        <v>60000000</v>
      </c>
      <c r="AR25" s="13"/>
      <c r="AS25" s="14">
        <f t="shared" si="42"/>
        <v>60000000</v>
      </c>
      <c r="AT25" s="174"/>
      <c r="AU25" s="174">
        <f t="shared" si="43"/>
        <v>0</v>
      </c>
      <c r="AV25" s="38">
        <f t="shared" si="44"/>
        <v>210000000</v>
      </c>
      <c r="AW25" s="14">
        <f t="shared" si="44"/>
        <v>0</v>
      </c>
      <c r="AX25" s="178">
        <f t="shared" si="45"/>
        <v>120000000</v>
      </c>
      <c r="AY25" s="16">
        <f t="shared" si="46"/>
        <v>0</v>
      </c>
      <c r="AZ25" s="16">
        <f t="shared" si="47"/>
        <v>0</v>
      </c>
      <c r="BA25" s="16">
        <f t="shared" si="47"/>
        <v>0</v>
      </c>
      <c r="BB25" s="16">
        <f t="shared" si="47"/>
        <v>0</v>
      </c>
    </row>
    <row r="26" spans="1:54" ht="16.899999999999999" customHeight="1" x14ac:dyDescent="0.2">
      <c r="A26" s="10">
        <v>3</v>
      </c>
      <c r="B26" s="42" t="s">
        <v>55</v>
      </c>
      <c r="C26" s="29" t="s">
        <v>56</v>
      </c>
      <c r="D26" s="14">
        <v>3000000</v>
      </c>
      <c r="E26" s="13"/>
      <c r="F26" s="14">
        <f t="shared" si="28"/>
        <v>3000000</v>
      </c>
      <c r="G26" s="14"/>
      <c r="H26" s="13"/>
      <c r="I26" s="14">
        <f t="shared" si="29"/>
        <v>0</v>
      </c>
      <c r="J26" s="14"/>
      <c r="K26" s="13"/>
      <c r="L26" s="14">
        <f t="shared" si="30"/>
        <v>0</v>
      </c>
      <c r="M26" s="174">
        <f t="shared" si="31"/>
        <v>3000000</v>
      </c>
      <c r="N26" s="174">
        <f t="shared" si="31"/>
        <v>0</v>
      </c>
      <c r="O26" s="14"/>
      <c r="P26" s="13"/>
      <c r="Q26" s="14">
        <f t="shared" si="32"/>
        <v>0</v>
      </c>
      <c r="R26" s="14"/>
      <c r="S26" s="13"/>
      <c r="T26" s="14">
        <f t="shared" si="33"/>
        <v>0</v>
      </c>
      <c r="U26" s="14"/>
      <c r="V26" s="13"/>
      <c r="W26" s="14">
        <f t="shared" si="34"/>
        <v>0</v>
      </c>
      <c r="X26" s="174">
        <f t="shared" si="35"/>
        <v>0</v>
      </c>
      <c r="Y26" s="174">
        <f t="shared" si="35"/>
        <v>0</v>
      </c>
      <c r="Z26" s="14"/>
      <c r="AA26" s="13"/>
      <c r="AB26" s="14">
        <f t="shared" si="36"/>
        <v>0</v>
      </c>
      <c r="AC26" s="14"/>
      <c r="AD26" s="13"/>
      <c r="AE26" s="14">
        <f t="shared" si="37"/>
        <v>0</v>
      </c>
      <c r="AF26" s="14"/>
      <c r="AG26" s="13"/>
      <c r="AH26" s="14">
        <f t="shared" si="38"/>
        <v>0</v>
      </c>
      <c r="AI26" s="174">
        <f t="shared" si="48"/>
        <v>0</v>
      </c>
      <c r="AJ26" s="174">
        <f t="shared" si="39"/>
        <v>0</v>
      </c>
      <c r="AK26" s="14"/>
      <c r="AL26" s="13"/>
      <c r="AM26" s="14">
        <f t="shared" si="40"/>
        <v>0</v>
      </c>
      <c r="AN26" s="14"/>
      <c r="AO26" s="13"/>
      <c r="AP26" s="14">
        <f t="shared" si="41"/>
        <v>0</v>
      </c>
      <c r="AQ26" s="14"/>
      <c r="AR26" s="13"/>
      <c r="AS26" s="14">
        <f t="shared" si="42"/>
        <v>0</v>
      </c>
      <c r="AT26" s="174"/>
      <c r="AU26" s="174">
        <f t="shared" si="43"/>
        <v>0</v>
      </c>
      <c r="AV26" s="38">
        <f t="shared" si="44"/>
        <v>3000000</v>
      </c>
      <c r="AW26" s="14">
        <f t="shared" si="44"/>
        <v>0</v>
      </c>
      <c r="AX26" s="178">
        <f t="shared" si="45"/>
        <v>0</v>
      </c>
      <c r="AY26" s="16">
        <f t="shared" si="46"/>
        <v>0</v>
      </c>
      <c r="AZ26" s="16">
        <f t="shared" si="47"/>
        <v>0</v>
      </c>
      <c r="BA26" s="16">
        <f t="shared" si="47"/>
        <v>0</v>
      </c>
      <c r="BB26" s="16">
        <f t="shared" si="47"/>
        <v>0</v>
      </c>
    </row>
    <row r="27" spans="1:54" ht="16.899999999999999" customHeight="1" x14ac:dyDescent="0.2">
      <c r="A27" s="10">
        <v>4</v>
      </c>
      <c r="B27" s="11" t="s">
        <v>57</v>
      </c>
      <c r="C27" s="29" t="s">
        <v>58</v>
      </c>
      <c r="D27" s="14"/>
      <c r="E27" s="13"/>
      <c r="F27" s="14">
        <f t="shared" si="28"/>
        <v>0</v>
      </c>
      <c r="G27" s="14"/>
      <c r="H27" s="13"/>
      <c r="I27" s="14">
        <f t="shared" si="29"/>
        <v>0</v>
      </c>
      <c r="J27" s="14">
        <v>300000</v>
      </c>
      <c r="K27" s="13"/>
      <c r="L27" s="14">
        <f t="shared" si="30"/>
        <v>300000</v>
      </c>
      <c r="M27" s="174">
        <f t="shared" si="31"/>
        <v>300000</v>
      </c>
      <c r="N27" s="174">
        <f t="shared" si="31"/>
        <v>0</v>
      </c>
      <c r="O27" s="14"/>
      <c r="P27" s="13"/>
      <c r="Q27" s="14">
        <f t="shared" si="32"/>
        <v>0</v>
      </c>
      <c r="R27" s="14"/>
      <c r="S27" s="13"/>
      <c r="T27" s="14">
        <f t="shared" si="33"/>
        <v>0</v>
      </c>
      <c r="U27" s="14"/>
      <c r="V27" s="13"/>
      <c r="W27" s="14">
        <f t="shared" si="34"/>
        <v>0</v>
      </c>
      <c r="X27" s="174">
        <f t="shared" si="35"/>
        <v>0</v>
      </c>
      <c r="Y27" s="174">
        <f t="shared" si="35"/>
        <v>0</v>
      </c>
      <c r="Z27" s="14"/>
      <c r="AA27" s="13"/>
      <c r="AB27" s="14">
        <f t="shared" si="36"/>
        <v>0</v>
      </c>
      <c r="AC27" s="14"/>
      <c r="AD27" s="13"/>
      <c r="AE27" s="14">
        <f t="shared" si="37"/>
        <v>0</v>
      </c>
      <c r="AF27" s="14"/>
      <c r="AG27" s="13"/>
      <c r="AH27" s="14">
        <f t="shared" si="38"/>
        <v>0</v>
      </c>
      <c r="AI27" s="174">
        <f t="shared" si="48"/>
        <v>0</v>
      </c>
      <c r="AJ27" s="174">
        <f t="shared" si="39"/>
        <v>0</v>
      </c>
      <c r="AK27" s="14"/>
      <c r="AL27" s="13"/>
      <c r="AM27" s="14">
        <f t="shared" si="40"/>
        <v>0</v>
      </c>
      <c r="AN27" s="14"/>
      <c r="AO27" s="13"/>
      <c r="AP27" s="14">
        <f t="shared" si="41"/>
        <v>0</v>
      </c>
      <c r="AQ27" s="14"/>
      <c r="AR27" s="13"/>
      <c r="AS27" s="14">
        <f t="shared" si="42"/>
        <v>0</v>
      </c>
      <c r="AT27" s="174"/>
      <c r="AU27" s="174">
        <f t="shared" si="43"/>
        <v>0</v>
      </c>
      <c r="AV27" s="38">
        <f t="shared" si="44"/>
        <v>300000</v>
      </c>
      <c r="AW27" s="14">
        <f t="shared" si="44"/>
        <v>0</v>
      </c>
      <c r="AX27" s="178">
        <f t="shared" si="45"/>
        <v>0</v>
      </c>
      <c r="AY27" s="16">
        <f t="shared" si="46"/>
        <v>0</v>
      </c>
      <c r="AZ27" s="16">
        <f t="shared" si="47"/>
        <v>0</v>
      </c>
      <c r="BA27" s="16">
        <f t="shared" si="47"/>
        <v>0</v>
      </c>
      <c r="BB27" s="16">
        <f t="shared" si="47"/>
        <v>0</v>
      </c>
    </row>
    <row r="28" spans="1:54" ht="16.899999999999999" customHeight="1" x14ac:dyDescent="0.2">
      <c r="A28" s="10">
        <v>5</v>
      </c>
      <c r="B28" s="11" t="s">
        <v>57</v>
      </c>
      <c r="C28" s="29" t="s">
        <v>59</v>
      </c>
      <c r="D28" s="14"/>
      <c r="E28" s="13">
        <v>1200000</v>
      </c>
      <c r="F28" s="14">
        <f t="shared" si="28"/>
        <v>-1200000</v>
      </c>
      <c r="G28" s="14"/>
      <c r="H28" s="13"/>
      <c r="I28" s="14">
        <f t="shared" si="29"/>
        <v>0</v>
      </c>
      <c r="J28" s="14">
        <v>300000</v>
      </c>
      <c r="K28" s="13"/>
      <c r="L28" s="14">
        <f t="shared" si="30"/>
        <v>300000</v>
      </c>
      <c r="M28" s="174">
        <f t="shared" si="31"/>
        <v>300000</v>
      </c>
      <c r="N28" s="174">
        <f t="shared" si="31"/>
        <v>1200000</v>
      </c>
      <c r="O28" s="14"/>
      <c r="P28" s="13"/>
      <c r="Q28" s="14">
        <f t="shared" si="32"/>
        <v>0</v>
      </c>
      <c r="R28" s="14"/>
      <c r="S28" s="13"/>
      <c r="T28" s="14">
        <f t="shared" si="33"/>
        <v>0</v>
      </c>
      <c r="U28" s="14"/>
      <c r="V28" s="13"/>
      <c r="W28" s="14">
        <f t="shared" si="34"/>
        <v>0</v>
      </c>
      <c r="X28" s="174">
        <f t="shared" si="35"/>
        <v>0</v>
      </c>
      <c r="Y28" s="174">
        <f t="shared" si="35"/>
        <v>0</v>
      </c>
      <c r="Z28" s="14"/>
      <c r="AA28" s="13"/>
      <c r="AB28" s="14">
        <f t="shared" si="36"/>
        <v>0</v>
      </c>
      <c r="AC28" s="14"/>
      <c r="AD28" s="13"/>
      <c r="AE28" s="14">
        <f t="shared" si="37"/>
        <v>0</v>
      </c>
      <c r="AF28" s="14"/>
      <c r="AG28" s="13"/>
      <c r="AH28" s="14">
        <f t="shared" si="38"/>
        <v>0</v>
      </c>
      <c r="AI28" s="174">
        <f t="shared" si="48"/>
        <v>0</v>
      </c>
      <c r="AJ28" s="174">
        <f t="shared" si="39"/>
        <v>0</v>
      </c>
      <c r="AK28" s="14"/>
      <c r="AL28" s="13"/>
      <c r="AM28" s="14">
        <f t="shared" si="40"/>
        <v>0</v>
      </c>
      <c r="AN28" s="14"/>
      <c r="AO28" s="13"/>
      <c r="AP28" s="14">
        <f t="shared" si="41"/>
        <v>0</v>
      </c>
      <c r="AQ28" s="14"/>
      <c r="AR28" s="13"/>
      <c r="AS28" s="14">
        <f t="shared" si="42"/>
        <v>0</v>
      </c>
      <c r="AT28" s="174"/>
      <c r="AU28" s="174">
        <f t="shared" si="43"/>
        <v>0</v>
      </c>
      <c r="AV28" s="38">
        <f t="shared" si="44"/>
        <v>300000</v>
      </c>
      <c r="AW28" s="14">
        <f t="shared" si="44"/>
        <v>1200000</v>
      </c>
      <c r="AX28" s="178">
        <f t="shared" si="45"/>
        <v>1200000</v>
      </c>
      <c r="AY28" s="16">
        <f t="shared" si="46"/>
        <v>1320000</v>
      </c>
      <c r="AZ28" s="16">
        <f t="shared" si="47"/>
        <v>1452000.0000000002</v>
      </c>
      <c r="BA28" s="16">
        <f t="shared" si="47"/>
        <v>1597200.0000000005</v>
      </c>
      <c r="BB28" s="16">
        <f t="shared" si="47"/>
        <v>1756920.0000000007</v>
      </c>
    </row>
    <row r="29" spans="1:54" ht="16.899999999999999" customHeight="1" x14ac:dyDescent="0.2">
      <c r="A29" s="10">
        <v>6</v>
      </c>
      <c r="B29" s="11" t="s">
        <v>57</v>
      </c>
      <c r="C29" s="29" t="s">
        <v>60</v>
      </c>
      <c r="D29" s="1">
        <f>100000</f>
        <v>100000</v>
      </c>
      <c r="E29" s="13"/>
      <c r="F29" s="14">
        <f t="shared" si="28"/>
        <v>100000</v>
      </c>
      <c r="G29" s="1">
        <f>100000</f>
        <v>100000</v>
      </c>
      <c r="H29" s="13"/>
      <c r="I29" s="14">
        <f t="shared" si="29"/>
        <v>100000</v>
      </c>
      <c r="J29" s="14"/>
      <c r="K29" s="13"/>
      <c r="L29" s="14">
        <f t="shared" si="30"/>
        <v>0</v>
      </c>
      <c r="M29" s="174">
        <f t="shared" si="31"/>
        <v>200000</v>
      </c>
      <c r="N29" s="174">
        <f t="shared" si="31"/>
        <v>0</v>
      </c>
      <c r="O29" s="1">
        <f>100000</f>
        <v>100000</v>
      </c>
      <c r="P29" s="13"/>
      <c r="Q29" s="14">
        <f t="shared" si="32"/>
        <v>100000</v>
      </c>
      <c r="R29" s="1">
        <f>100000</f>
        <v>100000</v>
      </c>
      <c r="S29" s="13"/>
      <c r="T29" s="14">
        <f t="shared" si="33"/>
        <v>100000</v>
      </c>
      <c r="U29" s="1">
        <f>100000</f>
        <v>100000</v>
      </c>
      <c r="V29" s="13"/>
      <c r="W29" s="14">
        <f t="shared" si="34"/>
        <v>100000</v>
      </c>
      <c r="X29" s="174">
        <f t="shared" si="35"/>
        <v>300000</v>
      </c>
      <c r="Y29" s="174">
        <f t="shared" si="35"/>
        <v>0</v>
      </c>
      <c r="Z29" s="1">
        <f>100000</f>
        <v>100000</v>
      </c>
      <c r="AA29" s="13"/>
      <c r="AB29" s="14">
        <f t="shared" si="36"/>
        <v>100000</v>
      </c>
      <c r="AC29" s="14"/>
      <c r="AD29" s="13"/>
      <c r="AE29" s="14">
        <f t="shared" si="37"/>
        <v>0</v>
      </c>
      <c r="AF29" s="1">
        <f>100000</f>
        <v>100000</v>
      </c>
      <c r="AG29" s="13"/>
      <c r="AH29" s="14">
        <f t="shared" si="38"/>
        <v>100000</v>
      </c>
      <c r="AI29" s="174">
        <f t="shared" si="48"/>
        <v>200000</v>
      </c>
      <c r="AJ29" s="174">
        <f t="shared" si="39"/>
        <v>0</v>
      </c>
      <c r="AK29" s="1">
        <f>100000</f>
        <v>100000</v>
      </c>
      <c r="AL29" s="13"/>
      <c r="AM29" s="14">
        <f t="shared" si="40"/>
        <v>100000</v>
      </c>
      <c r="AN29" s="1">
        <f>100000</f>
        <v>100000</v>
      </c>
      <c r="AO29" s="13"/>
      <c r="AP29" s="14">
        <f t="shared" si="41"/>
        <v>100000</v>
      </c>
      <c r="AQ29" s="1">
        <f>100000</f>
        <v>100000</v>
      </c>
      <c r="AR29" s="13"/>
      <c r="AS29" s="14">
        <f t="shared" si="42"/>
        <v>100000</v>
      </c>
      <c r="AT29" s="174"/>
      <c r="AU29" s="174">
        <f t="shared" si="43"/>
        <v>0</v>
      </c>
      <c r="AV29" s="38">
        <f t="shared" si="44"/>
        <v>1000000</v>
      </c>
      <c r="AW29" s="14">
        <f t="shared" si="44"/>
        <v>0</v>
      </c>
      <c r="AX29" s="178">
        <f t="shared" si="45"/>
        <v>500000</v>
      </c>
      <c r="AY29" s="16">
        <f t="shared" si="46"/>
        <v>0</v>
      </c>
      <c r="AZ29" s="16">
        <f t="shared" si="47"/>
        <v>0</v>
      </c>
      <c r="BA29" s="16">
        <f t="shared" si="47"/>
        <v>0</v>
      </c>
      <c r="BB29" s="16">
        <f t="shared" si="47"/>
        <v>0</v>
      </c>
    </row>
    <row r="30" spans="1:54" ht="16.899999999999999" customHeight="1" x14ac:dyDescent="0.2">
      <c r="A30" s="10">
        <v>7</v>
      </c>
      <c r="B30" s="11" t="s">
        <v>36</v>
      </c>
      <c r="C30" s="29" t="s">
        <v>61</v>
      </c>
      <c r="D30" s="30"/>
      <c r="E30" s="13"/>
      <c r="F30" s="14">
        <f t="shared" si="28"/>
        <v>0</v>
      </c>
      <c r="G30" s="14"/>
      <c r="H30" s="13"/>
      <c r="I30" s="14">
        <f t="shared" si="29"/>
        <v>0</v>
      </c>
      <c r="J30" s="14"/>
      <c r="K30" s="13"/>
      <c r="L30" s="14">
        <f t="shared" si="30"/>
        <v>0</v>
      </c>
      <c r="M30" s="174">
        <f t="shared" si="31"/>
        <v>0</v>
      </c>
      <c r="N30" s="174">
        <f t="shared" si="31"/>
        <v>0</v>
      </c>
      <c r="O30" s="14"/>
      <c r="P30" s="13"/>
      <c r="Q30" s="14">
        <f t="shared" si="32"/>
        <v>0</v>
      </c>
      <c r="R30" s="14"/>
      <c r="S30" s="13"/>
      <c r="T30" s="14">
        <f t="shared" si="33"/>
        <v>0</v>
      </c>
      <c r="U30" s="14"/>
      <c r="V30" s="13"/>
      <c r="W30" s="14">
        <f t="shared" si="34"/>
        <v>0</v>
      </c>
      <c r="X30" s="174">
        <f t="shared" si="35"/>
        <v>0</v>
      </c>
      <c r="Y30" s="174">
        <f t="shared" si="35"/>
        <v>0</v>
      </c>
      <c r="Z30" s="14"/>
      <c r="AA30" s="13"/>
      <c r="AB30" s="14">
        <f t="shared" si="36"/>
        <v>0</v>
      </c>
      <c r="AC30" s="14">
        <v>1600000</v>
      </c>
      <c r="AD30" s="13"/>
      <c r="AE30" s="14">
        <f t="shared" si="37"/>
        <v>1600000</v>
      </c>
      <c r="AF30" s="14"/>
      <c r="AG30" s="13"/>
      <c r="AH30" s="14">
        <f t="shared" si="38"/>
        <v>0</v>
      </c>
      <c r="AI30" s="174">
        <f t="shared" si="48"/>
        <v>1600000</v>
      </c>
      <c r="AJ30" s="174">
        <f t="shared" si="39"/>
        <v>0</v>
      </c>
      <c r="AK30" s="14"/>
      <c r="AL30" s="13"/>
      <c r="AM30" s="14">
        <f t="shared" si="40"/>
        <v>0</v>
      </c>
      <c r="AN30" s="14"/>
      <c r="AO30" s="13"/>
      <c r="AP30" s="14">
        <f t="shared" si="41"/>
        <v>0</v>
      </c>
      <c r="AQ30" s="14"/>
      <c r="AR30" s="13"/>
      <c r="AS30" s="14">
        <f t="shared" si="42"/>
        <v>0</v>
      </c>
      <c r="AT30" s="174"/>
      <c r="AU30" s="174">
        <f t="shared" si="43"/>
        <v>0</v>
      </c>
      <c r="AV30" s="38">
        <f t="shared" si="44"/>
        <v>1600000</v>
      </c>
      <c r="AW30" s="14">
        <f t="shared" si="44"/>
        <v>0</v>
      </c>
      <c r="AX30" s="178">
        <f t="shared" si="45"/>
        <v>1600000</v>
      </c>
      <c r="AY30" s="16">
        <f t="shared" si="46"/>
        <v>0</v>
      </c>
      <c r="AZ30" s="16">
        <f t="shared" si="47"/>
        <v>0</v>
      </c>
      <c r="BA30" s="16">
        <f t="shared" si="47"/>
        <v>0</v>
      </c>
      <c r="BB30" s="16">
        <f t="shared" si="47"/>
        <v>0</v>
      </c>
    </row>
    <row r="31" spans="1:54" s="57" customFormat="1" ht="41.25" customHeight="1" x14ac:dyDescent="0.2">
      <c r="A31" s="49">
        <v>8</v>
      </c>
      <c r="B31" s="50" t="s">
        <v>36</v>
      </c>
      <c r="C31" s="51" t="s">
        <v>62</v>
      </c>
      <c r="D31" s="52"/>
      <c r="E31" s="181">
        <v>858000</v>
      </c>
      <c r="F31" s="53">
        <f t="shared" si="28"/>
        <v>-858000</v>
      </c>
      <c r="G31" s="54">
        <f>30466034+1000000</f>
        <v>31466034</v>
      </c>
      <c r="H31" s="181">
        <v>1400000</v>
      </c>
      <c r="I31" s="53">
        <f t="shared" si="29"/>
        <v>30066034</v>
      </c>
      <c r="J31" s="54"/>
      <c r="K31" s="181">
        <v>261517</v>
      </c>
      <c r="L31" s="53">
        <f t="shared" si="30"/>
        <v>-261517</v>
      </c>
      <c r="M31" s="182">
        <f t="shared" si="31"/>
        <v>31466034</v>
      </c>
      <c r="N31" s="182">
        <f t="shared" si="31"/>
        <v>2519517</v>
      </c>
      <c r="O31" s="54"/>
      <c r="P31" s="181">
        <f>15000000+120000</f>
        <v>15120000</v>
      </c>
      <c r="Q31" s="53">
        <f t="shared" si="32"/>
        <v>-15120000</v>
      </c>
      <c r="R31" s="54">
        <f>30466034+1000000</f>
        <v>31466034</v>
      </c>
      <c r="S31" s="181">
        <v>900000</v>
      </c>
      <c r="T31" s="53">
        <f t="shared" si="33"/>
        <v>30566034</v>
      </c>
      <c r="U31" s="54">
        <v>5000000</v>
      </c>
      <c r="V31" s="181"/>
      <c r="W31" s="53">
        <f t="shared" si="34"/>
        <v>5000000</v>
      </c>
      <c r="X31" s="182">
        <f t="shared" si="35"/>
        <v>36466034</v>
      </c>
      <c r="Y31" s="182">
        <f t="shared" si="35"/>
        <v>16020000</v>
      </c>
      <c r="Z31" s="54"/>
      <c r="AA31" s="181"/>
      <c r="AB31" s="53">
        <f t="shared" si="36"/>
        <v>0</v>
      </c>
      <c r="AC31" s="54">
        <f>30466034+1000000</f>
        <v>31466034</v>
      </c>
      <c r="AD31" s="181"/>
      <c r="AE31" s="53">
        <f t="shared" si="37"/>
        <v>31466034</v>
      </c>
      <c r="AF31" s="55"/>
      <c r="AG31" s="181"/>
      <c r="AH31" s="53">
        <f t="shared" si="38"/>
        <v>0</v>
      </c>
      <c r="AI31" s="174">
        <f t="shared" si="48"/>
        <v>31466034</v>
      </c>
      <c r="AJ31" s="182">
        <f t="shared" si="39"/>
        <v>0</v>
      </c>
      <c r="AK31" s="54">
        <v>1000000</v>
      </c>
      <c r="AL31" s="181"/>
      <c r="AM31" s="53">
        <f t="shared" si="40"/>
        <v>1000000</v>
      </c>
      <c r="AN31" s="54">
        <v>30466034</v>
      </c>
      <c r="AO31" s="181"/>
      <c r="AP31" s="53">
        <f t="shared" si="41"/>
        <v>30466034</v>
      </c>
      <c r="AQ31" s="54"/>
      <c r="AR31" s="181"/>
      <c r="AS31" s="53">
        <f t="shared" si="42"/>
        <v>0</v>
      </c>
      <c r="AT31" s="182"/>
      <c r="AU31" s="182">
        <f t="shared" si="43"/>
        <v>0</v>
      </c>
      <c r="AV31" s="56">
        <f t="shared" si="44"/>
        <v>130864136</v>
      </c>
      <c r="AW31" s="53">
        <f t="shared" si="44"/>
        <v>18539517</v>
      </c>
      <c r="AX31" s="178">
        <f t="shared" si="45"/>
        <v>81471585</v>
      </c>
      <c r="AY31" s="183">
        <f t="shared" si="46"/>
        <v>20393468.700000003</v>
      </c>
      <c r="AZ31" s="183">
        <f t="shared" si="47"/>
        <v>22432815.570000004</v>
      </c>
      <c r="BA31" s="183">
        <f t="shared" si="47"/>
        <v>24676097.127000008</v>
      </c>
      <c r="BB31" s="183">
        <f t="shared" si="47"/>
        <v>27143706.83970001</v>
      </c>
    </row>
    <row r="32" spans="1:54" s="2" customFormat="1" ht="16.899999999999999" customHeight="1" x14ac:dyDescent="0.2">
      <c r="A32" s="58"/>
      <c r="B32" s="27"/>
      <c r="C32" s="47" t="s">
        <v>63</v>
      </c>
      <c r="D32" s="59">
        <f t="shared" ref="D32:BB32" si="49">SUM(D24:D31)</f>
        <v>63100000</v>
      </c>
      <c r="E32" s="59">
        <f t="shared" si="49"/>
        <v>2058000</v>
      </c>
      <c r="F32" s="59">
        <f t="shared" si="49"/>
        <v>61042000</v>
      </c>
      <c r="G32" s="59">
        <f t="shared" si="49"/>
        <v>31566034</v>
      </c>
      <c r="H32" s="59">
        <f t="shared" si="49"/>
        <v>1400000</v>
      </c>
      <c r="I32" s="59">
        <f t="shared" si="49"/>
        <v>30166034</v>
      </c>
      <c r="J32" s="59">
        <f t="shared" si="49"/>
        <v>600000</v>
      </c>
      <c r="K32" s="59">
        <f t="shared" si="49"/>
        <v>261517</v>
      </c>
      <c r="L32" s="59">
        <f t="shared" si="49"/>
        <v>338483</v>
      </c>
      <c r="M32" s="59">
        <f t="shared" si="49"/>
        <v>95266034</v>
      </c>
      <c r="N32" s="59">
        <f t="shared" si="49"/>
        <v>3719517</v>
      </c>
      <c r="O32" s="59">
        <f t="shared" si="49"/>
        <v>30100000</v>
      </c>
      <c r="P32" s="59">
        <f t="shared" si="49"/>
        <v>15120000</v>
      </c>
      <c r="Q32" s="59">
        <f t="shared" si="49"/>
        <v>14980000</v>
      </c>
      <c r="R32" s="59">
        <f t="shared" si="49"/>
        <v>31566034</v>
      </c>
      <c r="S32" s="59">
        <f t="shared" si="49"/>
        <v>900000</v>
      </c>
      <c r="T32" s="59">
        <f t="shared" si="49"/>
        <v>30666034</v>
      </c>
      <c r="U32" s="59">
        <f t="shared" si="49"/>
        <v>5100000</v>
      </c>
      <c r="V32" s="59">
        <f t="shared" si="49"/>
        <v>0</v>
      </c>
      <c r="W32" s="59">
        <f t="shared" si="49"/>
        <v>5100000</v>
      </c>
      <c r="X32" s="59">
        <f t="shared" si="49"/>
        <v>66766034</v>
      </c>
      <c r="Y32" s="59">
        <f t="shared" si="49"/>
        <v>16020000</v>
      </c>
      <c r="Z32" s="59">
        <f t="shared" si="49"/>
        <v>30100000</v>
      </c>
      <c r="AA32" s="59">
        <f t="shared" si="49"/>
        <v>0</v>
      </c>
      <c r="AB32" s="59">
        <f t="shared" si="49"/>
        <v>30100000</v>
      </c>
      <c r="AC32" s="59">
        <f t="shared" si="49"/>
        <v>33066034</v>
      </c>
      <c r="AD32" s="59">
        <f t="shared" si="49"/>
        <v>0</v>
      </c>
      <c r="AE32" s="59">
        <f t="shared" si="49"/>
        <v>33066034</v>
      </c>
      <c r="AF32" s="59">
        <f t="shared" si="49"/>
        <v>100000</v>
      </c>
      <c r="AG32" s="59">
        <f t="shared" si="49"/>
        <v>0</v>
      </c>
      <c r="AH32" s="59">
        <f t="shared" si="49"/>
        <v>100000</v>
      </c>
      <c r="AI32" s="59">
        <f t="shared" si="49"/>
        <v>63266034</v>
      </c>
      <c r="AJ32" s="59">
        <f t="shared" si="49"/>
        <v>0</v>
      </c>
      <c r="AK32" s="59">
        <f t="shared" si="49"/>
        <v>31100000</v>
      </c>
      <c r="AL32" s="59">
        <f t="shared" si="49"/>
        <v>0</v>
      </c>
      <c r="AM32" s="59">
        <f t="shared" si="49"/>
        <v>31100000</v>
      </c>
      <c r="AN32" s="59">
        <f t="shared" si="49"/>
        <v>30566034</v>
      </c>
      <c r="AO32" s="59">
        <f t="shared" si="49"/>
        <v>0</v>
      </c>
      <c r="AP32" s="59">
        <f t="shared" si="49"/>
        <v>30566034</v>
      </c>
      <c r="AQ32" s="59">
        <f t="shared" si="49"/>
        <v>60100000</v>
      </c>
      <c r="AR32" s="59">
        <f t="shared" si="49"/>
        <v>0</v>
      </c>
      <c r="AS32" s="59">
        <f t="shared" si="49"/>
        <v>60100000</v>
      </c>
      <c r="AT32" s="59">
        <f t="shared" si="49"/>
        <v>0</v>
      </c>
      <c r="AU32" s="59">
        <f t="shared" si="49"/>
        <v>0</v>
      </c>
      <c r="AV32" s="59">
        <f t="shared" si="49"/>
        <v>347064136</v>
      </c>
      <c r="AW32" s="59">
        <f t="shared" si="49"/>
        <v>19739517</v>
      </c>
      <c r="AX32" s="59">
        <f t="shared" si="49"/>
        <v>204771585</v>
      </c>
      <c r="AY32" s="59">
        <f t="shared" si="49"/>
        <v>21713468.700000003</v>
      </c>
      <c r="AZ32" s="59">
        <f t="shared" si="49"/>
        <v>23884815.570000004</v>
      </c>
      <c r="BA32" s="59">
        <f t="shared" si="49"/>
        <v>26273297.127000008</v>
      </c>
      <c r="BB32" s="59">
        <f t="shared" si="49"/>
        <v>28900626.83970001</v>
      </c>
    </row>
    <row r="33" spans="1:54" ht="16.899999999999999" customHeight="1" x14ac:dyDescent="0.2">
      <c r="A33" s="10">
        <v>1</v>
      </c>
      <c r="B33" s="11" t="s">
        <v>64</v>
      </c>
      <c r="C33" s="29" t="s">
        <v>65</v>
      </c>
      <c r="D33" s="14">
        <v>2711882</v>
      </c>
      <c r="E33" s="13">
        <v>3537300</v>
      </c>
      <c r="F33" s="14">
        <f t="shared" ref="F33:F43" si="50">D33-E33</f>
        <v>-825418</v>
      </c>
      <c r="G33" s="14">
        <v>2711882</v>
      </c>
      <c r="H33" s="13">
        <f>1577472+497142+1300000+72000+238000+2704182</f>
        <v>6388796</v>
      </c>
      <c r="I33" s="14">
        <f t="shared" ref="I33:I43" si="51">G33-H33</f>
        <v>-3676914</v>
      </c>
      <c r="J33" s="14">
        <v>2711882</v>
      </c>
      <c r="K33" s="13">
        <f>1686263+531428+30600+650000</f>
        <v>2898291</v>
      </c>
      <c r="L33" s="14">
        <f t="shared" ref="L33:L43" si="52">J33-K33</f>
        <v>-186409</v>
      </c>
      <c r="M33" s="174">
        <f t="shared" ref="M33:N43" si="53">D33+G33+J33</f>
        <v>8135646</v>
      </c>
      <c r="N33" s="174">
        <f t="shared" si="53"/>
        <v>12824387</v>
      </c>
      <c r="O33" s="14">
        <v>2711882</v>
      </c>
      <c r="P33" s="13">
        <v>3643548</v>
      </c>
      <c r="Q33" s="14">
        <f t="shared" ref="Q33:Q43" si="54">O33-P33</f>
        <v>-931666</v>
      </c>
      <c r="R33" s="14">
        <v>2711882</v>
      </c>
      <c r="S33" s="13">
        <v>8030555</v>
      </c>
      <c r="T33" s="14">
        <f t="shared" ref="T33:T43" si="55">R33-S33</f>
        <v>-5318673</v>
      </c>
      <c r="U33" s="14">
        <v>2711882</v>
      </c>
      <c r="V33" s="175">
        <f>268000+1483516+567032</f>
        <v>2318548</v>
      </c>
      <c r="W33" s="14">
        <f t="shared" ref="W33:W43" si="56">U33-V33</f>
        <v>393334</v>
      </c>
      <c r="X33" s="174">
        <f t="shared" ref="X33:Y43" si="57">O33+R33+U33</f>
        <v>8135646</v>
      </c>
      <c r="Y33" s="174">
        <f t="shared" si="57"/>
        <v>13992651</v>
      </c>
      <c r="Z33" s="14">
        <v>2711882</v>
      </c>
      <c r="AA33" s="184">
        <v>4845672</v>
      </c>
      <c r="AB33" s="185">
        <f t="shared" ref="AB33:AB43" si="58">Z33-AA33</f>
        <v>-2133790</v>
      </c>
      <c r="AC33" s="185">
        <v>2711882</v>
      </c>
      <c r="AD33" s="184">
        <v>5289099.32</v>
      </c>
      <c r="AE33" s="185">
        <f t="shared" ref="AE33:AE43" si="59">AC33-AD33</f>
        <v>-2577217.3200000003</v>
      </c>
      <c r="AF33" s="185">
        <v>2711882</v>
      </c>
      <c r="AG33" s="184">
        <v>5144614.2</v>
      </c>
      <c r="AH33" s="14">
        <f t="shared" ref="AH33:AH43" si="60">AF33-AG33</f>
        <v>-2432732.2000000002</v>
      </c>
      <c r="AI33" s="174">
        <f t="shared" si="48"/>
        <v>8135646</v>
      </c>
      <c r="AJ33" s="174">
        <f t="shared" ref="AJ33:AJ43" si="61">AA33+AD33+AG33</f>
        <v>15279385.52</v>
      </c>
      <c r="AK33" s="14">
        <v>2711882</v>
      </c>
      <c r="AL33" s="13"/>
      <c r="AM33" s="14">
        <f t="shared" ref="AM33:AM43" si="62">AK33-AL33</f>
        <v>2711882</v>
      </c>
      <c r="AN33" s="14">
        <v>2711882</v>
      </c>
      <c r="AO33" s="13"/>
      <c r="AP33" s="14">
        <f t="shared" ref="AP33:AP43" si="63">AN33-AO33</f>
        <v>2711882</v>
      </c>
      <c r="AQ33" s="14">
        <v>2711882</v>
      </c>
      <c r="AR33" s="13"/>
      <c r="AS33" s="14">
        <f t="shared" ref="AS33:AS43" si="64">AQ33-AR33</f>
        <v>2711882</v>
      </c>
      <c r="AT33" s="174"/>
      <c r="AU33" s="174">
        <f t="shared" ref="AU33:AU43" si="65">AL33+AO33+AR33</f>
        <v>0</v>
      </c>
      <c r="AV33" s="38">
        <f t="shared" ref="AV33:AW43" si="66">AQ33+AN33+AK33+AF33+AC33+Z33+U33+R33+O33+J33+G33+D33</f>
        <v>32542584</v>
      </c>
      <c r="AW33" s="14">
        <f t="shared" si="66"/>
        <v>42096423.519999996</v>
      </c>
      <c r="AX33" s="178">
        <f t="shared" ref="AX33:AX43" si="67">(AV33-(M33+X33))+AW33</f>
        <v>58367715.519999996</v>
      </c>
      <c r="AY33" s="16">
        <f t="shared" ref="AY33:AY43" si="68">AW33*1.1</f>
        <v>46306065.872000001</v>
      </c>
      <c r="AZ33" s="16">
        <f t="shared" ref="AZ33:BB43" si="69">AY33*1.1</f>
        <v>50936672.459200002</v>
      </c>
      <c r="BA33" s="16">
        <f t="shared" si="69"/>
        <v>56030339.705120005</v>
      </c>
      <c r="BB33" s="16">
        <f t="shared" si="69"/>
        <v>61633373.675632007</v>
      </c>
    </row>
    <row r="34" spans="1:54" ht="16.899999999999999" customHeight="1" x14ac:dyDescent="0.2">
      <c r="A34" s="10">
        <v>2</v>
      </c>
      <c r="B34" s="11" t="s">
        <v>66</v>
      </c>
      <c r="C34" s="29" t="s">
        <v>67</v>
      </c>
      <c r="D34" s="14">
        <v>2000000</v>
      </c>
      <c r="E34" s="13"/>
      <c r="F34" s="14">
        <f t="shared" si="50"/>
        <v>2000000</v>
      </c>
      <c r="G34" s="14">
        <v>2000000</v>
      </c>
      <c r="H34" s="13"/>
      <c r="I34" s="14">
        <f t="shared" si="51"/>
        <v>2000000</v>
      </c>
      <c r="J34" s="14">
        <v>2000000</v>
      </c>
      <c r="K34" s="13"/>
      <c r="L34" s="14">
        <f t="shared" si="52"/>
        <v>2000000</v>
      </c>
      <c r="M34" s="174">
        <f t="shared" si="53"/>
        <v>6000000</v>
      </c>
      <c r="N34" s="174">
        <f t="shared" si="53"/>
        <v>0</v>
      </c>
      <c r="O34" s="14">
        <v>2000000</v>
      </c>
      <c r="P34" s="13"/>
      <c r="Q34" s="14">
        <f t="shared" si="54"/>
        <v>2000000</v>
      </c>
      <c r="R34" s="14">
        <v>2000000</v>
      </c>
      <c r="S34" s="13"/>
      <c r="T34" s="14">
        <f t="shared" si="55"/>
        <v>2000000</v>
      </c>
      <c r="U34" s="14">
        <v>2000000</v>
      </c>
      <c r="V34" s="13"/>
      <c r="W34" s="14">
        <f t="shared" si="56"/>
        <v>2000000</v>
      </c>
      <c r="X34" s="174">
        <f t="shared" si="57"/>
        <v>6000000</v>
      </c>
      <c r="Y34" s="174">
        <f t="shared" si="57"/>
        <v>0</v>
      </c>
      <c r="Z34" s="14">
        <v>2000000</v>
      </c>
      <c r="AA34" s="13"/>
      <c r="AB34" s="14">
        <f t="shared" si="58"/>
        <v>2000000</v>
      </c>
      <c r="AC34" s="14">
        <v>2000000</v>
      </c>
      <c r="AD34" s="13"/>
      <c r="AE34" s="14">
        <f t="shared" si="59"/>
        <v>2000000</v>
      </c>
      <c r="AF34" s="14">
        <v>2000000</v>
      </c>
      <c r="AG34" s="13"/>
      <c r="AH34" s="14">
        <f t="shared" si="60"/>
        <v>2000000</v>
      </c>
      <c r="AI34" s="174">
        <f t="shared" si="48"/>
        <v>6000000</v>
      </c>
      <c r="AJ34" s="174">
        <f t="shared" si="61"/>
        <v>0</v>
      </c>
      <c r="AK34" s="14">
        <v>2000000</v>
      </c>
      <c r="AL34" s="13"/>
      <c r="AM34" s="14">
        <f t="shared" si="62"/>
        <v>2000000</v>
      </c>
      <c r="AN34" s="14">
        <v>2000000</v>
      </c>
      <c r="AO34" s="13"/>
      <c r="AP34" s="14">
        <f t="shared" si="63"/>
        <v>2000000</v>
      </c>
      <c r="AQ34" s="14">
        <v>2000000</v>
      </c>
      <c r="AR34" s="13"/>
      <c r="AS34" s="14">
        <f t="shared" si="64"/>
        <v>2000000</v>
      </c>
      <c r="AT34" s="174"/>
      <c r="AU34" s="174">
        <f t="shared" si="65"/>
        <v>0</v>
      </c>
      <c r="AV34" s="38">
        <f t="shared" si="66"/>
        <v>24000000</v>
      </c>
      <c r="AW34" s="14">
        <f t="shared" si="66"/>
        <v>0</v>
      </c>
      <c r="AX34" s="178">
        <f t="shared" si="67"/>
        <v>12000000</v>
      </c>
      <c r="AY34" s="16">
        <f t="shared" si="68"/>
        <v>0</v>
      </c>
      <c r="AZ34" s="16">
        <f t="shared" si="69"/>
        <v>0</v>
      </c>
      <c r="BA34" s="16">
        <f t="shared" si="69"/>
        <v>0</v>
      </c>
      <c r="BB34" s="16">
        <f t="shared" si="69"/>
        <v>0</v>
      </c>
    </row>
    <row r="35" spans="1:54" ht="16.899999999999999" customHeight="1" x14ac:dyDescent="0.25">
      <c r="A35" s="10">
        <v>3</v>
      </c>
      <c r="B35" s="11" t="s">
        <v>55</v>
      </c>
      <c r="C35" s="29" t="s">
        <v>68</v>
      </c>
      <c r="D35" s="14">
        <v>335785</v>
      </c>
      <c r="E35" s="13">
        <v>904800</v>
      </c>
      <c r="F35" s="14">
        <f t="shared" si="50"/>
        <v>-569015</v>
      </c>
      <c r="G35" s="14">
        <v>335785</v>
      </c>
      <c r="H35" s="13">
        <v>1041000</v>
      </c>
      <c r="I35" s="14">
        <f t="shared" si="51"/>
        <v>-705215</v>
      </c>
      <c r="J35" s="14">
        <v>335785</v>
      </c>
      <c r="K35" s="13"/>
      <c r="L35" s="14">
        <f t="shared" si="52"/>
        <v>335785</v>
      </c>
      <c r="M35" s="174">
        <f t="shared" si="53"/>
        <v>1007355</v>
      </c>
      <c r="N35" s="174">
        <f t="shared" si="53"/>
        <v>1945800</v>
      </c>
      <c r="O35" s="14">
        <v>335785</v>
      </c>
      <c r="P35" s="13">
        <v>53000</v>
      </c>
      <c r="Q35" s="14">
        <f t="shared" si="54"/>
        <v>282785</v>
      </c>
      <c r="R35" s="14">
        <v>335785</v>
      </c>
      <c r="S35" s="13">
        <v>52500</v>
      </c>
      <c r="T35" s="14">
        <f t="shared" si="55"/>
        <v>283285</v>
      </c>
      <c r="U35" s="14">
        <v>335785</v>
      </c>
      <c r="V35" s="13"/>
      <c r="W35" s="14">
        <f t="shared" si="56"/>
        <v>335785</v>
      </c>
      <c r="X35" s="174">
        <f t="shared" si="57"/>
        <v>1007355</v>
      </c>
      <c r="Y35" s="174">
        <f t="shared" si="57"/>
        <v>105500</v>
      </c>
      <c r="Z35" s="14">
        <v>335785</v>
      </c>
      <c r="AA35" s="176">
        <v>625000</v>
      </c>
      <c r="AB35" s="14">
        <f t="shared" si="58"/>
        <v>-289215</v>
      </c>
      <c r="AC35" s="14">
        <v>335785</v>
      </c>
      <c r="AD35" s="176">
        <v>2215600</v>
      </c>
      <c r="AE35" s="14">
        <f t="shared" si="59"/>
        <v>-1879815</v>
      </c>
      <c r="AF35" s="14">
        <v>335785</v>
      </c>
      <c r="AG35" s="13"/>
      <c r="AH35" s="14">
        <f t="shared" si="60"/>
        <v>335785</v>
      </c>
      <c r="AI35" s="174">
        <f t="shared" si="48"/>
        <v>1007355</v>
      </c>
      <c r="AJ35" s="174">
        <f t="shared" si="61"/>
        <v>2840600</v>
      </c>
      <c r="AK35" s="14">
        <v>335785</v>
      </c>
      <c r="AL35" s="13"/>
      <c r="AM35" s="14">
        <f t="shared" si="62"/>
        <v>335785</v>
      </c>
      <c r="AN35" s="14">
        <v>335785</v>
      </c>
      <c r="AO35" s="13"/>
      <c r="AP35" s="14">
        <f t="shared" si="63"/>
        <v>335785</v>
      </c>
      <c r="AQ35" s="14">
        <v>335785</v>
      </c>
      <c r="AR35" s="13"/>
      <c r="AS35" s="14">
        <f t="shared" si="64"/>
        <v>335785</v>
      </c>
      <c r="AT35" s="174"/>
      <c r="AU35" s="174">
        <f t="shared" si="65"/>
        <v>0</v>
      </c>
      <c r="AV35" s="38">
        <f t="shared" si="66"/>
        <v>4029420</v>
      </c>
      <c r="AW35" s="14">
        <f t="shared" si="66"/>
        <v>4891900</v>
      </c>
      <c r="AX35" s="178">
        <f t="shared" si="67"/>
        <v>6906610</v>
      </c>
      <c r="AY35" s="16">
        <f t="shared" si="68"/>
        <v>5381090</v>
      </c>
      <c r="AZ35" s="16">
        <f t="shared" si="69"/>
        <v>5919199.0000000009</v>
      </c>
      <c r="BA35" s="16">
        <f t="shared" si="69"/>
        <v>6511118.9000000013</v>
      </c>
      <c r="BB35" s="16">
        <f t="shared" si="69"/>
        <v>7162230.7900000019</v>
      </c>
    </row>
    <row r="36" spans="1:54" ht="16.899999999999999" customHeight="1" x14ac:dyDescent="0.25">
      <c r="A36" s="10">
        <v>4</v>
      </c>
      <c r="B36" s="11" t="s">
        <v>69</v>
      </c>
      <c r="C36" s="29" t="s">
        <v>70</v>
      </c>
      <c r="D36" s="14">
        <v>8218901</v>
      </c>
      <c r="E36" s="13">
        <v>8143800</v>
      </c>
      <c r="F36" s="14">
        <f t="shared" si="50"/>
        <v>75101</v>
      </c>
      <c r="G36" s="14">
        <v>8218901</v>
      </c>
      <c r="H36" s="13">
        <v>5766190</v>
      </c>
      <c r="I36" s="14">
        <f t="shared" si="51"/>
        <v>2452711</v>
      </c>
      <c r="J36" s="14">
        <v>8218901</v>
      </c>
      <c r="K36" s="13">
        <v>5742540</v>
      </c>
      <c r="L36" s="14">
        <f t="shared" si="52"/>
        <v>2476361</v>
      </c>
      <c r="M36" s="174">
        <f t="shared" si="53"/>
        <v>24656703</v>
      </c>
      <c r="N36" s="174">
        <f t="shared" si="53"/>
        <v>19652530</v>
      </c>
      <c r="O36" s="14">
        <v>8218901</v>
      </c>
      <c r="P36" s="13">
        <v>9275491</v>
      </c>
      <c r="Q36" s="14">
        <f t="shared" si="54"/>
        <v>-1056590</v>
      </c>
      <c r="R36" s="14">
        <v>8218901</v>
      </c>
      <c r="S36" s="13">
        <v>9044041</v>
      </c>
      <c r="T36" s="14">
        <f t="shared" si="55"/>
        <v>-825140</v>
      </c>
      <c r="U36" s="14">
        <v>8218901</v>
      </c>
      <c r="V36" s="175">
        <v>5844244</v>
      </c>
      <c r="W36" s="14">
        <f t="shared" si="56"/>
        <v>2374657</v>
      </c>
      <c r="X36" s="174">
        <f t="shared" si="57"/>
        <v>24656703</v>
      </c>
      <c r="Y36" s="174">
        <f t="shared" si="57"/>
        <v>24163776</v>
      </c>
      <c r="Z36" s="14">
        <v>8218901</v>
      </c>
      <c r="AA36" s="176">
        <v>10646700</v>
      </c>
      <c r="AB36" s="14">
        <f t="shared" si="58"/>
        <v>-2427799</v>
      </c>
      <c r="AC36" s="14">
        <v>8218901</v>
      </c>
      <c r="AD36" s="176">
        <v>10646700</v>
      </c>
      <c r="AE36" s="14">
        <f t="shared" si="59"/>
        <v>-2427799</v>
      </c>
      <c r="AF36" s="14">
        <v>8218901</v>
      </c>
      <c r="AG36" s="13">
        <v>5590150</v>
      </c>
      <c r="AH36" s="14">
        <f t="shared" si="60"/>
        <v>2628751</v>
      </c>
      <c r="AI36" s="174">
        <f t="shared" si="48"/>
        <v>24656703</v>
      </c>
      <c r="AJ36" s="174">
        <f t="shared" si="61"/>
        <v>26883550</v>
      </c>
      <c r="AK36" s="14">
        <v>8218901</v>
      </c>
      <c r="AL36" s="13"/>
      <c r="AM36" s="14">
        <f t="shared" si="62"/>
        <v>8218901</v>
      </c>
      <c r="AN36" s="14">
        <v>8218901</v>
      </c>
      <c r="AO36" s="13"/>
      <c r="AP36" s="14">
        <f t="shared" si="63"/>
        <v>8218901</v>
      </c>
      <c r="AQ36" s="14">
        <v>8218901</v>
      </c>
      <c r="AR36" s="13"/>
      <c r="AS36" s="14">
        <f t="shared" si="64"/>
        <v>8218901</v>
      </c>
      <c r="AT36" s="174"/>
      <c r="AU36" s="174">
        <f t="shared" si="65"/>
        <v>0</v>
      </c>
      <c r="AV36" s="38">
        <f t="shared" si="66"/>
        <v>98626812</v>
      </c>
      <c r="AW36" s="14">
        <f t="shared" si="66"/>
        <v>70699856</v>
      </c>
      <c r="AX36" s="178">
        <f t="shared" si="67"/>
        <v>120013262</v>
      </c>
      <c r="AY36" s="16">
        <f t="shared" si="68"/>
        <v>77769841.600000009</v>
      </c>
      <c r="AZ36" s="16">
        <f t="shared" si="69"/>
        <v>85546825.76000002</v>
      </c>
      <c r="BA36" s="16">
        <f t="shared" si="69"/>
        <v>94101508.336000025</v>
      </c>
      <c r="BB36" s="16">
        <f t="shared" si="69"/>
        <v>103511659.16960004</v>
      </c>
    </row>
    <row r="37" spans="1:54" ht="16.899999999999999" customHeight="1" x14ac:dyDescent="0.2">
      <c r="A37" s="10">
        <v>5</v>
      </c>
      <c r="B37" s="11" t="s">
        <v>71</v>
      </c>
      <c r="C37" s="29" t="s">
        <v>72</v>
      </c>
      <c r="D37" s="14">
        <v>2637954</v>
      </c>
      <c r="E37" s="13">
        <v>5268800</v>
      </c>
      <c r="F37" s="14">
        <f t="shared" si="50"/>
        <v>-2630846</v>
      </c>
      <c r="G37" s="14">
        <v>2637954</v>
      </c>
      <c r="H37" s="13">
        <v>5038130</v>
      </c>
      <c r="I37" s="14">
        <f t="shared" si="51"/>
        <v>-2400176</v>
      </c>
      <c r="J37" s="14">
        <v>2637954</v>
      </c>
      <c r="K37" s="13">
        <v>3993512</v>
      </c>
      <c r="L37" s="14">
        <f t="shared" si="52"/>
        <v>-1355558</v>
      </c>
      <c r="M37" s="174">
        <f t="shared" si="53"/>
        <v>7913862</v>
      </c>
      <c r="N37" s="174">
        <f t="shared" si="53"/>
        <v>14300442</v>
      </c>
      <c r="O37" s="14">
        <v>2637954</v>
      </c>
      <c r="P37" s="13">
        <v>6999796</v>
      </c>
      <c r="Q37" s="14">
        <f t="shared" si="54"/>
        <v>-4361842</v>
      </c>
      <c r="R37" s="14">
        <v>2637954</v>
      </c>
      <c r="S37" s="13">
        <v>11059790</v>
      </c>
      <c r="T37" s="14">
        <f t="shared" si="55"/>
        <v>-8421836</v>
      </c>
      <c r="U37" s="14">
        <v>2637954</v>
      </c>
      <c r="V37" s="175">
        <v>2883392</v>
      </c>
      <c r="W37" s="14">
        <f t="shared" si="56"/>
        <v>-245438</v>
      </c>
      <c r="X37" s="174">
        <f t="shared" si="57"/>
        <v>7913862</v>
      </c>
      <c r="Y37" s="174">
        <f t="shared" si="57"/>
        <v>20942978</v>
      </c>
      <c r="Z37" s="14">
        <v>2637954</v>
      </c>
      <c r="AA37" s="13">
        <v>14466421.720000001</v>
      </c>
      <c r="AB37" s="14">
        <f t="shared" si="58"/>
        <v>-11828467.720000001</v>
      </c>
      <c r="AC37" s="14">
        <v>2637954</v>
      </c>
      <c r="AD37" s="13">
        <v>10141541.119999999</v>
      </c>
      <c r="AE37" s="14">
        <f t="shared" si="59"/>
        <v>-7503587.1199999992</v>
      </c>
      <c r="AF37" s="14">
        <v>2637954</v>
      </c>
      <c r="AG37" s="13">
        <v>7049367.5099999998</v>
      </c>
      <c r="AH37" s="14">
        <f t="shared" si="60"/>
        <v>-4411413.51</v>
      </c>
      <c r="AI37" s="174">
        <f t="shared" si="48"/>
        <v>7913862</v>
      </c>
      <c r="AJ37" s="174">
        <f t="shared" si="61"/>
        <v>31657330.350000001</v>
      </c>
      <c r="AK37" s="14">
        <v>2637954</v>
      </c>
      <c r="AL37" s="13"/>
      <c r="AM37" s="14">
        <f t="shared" si="62"/>
        <v>2637954</v>
      </c>
      <c r="AN37" s="14">
        <v>2637954</v>
      </c>
      <c r="AO37" s="13"/>
      <c r="AP37" s="14">
        <f t="shared" si="63"/>
        <v>2637954</v>
      </c>
      <c r="AQ37" s="14">
        <v>2637954</v>
      </c>
      <c r="AR37" s="13"/>
      <c r="AS37" s="14">
        <f t="shared" si="64"/>
        <v>2637954</v>
      </c>
      <c r="AT37" s="174"/>
      <c r="AU37" s="174">
        <f t="shared" si="65"/>
        <v>0</v>
      </c>
      <c r="AV37" s="38">
        <f t="shared" si="66"/>
        <v>31655448</v>
      </c>
      <c r="AW37" s="14">
        <f t="shared" si="66"/>
        <v>66900750.350000001</v>
      </c>
      <c r="AX37" s="178">
        <f t="shared" si="67"/>
        <v>82728474.349999994</v>
      </c>
      <c r="AY37" s="16">
        <f t="shared" si="68"/>
        <v>73590825.385000005</v>
      </c>
      <c r="AZ37" s="16">
        <f t="shared" si="69"/>
        <v>80949907.923500016</v>
      </c>
      <c r="BA37" s="16">
        <f t="shared" si="69"/>
        <v>89044898.715850025</v>
      </c>
      <c r="BB37" s="16">
        <f t="shared" si="69"/>
        <v>97949388.587435037</v>
      </c>
    </row>
    <row r="38" spans="1:54" ht="16.899999999999999" customHeight="1" x14ac:dyDescent="0.2">
      <c r="A38" s="10">
        <v>6</v>
      </c>
      <c r="B38" s="11" t="s">
        <v>73</v>
      </c>
      <c r="C38" s="29" t="s">
        <v>74</v>
      </c>
      <c r="D38" s="14">
        <v>469085</v>
      </c>
      <c r="E38" s="13">
        <v>1931000</v>
      </c>
      <c r="F38" s="14">
        <f t="shared" si="50"/>
        <v>-1461915</v>
      </c>
      <c r="G38" s="14">
        <v>469085</v>
      </c>
      <c r="H38" s="13">
        <v>150000</v>
      </c>
      <c r="I38" s="14">
        <f t="shared" si="51"/>
        <v>319085</v>
      </c>
      <c r="J38" s="14">
        <v>469085</v>
      </c>
      <c r="K38" s="13">
        <v>840000</v>
      </c>
      <c r="L38" s="14">
        <f t="shared" si="52"/>
        <v>-370915</v>
      </c>
      <c r="M38" s="174">
        <f t="shared" si="53"/>
        <v>1407255</v>
      </c>
      <c r="N38" s="174">
        <f t="shared" si="53"/>
        <v>2921000</v>
      </c>
      <c r="O38" s="14">
        <v>469085</v>
      </c>
      <c r="P38" s="13">
        <v>1225000</v>
      </c>
      <c r="Q38" s="14">
        <f t="shared" si="54"/>
        <v>-755915</v>
      </c>
      <c r="R38" s="14">
        <v>469085</v>
      </c>
      <c r="S38" s="13">
        <v>179500</v>
      </c>
      <c r="T38" s="14">
        <f t="shared" si="55"/>
        <v>289585</v>
      </c>
      <c r="U38" s="14">
        <v>469085</v>
      </c>
      <c r="V38" s="13"/>
      <c r="W38" s="14">
        <f t="shared" si="56"/>
        <v>469085</v>
      </c>
      <c r="X38" s="174">
        <f t="shared" si="57"/>
        <v>1407255</v>
      </c>
      <c r="Y38" s="174">
        <f t="shared" si="57"/>
        <v>1404500</v>
      </c>
      <c r="Z38" s="14">
        <v>469085</v>
      </c>
      <c r="AA38" s="13">
        <v>285000</v>
      </c>
      <c r="AB38" s="14">
        <f t="shared" si="58"/>
        <v>184085</v>
      </c>
      <c r="AC38" s="14">
        <v>469085</v>
      </c>
      <c r="AD38" s="13">
        <v>150000</v>
      </c>
      <c r="AE38" s="14">
        <f t="shared" si="59"/>
        <v>319085</v>
      </c>
      <c r="AF38" s="14">
        <v>469085</v>
      </c>
      <c r="AG38" s="13">
        <v>5285000</v>
      </c>
      <c r="AH38" s="14">
        <f t="shared" si="60"/>
        <v>-4815915</v>
      </c>
      <c r="AI38" s="174">
        <f t="shared" si="48"/>
        <v>1407255</v>
      </c>
      <c r="AJ38" s="174">
        <f t="shared" si="61"/>
        <v>5720000</v>
      </c>
      <c r="AK38" s="14">
        <v>469085</v>
      </c>
      <c r="AL38" s="13"/>
      <c r="AM38" s="14">
        <f t="shared" si="62"/>
        <v>469085</v>
      </c>
      <c r="AN38" s="14">
        <v>469085</v>
      </c>
      <c r="AO38" s="13"/>
      <c r="AP38" s="14">
        <f t="shared" si="63"/>
        <v>469085</v>
      </c>
      <c r="AQ38" s="14">
        <v>469085</v>
      </c>
      <c r="AR38" s="13"/>
      <c r="AS38" s="14">
        <f t="shared" si="64"/>
        <v>469085</v>
      </c>
      <c r="AT38" s="174"/>
      <c r="AU38" s="174">
        <f t="shared" si="65"/>
        <v>0</v>
      </c>
      <c r="AV38" s="38">
        <f t="shared" si="66"/>
        <v>5629020</v>
      </c>
      <c r="AW38" s="14">
        <f t="shared" si="66"/>
        <v>10045500</v>
      </c>
      <c r="AX38" s="178">
        <f t="shared" si="67"/>
        <v>12860010</v>
      </c>
      <c r="AY38" s="16">
        <f t="shared" si="68"/>
        <v>11050050</v>
      </c>
      <c r="AZ38" s="16">
        <f t="shared" si="69"/>
        <v>12155055.000000002</v>
      </c>
      <c r="BA38" s="16">
        <f t="shared" si="69"/>
        <v>13370560.500000004</v>
      </c>
      <c r="BB38" s="16">
        <f t="shared" si="69"/>
        <v>14707616.550000004</v>
      </c>
    </row>
    <row r="39" spans="1:54" ht="16.899999999999999" customHeight="1" x14ac:dyDescent="0.2">
      <c r="A39" s="10">
        <v>7</v>
      </c>
      <c r="B39" s="11" t="s">
        <v>75</v>
      </c>
      <c r="C39" s="29" t="s">
        <v>76</v>
      </c>
      <c r="D39" s="14">
        <v>10034743</v>
      </c>
      <c r="E39" s="13">
        <f>495244+387000+523140+445700+445632+659250+693500+727892</f>
        <v>4377358</v>
      </c>
      <c r="F39" s="14">
        <f t="shared" si="50"/>
        <v>5657385</v>
      </c>
      <c r="G39" s="14">
        <v>10034743</v>
      </c>
      <c r="H39" s="13">
        <f>263170+809757+107000+945551+726240+845500</f>
        <v>3697218</v>
      </c>
      <c r="I39" s="14">
        <f t="shared" si="51"/>
        <v>6337525</v>
      </c>
      <c r="J39" s="14">
        <v>10034743</v>
      </c>
      <c r="K39" s="13">
        <f>495468+255310+424900+730537+1005083+836000</f>
        <v>3747298</v>
      </c>
      <c r="L39" s="14">
        <f t="shared" si="52"/>
        <v>6287445</v>
      </c>
      <c r="M39" s="174">
        <f t="shared" si="53"/>
        <v>30104229</v>
      </c>
      <c r="N39" s="174">
        <f t="shared" si="53"/>
        <v>11821874</v>
      </c>
      <c r="O39" s="14">
        <v>10034743</v>
      </c>
      <c r="P39" s="13">
        <v>5519044</v>
      </c>
      <c r="Q39" s="14">
        <f t="shared" si="54"/>
        <v>4515699</v>
      </c>
      <c r="R39" s="14">
        <v>10034743</v>
      </c>
      <c r="S39" s="13">
        <v>7669169</v>
      </c>
      <c r="T39" s="14">
        <f t="shared" si="55"/>
        <v>2365574</v>
      </c>
      <c r="U39" s="14">
        <v>10034743</v>
      </c>
      <c r="V39" s="175">
        <f>22582385-4710105-10633956</f>
        <v>7238324</v>
      </c>
      <c r="W39" s="14">
        <f t="shared" si="56"/>
        <v>2796419</v>
      </c>
      <c r="X39" s="174">
        <f t="shared" si="57"/>
        <v>30104229</v>
      </c>
      <c r="Y39" s="174">
        <f t="shared" si="57"/>
        <v>20426537</v>
      </c>
      <c r="Z39" s="14">
        <v>10034743</v>
      </c>
      <c r="AA39" s="13">
        <v>6243590</v>
      </c>
      <c r="AB39" s="14">
        <f t="shared" si="58"/>
        <v>3791153</v>
      </c>
      <c r="AC39" s="14">
        <v>10034743</v>
      </c>
      <c r="AD39" s="13">
        <v>4074260</v>
      </c>
      <c r="AE39" s="14">
        <f t="shared" si="59"/>
        <v>5960483</v>
      </c>
      <c r="AF39" s="14">
        <v>10034743</v>
      </c>
      <c r="AG39" s="13">
        <v>4921855</v>
      </c>
      <c r="AH39" s="14">
        <f t="shared" si="60"/>
        <v>5112888</v>
      </c>
      <c r="AI39" s="174">
        <f t="shared" si="48"/>
        <v>30104229</v>
      </c>
      <c r="AJ39" s="174">
        <f t="shared" si="61"/>
        <v>15239705</v>
      </c>
      <c r="AK39" s="14">
        <v>10034743</v>
      </c>
      <c r="AL39" s="13"/>
      <c r="AM39" s="14">
        <f t="shared" si="62"/>
        <v>10034743</v>
      </c>
      <c r="AN39" s="14">
        <v>10034743</v>
      </c>
      <c r="AO39" s="13"/>
      <c r="AP39" s="14">
        <f t="shared" si="63"/>
        <v>10034743</v>
      </c>
      <c r="AQ39" s="14">
        <v>10034743</v>
      </c>
      <c r="AR39" s="13"/>
      <c r="AS39" s="14">
        <f t="shared" si="64"/>
        <v>10034743</v>
      </c>
      <c r="AT39" s="174"/>
      <c r="AU39" s="174">
        <f t="shared" si="65"/>
        <v>0</v>
      </c>
      <c r="AV39" s="38">
        <f t="shared" si="66"/>
        <v>120416916</v>
      </c>
      <c r="AW39" s="14">
        <f t="shared" si="66"/>
        <v>47488116</v>
      </c>
      <c r="AX39" s="178">
        <f t="shared" si="67"/>
        <v>107696574</v>
      </c>
      <c r="AY39" s="16">
        <f t="shared" si="68"/>
        <v>52236927.600000001</v>
      </c>
      <c r="AZ39" s="16">
        <f t="shared" si="69"/>
        <v>57460620.360000007</v>
      </c>
      <c r="BA39" s="16">
        <f t="shared" si="69"/>
        <v>63206682.396000013</v>
      </c>
      <c r="BB39" s="16">
        <f t="shared" si="69"/>
        <v>69527350.635600016</v>
      </c>
    </row>
    <row r="40" spans="1:54" ht="16.899999999999999" customHeight="1" x14ac:dyDescent="0.2">
      <c r="A40" s="10">
        <v>8</v>
      </c>
      <c r="B40" s="11" t="s">
        <v>77</v>
      </c>
      <c r="C40" s="29" t="s">
        <v>78</v>
      </c>
      <c r="D40" s="14">
        <f>700000*51*2</f>
        <v>71400000</v>
      </c>
      <c r="E40" s="13"/>
      <c r="F40" s="14">
        <f t="shared" si="50"/>
        <v>71400000</v>
      </c>
      <c r="G40" s="14"/>
      <c r="H40" s="13"/>
      <c r="I40" s="14">
        <f t="shared" si="51"/>
        <v>0</v>
      </c>
      <c r="J40" s="14">
        <f>700000*51</f>
        <v>35700000</v>
      </c>
      <c r="K40" s="13"/>
      <c r="L40" s="14">
        <f t="shared" si="52"/>
        <v>35700000</v>
      </c>
      <c r="M40" s="174">
        <f t="shared" si="53"/>
        <v>107100000</v>
      </c>
      <c r="N40" s="174">
        <f t="shared" si="53"/>
        <v>0</v>
      </c>
      <c r="O40" s="14"/>
      <c r="P40" s="13"/>
      <c r="Q40" s="14">
        <f t="shared" si="54"/>
        <v>0</v>
      </c>
      <c r="R40" s="14"/>
      <c r="S40" s="13"/>
      <c r="T40" s="14">
        <f t="shared" si="55"/>
        <v>0</v>
      </c>
      <c r="U40" s="14"/>
      <c r="V40" s="13"/>
      <c r="W40" s="14">
        <f t="shared" si="56"/>
        <v>0</v>
      </c>
      <c r="X40" s="174">
        <f t="shared" si="57"/>
        <v>0</v>
      </c>
      <c r="Y40" s="174">
        <f t="shared" si="57"/>
        <v>0</v>
      </c>
      <c r="Z40" s="14"/>
      <c r="AA40" s="13">
        <v>920000</v>
      </c>
      <c r="AB40" s="14">
        <f t="shared" si="58"/>
        <v>-920000</v>
      </c>
      <c r="AC40" s="14"/>
      <c r="AD40" s="13"/>
      <c r="AE40" s="14">
        <f t="shared" si="59"/>
        <v>0</v>
      </c>
      <c r="AF40" s="14"/>
      <c r="AG40" s="13"/>
      <c r="AH40" s="14">
        <f t="shared" si="60"/>
        <v>0</v>
      </c>
      <c r="AI40" s="174">
        <f t="shared" si="48"/>
        <v>0</v>
      </c>
      <c r="AJ40" s="174">
        <f t="shared" si="61"/>
        <v>920000</v>
      </c>
      <c r="AK40" s="14"/>
      <c r="AL40" s="13"/>
      <c r="AM40" s="14">
        <f t="shared" si="62"/>
        <v>0</v>
      </c>
      <c r="AN40" s="14"/>
      <c r="AO40" s="13"/>
      <c r="AP40" s="14">
        <f t="shared" si="63"/>
        <v>0</v>
      </c>
      <c r="AQ40" s="14"/>
      <c r="AR40" s="13"/>
      <c r="AS40" s="14">
        <f t="shared" si="64"/>
        <v>0</v>
      </c>
      <c r="AT40" s="174"/>
      <c r="AU40" s="174">
        <f t="shared" si="65"/>
        <v>0</v>
      </c>
      <c r="AV40" s="38">
        <f t="shared" si="66"/>
        <v>107100000</v>
      </c>
      <c r="AW40" s="14">
        <f t="shared" si="66"/>
        <v>920000</v>
      </c>
      <c r="AX40" s="178">
        <f t="shared" si="67"/>
        <v>920000</v>
      </c>
      <c r="AY40" s="16">
        <f t="shared" si="68"/>
        <v>1012000.0000000001</v>
      </c>
      <c r="AZ40" s="16">
        <f t="shared" si="69"/>
        <v>1113200.0000000002</v>
      </c>
      <c r="BA40" s="16">
        <f t="shared" si="69"/>
        <v>1224520.0000000005</v>
      </c>
      <c r="BB40" s="16">
        <f t="shared" si="69"/>
        <v>1346972.0000000007</v>
      </c>
    </row>
    <row r="41" spans="1:54" ht="16.899999999999999" customHeight="1" x14ac:dyDescent="0.2">
      <c r="A41" s="10">
        <v>9</v>
      </c>
      <c r="B41" s="11" t="s">
        <v>79</v>
      </c>
      <c r="C41" s="41" t="s">
        <v>80</v>
      </c>
      <c r="D41" s="14"/>
      <c r="E41" s="13"/>
      <c r="F41" s="14">
        <f t="shared" si="50"/>
        <v>0</v>
      </c>
      <c r="G41" s="14"/>
      <c r="H41" s="13"/>
      <c r="I41" s="14">
        <f t="shared" si="51"/>
        <v>0</v>
      </c>
      <c r="J41" s="14"/>
      <c r="K41" s="13"/>
      <c r="L41" s="14">
        <f t="shared" si="52"/>
        <v>0</v>
      </c>
      <c r="M41" s="174">
        <f t="shared" si="53"/>
        <v>0</v>
      </c>
      <c r="N41" s="174">
        <f t="shared" si="53"/>
        <v>0</v>
      </c>
      <c r="O41" s="14">
        <v>16000000</v>
      </c>
      <c r="P41" s="13"/>
      <c r="Q41" s="14">
        <f t="shared" si="54"/>
        <v>16000000</v>
      </c>
      <c r="R41" s="14"/>
      <c r="S41" s="13"/>
      <c r="T41" s="14">
        <f t="shared" si="55"/>
        <v>0</v>
      </c>
      <c r="U41" s="14"/>
      <c r="V41" s="13"/>
      <c r="W41" s="14">
        <f t="shared" si="56"/>
        <v>0</v>
      </c>
      <c r="X41" s="174">
        <f t="shared" si="57"/>
        <v>16000000</v>
      </c>
      <c r="Y41" s="174">
        <f t="shared" si="57"/>
        <v>0</v>
      </c>
      <c r="Z41" s="14"/>
      <c r="AA41" s="13"/>
      <c r="AB41" s="14">
        <f t="shared" si="58"/>
        <v>0</v>
      </c>
      <c r="AC41" s="14"/>
      <c r="AD41" s="13"/>
      <c r="AE41" s="14">
        <f t="shared" si="59"/>
        <v>0</v>
      </c>
      <c r="AF41" s="14"/>
      <c r="AG41" s="13"/>
      <c r="AH41" s="14">
        <f t="shared" si="60"/>
        <v>0</v>
      </c>
      <c r="AI41" s="174">
        <f t="shared" si="48"/>
        <v>0</v>
      </c>
      <c r="AJ41" s="174">
        <f t="shared" si="61"/>
        <v>0</v>
      </c>
      <c r="AK41" s="14"/>
      <c r="AL41" s="13"/>
      <c r="AM41" s="14">
        <f t="shared" si="62"/>
        <v>0</v>
      </c>
      <c r="AN41" s="14"/>
      <c r="AO41" s="13"/>
      <c r="AP41" s="14">
        <f t="shared" si="63"/>
        <v>0</v>
      </c>
      <c r="AQ41" s="14"/>
      <c r="AR41" s="13"/>
      <c r="AS41" s="14">
        <f t="shared" si="64"/>
        <v>0</v>
      </c>
      <c r="AT41" s="174"/>
      <c r="AU41" s="174">
        <f t="shared" si="65"/>
        <v>0</v>
      </c>
      <c r="AV41" s="38">
        <f t="shared" si="66"/>
        <v>16000000</v>
      </c>
      <c r="AW41" s="14">
        <f t="shared" si="66"/>
        <v>0</v>
      </c>
      <c r="AX41" s="178">
        <f t="shared" si="67"/>
        <v>0</v>
      </c>
      <c r="AY41" s="16">
        <f t="shared" si="68"/>
        <v>0</v>
      </c>
      <c r="AZ41" s="16">
        <f t="shared" si="69"/>
        <v>0</v>
      </c>
      <c r="BA41" s="16">
        <f t="shared" si="69"/>
        <v>0</v>
      </c>
      <c r="BB41" s="16">
        <f t="shared" si="69"/>
        <v>0</v>
      </c>
    </row>
    <row r="42" spans="1:54" ht="16.899999999999999" customHeight="1" x14ac:dyDescent="0.2">
      <c r="A42" s="10">
        <v>10</v>
      </c>
      <c r="B42" s="11" t="s">
        <v>79</v>
      </c>
      <c r="C42" s="41" t="s">
        <v>81</v>
      </c>
      <c r="D42" s="60">
        <v>16000000</v>
      </c>
      <c r="E42" s="13"/>
      <c r="F42" s="14">
        <f t="shared" si="50"/>
        <v>16000000</v>
      </c>
      <c r="G42" s="14"/>
      <c r="H42" s="13"/>
      <c r="I42" s="14">
        <f t="shared" si="51"/>
        <v>0</v>
      </c>
      <c r="J42" s="14"/>
      <c r="K42" s="13"/>
      <c r="L42" s="14">
        <f t="shared" si="52"/>
        <v>0</v>
      </c>
      <c r="M42" s="174">
        <f t="shared" si="53"/>
        <v>16000000</v>
      </c>
      <c r="N42" s="174">
        <f t="shared" si="53"/>
        <v>0</v>
      </c>
      <c r="O42" s="14"/>
      <c r="P42" s="13"/>
      <c r="Q42" s="14">
        <f t="shared" si="54"/>
        <v>0</v>
      </c>
      <c r="R42" s="14"/>
      <c r="S42" s="13"/>
      <c r="T42" s="14">
        <f t="shared" si="55"/>
        <v>0</v>
      </c>
      <c r="U42" s="14"/>
      <c r="V42" s="13"/>
      <c r="W42" s="14">
        <f t="shared" si="56"/>
        <v>0</v>
      </c>
      <c r="X42" s="174">
        <f t="shared" si="57"/>
        <v>0</v>
      </c>
      <c r="Y42" s="174">
        <f t="shared" si="57"/>
        <v>0</v>
      </c>
      <c r="Z42" s="14"/>
      <c r="AA42" s="13"/>
      <c r="AB42" s="14">
        <f t="shared" si="58"/>
        <v>0</v>
      </c>
      <c r="AC42" s="14"/>
      <c r="AD42" s="13"/>
      <c r="AE42" s="14">
        <f t="shared" si="59"/>
        <v>0</v>
      </c>
      <c r="AF42" s="14"/>
      <c r="AG42" s="13"/>
      <c r="AH42" s="14">
        <f t="shared" si="60"/>
        <v>0</v>
      </c>
      <c r="AI42" s="174">
        <f t="shared" si="48"/>
        <v>0</v>
      </c>
      <c r="AJ42" s="174">
        <f t="shared" si="61"/>
        <v>0</v>
      </c>
      <c r="AK42" s="14"/>
      <c r="AL42" s="13"/>
      <c r="AM42" s="14">
        <f t="shared" si="62"/>
        <v>0</v>
      </c>
      <c r="AN42" s="14"/>
      <c r="AO42" s="13"/>
      <c r="AP42" s="14">
        <f t="shared" si="63"/>
        <v>0</v>
      </c>
      <c r="AQ42" s="14"/>
      <c r="AR42" s="13"/>
      <c r="AS42" s="14">
        <f t="shared" si="64"/>
        <v>0</v>
      </c>
      <c r="AT42" s="174"/>
      <c r="AU42" s="174">
        <f t="shared" si="65"/>
        <v>0</v>
      </c>
      <c r="AV42" s="38">
        <f t="shared" si="66"/>
        <v>16000000</v>
      </c>
      <c r="AW42" s="14">
        <f t="shared" si="66"/>
        <v>0</v>
      </c>
      <c r="AX42" s="178">
        <f t="shared" si="67"/>
        <v>0</v>
      </c>
      <c r="AY42" s="16">
        <f t="shared" si="68"/>
        <v>0</v>
      </c>
      <c r="AZ42" s="16">
        <f t="shared" si="69"/>
        <v>0</v>
      </c>
      <c r="BA42" s="16">
        <f t="shared" si="69"/>
        <v>0</v>
      </c>
      <c r="BB42" s="16">
        <f t="shared" si="69"/>
        <v>0</v>
      </c>
    </row>
    <row r="43" spans="1:54" s="62" customFormat="1" ht="16.899999999999999" customHeight="1" x14ac:dyDescent="0.2">
      <c r="A43" s="10">
        <v>11</v>
      </c>
      <c r="B43" s="11" t="s">
        <v>79</v>
      </c>
      <c r="C43" s="41" t="s">
        <v>82</v>
      </c>
      <c r="D43" s="61">
        <v>22000000</v>
      </c>
      <c r="E43" s="13"/>
      <c r="F43" s="14">
        <f t="shared" si="50"/>
        <v>22000000</v>
      </c>
      <c r="G43" s="14"/>
      <c r="H43" s="13"/>
      <c r="I43" s="14">
        <f t="shared" si="51"/>
        <v>0</v>
      </c>
      <c r="J43" s="14"/>
      <c r="K43" s="13"/>
      <c r="L43" s="14">
        <f t="shared" si="52"/>
        <v>0</v>
      </c>
      <c r="M43" s="174">
        <f t="shared" si="53"/>
        <v>22000000</v>
      </c>
      <c r="N43" s="174">
        <f t="shared" si="53"/>
        <v>0</v>
      </c>
      <c r="O43" s="14"/>
      <c r="P43" s="13"/>
      <c r="Q43" s="14">
        <f t="shared" si="54"/>
        <v>0</v>
      </c>
      <c r="R43" s="14"/>
      <c r="S43" s="13"/>
      <c r="T43" s="14">
        <f t="shared" si="55"/>
        <v>0</v>
      </c>
      <c r="U43" s="14"/>
      <c r="V43" s="13"/>
      <c r="W43" s="14">
        <f t="shared" si="56"/>
        <v>0</v>
      </c>
      <c r="X43" s="174">
        <f t="shared" si="57"/>
        <v>0</v>
      </c>
      <c r="Y43" s="174">
        <f t="shared" si="57"/>
        <v>0</v>
      </c>
      <c r="Z43" s="14"/>
      <c r="AA43" s="13"/>
      <c r="AB43" s="14">
        <f t="shared" si="58"/>
        <v>0</v>
      </c>
      <c r="AC43" s="14"/>
      <c r="AD43" s="13"/>
      <c r="AE43" s="14">
        <f t="shared" si="59"/>
        <v>0</v>
      </c>
      <c r="AF43" s="14"/>
      <c r="AG43" s="13"/>
      <c r="AH43" s="14">
        <f t="shared" si="60"/>
        <v>0</v>
      </c>
      <c r="AI43" s="174">
        <f t="shared" si="48"/>
        <v>0</v>
      </c>
      <c r="AJ43" s="174">
        <f t="shared" si="61"/>
        <v>0</v>
      </c>
      <c r="AK43" s="14"/>
      <c r="AL43" s="13"/>
      <c r="AM43" s="14">
        <f t="shared" si="62"/>
        <v>0</v>
      </c>
      <c r="AN43" s="14"/>
      <c r="AO43" s="13"/>
      <c r="AP43" s="14">
        <f t="shared" si="63"/>
        <v>0</v>
      </c>
      <c r="AQ43" s="14"/>
      <c r="AR43" s="13"/>
      <c r="AS43" s="14">
        <f t="shared" si="64"/>
        <v>0</v>
      </c>
      <c r="AT43" s="174"/>
      <c r="AU43" s="174">
        <f t="shared" si="65"/>
        <v>0</v>
      </c>
      <c r="AV43" s="38">
        <f t="shared" si="66"/>
        <v>22000000</v>
      </c>
      <c r="AW43" s="14">
        <f t="shared" si="66"/>
        <v>0</v>
      </c>
      <c r="AX43" s="178">
        <f t="shared" si="67"/>
        <v>0</v>
      </c>
      <c r="AY43" s="16">
        <f t="shared" si="68"/>
        <v>0</v>
      </c>
      <c r="AZ43" s="16">
        <f t="shared" si="69"/>
        <v>0</v>
      </c>
      <c r="BA43" s="16">
        <f t="shared" si="69"/>
        <v>0</v>
      </c>
      <c r="BB43" s="16">
        <f t="shared" si="69"/>
        <v>0</v>
      </c>
    </row>
    <row r="44" spans="1:54" s="2" customFormat="1" ht="16.899999999999999" customHeight="1" x14ac:dyDescent="0.2">
      <c r="A44" s="58"/>
      <c r="B44" s="11"/>
      <c r="C44" s="47" t="s">
        <v>83</v>
      </c>
      <c r="D44" s="19">
        <f t="shared" ref="D44:BB44" si="70">SUM(D33:D43)</f>
        <v>135808350</v>
      </c>
      <c r="E44" s="19">
        <f t="shared" si="70"/>
        <v>24163058</v>
      </c>
      <c r="F44" s="19">
        <f t="shared" si="70"/>
        <v>111645292</v>
      </c>
      <c r="G44" s="19">
        <f t="shared" si="70"/>
        <v>26408350</v>
      </c>
      <c r="H44" s="19">
        <f t="shared" si="70"/>
        <v>22081334</v>
      </c>
      <c r="I44" s="19">
        <f t="shared" si="70"/>
        <v>4327016</v>
      </c>
      <c r="J44" s="19">
        <f t="shared" si="70"/>
        <v>62108350</v>
      </c>
      <c r="K44" s="19">
        <f t="shared" si="70"/>
        <v>17221641</v>
      </c>
      <c r="L44" s="19">
        <f t="shared" si="70"/>
        <v>44886709</v>
      </c>
      <c r="M44" s="19">
        <f t="shared" si="70"/>
        <v>224325050</v>
      </c>
      <c r="N44" s="19">
        <f t="shared" si="70"/>
        <v>63466033</v>
      </c>
      <c r="O44" s="19">
        <f t="shared" si="70"/>
        <v>42408350</v>
      </c>
      <c r="P44" s="19">
        <f t="shared" si="70"/>
        <v>26715879</v>
      </c>
      <c r="Q44" s="19">
        <f t="shared" si="70"/>
        <v>15692471</v>
      </c>
      <c r="R44" s="19">
        <f t="shared" si="70"/>
        <v>26408350</v>
      </c>
      <c r="S44" s="19">
        <f t="shared" si="70"/>
        <v>36035555</v>
      </c>
      <c r="T44" s="19">
        <f t="shared" si="70"/>
        <v>-9627205</v>
      </c>
      <c r="U44" s="19">
        <f t="shared" si="70"/>
        <v>26408350</v>
      </c>
      <c r="V44" s="19">
        <f t="shared" si="70"/>
        <v>18284508</v>
      </c>
      <c r="W44" s="19">
        <f t="shared" si="70"/>
        <v>8123842</v>
      </c>
      <c r="X44" s="19">
        <f t="shared" si="70"/>
        <v>95225050</v>
      </c>
      <c r="Y44" s="19">
        <f t="shared" si="70"/>
        <v>81035942</v>
      </c>
      <c r="Z44" s="19">
        <f t="shared" si="70"/>
        <v>26408350</v>
      </c>
      <c r="AA44" s="19">
        <f>SUM(AA33:AA43)</f>
        <v>38032383.719999999</v>
      </c>
      <c r="AB44" s="19">
        <f t="shared" si="70"/>
        <v>-11624033.720000001</v>
      </c>
      <c r="AC44" s="19">
        <f t="shared" si="70"/>
        <v>26408350</v>
      </c>
      <c r="AD44" s="19">
        <f t="shared" si="70"/>
        <v>32517200.439999998</v>
      </c>
      <c r="AE44" s="19">
        <f t="shared" si="70"/>
        <v>-6108850.4399999995</v>
      </c>
      <c r="AF44" s="19">
        <f t="shared" si="70"/>
        <v>26408350</v>
      </c>
      <c r="AG44" s="19">
        <f t="shared" si="70"/>
        <v>27990986.710000001</v>
      </c>
      <c r="AH44" s="19">
        <f t="shared" si="70"/>
        <v>-1582636.71</v>
      </c>
      <c r="AI44" s="19">
        <f t="shared" si="70"/>
        <v>79225050</v>
      </c>
      <c r="AJ44" s="19">
        <f t="shared" si="70"/>
        <v>98540570.870000005</v>
      </c>
      <c r="AK44" s="19">
        <f t="shared" si="70"/>
        <v>26408350</v>
      </c>
      <c r="AL44" s="19">
        <f t="shared" si="70"/>
        <v>0</v>
      </c>
      <c r="AM44" s="19">
        <f t="shared" si="70"/>
        <v>26408350</v>
      </c>
      <c r="AN44" s="19">
        <f t="shared" si="70"/>
        <v>26408350</v>
      </c>
      <c r="AO44" s="19">
        <f t="shared" si="70"/>
        <v>0</v>
      </c>
      <c r="AP44" s="19">
        <f t="shared" si="70"/>
        <v>26408350</v>
      </c>
      <c r="AQ44" s="19">
        <f t="shared" si="70"/>
        <v>26408350</v>
      </c>
      <c r="AR44" s="19">
        <f t="shared" si="70"/>
        <v>0</v>
      </c>
      <c r="AS44" s="19">
        <f t="shared" si="70"/>
        <v>26408350</v>
      </c>
      <c r="AT44" s="19">
        <f t="shared" si="70"/>
        <v>0</v>
      </c>
      <c r="AU44" s="19">
        <f t="shared" si="70"/>
        <v>0</v>
      </c>
      <c r="AV44" s="19">
        <f t="shared" si="70"/>
        <v>478000200</v>
      </c>
      <c r="AW44" s="19">
        <f t="shared" si="70"/>
        <v>243042545.87</v>
      </c>
      <c r="AX44" s="19">
        <f t="shared" si="70"/>
        <v>401492645.87</v>
      </c>
      <c r="AY44" s="19">
        <f t="shared" si="70"/>
        <v>267346800.45699999</v>
      </c>
      <c r="AZ44" s="19">
        <f t="shared" si="70"/>
        <v>294081480.50270003</v>
      </c>
      <c r="BA44" s="19">
        <f t="shared" si="70"/>
        <v>323489628.55297005</v>
      </c>
      <c r="BB44" s="19">
        <f t="shared" si="70"/>
        <v>355838591.40826714</v>
      </c>
    </row>
    <row r="45" spans="1:54" s="2" customFormat="1" ht="16.899999999999999" customHeight="1" x14ac:dyDescent="0.2">
      <c r="A45" s="10">
        <v>12</v>
      </c>
      <c r="B45" s="11" t="s">
        <v>53</v>
      </c>
      <c r="C45" s="29" t="s">
        <v>84</v>
      </c>
      <c r="D45" s="14">
        <v>14204907</v>
      </c>
      <c r="E45" s="13"/>
      <c r="F45" s="14">
        <f t="shared" ref="F45:F55" si="71">D45-E45</f>
        <v>14204907</v>
      </c>
      <c r="G45" s="14">
        <v>14204907</v>
      </c>
      <c r="H45" s="13">
        <f>1970000+440000</f>
        <v>2410000</v>
      </c>
      <c r="I45" s="14">
        <f t="shared" ref="I45:I55" si="72">G45-H45</f>
        <v>11794907</v>
      </c>
      <c r="J45" s="14">
        <v>14204907</v>
      </c>
      <c r="K45" s="13"/>
      <c r="L45" s="14">
        <f t="shared" ref="L45:L55" si="73">J45-K45</f>
        <v>14204907</v>
      </c>
      <c r="M45" s="174">
        <f t="shared" ref="M45:N55" si="74">D45+G45+J45</f>
        <v>42614721</v>
      </c>
      <c r="N45" s="174">
        <f t="shared" si="74"/>
        <v>2410000</v>
      </c>
      <c r="O45" s="14">
        <v>14204907</v>
      </c>
      <c r="P45" s="13">
        <v>3807045</v>
      </c>
      <c r="Q45" s="14">
        <f t="shared" ref="Q45:Q55" si="75">O45-P45</f>
        <v>10397862</v>
      </c>
      <c r="R45" s="14">
        <v>14204907</v>
      </c>
      <c r="S45" s="13">
        <v>9711664</v>
      </c>
      <c r="T45" s="14">
        <f t="shared" ref="T45:T55" si="76">R45-S45</f>
        <v>4493243</v>
      </c>
      <c r="U45" s="14">
        <v>14204907</v>
      </c>
      <c r="V45" s="13"/>
      <c r="W45" s="14">
        <f t="shared" ref="W45:W55" si="77">U45-V45</f>
        <v>14204907</v>
      </c>
      <c r="X45" s="174">
        <f t="shared" ref="X45:Y55" si="78">O45+R45+U45</f>
        <v>42614721</v>
      </c>
      <c r="Y45" s="174">
        <f t="shared" si="78"/>
        <v>13518709</v>
      </c>
      <c r="Z45" s="14">
        <v>14204907</v>
      </c>
      <c r="AA45" s="13">
        <v>4910600</v>
      </c>
      <c r="AB45" s="14">
        <f t="shared" ref="AB45:AB55" si="79">Z45-AA45</f>
        <v>9294307</v>
      </c>
      <c r="AC45" s="14">
        <v>14204907</v>
      </c>
      <c r="AD45" s="13">
        <v>1413610</v>
      </c>
      <c r="AE45" s="14">
        <f t="shared" ref="AE45:AE55" si="80">AC45-AD45</f>
        <v>12791297</v>
      </c>
      <c r="AF45" s="14">
        <v>14204907</v>
      </c>
      <c r="AG45" s="13">
        <v>12998086</v>
      </c>
      <c r="AH45" s="14">
        <f t="shared" ref="AH45:AH55" si="81">AF45-AG45</f>
        <v>1206821</v>
      </c>
      <c r="AI45" s="174">
        <f t="shared" si="48"/>
        <v>42614721</v>
      </c>
      <c r="AJ45" s="174">
        <f t="shared" ref="AJ45:AJ55" si="82">AA45+AD45+AG45</f>
        <v>19322296</v>
      </c>
      <c r="AK45" s="14">
        <v>14204907</v>
      </c>
      <c r="AL45" s="13"/>
      <c r="AM45" s="14">
        <f t="shared" ref="AM45:AM55" si="83">AK45-AL45</f>
        <v>14204907</v>
      </c>
      <c r="AN45" s="14">
        <v>14204907</v>
      </c>
      <c r="AO45" s="13"/>
      <c r="AP45" s="14">
        <f t="shared" ref="AP45:AP55" si="84">AN45-AO45</f>
        <v>14204907</v>
      </c>
      <c r="AQ45" s="14">
        <v>14204907</v>
      </c>
      <c r="AR45" s="13"/>
      <c r="AS45" s="14">
        <f t="shared" ref="AS45:AS55" si="85">AQ45-AR45</f>
        <v>14204907</v>
      </c>
      <c r="AT45" s="174"/>
      <c r="AU45" s="174">
        <f t="shared" ref="AU45:AU55" si="86">AL45+AO45+AR45</f>
        <v>0</v>
      </c>
      <c r="AV45" s="38">
        <f t="shared" ref="AV45:AW55" si="87">AQ45+AN45+AK45+AF45+AC45+Z45+U45+R45+O45+J45+G45+D45</f>
        <v>170458884</v>
      </c>
      <c r="AW45" s="14">
        <f t="shared" si="87"/>
        <v>35251005</v>
      </c>
      <c r="AX45" s="178">
        <f t="shared" ref="AX45:AX55" si="88">(AV45-(M45+X45))+AW45</f>
        <v>120480447</v>
      </c>
      <c r="AY45" s="16">
        <f t="shared" ref="AY45:AY55" si="89">AW45*1.1</f>
        <v>38776105.5</v>
      </c>
      <c r="AZ45" s="16">
        <f t="shared" ref="AZ45:BB55" si="90">AY45*1.1</f>
        <v>42653716.050000004</v>
      </c>
      <c r="BA45" s="16">
        <f t="shared" si="90"/>
        <v>46919087.655000009</v>
      </c>
      <c r="BB45" s="16">
        <f t="shared" si="90"/>
        <v>51610996.42050001</v>
      </c>
    </row>
    <row r="46" spans="1:54" s="2" customFormat="1" ht="16.899999999999999" customHeight="1" x14ac:dyDescent="0.2">
      <c r="A46" s="10">
        <v>13</v>
      </c>
      <c r="B46" s="11" t="s">
        <v>85</v>
      </c>
      <c r="C46" s="29" t="s">
        <v>86</v>
      </c>
      <c r="D46" s="14"/>
      <c r="E46" s="13"/>
      <c r="F46" s="14">
        <f t="shared" si="71"/>
        <v>0</v>
      </c>
      <c r="G46" s="14"/>
      <c r="H46" s="13"/>
      <c r="I46" s="14">
        <f t="shared" si="72"/>
        <v>0</v>
      </c>
      <c r="J46" s="14"/>
      <c r="K46" s="13"/>
      <c r="L46" s="14">
        <f t="shared" si="73"/>
        <v>0</v>
      </c>
      <c r="M46" s="174">
        <f t="shared" si="74"/>
        <v>0</v>
      </c>
      <c r="N46" s="174">
        <f t="shared" si="74"/>
        <v>0</v>
      </c>
      <c r="O46" s="14"/>
      <c r="P46" s="13"/>
      <c r="Q46" s="14">
        <f t="shared" si="75"/>
        <v>0</v>
      </c>
      <c r="R46" s="14">
        <v>30000000</v>
      </c>
      <c r="S46" s="13"/>
      <c r="T46" s="14">
        <f t="shared" si="76"/>
        <v>30000000</v>
      </c>
      <c r="U46" s="14"/>
      <c r="V46" s="13"/>
      <c r="W46" s="14">
        <f t="shared" si="77"/>
        <v>0</v>
      </c>
      <c r="X46" s="174">
        <f t="shared" si="78"/>
        <v>30000000</v>
      </c>
      <c r="Y46" s="174">
        <f t="shared" si="78"/>
        <v>0</v>
      </c>
      <c r="Z46" s="14"/>
      <c r="AA46" s="13">
        <v>5751615</v>
      </c>
      <c r="AB46" s="14">
        <f t="shared" si="79"/>
        <v>-5751615</v>
      </c>
      <c r="AC46" s="14"/>
      <c r="AD46" s="13">
        <v>2115207.9</v>
      </c>
      <c r="AE46" s="14">
        <f t="shared" si="80"/>
        <v>-2115207.9</v>
      </c>
      <c r="AF46" s="14"/>
      <c r="AG46" s="13">
        <v>117405634</v>
      </c>
      <c r="AH46" s="14">
        <f t="shared" si="81"/>
        <v>-117405634</v>
      </c>
      <c r="AI46" s="174">
        <f t="shared" si="48"/>
        <v>0</v>
      </c>
      <c r="AJ46" s="174">
        <f t="shared" si="82"/>
        <v>125272456.90000001</v>
      </c>
      <c r="AK46" s="14">
        <v>30000000</v>
      </c>
      <c r="AL46" s="13"/>
      <c r="AM46" s="14">
        <f t="shared" si="83"/>
        <v>30000000</v>
      </c>
      <c r="AN46" s="14"/>
      <c r="AO46" s="13"/>
      <c r="AP46" s="14">
        <f t="shared" si="84"/>
        <v>0</v>
      </c>
      <c r="AQ46" s="14"/>
      <c r="AR46" s="13"/>
      <c r="AS46" s="14">
        <f t="shared" si="85"/>
        <v>0</v>
      </c>
      <c r="AT46" s="174"/>
      <c r="AU46" s="174">
        <f t="shared" si="86"/>
        <v>0</v>
      </c>
      <c r="AV46" s="38">
        <f t="shared" si="87"/>
        <v>60000000</v>
      </c>
      <c r="AW46" s="14">
        <f t="shared" si="87"/>
        <v>125272456.90000001</v>
      </c>
      <c r="AX46" s="178">
        <f t="shared" si="88"/>
        <v>155272456.90000001</v>
      </c>
      <c r="AY46" s="16">
        <f t="shared" si="89"/>
        <v>137799702.59</v>
      </c>
      <c r="AZ46" s="16">
        <f t="shared" si="90"/>
        <v>151579672.84900001</v>
      </c>
      <c r="BA46" s="16">
        <f t="shared" si="90"/>
        <v>166737640.13390002</v>
      </c>
      <c r="BB46" s="16">
        <f t="shared" si="90"/>
        <v>183411404.14729002</v>
      </c>
    </row>
    <row r="47" spans="1:54" ht="16.899999999999999" customHeight="1" x14ac:dyDescent="0.2">
      <c r="A47" s="10">
        <v>14</v>
      </c>
      <c r="B47" s="11" t="s">
        <v>87</v>
      </c>
      <c r="C47" s="63" t="s">
        <v>88</v>
      </c>
      <c r="D47" s="14">
        <v>60359010</v>
      </c>
      <c r="E47" s="13"/>
      <c r="F47" s="14">
        <f t="shared" si="71"/>
        <v>60359010</v>
      </c>
      <c r="G47" s="14">
        <v>60359010</v>
      </c>
      <c r="H47" s="13"/>
      <c r="I47" s="14">
        <f t="shared" si="72"/>
        <v>60359010</v>
      </c>
      <c r="J47" s="14">
        <v>60359010</v>
      </c>
      <c r="K47" s="13"/>
      <c r="L47" s="14">
        <f t="shared" si="73"/>
        <v>60359010</v>
      </c>
      <c r="M47" s="174">
        <f t="shared" si="74"/>
        <v>181077030</v>
      </c>
      <c r="N47" s="174">
        <f t="shared" si="74"/>
        <v>0</v>
      </c>
      <c r="O47" s="14">
        <v>60359010</v>
      </c>
      <c r="P47" s="13">
        <v>51230000</v>
      </c>
      <c r="Q47" s="14">
        <f t="shared" si="75"/>
        <v>9129010</v>
      </c>
      <c r="R47" s="14">
        <v>60359010</v>
      </c>
      <c r="S47" s="13">
        <v>51230000</v>
      </c>
      <c r="T47" s="14">
        <f t="shared" si="76"/>
        <v>9129010</v>
      </c>
      <c r="U47" s="14">
        <v>60359010</v>
      </c>
      <c r="V47" s="175">
        <f>51230000</f>
        <v>51230000</v>
      </c>
      <c r="W47" s="14">
        <f t="shared" si="77"/>
        <v>9129010</v>
      </c>
      <c r="X47" s="174">
        <f t="shared" si="78"/>
        <v>181077030</v>
      </c>
      <c r="Y47" s="174">
        <f t="shared" si="78"/>
        <v>153690000</v>
      </c>
      <c r="Z47" s="14">
        <v>60359010</v>
      </c>
      <c r="AA47" s="13">
        <v>51230000</v>
      </c>
      <c r="AB47" s="14">
        <f t="shared" si="79"/>
        <v>9129010</v>
      </c>
      <c r="AC47" s="14">
        <v>60359010</v>
      </c>
      <c r="AD47" s="13">
        <v>51230000</v>
      </c>
      <c r="AE47" s="14">
        <f t="shared" si="80"/>
        <v>9129010</v>
      </c>
      <c r="AF47" s="14">
        <v>60359010</v>
      </c>
      <c r="AG47" s="13">
        <v>51230000</v>
      </c>
      <c r="AH47" s="14">
        <f t="shared" si="81"/>
        <v>9129010</v>
      </c>
      <c r="AI47" s="174">
        <f t="shared" si="48"/>
        <v>181077030</v>
      </c>
      <c r="AJ47" s="174">
        <f t="shared" si="82"/>
        <v>153690000</v>
      </c>
      <c r="AK47" s="14">
        <v>60359010</v>
      </c>
      <c r="AL47" s="13"/>
      <c r="AM47" s="14">
        <f t="shared" si="83"/>
        <v>60359010</v>
      </c>
      <c r="AN47" s="14">
        <v>60359010</v>
      </c>
      <c r="AO47" s="13"/>
      <c r="AP47" s="14">
        <f t="shared" si="84"/>
        <v>60359010</v>
      </c>
      <c r="AQ47" s="14">
        <v>60359010</v>
      </c>
      <c r="AR47" s="13"/>
      <c r="AS47" s="14">
        <f t="shared" si="85"/>
        <v>60359010</v>
      </c>
      <c r="AT47" s="174"/>
      <c r="AU47" s="174">
        <f t="shared" si="86"/>
        <v>0</v>
      </c>
      <c r="AV47" s="38">
        <f t="shared" si="87"/>
        <v>724308120</v>
      </c>
      <c r="AW47" s="14">
        <f t="shared" si="87"/>
        <v>307380000</v>
      </c>
      <c r="AX47" s="178">
        <f t="shared" si="88"/>
        <v>669534060</v>
      </c>
      <c r="AY47" s="16">
        <f t="shared" si="89"/>
        <v>338118000</v>
      </c>
      <c r="AZ47" s="16">
        <f t="shared" si="90"/>
        <v>371929800.00000006</v>
      </c>
      <c r="BA47" s="16">
        <f t="shared" si="90"/>
        <v>409122780.00000012</v>
      </c>
      <c r="BB47" s="16">
        <f t="shared" si="90"/>
        <v>450035058.00000018</v>
      </c>
    </row>
    <row r="48" spans="1:54" ht="16.899999999999999" customHeight="1" x14ac:dyDescent="0.2">
      <c r="A48" s="10">
        <v>15</v>
      </c>
      <c r="B48" s="11" t="s">
        <v>89</v>
      </c>
      <c r="C48" s="29" t="s">
        <v>90</v>
      </c>
      <c r="D48" s="14">
        <v>5734349</v>
      </c>
      <c r="E48" s="13">
        <v>2721643</v>
      </c>
      <c r="F48" s="14">
        <f t="shared" si="71"/>
        <v>3012706</v>
      </c>
      <c r="G48" s="14">
        <v>5734349</v>
      </c>
      <c r="H48" s="13">
        <v>2145887</v>
      </c>
      <c r="I48" s="14">
        <f t="shared" si="72"/>
        <v>3588462</v>
      </c>
      <c r="J48" s="14">
        <v>5734349</v>
      </c>
      <c r="K48" s="13"/>
      <c r="L48" s="14">
        <f t="shared" si="73"/>
        <v>5734349</v>
      </c>
      <c r="M48" s="174">
        <f t="shared" si="74"/>
        <v>17203047</v>
      </c>
      <c r="N48" s="174">
        <f t="shared" si="74"/>
        <v>4867530</v>
      </c>
      <c r="O48" s="14">
        <v>5734349</v>
      </c>
      <c r="P48" s="13">
        <v>3283803</v>
      </c>
      <c r="Q48" s="14">
        <f t="shared" si="75"/>
        <v>2450546</v>
      </c>
      <c r="R48" s="14">
        <v>5734349</v>
      </c>
      <c r="S48" s="13">
        <v>2150831</v>
      </c>
      <c r="T48" s="14">
        <f t="shared" si="76"/>
        <v>3583518</v>
      </c>
      <c r="U48" s="14">
        <v>5734349</v>
      </c>
      <c r="V48" s="13"/>
      <c r="W48" s="14">
        <f t="shared" si="77"/>
        <v>5734349</v>
      </c>
      <c r="X48" s="174">
        <f t="shared" si="78"/>
        <v>17203047</v>
      </c>
      <c r="Y48" s="174">
        <f t="shared" si="78"/>
        <v>5434634</v>
      </c>
      <c r="Z48" s="14">
        <v>5734349</v>
      </c>
      <c r="AA48" s="13">
        <v>2199859</v>
      </c>
      <c r="AB48" s="14">
        <f t="shared" si="79"/>
        <v>3534490</v>
      </c>
      <c r="AC48" s="14">
        <v>5734349</v>
      </c>
      <c r="AD48" s="13">
        <v>2157835</v>
      </c>
      <c r="AE48" s="14">
        <f t="shared" si="80"/>
        <v>3576514</v>
      </c>
      <c r="AF48" s="14">
        <v>5734349</v>
      </c>
      <c r="AG48" s="13"/>
      <c r="AH48" s="14">
        <f t="shared" si="81"/>
        <v>5734349</v>
      </c>
      <c r="AI48" s="174">
        <f t="shared" si="48"/>
        <v>17203047</v>
      </c>
      <c r="AJ48" s="174">
        <f t="shared" si="82"/>
        <v>4357694</v>
      </c>
      <c r="AK48" s="14">
        <v>5734349</v>
      </c>
      <c r="AL48" s="13"/>
      <c r="AM48" s="14">
        <f t="shared" si="83"/>
        <v>5734349</v>
      </c>
      <c r="AN48" s="14">
        <v>5734349</v>
      </c>
      <c r="AO48" s="13"/>
      <c r="AP48" s="14">
        <f t="shared" si="84"/>
        <v>5734349</v>
      </c>
      <c r="AQ48" s="14">
        <v>5734349</v>
      </c>
      <c r="AR48" s="13"/>
      <c r="AS48" s="14">
        <f t="shared" si="85"/>
        <v>5734349</v>
      </c>
      <c r="AT48" s="174"/>
      <c r="AU48" s="174">
        <f t="shared" si="86"/>
        <v>0</v>
      </c>
      <c r="AV48" s="38">
        <f t="shared" si="87"/>
        <v>68812188</v>
      </c>
      <c r="AW48" s="14">
        <f t="shared" si="87"/>
        <v>14659858</v>
      </c>
      <c r="AX48" s="178">
        <f t="shared" si="88"/>
        <v>49065952</v>
      </c>
      <c r="AY48" s="16">
        <f t="shared" si="89"/>
        <v>16125843.800000001</v>
      </c>
      <c r="AZ48" s="16">
        <f t="shared" si="90"/>
        <v>17738428.180000003</v>
      </c>
      <c r="BA48" s="16">
        <f t="shared" si="90"/>
        <v>19512270.998000007</v>
      </c>
      <c r="BB48" s="16">
        <f t="shared" si="90"/>
        <v>21463498.097800009</v>
      </c>
    </row>
    <row r="49" spans="1:54" ht="16.899999999999999" customHeight="1" x14ac:dyDescent="0.2">
      <c r="A49" s="10">
        <v>16</v>
      </c>
      <c r="B49" s="11" t="s">
        <v>91</v>
      </c>
      <c r="C49" s="29" t="s">
        <v>92</v>
      </c>
      <c r="D49" s="14">
        <v>31949837</v>
      </c>
      <c r="E49" s="13">
        <v>26107535</v>
      </c>
      <c r="F49" s="14">
        <f t="shared" si="71"/>
        <v>5842302</v>
      </c>
      <c r="G49" s="14">
        <v>31949837</v>
      </c>
      <c r="H49" s="13">
        <v>23051273</v>
      </c>
      <c r="I49" s="14">
        <f t="shared" si="72"/>
        <v>8898564</v>
      </c>
      <c r="J49" s="14">
        <v>31949837</v>
      </c>
      <c r="K49" s="13">
        <v>13899632</v>
      </c>
      <c r="L49" s="14">
        <f t="shared" si="73"/>
        <v>18050205</v>
      </c>
      <c r="M49" s="174">
        <f t="shared" si="74"/>
        <v>95849511</v>
      </c>
      <c r="N49" s="174">
        <f t="shared" si="74"/>
        <v>63058440</v>
      </c>
      <c r="O49" s="14">
        <v>31949837</v>
      </c>
      <c r="P49" s="13">
        <v>24507116</v>
      </c>
      <c r="Q49" s="14">
        <f t="shared" si="75"/>
        <v>7442721</v>
      </c>
      <c r="R49" s="14">
        <v>31949837</v>
      </c>
      <c r="S49" s="13">
        <v>19072515</v>
      </c>
      <c r="T49" s="14">
        <f t="shared" si="76"/>
        <v>12877322</v>
      </c>
      <c r="U49" s="14">
        <v>31949837</v>
      </c>
      <c r="V49" s="175">
        <f>20527406</f>
        <v>20527406</v>
      </c>
      <c r="W49" s="14">
        <f t="shared" si="77"/>
        <v>11422431</v>
      </c>
      <c r="X49" s="174">
        <f t="shared" si="78"/>
        <v>95849511</v>
      </c>
      <c r="Y49" s="174">
        <f t="shared" si="78"/>
        <v>64107037</v>
      </c>
      <c r="Z49" s="14">
        <v>31949837</v>
      </c>
      <c r="AA49" s="13">
        <v>25455537</v>
      </c>
      <c r="AB49" s="14">
        <f t="shared" si="79"/>
        <v>6494300</v>
      </c>
      <c r="AC49" s="14">
        <v>31949837</v>
      </c>
      <c r="AD49" s="13">
        <v>18378442</v>
      </c>
      <c r="AE49" s="14">
        <f t="shared" si="80"/>
        <v>13571395</v>
      </c>
      <c r="AF49" s="14">
        <v>31949837</v>
      </c>
      <c r="AG49" s="13">
        <v>16508873</v>
      </c>
      <c r="AH49" s="14">
        <f t="shared" si="81"/>
        <v>15440964</v>
      </c>
      <c r="AI49" s="174">
        <f t="shared" si="48"/>
        <v>95849511</v>
      </c>
      <c r="AJ49" s="174">
        <f t="shared" si="82"/>
        <v>60342852</v>
      </c>
      <c r="AK49" s="14">
        <v>31949837</v>
      </c>
      <c r="AL49" s="13"/>
      <c r="AM49" s="14">
        <f t="shared" si="83"/>
        <v>31949837</v>
      </c>
      <c r="AN49" s="14">
        <v>31949837</v>
      </c>
      <c r="AO49" s="13"/>
      <c r="AP49" s="14">
        <f t="shared" si="84"/>
        <v>31949837</v>
      </c>
      <c r="AQ49" s="14">
        <v>31949837</v>
      </c>
      <c r="AR49" s="13"/>
      <c r="AS49" s="14">
        <f t="shared" si="85"/>
        <v>31949837</v>
      </c>
      <c r="AT49" s="174"/>
      <c r="AU49" s="174">
        <f t="shared" si="86"/>
        <v>0</v>
      </c>
      <c r="AV49" s="38">
        <f t="shared" si="87"/>
        <v>383398044</v>
      </c>
      <c r="AW49" s="14">
        <f t="shared" si="87"/>
        <v>187508329</v>
      </c>
      <c r="AX49" s="178">
        <f t="shared" si="88"/>
        <v>379207351</v>
      </c>
      <c r="AY49" s="16">
        <f t="shared" si="89"/>
        <v>206259161.90000001</v>
      </c>
      <c r="AZ49" s="16">
        <f t="shared" si="90"/>
        <v>226885078.09000003</v>
      </c>
      <c r="BA49" s="16">
        <f t="shared" si="90"/>
        <v>249573585.89900005</v>
      </c>
      <c r="BB49" s="16">
        <f t="shared" si="90"/>
        <v>274530944.48890007</v>
      </c>
    </row>
    <row r="50" spans="1:54" ht="16.899999999999999" customHeight="1" x14ac:dyDescent="0.2">
      <c r="A50" s="10">
        <v>17</v>
      </c>
      <c r="B50" s="11" t="s">
        <v>93</v>
      </c>
      <c r="C50" s="29" t="s">
        <v>94</v>
      </c>
      <c r="D50" s="14"/>
      <c r="E50" s="13">
        <v>8804155</v>
      </c>
      <c r="F50" s="14">
        <f t="shared" si="71"/>
        <v>-8804155</v>
      </c>
      <c r="G50" s="14">
        <v>21828000</v>
      </c>
      <c r="H50" s="13">
        <v>8236145</v>
      </c>
      <c r="I50" s="14">
        <f t="shared" si="72"/>
        <v>13591855</v>
      </c>
      <c r="J50" s="14"/>
      <c r="K50" s="13">
        <v>8804155</v>
      </c>
      <c r="L50" s="14">
        <f t="shared" si="73"/>
        <v>-8804155</v>
      </c>
      <c r="M50" s="174">
        <f t="shared" si="74"/>
        <v>21828000</v>
      </c>
      <c r="N50" s="174">
        <f t="shared" si="74"/>
        <v>25844455</v>
      </c>
      <c r="O50" s="14"/>
      <c r="P50" s="13">
        <v>8520150</v>
      </c>
      <c r="Q50" s="14">
        <f t="shared" si="75"/>
        <v>-8520150</v>
      </c>
      <c r="R50" s="14">
        <v>21828000</v>
      </c>
      <c r="S50" s="13">
        <v>8804155</v>
      </c>
      <c r="T50" s="14">
        <f t="shared" si="76"/>
        <v>13023845</v>
      </c>
      <c r="U50" s="14"/>
      <c r="V50" s="175">
        <f>8520150</f>
        <v>8520150</v>
      </c>
      <c r="W50" s="14">
        <f t="shared" si="77"/>
        <v>-8520150</v>
      </c>
      <c r="X50" s="174">
        <f t="shared" si="78"/>
        <v>21828000</v>
      </c>
      <c r="Y50" s="174">
        <f t="shared" si="78"/>
        <v>25844455</v>
      </c>
      <c r="Z50" s="14"/>
      <c r="AA50" s="13">
        <v>8723330</v>
      </c>
      <c r="AB50" s="14">
        <f t="shared" si="79"/>
        <v>-8723330</v>
      </c>
      <c r="AC50" s="14">
        <v>21828000</v>
      </c>
      <c r="AD50" s="13">
        <v>7355086.96</v>
      </c>
      <c r="AE50" s="14">
        <f t="shared" si="80"/>
        <v>14472913.039999999</v>
      </c>
      <c r="AF50" s="14"/>
      <c r="AG50" s="13">
        <v>8616880.8699999992</v>
      </c>
      <c r="AH50" s="14">
        <f t="shared" si="81"/>
        <v>-8616880.8699999992</v>
      </c>
      <c r="AI50" s="174">
        <f t="shared" si="48"/>
        <v>21828000</v>
      </c>
      <c r="AJ50" s="174">
        <f t="shared" si="82"/>
        <v>24695297.829999998</v>
      </c>
      <c r="AK50" s="14"/>
      <c r="AL50" s="13"/>
      <c r="AM50" s="14">
        <f t="shared" si="83"/>
        <v>0</v>
      </c>
      <c r="AN50" s="14">
        <v>21828000</v>
      </c>
      <c r="AO50" s="13"/>
      <c r="AP50" s="14">
        <f t="shared" si="84"/>
        <v>21828000</v>
      </c>
      <c r="AQ50" s="14"/>
      <c r="AR50" s="13"/>
      <c r="AS50" s="14">
        <f t="shared" si="85"/>
        <v>0</v>
      </c>
      <c r="AT50" s="174"/>
      <c r="AU50" s="174">
        <f t="shared" si="86"/>
        <v>0</v>
      </c>
      <c r="AV50" s="38">
        <f t="shared" si="87"/>
        <v>87312000</v>
      </c>
      <c r="AW50" s="14">
        <f t="shared" si="87"/>
        <v>76384207.829999998</v>
      </c>
      <c r="AX50" s="178">
        <f t="shared" si="88"/>
        <v>120040207.83</v>
      </c>
      <c r="AY50" s="16">
        <f t="shared" si="89"/>
        <v>84022628.613000005</v>
      </c>
      <c r="AZ50" s="16">
        <f t="shared" si="90"/>
        <v>92424891.474300012</v>
      </c>
      <c r="BA50" s="16">
        <f t="shared" si="90"/>
        <v>101667380.62173001</v>
      </c>
      <c r="BB50" s="16">
        <f t="shared" si="90"/>
        <v>111834118.68390302</v>
      </c>
    </row>
    <row r="51" spans="1:54" s="66" customFormat="1" ht="16.899999999999999" customHeight="1" x14ac:dyDescent="0.2">
      <c r="A51" s="10">
        <v>18</v>
      </c>
      <c r="B51" s="64" t="s">
        <v>95</v>
      </c>
      <c r="C51" s="39" t="s">
        <v>96</v>
      </c>
      <c r="D51" s="65">
        <v>1000000</v>
      </c>
      <c r="E51" s="186">
        <v>1189655</v>
      </c>
      <c r="F51" s="14">
        <f t="shared" si="71"/>
        <v>-189655</v>
      </c>
      <c r="G51" s="65">
        <v>1000000</v>
      </c>
      <c r="H51" s="186">
        <v>110000</v>
      </c>
      <c r="I51" s="14">
        <f t="shared" si="72"/>
        <v>890000</v>
      </c>
      <c r="J51" s="65">
        <v>1000000</v>
      </c>
      <c r="K51" s="186">
        <v>105600</v>
      </c>
      <c r="L51" s="14">
        <f t="shared" si="73"/>
        <v>894400</v>
      </c>
      <c r="M51" s="174">
        <f t="shared" si="74"/>
        <v>3000000</v>
      </c>
      <c r="N51" s="174">
        <f t="shared" si="74"/>
        <v>1405255</v>
      </c>
      <c r="O51" s="65">
        <v>1000000</v>
      </c>
      <c r="P51" s="186">
        <v>217000</v>
      </c>
      <c r="Q51" s="14">
        <f t="shared" si="75"/>
        <v>783000</v>
      </c>
      <c r="R51" s="65">
        <v>1000000</v>
      </c>
      <c r="S51" s="186">
        <f>150000+544100</f>
        <v>694100</v>
      </c>
      <c r="T51" s="14">
        <f t="shared" si="76"/>
        <v>305900</v>
      </c>
      <c r="U51" s="65">
        <v>1000000</v>
      </c>
      <c r="V51" s="187">
        <v>380600</v>
      </c>
      <c r="W51" s="14">
        <f t="shared" si="77"/>
        <v>619400</v>
      </c>
      <c r="X51" s="174">
        <f t="shared" si="78"/>
        <v>3000000</v>
      </c>
      <c r="Y51" s="174">
        <f t="shared" si="78"/>
        <v>1291700</v>
      </c>
      <c r="Z51" s="65">
        <v>1000000</v>
      </c>
      <c r="AA51" s="186">
        <v>23040915</v>
      </c>
      <c r="AB51" s="14">
        <f t="shared" si="79"/>
        <v>-22040915</v>
      </c>
      <c r="AC51" s="65">
        <v>1000000</v>
      </c>
      <c r="AD51" s="186">
        <v>2212800</v>
      </c>
      <c r="AE51" s="14">
        <f t="shared" si="80"/>
        <v>-1212800</v>
      </c>
      <c r="AF51" s="65">
        <v>1000000</v>
      </c>
      <c r="AG51" s="186">
        <v>6686000</v>
      </c>
      <c r="AH51" s="14">
        <f t="shared" si="81"/>
        <v>-5686000</v>
      </c>
      <c r="AI51" s="174">
        <f t="shared" si="48"/>
        <v>3000000</v>
      </c>
      <c r="AJ51" s="174">
        <f t="shared" si="82"/>
        <v>31939715</v>
      </c>
      <c r="AK51" s="65">
        <v>1000000</v>
      </c>
      <c r="AL51" s="186"/>
      <c r="AM51" s="14">
        <f t="shared" si="83"/>
        <v>1000000</v>
      </c>
      <c r="AN51" s="65">
        <v>1000000</v>
      </c>
      <c r="AO51" s="186"/>
      <c r="AP51" s="14">
        <f t="shared" si="84"/>
        <v>1000000</v>
      </c>
      <c r="AQ51" s="65">
        <v>1000000</v>
      </c>
      <c r="AR51" s="186"/>
      <c r="AS51" s="14">
        <f t="shared" si="85"/>
        <v>1000000</v>
      </c>
      <c r="AT51" s="174"/>
      <c r="AU51" s="174">
        <f t="shared" si="86"/>
        <v>0</v>
      </c>
      <c r="AV51" s="38">
        <f t="shared" si="87"/>
        <v>12000000</v>
      </c>
      <c r="AW51" s="14">
        <f t="shared" si="87"/>
        <v>34636670</v>
      </c>
      <c r="AX51" s="178">
        <f t="shared" si="88"/>
        <v>40636670</v>
      </c>
      <c r="AY51" s="16">
        <f t="shared" si="89"/>
        <v>38100337</v>
      </c>
      <c r="AZ51" s="16">
        <f t="shared" si="90"/>
        <v>41910370.700000003</v>
      </c>
      <c r="BA51" s="16">
        <f t="shared" si="90"/>
        <v>46101407.770000003</v>
      </c>
      <c r="BB51" s="16">
        <f t="shared" si="90"/>
        <v>50711548.547000006</v>
      </c>
    </row>
    <row r="52" spans="1:54" ht="16.899999999999999" customHeight="1" x14ac:dyDescent="0.2">
      <c r="A52" s="10">
        <v>19</v>
      </c>
      <c r="B52" s="11" t="s">
        <v>97</v>
      </c>
      <c r="C52" s="29" t="s">
        <v>98</v>
      </c>
      <c r="D52" s="14"/>
      <c r="E52" s="13">
        <v>1900000</v>
      </c>
      <c r="F52" s="14">
        <f t="shared" si="71"/>
        <v>-1900000</v>
      </c>
      <c r="G52" s="1">
        <v>2500000</v>
      </c>
      <c r="H52" s="13"/>
      <c r="I52" s="14">
        <f t="shared" si="72"/>
        <v>2500000</v>
      </c>
      <c r="J52" s="14"/>
      <c r="K52" s="13"/>
      <c r="L52" s="14">
        <f t="shared" si="73"/>
        <v>0</v>
      </c>
      <c r="M52" s="174">
        <f t="shared" si="74"/>
        <v>2500000</v>
      </c>
      <c r="N52" s="174">
        <f t="shared" si="74"/>
        <v>1900000</v>
      </c>
      <c r="O52" s="14"/>
      <c r="P52" s="13"/>
      <c r="Q52" s="14">
        <f t="shared" si="75"/>
        <v>0</v>
      </c>
      <c r="R52" s="1">
        <v>2500000</v>
      </c>
      <c r="S52" s="13">
        <v>1985000</v>
      </c>
      <c r="T52" s="14">
        <f t="shared" si="76"/>
        <v>515000</v>
      </c>
      <c r="U52" s="14"/>
      <c r="V52" s="175">
        <v>655000</v>
      </c>
      <c r="W52" s="14">
        <f t="shared" si="77"/>
        <v>-655000</v>
      </c>
      <c r="X52" s="174">
        <f t="shared" si="78"/>
        <v>2500000</v>
      </c>
      <c r="Y52" s="174">
        <f t="shared" si="78"/>
        <v>2640000</v>
      </c>
      <c r="Z52" s="14"/>
      <c r="AA52" s="13">
        <v>22116500</v>
      </c>
      <c r="AB52" s="14">
        <f t="shared" si="79"/>
        <v>-22116500</v>
      </c>
      <c r="AC52" s="1">
        <v>2500000</v>
      </c>
      <c r="AD52" s="13"/>
      <c r="AE52" s="14">
        <f t="shared" si="80"/>
        <v>2500000</v>
      </c>
      <c r="AF52" s="14"/>
      <c r="AG52" s="13">
        <v>2000000</v>
      </c>
      <c r="AH52" s="14">
        <f t="shared" si="81"/>
        <v>-2000000</v>
      </c>
      <c r="AI52" s="174">
        <f t="shared" si="48"/>
        <v>2500000</v>
      </c>
      <c r="AJ52" s="174">
        <f t="shared" si="82"/>
        <v>24116500</v>
      </c>
      <c r="AK52" s="14"/>
      <c r="AL52" s="13"/>
      <c r="AM52" s="14">
        <f t="shared" si="83"/>
        <v>0</v>
      </c>
      <c r="AN52" s="1">
        <v>2500000</v>
      </c>
      <c r="AO52" s="13"/>
      <c r="AP52" s="14">
        <f t="shared" si="84"/>
        <v>2500000</v>
      </c>
      <c r="AQ52" s="14"/>
      <c r="AR52" s="13"/>
      <c r="AS52" s="14">
        <f t="shared" si="85"/>
        <v>0</v>
      </c>
      <c r="AT52" s="174"/>
      <c r="AU52" s="174">
        <f t="shared" si="86"/>
        <v>0</v>
      </c>
      <c r="AV52" s="38">
        <f t="shared" si="87"/>
        <v>10000000</v>
      </c>
      <c r="AW52" s="14">
        <f t="shared" si="87"/>
        <v>28656500</v>
      </c>
      <c r="AX52" s="178">
        <f t="shared" si="88"/>
        <v>33656500</v>
      </c>
      <c r="AY52" s="16">
        <f t="shared" si="89"/>
        <v>31522150.000000004</v>
      </c>
      <c r="AZ52" s="16">
        <f t="shared" si="90"/>
        <v>34674365.000000007</v>
      </c>
      <c r="BA52" s="16">
        <f t="shared" si="90"/>
        <v>38141801.500000015</v>
      </c>
      <c r="BB52" s="16">
        <f t="shared" si="90"/>
        <v>41955981.650000021</v>
      </c>
    </row>
    <row r="53" spans="1:54" ht="16.5" customHeight="1" x14ac:dyDescent="0.2">
      <c r="A53" s="10">
        <v>20</v>
      </c>
      <c r="B53" s="11" t="s">
        <v>99</v>
      </c>
      <c r="C53" s="29" t="s">
        <v>100</v>
      </c>
      <c r="D53" s="14">
        <v>8913594</v>
      </c>
      <c r="E53" s="13">
        <v>5401396</v>
      </c>
      <c r="F53" s="14">
        <f t="shared" si="71"/>
        <v>3512198</v>
      </c>
      <c r="G53" s="14">
        <v>8913594</v>
      </c>
      <c r="H53" s="13">
        <v>8956702</v>
      </c>
      <c r="I53" s="14">
        <f t="shared" si="72"/>
        <v>-43108</v>
      </c>
      <c r="J53" s="14">
        <v>8913594</v>
      </c>
      <c r="K53" s="13">
        <v>10360619</v>
      </c>
      <c r="L53" s="14">
        <f t="shared" si="73"/>
        <v>-1447025</v>
      </c>
      <c r="M53" s="174">
        <f t="shared" si="74"/>
        <v>26740782</v>
      </c>
      <c r="N53" s="174">
        <f t="shared" si="74"/>
        <v>24718717</v>
      </c>
      <c r="O53" s="14">
        <v>8913594</v>
      </c>
      <c r="P53" s="13">
        <v>10509416</v>
      </c>
      <c r="Q53" s="14">
        <f t="shared" si="75"/>
        <v>-1595822</v>
      </c>
      <c r="R53" s="14">
        <v>8913594</v>
      </c>
      <c r="S53" s="13">
        <v>4451830</v>
      </c>
      <c r="T53" s="14">
        <f t="shared" si="76"/>
        <v>4461764</v>
      </c>
      <c r="U53" s="14">
        <v>8913594</v>
      </c>
      <c r="V53" s="175">
        <f>11647487</f>
        <v>11647487</v>
      </c>
      <c r="W53" s="14">
        <f t="shared" si="77"/>
        <v>-2733893</v>
      </c>
      <c r="X53" s="174">
        <f t="shared" si="78"/>
        <v>26740782</v>
      </c>
      <c r="Y53" s="174">
        <f t="shared" si="78"/>
        <v>26608733</v>
      </c>
      <c r="Z53" s="14">
        <v>8913594</v>
      </c>
      <c r="AA53" s="13">
        <v>7035736</v>
      </c>
      <c r="AB53" s="14">
        <f t="shared" si="79"/>
        <v>1877858</v>
      </c>
      <c r="AC53" s="14">
        <v>8913594</v>
      </c>
      <c r="AD53" s="13">
        <v>17560378</v>
      </c>
      <c r="AE53" s="14">
        <f t="shared" si="80"/>
        <v>-8646784</v>
      </c>
      <c r="AF53" s="14">
        <v>8913594</v>
      </c>
      <c r="AG53" s="13">
        <v>9920975</v>
      </c>
      <c r="AH53" s="14">
        <f t="shared" si="81"/>
        <v>-1007381</v>
      </c>
      <c r="AI53" s="174">
        <f t="shared" si="48"/>
        <v>26740782</v>
      </c>
      <c r="AJ53" s="174">
        <f t="shared" si="82"/>
        <v>34517089</v>
      </c>
      <c r="AK53" s="14">
        <v>8913594</v>
      </c>
      <c r="AL53" s="13"/>
      <c r="AM53" s="14">
        <f t="shared" si="83"/>
        <v>8913594</v>
      </c>
      <c r="AN53" s="14">
        <v>8913594</v>
      </c>
      <c r="AO53" s="13"/>
      <c r="AP53" s="14">
        <f t="shared" si="84"/>
        <v>8913594</v>
      </c>
      <c r="AQ53" s="14">
        <v>8913594</v>
      </c>
      <c r="AR53" s="13"/>
      <c r="AS53" s="14">
        <f t="shared" si="85"/>
        <v>8913594</v>
      </c>
      <c r="AT53" s="174"/>
      <c r="AU53" s="174">
        <f t="shared" si="86"/>
        <v>0</v>
      </c>
      <c r="AV53" s="38">
        <f t="shared" si="87"/>
        <v>106963128</v>
      </c>
      <c r="AW53" s="14">
        <f t="shared" si="87"/>
        <v>85844539</v>
      </c>
      <c r="AX53" s="178">
        <f t="shared" si="88"/>
        <v>139326103</v>
      </c>
      <c r="AY53" s="16">
        <f t="shared" si="89"/>
        <v>94428992.900000006</v>
      </c>
      <c r="AZ53" s="16">
        <f t="shared" si="90"/>
        <v>103871892.19000001</v>
      </c>
      <c r="BA53" s="16">
        <f t="shared" si="90"/>
        <v>114259081.40900002</v>
      </c>
      <c r="BB53" s="16">
        <f t="shared" si="90"/>
        <v>125684989.54990004</v>
      </c>
    </row>
    <row r="54" spans="1:54" ht="16.899999999999999" customHeight="1" x14ac:dyDescent="0.2">
      <c r="A54" s="10">
        <v>21</v>
      </c>
      <c r="B54" s="11" t="s">
        <v>64</v>
      </c>
      <c r="C54" s="29" t="s">
        <v>101</v>
      </c>
      <c r="D54" s="14">
        <v>40000000</v>
      </c>
      <c r="E54" s="13">
        <f>82052+244705+191659</f>
        <v>518416</v>
      </c>
      <c r="F54" s="14">
        <f t="shared" si="71"/>
        <v>39481584</v>
      </c>
      <c r="G54" s="14"/>
      <c r="H54" s="13">
        <f>76759+228918+179294</f>
        <v>484971</v>
      </c>
      <c r="I54" s="14">
        <f t="shared" si="72"/>
        <v>-484971</v>
      </c>
      <c r="J54" s="14"/>
      <c r="K54" s="13">
        <f>79406+236811+185475</f>
        <v>501692</v>
      </c>
      <c r="L54" s="14">
        <f t="shared" si="73"/>
        <v>-501692</v>
      </c>
      <c r="M54" s="174">
        <f t="shared" si="74"/>
        <v>40000000</v>
      </c>
      <c r="N54" s="174">
        <f t="shared" si="74"/>
        <v>1505079</v>
      </c>
      <c r="O54" s="14"/>
      <c r="P54" s="13">
        <f>1352667+4968504</f>
        <v>6321171</v>
      </c>
      <c r="Q54" s="14">
        <f t="shared" si="75"/>
        <v>-6321171</v>
      </c>
      <c r="R54" s="14"/>
      <c r="S54" s="13">
        <v>1397755</v>
      </c>
      <c r="T54" s="14">
        <f t="shared" si="76"/>
        <v>-1397755</v>
      </c>
      <c r="U54" s="14"/>
      <c r="V54" s="175">
        <f>1352666+4968504</f>
        <v>6321170</v>
      </c>
      <c r="W54" s="14">
        <f t="shared" si="77"/>
        <v>-6321170</v>
      </c>
      <c r="X54" s="174">
        <f t="shared" si="78"/>
        <v>0</v>
      </c>
      <c r="Y54" s="174">
        <f t="shared" si="78"/>
        <v>14040096</v>
      </c>
      <c r="AA54" s="13"/>
      <c r="AB54" s="14">
        <f t="shared" si="79"/>
        <v>0</v>
      </c>
      <c r="AC54" s="14"/>
      <c r="AD54" s="13"/>
      <c r="AE54" s="14">
        <f t="shared" si="80"/>
        <v>0</v>
      </c>
      <c r="AF54" s="14"/>
      <c r="AG54" s="13"/>
      <c r="AH54" s="14">
        <f t="shared" si="81"/>
        <v>0</v>
      </c>
      <c r="AI54" s="174">
        <f t="shared" si="48"/>
        <v>0</v>
      </c>
      <c r="AJ54" s="174">
        <f t="shared" si="82"/>
        <v>0</v>
      </c>
      <c r="AK54" s="14"/>
      <c r="AL54" s="13"/>
      <c r="AM54" s="14">
        <f t="shared" si="83"/>
        <v>0</v>
      </c>
      <c r="AN54" s="14"/>
      <c r="AO54" s="13"/>
      <c r="AP54" s="14">
        <f t="shared" si="84"/>
        <v>0</v>
      </c>
      <c r="AQ54" s="14"/>
      <c r="AR54" s="13"/>
      <c r="AS54" s="14">
        <f t="shared" si="85"/>
        <v>0</v>
      </c>
      <c r="AT54" s="174"/>
      <c r="AU54" s="174">
        <f t="shared" si="86"/>
        <v>0</v>
      </c>
      <c r="AV54" s="38">
        <f t="shared" si="87"/>
        <v>40000000</v>
      </c>
      <c r="AW54" s="14">
        <f t="shared" si="87"/>
        <v>15545175</v>
      </c>
      <c r="AX54" s="178">
        <f t="shared" si="88"/>
        <v>15545175</v>
      </c>
      <c r="AY54" s="16">
        <f t="shared" si="89"/>
        <v>17099692.5</v>
      </c>
      <c r="AZ54" s="16">
        <f t="shared" si="90"/>
        <v>18809661.75</v>
      </c>
      <c r="BA54" s="16">
        <f t="shared" si="90"/>
        <v>20690627.925000001</v>
      </c>
      <c r="BB54" s="16">
        <f t="shared" si="90"/>
        <v>22759690.717500001</v>
      </c>
    </row>
    <row r="55" spans="1:54" ht="16.899999999999999" customHeight="1" x14ac:dyDescent="0.2">
      <c r="A55" s="10">
        <v>22</v>
      </c>
      <c r="B55" s="11" t="s">
        <v>64</v>
      </c>
      <c r="C55" s="29" t="s">
        <v>102</v>
      </c>
      <c r="D55" s="14">
        <v>20000000</v>
      </c>
      <c r="E55" s="13">
        <f>400000+8243000+8505000</f>
        <v>17148000</v>
      </c>
      <c r="F55" s="14">
        <f t="shared" si="71"/>
        <v>2852000</v>
      </c>
      <c r="G55" s="14"/>
      <c r="H55" s="13"/>
      <c r="I55" s="14">
        <f t="shared" si="72"/>
        <v>0</v>
      </c>
      <c r="J55" s="14">
        <v>7500000</v>
      </c>
      <c r="K55" s="13"/>
      <c r="L55" s="14">
        <f t="shared" si="73"/>
        <v>7500000</v>
      </c>
      <c r="M55" s="174">
        <f t="shared" si="74"/>
        <v>27500000</v>
      </c>
      <c r="N55" s="174">
        <f t="shared" si="74"/>
        <v>17148000</v>
      </c>
      <c r="O55" s="14"/>
      <c r="P55" s="13">
        <f>259700+350000</f>
        <v>609700</v>
      </c>
      <c r="Q55" s="14">
        <f t="shared" si="75"/>
        <v>-609700</v>
      </c>
      <c r="R55" s="14"/>
      <c r="S55" s="13">
        <f>156500+3298000</f>
        <v>3454500</v>
      </c>
      <c r="T55" s="14">
        <f t="shared" si="76"/>
        <v>-3454500</v>
      </c>
      <c r="U55" s="14">
        <v>2000000</v>
      </c>
      <c r="V55" s="13"/>
      <c r="W55" s="14">
        <f t="shared" si="77"/>
        <v>2000000</v>
      </c>
      <c r="X55" s="174">
        <f t="shared" si="78"/>
        <v>2000000</v>
      </c>
      <c r="Y55" s="174">
        <f t="shared" si="78"/>
        <v>4064200</v>
      </c>
      <c r="Z55" s="14"/>
      <c r="AA55" s="13"/>
      <c r="AB55" s="14">
        <f t="shared" si="79"/>
        <v>0</v>
      </c>
      <c r="AC55" s="14">
        <v>500000</v>
      </c>
      <c r="AD55" s="13"/>
      <c r="AE55" s="14">
        <f t="shared" si="80"/>
        <v>500000</v>
      </c>
      <c r="AF55" s="14"/>
      <c r="AG55" s="13"/>
      <c r="AH55" s="14">
        <f t="shared" si="81"/>
        <v>0</v>
      </c>
      <c r="AI55" s="174">
        <f t="shared" si="48"/>
        <v>500000</v>
      </c>
      <c r="AJ55" s="174">
        <f t="shared" si="82"/>
        <v>0</v>
      </c>
      <c r="AK55" s="14"/>
      <c r="AL55" s="13"/>
      <c r="AM55" s="14">
        <f t="shared" si="83"/>
        <v>0</v>
      </c>
      <c r="AN55" s="14"/>
      <c r="AO55" s="13"/>
      <c r="AP55" s="14">
        <f t="shared" si="84"/>
        <v>0</v>
      </c>
      <c r="AQ55" s="14"/>
      <c r="AR55" s="13"/>
      <c r="AS55" s="14">
        <f t="shared" si="85"/>
        <v>0</v>
      </c>
      <c r="AT55" s="174"/>
      <c r="AU55" s="174">
        <f t="shared" si="86"/>
        <v>0</v>
      </c>
      <c r="AV55" s="38">
        <f t="shared" si="87"/>
        <v>30000000</v>
      </c>
      <c r="AW55" s="14">
        <f t="shared" si="87"/>
        <v>21212200</v>
      </c>
      <c r="AX55" s="178">
        <f t="shared" si="88"/>
        <v>21712200</v>
      </c>
      <c r="AY55" s="16">
        <f t="shared" si="89"/>
        <v>23333420.000000004</v>
      </c>
      <c r="AZ55" s="16">
        <f t="shared" si="90"/>
        <v>25666762.000000007</v>
      </c>
      <c r="BA55" s="16">
        <f t="shared" si="90"/>
        <v>28233438.20000001</v>
      </c>
      <c r="BB55" s="16">
        <f t="shared" si="90"/>
        <v>31056782.020000014</v>
      </c>
    </row>
    <row r="56" spans="1:54" s="21" customFormat="1" ht="16.899999999999999" customHeight="1" x14ac:dyDescent="0.2">
      <c r="A56" s="17"/>
      <c r="B56" s="11"/>
      <c r="C56" s="19" t="s">
        <v>103</v>
      </c>
      <c r="D56" s="19">
        <f t="shared" ref="D56:BB56" si="91">SUM(D45:D55)</f>
        <v>182161697</v>
      </c>
      <c r="E56" s="19">
        <f t="shared" si="91"/>
        <v>63790800</v>
      </c>
      <c r="F56" s="19">
        <f t="shared" si="91"/>
        <v>118370897</v>
      </c>
      <c r="G56" s="19">
        <f t="shared" si="91"/>
        <v>146489697</v>
      </c>
      <c r="H56" s="19">
        <f t="shared" si="91"/>
        <v>45394978</v>
      </c>
      <c r="I56" s="19">
        <f t="shared" si="91"/>
        <v>101094719</v>
      </c>
      <c r="J56" s="19">
        <f t="shared" si="91"/>
        <v>129661697</v>
      </c>
      <c r="K56" s="19">
        <f t="shared" si="91"/>
        <v>33671698</v>
      </c>
      <c r="L56" s="19">
        <f t="shared" si="91"/>
        <v>95989999</v>
      </c>
      <c r="M56" s="19">
        <f t="shared" si="91"/>
        <v>458313091</v>
      </c>
      <c r="N56" s="19">
        <f t="shared" si="91"/>
        <v>142857476</v>
      </c>
      <c r="O56" s="19">
        <f t="shared" si="91"/>
        <v>122161697</v>
      </c>
      <c r="P56" s="19">
        <f t="shared" si="91"/>
        <v>109005401</v>
      </c>
      <c r="Q56" s="19">
        <f t="shared" si="91"/>
        <v>13156296</v>
      </c>
      <c r="R56" s="19">
        <f t="shared" si="91"/>
        <v>176489697</v>
      </c>
      <c r="S56" s="19">
        <f t="shared" si="91"/>
        <v>102952350</v>
      </c>
      <c r="T56" s="19">
        <f t="shared" si="91"/>
        <v>73537347</v>
      </c>
      <c r="U56" s="19">
        <f t="shared" si="91"/>
        <v>124161697</v>
      </c>
      <c r="V56" s="19">
        <f t="shared" si="91"/>
        <v>99281813</v>
      </c>
      <c r="W56" s="19">
        <f t="shared" si="91"/>
        <v>24879884</v>
      </c>
      <c r="X56" s="19">
        <f t="shared" si="91"/>
        <v>422813091</v>
      </c>
      <c r="Y56" s="19">
        <f t="shared" si="91"/>
        <v>311239564</v>
      </c>
      <c r="Z56" s="19">
        <f t="shared" si="91"/>
        <v>122161697</v>
      </c>
      <c r="AA56" s="19">
        <f t="shared" si="91"/>
        <v>150464092</v>
      </c>
      <c r="AB56" s="19">
        <f t="shared" si="91"/>
        <v>-28302395</v>
      </c>
      <c r="AC56" s="19">
        <f t="shared" si="91"/>
        <v>146989697</v>
      </c>
      <c r="AD56" s="19">
        <f t="shared" si="91"/>
        <v>102423359.86</v>
      </c>
      <c r="AE56" s="19">
        <f t="shared" si="91"/>
        <v>44566337.140000001</v>
      </c>
      <c r="AF56" s="19">
        <f t="shared" si="91"/>
        <v>122161697</v>
      </c>
      <c r="AG56" s="19">
        <f t="shared" si="91"/>
        <v>225366448.87</v>
      </c>
      <c r="AH56" s="19">
        <f t="shared" si="91"/>
        <v>-103204751.87</v>
      </c>
      <c r="AI56" s="19">
        <f t="shared" si="91"/>
        <v>391313091</v>
      </c>
      <c r="AJ56" s="19">
        <f t="shared" si="91"/>
        <v>478253900.72999996</v>
      </c>
      <c r="AK56" s="19">
        <f t="shared" si="91"/>
        <v>152161697</v>
      </c>
      <c r="AL56" s="19">
        <f t="shared" si="91"/>
        <v>0</v>
      </c>
      <c r="AM56" s="19">
        <f t="shared" si="91"/>
        <v>152161697</v>
      </c>
      <c r="AN56" s="19">
        <f t="shared" si="91"/>
        <v>146489697</v>
      </c>
      <c r="AO56" s="19">
        <f t="shared" si="91"/>
        <v>0</v>
      </c>
      <c r="AP56" s="19">
        <f t="shared" si="91"/>
        <v>146489697</v>
      </c>
      <c r="AQ56" s="19">
        <f t="shared" si="91"/>
        <v>122161697</v>
      </c>
      <c r="AR56" s="19">
        <f t="shared" si="91"/>
        <v>0</v>
      </c>
      <c r="AS56" s="19">
        <f t="shared" si="91"/>
        <v>122161697</v>
      </c>
      <c r="AT56" s="19">
        <f t="shared" si="91"/>
        <v>0</v>
      </c>
      <c r="AU56" s="19">
        <f t="shared" si="91"/>
        <v>0</v>
      </c>
      <c r="AV56" s="19">
        <f t="shared" si="91"/>
        <v>1693252364</v>
      </c>
      <c r="AW56" s="19">
        <f t="shared" si="91"/>
        <v>932350940.73000002</v>
      </c>
      <c r="AX56" s="19">
        <f t="shared" si="91"/>
        <v>1744477122.73</v>
      </c>
      <c r="AY56" s="19">
        <f t="shared" si="91"/>
        <v>1025586034.8030001</v>
      </c>
      <c r="AZ56" s="19">
        <f t="shared" si="91"/>
        <v>1128144638.2833002</v>
      </c>
      <c r="BA56" s="19">
        <f t="shared" si="91"/>
        <v>1240959102.1116302</v>
      </c>
      <c r="BB56" s="19">
        <f t="shared" si="91"/>
        <v>1365055012.3227935</v>
      </c>
    </row>
    <row r="57" spans="1:54" s="2" customFormat="1" ht="16.899999999999999" customHeight="1" x14ac:dyDescent="0.2">
      <c r="A57" s="58"/>
      <c r="B57" s="27"/>
      <c r="C57" s="47" t="s">
        <v>104</v>
      </c>
      <c r="D57" s="59">
        <f t="shared" ref="D57:BB57" si="92">D56+D44</f>
        <v>317970047</v>
      </c>
      <c r="E57" s="59">
        <f t="shared" si="92"/>
        <v>87953858</v>
      </c>
      <c r="F57" s="59">
        <f t="shared" si="92"/>
        <v>230016189</v>
      </c>
      <c r="G57" s="59">
        <f t="shared" si="92"/>
        <v>172898047</v>
      </c>
      <c r="H57" s="59">
        <f t="shared" si="92"/>
        <v>67476312</v>
      </c>
      <c r="I57" s="59">
        <f t="shared" si="92"/>
        <v>105421735</v>
      </c>
      <c r="J57" s="59">
        <f t="shared" si="92"/>
        <v>191770047</v>
      </c>
      <c r="K57" s="59">
        <f t="shared" si="92"/>
        <v>50893339</v>
      </c>
      <c r="L57" s="59">
        <f t="shared" si="92"/>
        <v>140876708</v>
      </c>
      <c r="M57" s="59">
        <f t="shared" si="92"/>
        <v>682638141</v>
      </c>
      <c r="N57" s="59">
        <f t="shared" si="92"/>
        <v>206323509</v>
      </c>
      <c r="O57" s="59">
        <f t="shared" si="92"/>
        <v>164570047</v>
      </c>
      <c r="P57" s="59">
        <f t="shared" si="92"/>
        <v>135721280</v>
      </c>
      <c r="Q57" s="59">
        <f t="shared" si="92"/>
        <v>28848767</v>
      </c>
      <c r="R57" s="59">
        <f t="shared" si="92"/>
        <v>202898047</v>
      </c>
      <c r="S57" s="59">
        <f t="shared" si="92"/>
        <v>138987905</v>
      </c>
      <c r="T57" s="59">
        <f t="shared" si="92"/>
        <v>63910142</v>
      </c>
      <c r="U57" s="59">
        <f t="shared" si="92"/>
        <v>150570047</v>
      </c>
      <c r="V57" s="59">
        <f t="shared" si="92"/>
        <v>117566321</v>
      </c>
      <c r="W57" s="59">
        <f t="shared" si="92"/>
        <v>33003726</v>
      </c>
      <c r="X57" s="59">
        <f t="shared" si="92"/>
        <v>518038141</v>
      </c>
      <c r="Y57" s="59">
        <f t="shared" si="92"/>
        <v>392275506</v>
      </c>
      <c r="Z57" s="59">
        <f t="shared" si="92"/>
        <v>148570047</v>
      </c>
      <c r="AA57" s="59">
        <f t="shared" si="92"/>
        <v>188496475.72</v>
      </c>
      <c r="AB57" s="59">
        <f t="shared" si="92"/>
        <v>-39926428.719999999</v>
      </c>
      <c r="AC57" s="59">
        <f t="shared" si="92"/>
        <v>173398047</v>
      </c>
      <c r="AD57" s="59">
        <f t="shared" si="92"/>
        <v>134940560.30000001</v>
      </c>
      <c r="AE57" s="59">
        <f t="shared" si="92"/>
        <v>38457486.700000003</v>
      </c>
      <c r="AF57" s="59">
        <f t="shared" si="92"/>
        <v>148570047</v>
      </c>
      <c r="AG57" s="59">
        <f t="shared" si="92"/>
        <v>253357435.58000001</v>
      </c>
      <c r="AH57" s="59">
        <f t="shared" si="92"/>
        <v>-104787388.58</v>
      </c>
      <c r="AI57" s="59">
        <f t="shared" si="92"/>
        <v>470538141</v>
      </c>
      <c r="AJ57" s="59">
        <f t="shared" si="92"/>
        <v>576794471.5999999</v>
      </c>
      <c r="AK57" s="59">
        <f t="shared" si="92"/>
        <v>178570047</v>
      </c>
      <c r="AL57" s="59">
        <f t="shared" si="92"/>
        <v>0</v>
      </c>
      <c r="AM57" s="59">
        <f t="shared" si="92"/>
        <v>178570047</v>
      </c>
      <c r="AN57" s="59">
        <f t="shared" si="92"/>
        <v>172898047</v>
      </c>
      <c r="AO57" s="59">
        <f t="shared" si="92"/>
        <v>0</v>
      </c>
      <c r="AP57" s="59">
        <f t="shared" si="92"/>
        <v>172898047</v>
      </c>
      <c r="AQ57" s="59">
        <f t="shared" si="92"/>
        <v>148570047</v>
      </c>
      <c r="AR57" s="59">
        <f t="shared" si="92"/>
        <v>0</v>
      </c>
      <c r="AS57" s="59">
        <f t="shared" si="92"/>
        <v>148570047</v>
      </c>
      <c r="AT57" s="59">
        <f t="shared" si="92"/>
        <v>0</v>
      </c>
      <c r="AU57" s="59">
        <f t="shared" si="92"/>
        <v>0</v>
      </c>
      <c r="AV57" s="59">
        <f t="shared" si="92"/>
        <v>2171252564</v>
      </c>
      <c r="AW57" s="59">
        <f t="shared" si="92"/>
        <v>1175393486.5999999</v>
      </c>
      <c r="AX57" s="59">
        <f t="shared" si="92"/>
        <v>2145969768.5999999</v>
      </c>
      <c r="AY57" s="59">
        <f t="shared" si="92"/>
        <v>1292932835.26</v>
      </c>
      <c r="AZ57" s="59">
        <f t="shared" si="92"/>
        <v>1422226118.7860003</v>
      </c>
      <c r="BA57" s="59">
        <f t="shared" si="92"/>
        <v>1564448730.6646004</v>
      </c>
      <c r="BB57" s="59">
        <f t="shared" si="92"/>
        <v>1720893603.7310605</v>
      </c>
    </row>
    <row r="58" spans="1:54" ht="16.899999999999999" customHeight="1" x14ac:dyDescent="0.25">
      <c r="A58" s="10">
        <v>1</v>
      </c>
      <c r="B58" s="11" t="s">
        <v>105</v>
      </c>
      <c r="C58" s="29" t="s">
        <v>106</v>
      </c>
      <c r="D58" s="14">
        <f>((12600000+30800000)/2)+1170000</f>
        <v>22870000</v>
      </c>
      <c r="E58" s="13"/>
      <c r="F58" s="14">
        <f>D58-E58</f>
        <v>22870000</v>
      </c>
      <c r="G58" s="14">
        <v>2700000</v>
      </c>
      <c r="H58" s="13"/>
      <c r="I58" s="14">
        <f>G58-H58</f>
        <v>2700000</v>
      </c>
      <c r="J58" s="14">
        <f>(7560000+45000000+2800000)/2+2889000</f>
        <v>30569000</v>
      </c>
      <c r="K58" s="13">
        <v>35560000</v>
      </c>
      <c r="L58" s="14">
        <f t="shared" ref="L58:L63" si="93">J58-K58</f>
        <v>-4991000</v>
      </c>
      <c r="M58" s="174">
        <f t="shared" ref="M58:N63" si="94">D58+G58+J58</f>
        <v>56139000</v>
      </c>
      <c r="N58" s="174">
        <f t="shared" si="94"/>
        <v>35560000</v>
      </c>
      <c r="O58" s="14">
        <f>25650000/2</f>
        <v>12825000</v>
      </c>
      <c r="P58" s="13">
        <v>840000</v>
      </c>
      <c r="Q58" s="14">
        <f>O58-P58</f>
        <v>11985000</v>
      </c>
      <c r="R58" s="14"/>
      <c r="S58" s="13">
        <v>300000</v>
      </c>
      <c r="T58" s="14">
        <f t="shared" ref="T58:T63" si="95">R58-S58</f>
        <v>-300000</v>
      </c>
      <c r="U58" s="14"/>
      <c r="V58" s="13"/>
      <c r="W58" s="14">
        <f>U58-V58</f>
        <v>0</v>
      </c>
      <c r="X58" s="174">
        <f t="shared" ref="X58:Y63" si="96">O58+R58+U58</f>
        <v>12825000</v>
      </c>
      <c r="Y58" s="174">
        <f t="shared" si="96"/>
        <v>1140000</v>
      </c>
      <c r="Z58" s="14">
        <f>(45000000+1440000+1440000)/2</f>
        <v>23940000</v>
      </c>
      <c r="AA58" s="177">
        <v>7200000</v>
      </c>
      <c r="AB58" s="14">
        <f>Z58-AA58</f>
        <v>16740000</v>
      </c>
      <c r="AC58" s="14">
        <v>4500000</v>
      </c>
      <c r="AD58" s="13"/>
      <c r="AE58" s="14">
        <f>AC58-AD58</f>
        <v>4500000</v>
      </c>
      <c r="AF58" s="14"/>
      <c r="AG58" s="13"/>
      <c r="AH58" s="14">
        <f>AF58-AG58</f>
        <v>0</v>
      </c>
      <c r="AI58" s="174">
        <f t="shared" ref="AI58:AI116" si="97">AF58+AC58+Z58</f>
        <v>28440000</v>
      </c>
      <c r="AJ58" s="174">
        <f t="shared" ref="AJ58:AJ63" si="98">AA58+AD58+AG58</f>
        <v>7200000</v>
      </c>
      <c r="AK58" s="14">
        <v>2889000</v>
      </c>
      <c r="AL58" s="13"/>
      <c r="AM58" s="14">
        <f>AK58-AL58</f>
        <v>2889000</v>
      </c>
      <c r="AN58" s="14"/>
      <c r="AO58" s="13"/>
      <c r="AP58" s="14">
        <f>AN58-AO58</f>
        <v>0</v>
      </c>
      <c r="AQ58" s="14"/>
      <c r="AR58" s="13"/>
      <c r="AS58" s="14">
        <f t="shared" ref="AS58:AS63" si="99">AQ58-AR58</f>
        <v>0</v>
      </c>
      <c r="AT58" s="174"/>
      <c r="AU58" s="174">
        <f t="shared" ref="AU58:AU63" si="100">AL58+AO58+AR58</f>
        <v>0</v>
      </c>
      <c r="AV58" s="38">
        <f t="shared" ref="AV58:AW63" si="101">AQ58+AN58+AK58+AF58+AC58+Z58+U58+R58+O58+J58+G58+D58</f>
        <v>100293000</v>
      </c>
      <c r="AW58" s="14">
        <f t="shared" si="101"/>
        <v>43900000</v>
      </c>
      <c r="AX58" s="178">
        <f t="shared" ref="AX58:AX63" si="102">(AV58-(M58+X58))+AW58</f>
        <v>75229000</v>
      </c>
      <c r="AY58" s="16">
        <f t="shared" ref="AY58:AY63" si="103">AW58*1.1</f>
        <v>48290000.000000007</v>
      </c>
      <c r="AZ58" s="16">
        <f t="shared" ref="AZ58:BB63" si="104">AY58*1.1</f>
        <v>53119000.000000015</v>
      </c>
      <c r="BA58" s="16">
        <f t="shared" si="104"/>
        <v>58430900.000000022</v>
      </c>
      <c r="BB58" s="16">
        <f t="shared" si="104"/>
        <v>64273990.00000003</v>
      </c>
    </row>
    <row r="59" spans="1:54" ht="16.899999999999999" customHeight="1" x14ac:dyDescent="0.2">
      <c r="A59" s="10">
        <v>2</v>
      </c>
      <c r="B59" s="11" t="s">
        <v>107</v>
      </c>
      <c r="C59" s="29" t="s">
        <v>108</v>
      </c>
      <c r="D59" s="14">
        <f>639000+1260000</f>
        <v>1899000</v>
      </c>
      <c r="E59" s="13"/>
      <c r="F59" s="14">
        <f>D59-E59</f>
        <v>1899000</v>
      </c>
      <c r="G59" s="14">
        <f>639000+1260000</f>
        <v>1899000</v>
      </c>
      <c r="H59" s="13">
        <v>350000</v>
      </c>
      <c r="I59" s="14">
        <f>G59-H59</f>
        <v>1549000</v>
      </c>
      <c r="J59" s="14">
        <f>639000+1260000</f>
        <v>1899000</v>
      </c>
      <c r="K59" s="13">
        <v>75000</v>
      </c>
      <c r="L59" s="14">
        <f t="shared" si="93"/>
        <v>1824000</v>
      </c>
      <c r="M59" s="174">
        <f t="shared" si="94"/>
        <v>5697000</v>
      </c>
      <c r="N59" s="174">
        <f t="shared" si="94"/>
        <v>425000</v>
      </c>
      <c r="O59" s="14">
        <f>639000+1260000</f>
        <v>1899000</v>
      </c>
      <c r="P59" s="13"/>
      <c r="Q59" s="14">
        <f>O59-P59</f>
        <v>1899000</v>
      </c>
      <c r="R59" s="14">
        <f>639000+1260000</f>
        <v>1899000</v>
      </c>
      <c r="S59" s="13">
        <v>885000</v>
      </c>
      <c r="T59" s="14">
        <f t="shared" si="95"/>
        <v>1014000</v>
      </c>
      <c r="U59" s="14">
        <f>639000+1260000</f>
        <v>1899000</v>
      </c>
      <c r="V59" s="13"/>
      <c r="W59" s="14">
        <f>U59-V59</f>
        <v>1899000</v>
      </c>
      <c r="X59" s="174">
        <f t="shared" si="96"/>
        <v>5697000</v>
      </c>
      <c r="Y59" s="174">
        <f t="shared" si="96"/>
        <v>885000</v>
      </c>
      <c r="Z59" s="14">
        <f>639000+1260000</f>
        <v>1899000</v>
      </c>
      <c r="AA59" s="13"/>
      <c r="AB59" s="14">
        <f>Z59-AA59</f>
        <v>1899000</v>
      </c>
      <c r="AC59" s="14">
        <f>639000+1260000</f>
        <v>1899000</v>
      </c>
      <c r="AD59" s="13"/>
      <c r="AE59" s="14">
        <f>AC59-AD59</f>
        <v>1899000</v>
      </c>
      <c r="AF59" s="14">
        <f>639000+1260000</f>
        <v>1899000</v>
      </c>
      <c r="AG59" s="13"/>
      <c r="AH59" s="14">
        <f>AF59-AG59</f>
        <v>1899000</v>
      </c>
      <c r="AI59" s="174">
        <f t="shared" si="97"/>
        <v>5697000</v>
      </c>
      <c r="AJ59" s="174">
        <f t="shared" si="98"/>
        <v>0</v>
      </c>
      <c r="AK59" s="14">
        <f>639000+1260000</f>
        <v>1899000</v>
      </c>
      <c r="AL59" s="13"/>
      <c r="AM59" s="14">
        <f>AK59-AL59</f>
        <v>1899000</v>
      </c>
      <c r="AN59" s="14">
        <f>639000+1260000</f>
        <v>1899000</v>
      </c>
      <c r="AO59" s="13"/>
      <c r="AP59" s="14">
        <f>AN59-AO59</f>
        <v>1899000</v>
      </c>
      <c r="AQ59" s="14">
        <f>639000+1260000</f>
        <v>1899000</v>
      </c>
      <c r="AR59" s="13"/>
      <c r="AS59" s="14">
        <f t="shared" si="99"/>
        <v>1899000</v>
      </c>
      <c r="AT59" s="174"/>
      <c r="AU59" s="174">
        <f t="shared" si="100"/>
        <v>0</v>
      </c>
      <c r="AV59" s="38">
        <f t="shared" si="101"/>
        <v>22788000</v>
      </c>
      <c r="AW59" s="14">
        <f t="shared" si="101"/>
        <v>1310000</v>
      </c>
      <c r="AX59" s="178">
        <f t="shared" si="102"/>
        <v>12704000</v>
      </c>
      <c r="AY59" s="16">
        <f t="shared" si="103"/>
        <v>1441000</v>
      </c>
      <c r="AZ59" s="16">
        <f t="shared" si="104"/>
        <v>1585100.0000000002</v>
      </c>
      <c r="BA59" s="16">
        <f t="shared" si="104"/>
        <v>1743610.0000000005</v>
      </c>
      <c r="BB59" s="16">
        <f t="shared" si="104"/>
        <v>1917971.0000000007</v>
      </c>
    </row>
    <row r="60" spans="1:54" ht="16.899999999999999" customHeight="1" x14ac:dyDescent="0.2">
      <c r="A60" s="10">
        <v>3</v>
      </c>
      <c r="B60" s="11" t="s">
        <v>109</v>
      </c>
      <c r="C60" s="41" t="s">
        <v>110</v>
      </c>
      <c r="D60" s="14">
        <f>7965000+7200000</f>
        <v>15165000</v>
      </c>
      <c r="E60" s="13"/>
      <c r="F60" s="14">
        <f>D60-E60</f>
        <v>15165000</v>
      </c>
      <c r="G60" s="14">
        <v>5440000</v>
      </c>
      <c r="H60" s="13"/>
      <c r="I60" s="14">
        <f>G60-H60</f>
        <v>5440000</v>
      </c>
      <c r="J60" s="14"/>
      <c r="K60" s="13"/>
      <c r="L60" s="14">
        <f t="shared" si="93"/>
        <v>0</v>
      </c>
      <c r="M60" s="174">
        <f t="shared" si="94"/>
        <v>20605000</v>
      </c>
      <c r="N60" s="174">
        <f t="shared" si="94"/>
        <v>0</v>
      </c>
      <c r="O60" s="14">
        <f>7965000+7200000</f>
        <v>15165000</v>
      </c>
      <c r="P60" s="13"/>
      <c r="Q60" s="14">
        <f>O60-P60</f>
        <v>15165000</v>
      </c>
      <c r="R60" s="14">
        <f>7965000+7200000</f>
        <v>15165000</v>
      </c>
      <c r="S60" s="13"/>
      <c r="T60" s="14">
        <f t="shared" si="95"/>
        <v>15165000</v>
      </c>
      <c r="U60" s="14">
        <f>7965000+7200000</f>
        <v>15165000</v>
      </c>
      <c r="V60" s="13"/>
      <c r="W60" s="14">
        <f>U60-V60</f>
        <v>15165000</v>
      </c>
      <c r="X60" s="174">
        <f t="shared" si="96"/>
        <v>45495000</v>
      </c>
      <c r="Y60" s="174">
        <f t="shared" si="96"/>
        <v>0</v>
      </c>
      <c r="Z60" s="14">
        <v>22050000</v>
      </c>
      <c r="AA60" s="13"/>
      <c r="AB60" s="14">
        <f>Z60-AA60</f>
        <v>22050000</v>
      </c>
      <c r="AC60" s="14">
        <v>350000</v>
      </c>
      <c r="AD60" s="13"/>
      <c r="AE60" s="14">
        <f>AC60-AD60</f>
        <v>350000</v>
      </c>
      <c r="AF60" s="14">
        <f>7965000+7200000</f>
        <v>15165000</v>
      </c>
      <c r="AG60" s="13"/>
      <c r="AH60" s="14">
        <f>AF60-AG60</f>
        <v>15165000</v>
      </c>
      <c r="AI60" s="174">
        <f t="shared" si="97"/>
        <v>37565000</v>
      </c>
      <c r="AJ60" s="174">
        <f t="shared" si="98"/>
        <v>0</v>
      </c>
      <c r="AK60" s="14">
        <v>350000</v>
      </c>
      <c r="AL60" s="13"/>
      <c r="AM60" s="14">
        <f>AK60-AL60</f>
        <v>350000</v>
      </c>
      <c r="AN60" s="14">
        <f>7965000+7200000</f>
        <v>15165000</v>
      </c>
      <c r="AO60" s="13"/>
      <c r="AP60" s="14">
        <f>AN60-AO60</f>
        <v>15165000</v>
      </c>
      <c r="AQ60" s="14">
        <f>7965000+7200000</f>
        <v>15165000</v>
      </c>
      <c r="AR60" s="13"/>
      <c r="AS60" s="14">
        <f t="shared" si="99"/>
        <v>15165000</v>
      </c>
      <c r="AT60" s="174"/>
      <c r="AU60" s="174">
        <f t="shared" si="100"/>
        <v>0</v>
      </c>
      <c r="AV60" s="38">
        <f t="shared" si="101"/>
        <v>134345000</v>
      </c>
      <c r="AW60" s="14">
        <f t="shared" si="101"/>
        <v>0</v>
      </c>
      <c r="AX60" s="178">
        <f t="shared" si="102"/>
        <v>68245000</v>
      </c>
      <c r="AY60" s="16">
        <f t="shared" si="103"/>
        <v>0</v>
      </c>
      <c r="AZ60" s="16">
        <f t="shared" si="104"/>
        <v>0</v>
      </c>
      <c r="BA60" s="16">
        <f t="shared" si="104"/>
        <v>0</v>
      </c>
      <c r="BB60" s="16">
        <f t="shared" si="104"/>
        <v>0</v>
      </c>
    </row>
    <row r="61" spans="1:54" ht="16.899999999999999" customHeight="1" x14ac:dyDescent="0.2">
      <c r="A61" s="10">
        <v>4</v>
      </c>
      <c r="B61" s="11" t="s">
        <v>47</v>
      </c>
      <c r="C61" s="29" t="s">
        <v>111</v>
      </c>
      <c r="D61" s="14"/>
      <c r="E61" s="13"/>
      <c r="F61" s="14">
        <f>D61-E61</f>
        <v>0</v>
      </c>
      <c r="G61" s="14"/>
      <c r="H61" s="13"/>
      <c r="I61" s="14">
        <f>G61-H61</f>
        <v>0</v>
      </c>
      <c r="J61" s="14">
        <v>0</v>
      </c>
      <c r="K61" s="13"/>
      <c r="L61" s="14">
        <f t="shared" si="93"/>
        <v>0</v>
      </c>
      <c r="M61" s="174">
        <f t="shared" si="94"/>
        <v>0</v>
      </c>
      <c r="N61" s="174">
        <f t="shared" si="94"/>
        <v>0</v>
      </c>
      <c r="O61" s="14"/>
      <c r="P61" s="13"/>
      <c r="Q61" s="14">
        <f>O61-P61</f>
        <v>0</v>
      </c>
      <c r="R61" s="14"/>
      <c r="S61" s="13"/>
      <c r="T61" s="14">
        <f t="shared" si="95"/>
        <v>0</v>
      </c>
      <c r="U61" s="14">
        <v>6300000</v>
      </c>
      <c r="V61" s="13"/>
      <c r="W61" s="14">
        <f>U61-V61</f>
        <v>6300000</v>
      </c>
      <c r="X61" s="174">
        <f t="shared" si="96"/>
        <v>6300000</v>
      </c>
      <c r="Y61" s="174">
        <f t="shared" si="96"/>
        <v>0</v>
      </c>
      <c r="Z61" s="14"/>
      <c r="AA61" s="13"/>
      <c r="AB61" s="14">
        <f>Z61-AA61</f>
        <v>0</v>
      </c>
      <c r="AC61" s="14"/>
      <c r="AD61" s="13"/>
      <c r="AE61" s="14">
        <f>AC61-AD61</f>
        <v>0</v>
      </c>
      <c r="AF61" s="14"/>
      <c r="AG61" s="13"/>
      <c r="AH61" s="14">
        <f>AF61-AG61</f>
        <v>0</v>
      </c>
      <c r="AI61" s="174">
        <f t="shared" si="97"/>
        <v>0</v>
      </c>
      <c r="AJ61" s="174">
        <f t="shared" si="98"/>
        <v>0</v>
      </c>
      <c r="AK61" s="14"/>
      <c r="AL61" s="13"/>
      <c r="AM61" s="14">
        <f>AK61-AL61</f>
        <v>0</v>
      </c>
      <c r="AN61" s="14">
        <v>6300000</v>
      </c>
      <c r="AO61" s="13"/>
      <c r="AP61" s="14">
        <f>AN61-AO61</f>
        <v>6300000</v>
      </c>
      <c r="AQ61" s="14"/>
      <c r="AR61" s="13"/>
      <c r="AS61" s="14">
        <f t="shared" si="99"/>
        <v>0</v>
      </c>
      <c r="AT61" s="174"/>
      <c r="AU61" s="174">
        <f t="shared" si="100"/>
        <v>0</v>
      </c>
      <c r="AV61" s="38">
        <f t="shared" si="101"/>
        <v>12600000</v>
      </c>
      <c r="AW61" s="14">
        <f t="shared" si="101"/>
        <v>0</v>
      </c>
      <c r="AX61" s="178">
        <f t="shared" si="102"/>
        <v>6300000</v>
      </c>
      <c r="AY61" s="16">
        <f t="shared" si="103"/>
        <v>0</v>
      </c>
      <c r="AZ61" s="16">
        <f t="shared" si="104"/>
        <v>0</v>
      </c>
      <c r="BA61" s="16">
        <f t="shared" si="104"/>
        <v>0</v>
      </c>
      <c r="BB61" s="16">
        <f t="shared" si="104"/>
        <v>0</v>
      </c>
    </row>
    <row r="62" spans="1:54" ht="16.899999999999999" customHeight="1" x14ac:dyDescent="0.2">
      <c r="A62" s="10">
        <v>5</v>
      </c>
      <c r="B62" s="11" t="s">
        <v>53</v>
      </c>
      <c r="C62" s="41" t="s">
        <v>112</v>
      </c>
      <c r="D62" s="14"/>
      <c r="E62" s="13"/>
      <c r="F62" s="14">
        <f>D62-E62</f>
        <v>0</v>
      </c>
      <c r="G62" s="14">
        <v>4500000</v>
      </c>
      <c r="H62" s="13"/>
      <c r="I62" s="14">
        <f>G62-H62</f>
        <v>4500000</v>
      </c>
      <c r="J62" s="14"/>
      <c r="K62" s="13"/>
      <c r="L62" s="14">
        <f t="shared" si="93"/>
        <v>0</v>
      </c>
      <c r="M62" s="174">
        <f t="shared" si="94"/>
        <v>4500000</v>
      </c>
      <c r="N62" s="174">
        <f t="shared" si="94"/>
        <v>0</v>
      </c>
      <c r="O62" s="14">
        <v>4500000</v>
      </c>
      <c r="P62" s="13"/>
      <c r="Q62" s="14">
        <f>O62-P62</f>
        <v>4500000</v>
      </c>
      <c r="R62" s="14"/>
      <c r="S62" s="13"/>
      <c r="T62" s="14">
        <f t="shared" si="95"/>
        <v>0</v>
      </c>
      <c r="U62" s="14">
        <v>0</v>
      </c>
      <c r="V62" s="13"/>
      <c r="W62" s="14">
        <f>U62-V62</f>
        <v>0</v>
      </c>
      <c r="X62" s="174">
        <f t="shared" si="96"/>
        <v>4500000</v>
      </c>
      <c r="Y62" s="174">
        <f t="shared" si="96"/>
        <v>0</v>
      </c>
      <c r="Z62" s="14"/>
      <c r="AA62" s="13"/>
      <c r="AB62" s="14">
        <f>Z62-AA62</f>
        <v>0</v>
      </c>
      <c r="AC62" s="14">
        <v>4500000</v>
      </c>
      <c r="AD62" s="13"/>
      <c r="AE62" s="14">
        <f>AC62-AD62</f>
        <v>4500000</v>
      </c>
      <c r="AF62" s="14"/>
      <c r="AG62" s="13"/>
      <c r="AH62" s="14">
        <f>AF62-AG62</f>
        <v>0</v>
      </c>
      <c r="AI62" s="174">
        <f t="shared" si="97"/>
        <v>4500000</v>
      </c>
      <c r="AJ62" s="174">
        <f t="shared" si="98"/>
        <v>0</v>
      </c>
      <c r="AK62" s="14">
        <v>4500000</v>
      </c>
      <c r="AL62" s="13"/>
      <c r="AM62" s="14">
        <f>AK62-AL62</f>
        <v>4500000</v>
      </c>
      <c r="AN62" s="14"/>
      <c r="AO62" s="13"/>
      <c r="AP62" s="14">
        <f>AN62-AO62</f>
        <v>0</v>
      </c>
      <c r="AQ62" s="14">
        <v>4500000</v>
      </c>
      <c r="AR62" s="13"/>
      <c r="AS62" s="14">
        <f t="shared" si="99"/>
        <v>4500000</v>
      </c>
      <c r="AT62" s="174"/>
      <c r="AU62" s="174">
        <f t="shared" si="100"/>
        <v>0</v>
      </c>
      <c r="AV62" s="38">
        <f t="shared" si="101"/>
        <v>22500000</v>
      </c>
      <c r="AW62" s="14">
        <f t="shared" si="101"/>
        <v>0</v>
      </c>
      <c r="AX62" s="178">
        <f t="shared" si="102"/>
        <v>13500000</v>
      </c>
      <c r="AY62" s="16">
        <f t="shared" si="103"/>
        <v>0</v>
      </c>
      <c r="AZ62" s="16">
        <f t="shared" si="104"/>
        <v>0</v>
      </c>
      <c r="BA62" s="16">
        <f t="shared" si="104"/>
        <v>0</v>
      </c>
      <c r="BB62" s="16">
        <f t="shared" si="104"/>
        <v>0</v>
      </c>
    </row>
    <row r="63" spans="1:54" ht="16.899999999999999" customHeight="1" x14ac:dyDescent="0.2">
      <c r="A63" s="10">
        <v>6</v>
      </c>
      <c r="B63" s="11" t="s">
        <v>36</v>
      </c>
      <c r="C63" s="41" t="s">
        <v>113</v>
      </c>
      <c r="D63" s="14"/>
      <c r="E63" s="13"/>
      <c r="F63" s="14"/>
      <c r="G63" s="14"/>
      <c r="H63" s="13"/>
      <c r="I63" s="14"/>
      <c r="J63" s="14">
        <v>1008000</v>
      </c>
      <c r="K63" s="13"/>
      <c r="L63" s="14">
        <f t="shared" si="93"/>
        <v>1008000</v>
      </c>
      <c r="M63" s="174">
        <f t="shared" si="94"/>
        <v>1008000</v>
      </c>
      <c r="N63" s="174">
        <f t="shared" si="94"/>
        <v>0</v>
      </c>
      <c r="O63" s="14"/>
      <c r="P63" s="13"/>
      <c r="Q63" s="14"/>
      <c r="R63" s="14">
        <v>1008000</v>
      </c>
      <c r="S63" s="13"/>
      <c r="T63" s="14">
        <f t="shared" si="95"/>
        <v>1008000</v>
      </c>
      <c r="U63" s="14"/>
      <c r="V63" s="13"/>
      <c r="W63" s="14"/>
      <c r="X63" s="174">
        <f t="shared" si="96"/>
        <v>1008000</v>
      </c>
      <c r="Y63" s="174">
        <f t="shared" si="96"/>
        <v>0</v>
      </c>
      <c r="Z63" s="14"/>
      <c r="AA63" s="13"/>
      <c r="AB63" s="14"/>
      <c r="AC63" s="14"/>
      <c r="AD63" s="13"/>
      <c r="AE63" s="14"/>
      <c r="AF63" s="14"/>
      <c r="AG63" s="13"/>
      <c r="AH63" s="14"/>
      <c r="AI63" s="174">
        <f t="shared" si="97"/>
        <v>0</v>
      </c>
      <c r="AJ63" s="174">
        <f t="shared" si="98"/>
        <v>0</v>
      </c>
      <c r="AK63" s="14"/>
      <c r="AL63" s="13"/>
      <c r="AM63" s="14"/>
      <c r="AN63" s="14"/>
      <c r="AO63" s="13"/>
      <c r="AP63" s="14"/>
      <c r="AQ63" s="14"/>
      <c r="AR63" s="13"/>
      <c r="AS63" s="14">
        <f t="shared" si="99"/>
        <v>0</v>
      </c>
      <c r="AT63" s="174"/>
      <c r="AU63" s="174">
        <f t="shared" si="100"/>
        <v>0</v>
      </c>
      <c r="AV63" s="38">
        <f t="shared" si="101"/>
        <v>2016000</v>
      </c>
      <c r="AW63" s="14">
        <f t="shared" si="101"/>
        <v>0</v>
      </c>
      <c r="AX63" s="178">
        <f t="shared" si="102"/>
        <v>0</v>
      </c>
      <c r="AY63" s="16">
        <f t="shared" si="103"/>
        <v>0</v>
      </c>
      <c r="AZ63" s="16">
        <f t="shared" si="104"/>
        <v>0</v>
      </c>
      <c r="BA63" s="16">
        <f t="shared" si="104"/>
        <v>0</v>
      </c>
      <c r="BB63" s="16">
        <f t="shared" si="104"/>
        <v>0</v>
      </c>
    </row>
    <row r="64" spans="1:54" s="2" customFormat="1" ht="16.899999999999999" customHeight="1" x14ac:dyDescent="0.2">
      <c r="A64" s="10"/>
      <c r="B64" s="11"/>
      <c r="C64" s="47" t="s">
        <v>114</v>
      </c>
      <c r="D64" s="19">
        <f t="shared" ref="D64:BB64" si="105">SUM(D58:D63)</f>
        <v>39934000</v>
      </c>
      <c r="E64" s="19">
        <f t="shared" si="105"/>
        <v>0</v>
      </c>
      <c r="F64" s="19">
        <f t="shared" si="105"/>
        <v>39934000</v>
      </c>
      <c r="G64" s="19">
        <f t="shared" si="105"/>
        <v>14539000</v>
      </c>
      <c r="H64" s="19">
        <f t="shared" si="105"/>
        <v>350000</v>
      </c>
      <c r="I64" s="19">
        <f t="shared" si="105"/>
        <v>14189000</v>
      </c>
      <c r="J64" s="19">
        <f t="shared" si="105"/>
        <v>33476000</v>
      </c>
      <c r="K64" s="19">
        <f t="shared" si="105"/>
        <v>35635000</v>
      </c>
      <c r="L64" s="19">
        <f t="shared" si="105"/>
        <v>-2159000</v>
      </c>
      <c r="M64" s="19">
        <f t="shared" si="105"/>
        <v>87949000</v>
      </c>
      <c r="N64" s="19">
        <f t="shared" si="105"/>
        <v>35985000</v>
      </c>
      <c r="O64" s="19">
        <f t="shared" si="105"/>
        <v>34389000</v>
      </c>
      <c r="P64" s="19">
        <f t="shared" si="105"/>
        <v>840000</v>
      </c>
      <c r="Q64" s="19">
        <f t="shared" si="105"/>
        <v>33549000</v>
      </c>
      <c r="R64" s="19">
        <f t="shared" si="105"/>
        <v>18072000</v>
      </c>
      <c r="S64" s="19">
        <f t="shared" si="105"/>
        <v>1185000</v>
      </c>
      <c r="T64" s="19">
        <f t="shared" si="105"/>
        <v>16887000</v>
      </c>
      <c r="U64" s="19">
        <f t="shared" si="105"/>
        <v>23364000</v>
      </c>
      <c r="V64" s="19">
        <f t="shared" si="105"/>
        <v>0</v>
      </c>
      <c r="W64" s="19">
        <f t="shared" si="105"/>
        <v>23364000</v>
      </c>
      <c r="X64" s="19">
        <f t="shared" si="105"/>
        <v>75825000</v>
      </c>
      <c r="Y64" s="19">
        <f t="shared" si="105"/>
        <v>2025000</v>
      </c>
      <c r="Z64" s="19">
        <f t="shared" si="105"/>
        <v>47889000</v>
      </c>
      <c r="AA64" s="19">
        <f t="shared" si="105"/>
        <v>7200000</v>
      </c>
      <c r="AB64" s="19">
        <f t="shared" si="105"/>
        <v>40689000</v>
      </c>
      <c r="AC64" s="19">
        <f t="shared" si="105"/>
        <v>11249000</v>
      </c>
      <c r="AD64" s="19">
        <f t="shared" si="105"/>
        <v>0</v>
      </c>
      <c r="AE64" s="19">
        <f t="shared" si="105"/>
        <v>11249000</v>
      </c>
      <c r="AF64" s="19">
        <f t="shared" si="105"/>
        <v>17064000</v>
      </c>
      <c r="AG64" s="19">
        <f t="shared" si="105"/>
        <v>0</v>
      </c>
      <c r="AH64" s="19">
        <f t="shared" si="105"/>
        <v>17064000</v>
      </c>
      <c r="AI64" s="19">
        <f t="shared" si="105"/>
        <v>76202000</v>
      </c>
      <c r="AJ64" s="19">
        <f t="shared" si="105"/>
        <v>7200000</v>
      </c>
      <c r="AK64" s="19">
        <f t="shared" si="105"/>
        <v>9638000</v>
      </c>
      <c r="AL64" s="19">
        <f t="shared" si="105"/>
        <v>0</v>
      </c>
      <c r="AM64" s="19">
        <f t="shared" si="105"/>
        <v>9638000</v>
      </c>
      <c r="AN64" s="19">
        <f t="shared" si="105"/>
        <v>23364000</v>
      </c>
      <c r="AO64" s="19">
        <f t="shared" si="105"/>
        <v>0</v>
      </c>
      <c r="AP64" s="19">
        <f t="shared" si="105"/>
        <v>23364000</v>
      </c>
      <c r="AQ64" s="19">
        <f t="shared" si="105"/>
        <v>21564000</v>
      </c>
      <c r="AR64" s="19">
        <f t="shared" si="105"/>
        <v>0</v>
      </c>
      <c r="AS64" s="19">
        <f t="shared" si="105"/>
        <v>21564000</v>
      </c>
      <c r="AT64" s="19">
        <f t="shared" si="105"/>
        <v>0</v>
      </c>
      <c r="AU64" s="19">
        <f t="shared" si="105"/>
        <v>0</v>
      </c>
      <c r="AV64" s="19">
        <f t="shared" si="105"/>
        <v>294542000</v>
      </c>
      <c r="AW64" s="19">
        <f t="shared" si="105"/>
        <v>45210000</v>
      </c>
      <c r="AX64" s="19">
        <f t="shared" si="105"/>
        <v>175978000</v>
      </c>
      <c r="AY64" s="19">
        <f t="shared" si="105"/>
        <v>49731000.000000007</v>
      </c>
      <c r="AZ64" s="19">
        <f t="shared" si="105"/>
        <v>54704100.000000015</v>
      </c>
      <c r="BA64" s="19">
        <f t="shared" si="105"/>
        <v>60174510.000000022</v>
      </c>
      <c r="BB64" s="19">
        <f t="shared" si="105"/>
        <v>66191961.00000003</v>
      </c>
    </row>
    <row r="65" spans="1:54" s="27" customFormat="1" ht="16.899999999999999" customHeight="1" x14ac:dyDescent="0.2">
      <c r="A65" s="22">
        <v>1</v>
      </c>
      <c r="B65" s="11" t="s">
        <v>47</v>
      </c>
      <c r="C65" s="29" t="s">
        <v>111</v>
      </c>
      <c r="D65" s="14"/>
      <c r="E65" s="13"/>
      <c r="F65" s="14">
        <f>D65-E65</f>
        <v>0</v>
      </c>
      <c r="G65" s="14"/>
      <c r="H65" s="13"/>
      <c r="I65" s="14">
        <f>G65-H65</f>
        <v>0</v>
      </c>
      <c r="J65" s="14">
        <v>6300000</v>
      </c>
      <c r="K65" s="13"/>
      <c r="L65" s="14">
        <f>J65-K65</f>
        <v>6300000</v>
      </c>
      <c r="M65" s="174">
        <f>D65+G65+J65</f>
        <v>6300000</v>
      </c>
      <c r="N65" s="174">
        <f>E65+H65+K65</f>
        <v>0</v>
      </c>
      <c r="O65" s="14"/>
      <c r="P65" s="13"/>
      <c r="Q65" s="14">
        <f>O65-P65</f>
        <v>0</v>
      </c>
      <c r="R65" s="14"/>
      <c r="S65" s="13"/>
      <c r="T65" s="14">
        <f>R65-S65</f>
        <v>0</v>
      </c>
      <c r="U65" s="14"/>
      <c r="V65" s="13"/>
      <c r="W65" s="14">
        <f>U65-V65</f>
        <v>0</v>
      </c>
      <c r="X65" s="174">
        <f>O65+R65+U65</f>
        <v>0</v>
      </c>
      <c r="Y65" s="174">
        <f>P65+S65+V65</f>
        <v>0</v>
      </c>
      <c r="Z65" s="14"/>
      <c r="AA65" s="13"/>
      <c r="AB65" s="14">
        <f>Z65-AA65</f>
        <v>0</v>
      </c>
      <c r="AC65" s="14"/>
      <c r="AD65" s="13"/>
      <c r="AE65" s="14">
        <f>AC65-AD65</f>
        <v>0</v>
      </c>
      <c r="AF65" s="14">
        <v>6300000</v>
      </c>
      <c r="AG65" s="13"/>
      <c r="AH65" s="14">
        <f>AF65-AG65</f>
        <v>6300000</v>
      </c>
      <c r="AI65" s="174">
        <f t="shared" si="97"/>
        <v>6300000</v>
      </c>
      <c r="AJ65" s="174">
        <f>AA65+AD65+AG65</f>
        <v>0</v>
      </c>
      <c r="AK65" s="14"/>
      <c r="AL65" s="13"/>
      <c r="AM65" s="14">
        <f>AK65-AL65</f>
        <v>0</v>
      </c>
      <c r="AN65" s="14"/>
      <c r="AO65" s="13"/>
      <c r="AP65" s="14">
        <f>AN65-AO65</f>
        <v>0</v>
      </c>
      <c r="AQ65" s="14"/>
      <c r="AR65" s="13"/>
      <c r="AS65" s="14">
        <f>AQ65-AR65</f>
        <v>0</v>
      </c>
      <c r="AT65" s="174"/>
      <c r="AU65" s="174">
        <f>AL65+AO65+AR65</f>
        <v>0</v>
      </c>
      <c r="AV65" s="38">
        <f>AQ65+AN65+AK65+AF65+AC65+Z65+U65+R65+O65+J65+G65+D65</f>
        <v>12600000</v>
      </c>
      <c r="AW65" s="14">
        <f>AR65+AO65+AL65+AG65+AD65+AA65+V65+S65+P65+K65+H65+E65</f>
        <v>0</v>
      </c>
      <c r="AX65" s="178">
        <f>(AV65-(M65+X65))+AW65</f>
        <v>6300000</v>
      </c>
      <c r="AY65" s="16">
        <f>AW65*1.1</f>
        <v>0</v>
      </c>
      <c r="AZ65" s="16">
        <f t="shared" ref="AZ65:BB66" si="106">AY65*1.1</f>
        <v>0</v>
      </c>
      <c r="BA65" s="16">
        <f t="shared" si="106"/>
        <v>0</v>
      </c>
      <c r="BB65" s="16">
        <f t="shared" si="106"/>
        <v>0</v>
      </c>
    </row>
    <row r="66" spans="1:54" s="27" customFormat="1" ht="16.899999999999999" customHeight="1" x14ac:dyDescent="0.2">
      <c r="A66" s="22">
        <v>2</v>
      </c>
      <c r="B66" s="11" t="s">
        <v>53</v>
      </c>
      <c r="C66" s="41" t="s">
        <v>112</v>
      </c>
      <c r="D66" s="14"/>
      <c r="E66" s="13"/>
      <c r="F66" s="14">
        <f>D66-E66</f>
        <v>0</v>
      </c>
      <c r="G66" s="14"/>
      <c r="H66" s="13"/>
      <c r="I66" s="14">
        <f>G66-H66</f>
        <v>0</v>
      </c>
      <c r="J66" s="14"/>
      <c r="K66" s="13"/>
      <c r="L66" s="14">
        <f>J66-K66</f>
        <v>0</v>
      </c>
      <c r="M66" s="174">
        <f>D66+G66+J66</f>
        <v>0</v>
      </c>
      <c r="N66" s="174">
        <f>E66+H66+K66</f>
        <v>0</v>
      </c>
      <c r="O66" s="14"/>
      <c r="P66" s="13"/>
      <c r="Q66" s="14">
        <f>O66-P66</f>
        <v>0</v>
      </c>
      <c r="R66" s="14"/>
      <c r="S66" s="13"/>
      <c r="T66" s="14">
        <f>R66-S66</f>
        <v>0</v>
      </c>
      <c r="U66" s="14">
        <v>4500000</v>
      </c>
      <c r="V66" s="13"/>
      <c r="W66" s="14">
        <f>U66-V66</f>
        <v>4500000</v>
      </c>
      <c r="X66" s="174">
        <f>O66+R66+U66</f>
        <v>4500000</v>
      </c>
      <c r="Y66" s="174">
        <f>P66+S66+V66</f>
        <v>0</v>
      </c>
      <c r="Z66" s="14"/>
      <c r="AA66" s="13"/>
      <c r="AB66" s="14">
        <f>Z66-AA66</f>
        <v>0</v>
      </c>
      <c r="AC66" s="14"/>
      <c r="AD66" s="13"/>
      <c r="AE66" s="14">
        <f>AC66-AD66</f>
        <v>0</v>
      </c>
      <c r="AF66" s="14"/>
      <c r="AG66" s="13"/>
      <c r="AH66" s="14">
        <f>AF66-AG66</f>
        <v>0</v>
      </c>
      <c r="AI66" s="174">
        <f t="shared" si="97"/>
        <v>0</v>
      </c>
      <c r="AJ66" s="174">
        <f>AA66+AD66+AG66</f>
        <v>0</v>
      </c>
      <c r="AK66" s="14">
        <v>4500000</v>
      </c>
      <c r="AL66" s="13"/>
      <c r="AM66" s="14">
        <f>AK66-AL66</f>
        <v>4500000</v>
      </c>
      <c r="AN66" s="14"/>
      <c r="AO66" s="13"/>
      <c r="AP66" s="14">
        <f>AN66-AO66</f>
        <v>0</v>
      </c>
      <c r="AQ66" s="14"/>
      <c r="AR66" s="13"/>
      <c r="AS66" s="14">
        <f>AQ66-AR66</f>
        <v>0</v>
      </c>
      <c r="AT66" s="174"/>
      <c r="AU66" s="174">
        <f>AL66+AO66+AR66</f>
        <v>0</v>
      </c>
      <c r="AV66" s="38">
        <f>AQ66+AN66+AK66+AF66+AC66+Z66+U66+R66+O66+J66+G66+D66</f>
        <v>9000000</v>
      </c>
      <c r="AW66" s="14">
        <f>AR66+AO66+AL66+AG66+AD66+AA66+V66+S66+P66+K66+H66+E66</f>
        <v>0</v>
      </c>
      <c r="AX66" s="178">
        <f>(AV66-(M66+X66))+AW66</f>
        <v>4500000</v>
      </c>
      <c r="AY66" s="16">
        <f>AW66*1.1</f>
        <v>0</v>
      </c>
      <c r="AZ66" s="16">
        <f t="shared" si="106"/>
        <v>0</v>
      </c>
      <c r="BA66" s="16">
        <f t="shared" si="106"/>
        <v>0</v>
      </c>
      <c r="BB66" s="16">
        <f t="shared" si="106"/>
        <v>0</v>
      </c>
    </row>
    <row r="67" spans="1:54" s="2" customFormat="1" ht="16.899999999999999" customHeight="1" x14ac:dyDescent="0.2">
      <c r="A67" s="58"/>
      <c r="B67" s="67"/>
      <c r="C67" s="47" t="s">
        <v>115</v>
      </c>
      <c r="D67" s="19">
        <f t="shared" ref="D67:BB67" si="107">SUM(D65:D66)</f>
        <v>0</v>
      </c>
      <c r="E67" s="19">
        <f t="shared" si="107"/>
        <v>0</v>
      </c>
      <c r="F67" s="19">
        <f t="shared" si="107"/>
        <v>0</v>
      </c>
      <c r="G67" s="19">
        <f t="shared" si="107"/>
        <v>0</v>
      </c>
      <c r="H67" s="19">
        <f t="shared" si="107"/>
        <v>0</v>
      </c>
      <c r="I67" s="19">
        <f t="shared" si="107"/>
        <v>0</v>
      </c>
      <c r="J67" s="19">
        <f t="shared" si="107"/>
        <v>6300000</v>
      </c>
      <c r="K67" s="19">
        <f t="shared" si="107"/>
        <v>0</v>
      </c>
      <c r="L67" s="19">
        <f t="shared" si="107"/>
        <v>6300000</v>
      </c>
      <c r="M67" s="19">
        <f t="shared" si="107"/>
        <v>6300000</v>
      </c>
      <c r="N67" s="19">
        <f t="shared" si="107"/>
        <v>0</v>
      </c>
      <c r="O67" s="19">
        <f t="shared" si="107"/>
        <v>0</v>
      </c>
      <c r="P67" s="19">
        <f t="shared" si="107"/>
        <v>0</v>
      </c>
      <c r="Q67" s="19">
        <f t="shared" si="107"/>
        <v>0</v>
      </c>
      <c r="R67" s="19">
        <f t="shared" si="107"/>
        <v>0</v>
      </c>
      <c r="S67" s="19">
        <f t="shared" si="107"/>
        <v>0</v>
      </c>
      <c r="T67" s="19">
        <f t="shared" si="107"/>
        <v>0</v>
      </c>
      <c r="U67" s="19">
        <f t="shared" si="107"/>
        <v>4500000</v>
      </c>
      <c r="V67" s="19">
        <f t="shared" si="107"/>
        <v>0</v>
      </c>
      <c r="W67" s="19">
        <f t="shared" si="107"/>
        <v>4500000</v>
      </c>
      <c r="X67" s="19">
        <f t="shared" si="107"/>
        <v>4500000</v>
      </c>
      <c r="Y67" s="19">
        <f t="shared" si="107"/>
        <v>0</v>
      </c>
      <c r="Z67" s="19">
        <f t="shared" si="107"/>
        <v>0</v>
      </c>
      <c r="AA67" s="19">
        <f t="shared" si="107"/>
        <v>0</v>
      </c>
      <c r="AB67" s="19">
        <f t="shared" si="107"/>
        <v>0</v>
      </c>
      <c r="AC67" s="19">
        <f t="shared" si="107"/>
        <v>0</v>
      </c>
      <c r="AD67" s="19">
        <f t="shared" si="107"/>
        <v>0</v>
      </c>
      <c r="AE67" s="19">
        <f t="shared" si="107"/>
        <v>0</v>
      </c>
      <c r="AF67" s="19">
        <f t="shared" si="107"/>
        <v>6300000</v>
      </c>
      <c r="AG67" s="19">
        <f t="shared" si="107"/>
        <v>0</v>
      </c>
      <c r="AH67" s="19">
        <f t="shared" si="107"/>
        <v>6300000</v>
      </c>
      <c r="AI67" s="19">
        <f t="shared" si="107"/>
        <v>6300000</v>
      </c>
      <c r="AJ67" s="19">
        <f t="shared" si="107"/>
        <v>0</v>
      </c>
      <c r="AK67" s="19">
        <f t="shared" si="107"/>
        <v>4500000</v>
      </c>
      <c r="AL67" s="19">
        <f t="shared" si="107"/>
        <v>0</v>
      </c>
      <c r="AM67" s="19">
        <f t="shared" si="107"/>
        <v>4500000</v>
      </c>
      <c r="AN67" s="19">
        <f t="shared" si="107"/>
        <v>0</v>
      </c>
      <c r="AO67" s="19">
        <f t="shared" si="107"/>
        <v>0</v>
      </c>
      <c r="AP67" s="19">
        <f t="shared" si="107"/>
        <v>0</v>
      </c>
      <c r="AQ67" s="19">
        <f t="shared" si="107"/>
        <v>0</v>
      </c>
      <c r="AR67" s="19">
        <f t="shared" si="107"/>
        <v>0</v>
      </c>
      <c r="AS67" s="19">
        <f t="shared" si="107"/>
        <v>0</v>
      </c>
      <c r="AT67" s="19">
        <f t="shared" si="107"/>
        <v>0</v>
      </c>
      <c r="AU67" s="19">
        <f t="shared" si="107"/>
        <v>0</v>
      </c>
      <c r="AV67" s="19">
        <f t="shared" si="107"/>
        <v>21600000</v>
      </c>
      <c r="AW67" s="19">
        <f t="shared" si="107"/>
        <v>0</v>
      </c>
      <c r="AX67" s="19">
        <f t="shared" si="107"/>
        <v>10800000</v>
      </c>
      <c r="AY67" s="19">
        <f t="shared" si="107"/>
        <v>0</v>
      </c>
      <c r="AZ67" s="19">
        <f t="shared" si="107"/>
        <v>0</v>
      </c>
      <c r="BA67" s="19">
        <f t="shared" si="107"/>
        <v>0</v>
      </c>
      <c r="BB67" s="19">
        <f t="shared" si="107"/>
        <v>0</v>
      </c>
    </row>
    <row r="68" spans="1:54" ht="16.899999999999999" customHeight="1" x14ac:dyDescent="0.2">
      <c r="A68" s="10">
        <v>1</v>
      </c>
      <c r="B68" s="11" t="s">
        <v>47</v>
      </c>
      <c r="C68" s="29" t="s">
        <v>111</v>
      </c>
      <c r="D68" s="14">
        <f>5000000+5000000</f>
        <v>10000000</v>
      </c>
      <c r="E68" s="13"/>
      <c r="F68" s="14">
        <f>D68-E68</f>
        <v>10000000</v>
      </c>
      <c r="G68" s="14">
        <v>15500000</v>
      </c>
      <c r="H68" s="13"/>
      <c r="I68" s="14">
        <f>G68-H68</f>
        <v>15500000</v>
      </c>
      <c r="J68" s="14">
        <v>0</v>
      </c>
      <c r="K68" s="13"/>
      <c r="L68" s="14">
        <f>J68-K68</f>
        <v>0</v>
      </c>
      <c r="M68" s="174">
        <f t="shared" ref="M68:N72" si="108">D68+G68+J68</f>
        <v>25500000</v>
      </c>
      <c r="N68" s="174">
        <f t="shared" si="108"/>
        <v>0</v>
      </c>
      <c r="O68" s="14"/>
      <c r="P68" s="13">
        <v>6839420</v>
      </c>
      <c r="Q68" s="14">
        <f>O68-P68</f>
        <v>-6839420</v>
      </c>
      <c r="R68" s="14"/>
      <c r="S68" s="13"/>
      <c r="T68" s="14">
        <f>R68-S68</f>
        <v>0</v>
      </c>
      <c r="U68" s="14">
        <v>15500000</v>
      </c>
      <c r="V68" s="13"/>
      <c r="W68" s="14">
        <f>U68-V68</f>
        <v>15500000</v>
      </c>
      <c r="X68" s="174">
        <f t="shared" ref="X68:Y72" si="109">O68+R68+U68</f>
        <v>15500000</v>
      </c>
      <c r="Y68" s="174">
        <f t="shared" si="109"/>
        <v>6839420</v>
      </c>
      <c r="Z68" s="14">
        <v>60000000</v>
      </c>
      <c r="AA68" s="13"/>
      <c r="AB68" s="14">
        <f>Z68-AA68</f>
        <v>60000000</v>
      </c>
      <c r="AC68" s="14">
        <v>0</v>
      </c>
      <c r="AD68" s="13"/>
      <c r="AE68" s="14">
        <f>AC68-AD68</f>
        <v>0</v>
      </c>
      <c r="AF68" s="14">
        <v>0</v>
      </c>
      <c r="AG68" s="13"/>
      <c r="AH68" s="14">
        <f>AF68-AG68</f>
        <v>0</v>
      </c>
      <c r="AI68" s="174">
        <f t="shared" si="97"/>
        <v>60000000</v>
      </c>
      <c r="AJ68" s="174">
        <f>AA68+AD68+AG68</f>
        <v>0</v>
      </c>
      <c r="AK68" s="14">
        <f>15500000</f>
        <v>15500000</v>
      </c>
      <c r="AL68" s="13"/>
      <c r="AM68" s="14">
        <f>AK68-AL68</f>
        <v>15500000</v>
      </c>
      <c r="AN68" s="14">
        <v>0</v>
      </c>
      <c r="AO68" s="13"/>
      <c r="AP68" s="14">
        <f>AN68-AO68</f>
        <v>0</v>
      </c>
      <c r="AQ68" s="14">
        <v>0</v>
      </c>
      <c r="AR68" s="13"/>
      <c r="AS68" s="14">
        <f>AQ68-AR68</f>
        <v>0</v>
      </c>
      <c r="AT68" s="174"/>
      <c r="AU68" s="174">
        <f>AL68+AO68+AR68</f>
        <v>0</v>
      </c>
      <c r="AV68" s="38">
        <f t="shared" ref="AV68:AW72" si="110">AQ68+AN68+AK68+AF68+AC68+Z68+U68+R68+O68+J68+G68+D68</f>
        <v>116500000</v>
      </c>
      <c r="AW68" s="14">
        <f t="shared" si="110"/>
        <v>6839420</v>
      </c>
      <c r="AX68" s="178">
        <f>(AV68-(M68+X68))+AW68</f>
        <v>82339420</v>
      </c>
      <c r="AY68" s="16">
        <f>AW68*1.1</f>
        <v>7523362.0000000009</v>
      </c>
      <c r="AZ68" s="16">
        <f t="shared" ref="AZ68:BB72" si="111">AY68*1.1</f>
        <v>8275698.200000002</v>
      </c>
      <c r="BA68" s="16">
        <f t="shared" si="111"/>
        <v>9103268.0200000033</v>
      </c>
      <c r="BB68" s="16">
        <f t="shared" si="111"/>
        <v>10013594.822000004</v>
      </c>
    </row>
    <row r="69" spans="1:54" ht="16.899999999999999" customHeight="1" x14ac:dyDescent="0.2">
      <c r="A69" s="10">
        <v>2</v>
      </c>
      <c r="B69" s="11" t="s">
        <v>47</v>
      </c>
      <c r="C69" s="68" t="s">
        <v>116</v>
      </c>
      <c r="D69" s="14">
        <v>8000000</v>
      </c>
      <c r="E69" s="13"/>
      <c r="F69" s="14">
        <f>D69-E69</f>
        <v>8000000</v>
      </c>
      <c r="G69" s="14">
        <v>0</v>
      </c>
      <c r="H69" s="13">
        <v>6000000</v>
      </c>
      <c r="I69" s="14">
        <f>G69-H69</f>
        <v>-6000000</v>
      </c>
      <c r="J69" s="14"/>
      <c r="K69" s="13"/>
      <c r="L69" s="14">
        <f>J69-K69</f>
        <v>0</v>
      </c>
      <c r="M69" s="174">
        <f t="shared" si="108"/>
        <v>8000000</v>
      </c>
      <c r="N69" s="174">
        <f t="shared" si="108"/>
        <v>6000000</v>
      </c>
      <c r="O69" s="14"/>
      <c r="P69" s="13"/>
      <c r="Q69" s="14">
        <f>O69-P69</f>
        <v>0</v>
      </c>
      <c r="R69" s="14">
        <v>0</v>
      </c>
      <c r="S69" s="13"/>
      <c r="T69" s="14">
        <f>R69-S69</f>
        <v>0</v>
      </c>
      <c r="U69" s="14">
        <v>0</v>
      </c>
      <c r="V69" s="13"/>
      <c r="W69" s="14">
        <f>U69-V69</f>
        <v>0</v>
      </c>
      <c r="X69" s="174">
        <f t="shared" si="109"/>
        <v>0</v>
      </c>
      <c r="Y69" s="174">
        <f t="shared" si="109"/>
        <v>0</v>
      </c>
      <c r="Z69" s="14">
        <v>8000000</v>
      </c>
      <c r="AA69" s="13"/>
      <c r="AB69" s="14">
        <f>Z69-AA69</f>
        <v>8000000</v>
      </c>
      <c r="AC69" s="14">
        <v>0</v>
      </c>
      <c r="AD69" s="13"/>
      <c r="AE69" s="14">
        <f>AC69-AD69</f>
        <v>0</v>
      </c>
      <c r="AF69" s="14">
        <v>0</v>
      </c>
      <c r="AG69" s="13"/>
      <c r="AH69" s="14">
        <f>AF69-AG69</f>
        <v>0</v>
      </c>
      <c r="AI69" s="174">
        <f t="shared" si="97"/>
        <v>8000000</v>
      </c>
      <c r="AJ69" s="174">
        <f>AA69+AD69+AG69</f>
        <v>0</v>
      </c>
      <c r="AK69" s="14">
        <v>0</v>
      </c>
      <c r="AL69" s="13"/>
      <c r="AM69" s="14">
        <f>AK69-AL69</f>
        <v>0</v>
      </c>
      <c r="AN69" s="14"/>
      <c r="AO69" s="13"/>
      <c r="AP69" s="14">
        <f>AN69-AO69</f>
        <v>0</v>
      </c>
      <c r="AQ69" s="14"/>
      <c r="AR69" s="13"/>
      <c r="AS69" s="14">
        <f>AQ69-AR69</f>
        <v>0</v>
      </c>
      <c r="AT69" s="174"/>
      <c r="AU69" s="174">
        <f>AL69+AO69+AR69</f>
        <v>0</v>
      </c>
      <c r="AV69" s="38">
        <f t="shared" si="110"/>
        <v>16000000</v>
      </c>
      <c r="AW69" s="14">
        <f t="shared" si="110"/>
        <v>6000000</v>
      </c>
      <c r="AX69" s="178">
        <f>(AV69-(M69+X69))+AW69</f>
        <v>14000000</v>
      </c>
      <c r="AY69" s="16">
        <f>AW69*1.1</f>
        <v>6600000.0000000009</v>
      </c>
      <c r="AZ69" s="16">
        <f t="shared" si="111"/>
        <v>7260000.0000000019</v>
      </c>
      <c r="BA69" s="16">
        <f t="shared" si="111"/>
        <v>7986000.0000000028</v>
      </c>
      <c r="BB69" s="16">
        <f t="shared" si="111"/>
        <v>8784600.0000000037</v>
      </c>
    </row>
    <row r="70" spans="1:54" ht="16.899999999999999" customHeight="1" x14ac:dyDescent="0.2">
      <c r="A70" s="10">
        <v>3</v>
      </c>
      <c r="B70" s="11" t="s">
        <v>36</v>
      </c>
      <c r="C70" s="29" t="s">
        <v>117</v>
      </c>
      <c r="D70" s="14"/>
      <c r="E70" s="13"/>
      <c r="F70" s="14">
        <f>D70-E70</f>
        <v>0</v>
      </c>
      <c r="G70" s="14">
        <f>3000000*51</f>
        <v>153000000</v>
      </c>
      <c r="H70" s="13"/>
      <c r="I70" s="14">
        <f>G70-H70</f>
        <v>153000000</v>
      </c>
      <c r="J70" s="14"/>
      <c r="K70" s="13"/>
      <c r="L70" s="14">
        <f>J70-K70</f>
        <v>0</v>
      </c>
      <c r="M70" s="174">
        <f t="shared" si="108"/>
        <v>153000000</v>
      </c>
      <c r="N70" s="174">
        <f t="shared" si="108"/>
        <v>0</v>
      </c>
      <c r="O70" s="14"/>
      <c r="P70" s="13"/>
      <c r="Q70" s="14">
        <f>O70-P70</f>
        <v>0</v>
      </c>
      <c r="R70" s="14">
        <v>0</v>
      </c>
      <c r="S70" s="13"/>
      <c r="T70" s="14">
        <f>R70-S70</f>
        <v>0</v>
      </c>
      <c r="U70" s="14">
        <v>0</v>
      </c>
      <c r="V70" s="13"/>
      <c r="W70" s="14">
        <f>U70-V70</f>
        <v>0</v>
      </c>
      <c r="X70" s="174">
        <f t="shared" si="109"/>
        <v>0</v>
      </c>
      <c r="Y70" s="174">
        <f t="shared" si="109"/>
        <v>0</v>
      </c>
      <c r="Z70" s="14">
        <v>0</v>
      </c>
      <c r="AA70" s="13"/>
      <c r="AB70" s="14">
        <f>Z70-AA70</f>
        <v>0</v>
      </c>
      <c r="AC70" s="14">
        <v>0</v>
      </c>
      <c r="AD70" s="13"/>
      <c r="AE70" s="14">
        <f>AC70-AD70</f>
        <v>0</v>
      </c>
      <c r="AF70" s="14">
        <v>0</v>
      </c>
      <c r="AG70" s="13"/>
      <c r="AH70" s="14">
        <f>AF70-AG70</f>
        <v>0</v>
      </c>
      <c r="AI70" s="174">
        <f t="shared" si="97"/>
        <v>0</v>
      </c>
      <c r="AJ70" s="174">
        <f>AA70+AD70+AG70</f>
        <v>0</v>
      </c>
      <c r="AK70" s="14">
        <v>0</v>
      </c>
      <c r="AL70" s="13"/>
      <c r="AM70" s="14">
        <f>AK70-AL70</f>
        <v>0</v>
      </c>
      <c r="AN70" s="14"/>
      <c r="AO70" s="13"/>
      <c r="AP70" s="14">
        <f>AN70-AO70</f>
        <v>0</v>
      </c>
      <c r="AQ70" s="14"/>
      <c r="AR70" s="13"/>
      <c r="AS70" s="14">
        <f>AQ70-AR70</f>
        <v>0</v>
      </c>
      <c r="AT70" s="174"/>
      <c r="AU70" s="174">
        <f>AL70+AO70+AR70</f>
        <v>0</v>
      </c>
      <c r="AV70" s="38">
        <f t="shared" si="110"/>
        <v>153000000</v>
      </c>
      <c r="AW70" s="14">
        <f t="shared" si="110"/>
        <v>0</v>
      </c>
      <c r="AX70" s="178">
        <f>(AV70-(M70+X70))+AW70</f>
        <v>0</v>
      </c>
      <c r="AY70" s="16">
        <f>AW70*1.1</f>
        <v>0</v>
      </c>
      <c r="AZ70" s="16">
        <f t="shared" si="111"/>
        <v>0</v>
      </c>
      <c r="BA70" s="16">
        <f t="shared" si="111"/>
        <v>0</v>
      </c>
      <c r="BB70" s="16">
        <f t="shared" si="111"/>
        <v>0</v>
      </c>
    </row>
    <row r="71" spans="1:54" ht="16.899999999999999" customHeight="1" x14ac:dyDescent="0.2">
      <c r="A71" s="10">
        <v>4</v>
      </c>
      <c r="B71" s="11" t="s">
        <v>47</v>
      </c>
      <c r="C71" s="29" t="s">
        <v>118</v>
      </c>
      <c r="D71" s="14"/>
      <c r="E71" s="13"/>
      <c r="F71" s="14">
        <f>D71-E71</f>
        <v>0</v>
      </c>
      <c r="G71" s="14"/>
      <c r="H71" s="13"/>
      <c r="I71" s="14">
        <f>G71-H71</f>
        <v>0</v>
      </c>
      <c r="J71" s="14"/>
      <c r="K71" s="13"/>
      <c r="L71" s="14">
        <f>J71-K71</f>
        <v>0</v>
      </c>
      <c r="M71" s="174">
        <f t="shared" si="108"/>
        <v>0</v>
      </c>
      <c r="N71" s="174">
        <f t="shared" si="108"/>
        <v>0</v>
      </c>
      <c r="O71" s="14"/>
      <c r="P71" s="13">
        <v>350000</v>
      </c>
      <c r="Q71" s="14">
        <f>O71-P71</f>
        <v>-350000</v>
      </c>
      <c r="R71" s="14">
        <v>0</v>
      </c>
      <c r="S71" s="13"/>
      <c r="T71" s="14">
        <f>R71-S71</f>
        <v>0</v>
      </c>
      <c r="U71" s="14">
        <v>0</v>
      </c>
      <c r="V71" s="13"/>
      <c r="W71" s="14">
        <f>U71-V71</f>
        <v>0</v>
      </c>
      <c r="X71" s="174">
        <f t="shared" si="109"/>
        <v>0</v>
      </c>
      <c r="Y71" s="174">
        <f t="shared" si="109"/>
        <v>350000</v>
      </c>
      <c r="Z71" s="14">
        <v>0</v>
      </c>
      <c r="AA71" s="13"/>
      <c r="AB71" s="14">
        <f>Z71-AA71</f>
        <v>0</v>
      </c>
      <c r="AC71" s="14">
        <v>0</v>
      </c>
      <c r="AD71" s="13"/>
      <c r="AE71" s="14">
        <f>AC71-AD71</f>
        <v>0</v>
      </c>
      <c r="AF71" s="14">
        <v>0</v>
      </c>
      <c r="AG71" s="13"/>
      <c r="AH71" s="14">
        <f>AF71-AG71</f>
        <v>0</v>
      </c>
      <c r="AI71" s="174">
        <f t="shared" si="97"/>
        <v>0</v>
      </c>
      <c r="AJ71" s="174">
        <f>AA71+AD71+AG71</f>
        <v>0</v>
      </c>
      <c r="AK71" s="14">
        <v>0</v>
      </c>
      <c r="AL71" s="13"/>
      <c r="AM71" s="14">
        <f>AK71-AL71</f>
        <v>0</v>
      </c>
      <c r="AN71" s="14"/>
      <c r="AO71" s="13"/>
      <c r="AP71" s="14">
        <f>AN71-AO71</f>
        <v>0</v>
      </c>
      <c r="AQ71" s="14"/>
      <c r="AR71" s="13"/>
      <c r="AS71" s="14">
        <f>AQ71-AR71</f>
        <v>0</v>
      </c>
      <c r="AT71" s="174"/>
      <c r="AU71" s="174">
        <f>AL71+AO71+AR71</f>
        <v>0</v>
      </c>
      <c r="AV71" s="38">
        <f t="shared" si="110"/>
        <v>0</v>
      </c>
      <c r="AW71" s="14">
        <f t="shared" si="110"/>
        <v>350000</v>
      </c>
      <c r="AX71" s="178">
        <f>(AV71-(M71+X71))+AW71</f>
        <v>350000</v>
      </c>
      <c r="AY71" s="16">
        <f>AW71*1.1</f>
        <v>385000.00000000006</v>
      </c>
      <c r="AZ71" s="16">
        <f t="shared" si="111"/>
        <v>423500.00000000012</v>
      </c>
      <c r="BA71" s="16">
        <f t="shared" si="111"/>
        <v>465850.00000000017</v>
      </c>
      <c r="BB71" s="16">
        <f t="shared" si="111"/>
        <v>512435.00000000023</v>
      </c>
    </row>
    <row r="72" spans="1:54" ht="16.899999999999999" customHeight="1" x14ac:dyDescent="0.2">
      <c r="A72" s="10">
        <v>5</v>
      </c>
      <c r="B72" s="11" t="s">
        <v>47</v>
      </c>
      <c r="C72" s="29" t="s">
        <v>119</v>
      </c>
      <c r="D72" s="14">
        <v>1098000</v>
      </c>
      <c r="E72" s="13"/>
      <c r="F72" s="14">
        <f>D72-E72</f>
        <v>1098000</v>
      </c>
      <c r="G72" s="14">
        <v>1098000</v>
      </c>
      <c r="H72" s="13"/>
      <c r="I72" s="14">
        <f>G72-H72</f>
        <v>1098000</v>
      </c>
      <c r="J72" s="14">
        <v>1098000</v>
      </c>
      <c r="K72" s="13"/>
      <c r="L72" s="14">
        <f>J72-K72</f>
        <v>1098000</v>
      </c>
      <c r="M72" s="174">
        <f t="shared" si="108"/>
        <v>3294000</v>
      </c>
      <c r="N72" s="174">
        <f t="shared" si="108"/>
        <v>0</v>
      </c>
      <c r="O72" s="14">
        <v>1098000</v>
      </c>
      <c r="P72" s="13"/>
      <c r="Q72" s="14">
        <f>O72-P72</f>
        <v>1098000</v>
      </c>
      <c r="R72" s="14">
        <v>1098000</v>
      </c>
      <c r="S72" s="13"/>
      <c r="T72" s="14">
        <f>R72-S72</f>
        <v>1098000</v>
      </c>
      <c r="U72" s="14">
        <v>1098000</v>
      </c>
      <c r="V72" s="13"/>
      <c r="W72" s="14">
        <f>U72-V72</f>
        <v>1098000</v>
      </c>
      <c r="X72" s="174">
        <f t="shared" si="109"/>
        <v>3294000</v>
      </c>
      <c r="Y72" s="174">
        <f t="shared" si="109"/>
        <v>0</v>
      </c>
      <c r="Z72" s="14">
        <v>1098000</v>
      </c>
      <c r="AA72" s="13"/>
      <c r="AB72" s="14">
        <f>Z72-AA72</f>
        <v>1098000</v>
      </c>
      <c r="AC72" s="14">
        <v>1098000</v>
      </c>
      <c r="AD72" s="13"/>
      <c r="AE72" s="14">
        <f>AC72-AD72</f>
        <v>1098000</v>
      </c>
      <c r="AF72" s="14">
        <v>1098000</v>
      </c>
      <c r="AG72" s="13"/>
      <c r="AH72" s="14">
        <f>AF72-AG72</f>
        <v>1098000</v>
      </c>
      <c r="AI72" s="174">
        <f t="shared" si="97"/>
        <v>3294000</v>
      </c>
      <c r="AJ72" s="174">
        <f>AA72+AD72+AG72</f>
        <v>0</v>
      </c>
      <c r="AK72" s="14">
        <v>1098000</v>
      </c>
      <c r="AL72" s="13"/>
      <c r="AM72" s="14">
        <f>AK72-AL72</f>
        <v>1098000</v>
      </c>
      <c r="AN72" s="14">
        <v>1098000</v>
      </c>
      <c r="AO72" s="13"/>
      <c r="AP72" s="14">
        <f>AN72-AO72</f>
        <v>1098000</v>
      </c>
      <c r="AQ72" s="14">
        <v>1098000</v>
      </c>
      <c r="AR72" s="13"/>
      <c r="AS72" s="14">
        <f>AQ72-AR72</f>
        <v>1098000</v>
      </c>
      <c r="AT72" s="174"/>
      <c r="AU72" s="174">
        <f>AL72+AO72+AR72</f>
        <v>0</v>
      </c>
      <c r="AV72" s="38">
        <f t="shared" si="110"/>
        <v>13176000</v>
      </c>
      <c r="AW72" s="14">
        <f t="shared" si="110"/>
        <v>0</v>
      </c>
      <c r="AX72" s="178">
        <f>(AV72-(M72+X72))+AW72</f>
        <v>6588000</v>
      </c>
      <c r="AY72" s="16">
        <f>AW72*1.1</f>
        <v>0</v>
      </c>
      <c r="AZ72" s="16">
        <f t="shared" si="111"/>
        <v>0</v>
      </c>
      <c r="BA72" s="16">
        <f t="shared" si="111"/>
        <v>0</v>
      </c>
      <c r="BB72" s="16">
        <f t="shared" si="111"/>
        <v>0</v>
      </c>
    </row>
    <row r="73" spans="1:54" s="2" customFormat="1" ht="16.899999999999999" customHeight="1" x14ac:dyDescent="0.2">
      <c r="A73" s="58"/>
      <c r="B73" s="27"/>
      <c r="C73" s="47" t="s">
        <v>120</v>
      </c>
      <c r="D73" s="19">
        <f t="shared" ref="D73:BB73" si="112">SUM(D68:D72)</f>
        <v>19098000</v>
      </c>
      <c r="E73" s="19">
        <f t="shared" si="112"/>
        <v>0</v>
      </c>
      <c r="F73" s="19">
        <f t="shared" si="112"/>
        <v>19098000</v>
      </c>
      <c r="G73" s="19">
        <f t="shared" si="112"/>
        <v>169598000</v>
      </c>
      <c r="H73" s="19">
        <f t="shared" si="112"/>
        <v>6000000</v>
      </c>
      <c r="I73" s="19">
        <f t="shared" si="112"/>
        <v>163598000</v>
      </c>
      <c r="J73" s="19">
        <f t="shared" si="112"/>
        <v>1098000</v>
      </c>
      <c r="K73" s="19">
        <f t="shared" si="112"/>
        <v>0</v>
      </c>
      <c r="L73" s="19">
        <f t="shared" si="112"/>
        <v>1098000</v>
      </c>
      <c r="M73" s="19">
        <f t="shared" si="112"/>
        <v>189794000</v>
      </c>
      <c r="N73" s="19">
        <f t="shared" si="112"/>
        <v>6000000</v>
      </c>
      <c r="O73" s="19">
        <f t="shared" si="112"/>
        <v>1098000</v>
      </c>
      <c r="P73" s="19">
        <f t="shared" si="112"/>
        <v>7189420</v>
      </c>
      <c r="Q73" s="19">
        <f t="shared" si="112"/>
        <v>-6091420</v>
      </c>
      <c r="R73" s="19">
        <f t="shared" si="112"/>
        <v>1098000</v>
      </c>
      <c r="S73" s="19">
        <f t="shared" si="112"/>
        <v>0</v>
      </c>
      <c r="T73" s="19">
        <f t="shared" si="112"/>
        <v>1098000</v>
      </c>
      <c r="U73" s="19">
        <f t="shared" si="112"/>
        <v>16598000</v>
      </c>
      <c r="V73" s="19">
        <f t="shared" si="112"/>
        <v>0</v>
      </c>
      <c r="W73" s="19">
        <f t="shared" si="112"/>
        <v>16598000</v>
      </c>
      <c r="X73" s="19">
        <f t="shared" si="112"/>
        <v>18794000</v>
      </c>
      <c r="Y73" s="19">
        <f t="shared" si="112"/>
        <v>7189420</v>
      </c>
      <c r="Z73" s="19">
        <f t="shared" si="112"/>
        <v>69098000</v>
      </c>
      <c r="AA73" s="19">
        <f t="shared" si="112"/>
        <v>0</v>
      </c>
      <c r="AB73" s="19">
        <f t="shared" si="112"/>
        <v>69098000</v>
      </c>
      <c r="AC73" s="19">
        <f t="shared" si="112"/>
        <v>1098000</v>
      </c>
      <c r="AD73" s="19">
        <f t="shared" si="112"/>
        <v>0</v>
      </c>
      <c r="AE73" s="19">
        <f t="shared" si="112"/>
        <v>1098000</v>
      </c>
      <c r="AF73" s="19">
        <f t="shared" si="112"/>
        <v>1098000</v>
      </c>
      <c r="AG73" s="19">
        <f t="shared" si="112"/>
        <v>0</v>
      </c>
      <c r="AH73" s="19">
        <f t="shared" si="112"/>
        <v>1098000</v>
      </c>
      <c r="AI73" s="19">
        <f t="shared" si="112"/>
        <v>71294000</v>
      </c>
      <c r="AJ73" s="19">
        <f t="shared" si="112"/>
        <v>0</v>
      </c>
      <c r="AK73" s="19">
        <f t="shared" si="112"/>
        <v>16598000</v>
      </c>
      <c r="AL73" s="19">
        <f t="shared" si="112"/>
        <v>0</v>
      </c>
      <c r="AM73" s="19">
        <f t="shared" si="112"/>
        <v>16598000</v>
      </c>
      <c r="AN73" s="19">
        <f t="shared" si="112"/>
        <v>1098000</v>
      </c>
      <c r="AO73" s="19">
        <f t="shared" si="112"/>
        <v>0</v>
      </c>
      <c r="AP73" s="19">
        <f t="shared" si="112"/>
        <v>1098000</v>
      </c>
      <c r="AQ73" s="19">
        <f t="shared" si="112"/>
        <v>1098000</v>
      </c>
      <c r="AR73" s="19">
        <f t="shared" si="112"/>
        <v>0</v>
      </c>
      <c r="AS73" s="19">
        <f t="shared" si="112"/>
        <v>1098000</v>
      </c>
      <c r="AT73" s="19">
        <f t="shared" si="112"/>
        <v>0</v>
      </c>
      <c r="AU73" s="19">
        <f t="shared" si="112"/>
        <v>0</v>
      </c>
      <c r="AV73" s="19">
        <f t="shared" si="112"/>
        <v>298676000</v>
      </c>
      <c r="AW73" s="19">
        <f t="shared" si="112"/>
        <v>13189420</v>
      </c>
      <c r="AX73" s="19">
        <f t="shared" si="112"/>
        <v>103277420</v>
      </c>
      <c r="AY73" s="19">
        <f t="shared" si="112"/>
        <v>14508362.000000002</v>
      </c>
      <c r="AZ73" s="19">
        <f t="shared" si="112"/>
        <v>15959198.200000003</v>
      </c>
      <c r="BA73" s="19">
        <f t="shared" si="112"/>
        <v>17555118.020000007</v>
      </c>
      <c r="BB73" s="19">
        <f t="shared" si="112"/>
        <v>19310629.822000008</v>
      </c>
    </row>
    <row r="74" spans="1:54" s="27" customFormat="1" ht="16.899999999999999" customHeight="1" x14ac:dyDescent="0.2">
      <c r="A74" s="69">
        <v>1</v>
      </c>
      <c r="B74" s="11" t="s">
        <v>79</v>
      </c>
      <c r="C74" s="41" t="s">
        <v>121</v>
      </c>
      <c r="D74" s="14">
        <v>6000000</v>
      </c>
      <c r="E74" s="13"/>
      <c r="F74" s="14">
        <f>D74-E74</f>
        <v>6000000</v>
      </c>
      <c r="G74" s="14">
        <v>6000000</v>
      </c>
      <c r="H74" s="13"/>
      <c r="I74" s="14">
        <f>G74-H74</f>
        <v>6000000</v>
      </c>
      <c r="J74" s="14"/>
      <c r="K74" s="13"/>
      <c r="L74" s="14">
        <f>J74-K74</f>
        <v>0</v>
      </c>
      <c r="M74" s="174">
        <f t="shared" ref="M74:N77" si="113">D74+G74+J74</f>
        <v>12000000</v>
      </c>
      <c r="N74" s="174">
        <f t="shared" si="113"/>
        <v>0</v>
      </c>
      <c r="O74" s="14">
        <v>6000000</v>
      </c>
      <c r="P74" s="13"/>
      <c r="Q74" s="14">
        <f>O74-P74</f>
        <v>6000000</v>
      </c>
      <c r="R74" s="14"/>
      <c r="S74" s="13">
        <v>4200000</v>
      </c>
      <c r="T74" s="14">
        <f>R74-S74</f>
        <v>-4200000</v>
      </c>
      <c r="U74" s="14"/>
      <c r="V74" s="14"/>
      <c r="W74" s="13"/>
      <c r="X74" s="174">
        <f t="shared" ref="X74:Y77" si="114">O74+R74+U74</f>
        <v>6000000</v>
      </c>
      <c r="Y74" s="174">
        <f t="shared" si="114"/>
        <v>4200000</v>
      </c>
      <c r="Z74" s="14">
        <v>6000000</v>
      </c>
      <c r="AA74" s="13"/>
      <c r="AB74" s="14">
        <f>Z74-AA74</f>
        <v>6000000</v>
      </c>
      <c r="AC74" s="14"/>
      <c r="AD74" s="13"/>
      <c r="AE74" s="14">
        <f>AC74-AD74</f>
        <v>0</v>
      </c>
      <c r="AF74" s="14"/>
      <c r="AG74" s="13"/>
      <c r="AH74" s="14">
        <f>AF74-AG74</f>
        <v>0</v>
      </c>
      <c r="AI74" s="174">
        <f t="shared" si="97"/>
        <v>6000000</v>
      </c>
      <c r="AJ74" s="174">
        <f>AA74+AD74+AG74</f>
        <v>0</v>
      </c>
      <c r="AK74" s="14">
        <v>6000000</v>
      </c>
      <c r="AL74" s="13"/>
      <c r="AM74" s="14">
        <f>AK74-AL74</f>
        <v>6000000</v>
      </c>
      <c r="AN74" s="14"/>
      <c r="AO74" s="13"/>
      <c r="AP74" s="14">
        <f>AN74-AO74</f>
        <v>0</v>
      </c>
      <c r="AQ74" s="14"/>
      <c r="AR74" s="13"/>
      <c r="AS74" s="14">
        <f>AQ74-AR74</f>
        <v>0</v>
      </c>
      <c r="AT74" s="174"/>
      <c r="AU74" s="174">
        <f>AL74+AO74+AR74</f>
        <v>0</v>
      </c>
      <c r="AV74" s="38">
        <f t="shared" ref="AV74:AW77" si="115">AQ74+AN74+AK74+AF74+AC74+Z74+U74+R74+O74+J74+G74+D74</f>
        <v>30000000</v>
      </c>
      <c r="AW74" s="14">
        <f t="shared" si="115"/>
        <v>4200000</v>
      </c>
      <c r="AX74" s="178">
        <f>(AV74-(M74+X74))+AW74</f>
        <v>16200000</v>
      </c>
      <c r="AY74" s="16">
        <f>AW74*1.1</f>
        <v>4620000</v>
      </c>
      <c r="AZ74" s="16">
        <f t="shared" ref="AZ74:BB77" si="116">AY74*1.1</f>
        <v>5082000</v>
      </c>
      <c r="BA74" s="16">
        <f t="shared" si="116"/>
        <v>5590200</v>
      </c>
      <c r="BB74" s="16">
        <f t="shared" si="116"/>
        <v>6149220.0000000009</v>
      </c>
    </row>
    <row r="75" spans="1:54" s="27" customFormat="1" ht="16.899999999999999" customHeight="1" x14ac:dyDescent="0.2">
      <c r="A75" s="69">
        <v>2</v>
      </c>
      <c r="B75" s="11" t="s">
        <v>79</v>
      </c>
      <c r="C75" s="41" t="s">
        <v>122</v>
      </c>
      <c r="D75" s="14"/>
      <c r="E75" s="13"/>
      <c r="F75" s="14">
        <f>D75-E75</f>
        <v>0</v>
      </c>
      <c r="G75" s="14"/>
      <c r="H75" s="13"/>
      <c r="I75" s="14">
        <f>G75-H75</f>
        <v>0</v>
      </c>
      <c r="J75" s="14"/>
      <c r="K75" s="13"/>
      <c r="L75" s="14">
        <f>J75-K75</f>
        <v>0</v>
      </c>
      <c r="M75" s="174">
        <f t="shared" si="113"/>
        <v>0</v>
      </c>
      <c r="N75" s="174">
        <f t="shared" si="113"/>
        <v>0</v>
      </c>
      <c r="O75" s="14">
        <f>21400000+13200000</f>
        <v>34600000</v>
      </c>
      <c r="P75" s="13"/>
      <c r="Q75" s="14">
        <f>O75-P75</f>
        <v>34600000</v>
      </c>
      <c r="R75" s="14"/>
      <c r="S75" s="13"/>
      <c r="T75" s="14">
        <f>R75-S75</f>
        <v>0</v>
      </c>
      <c r="U75" s="14">
        <f>S75-T75</f>
        <v>0</v>
      </c>
      <c r="V75" s="14"/>
      <c r="W75" s="13"/>
      <c r="X75" s="174">
        <f t="shared" si="114"/>
        <v>34600000</v>
      </c>
      <c r="Y75" s="174">
        <f t="shared" si="114"/>
        <v>0</v>
      </c>
      <c r="Z75" s="14">
        <f>V75-W75</f>
        <v>0</v>
      </c>
      <c r="AA75" s="13"/>
      <c r="AB75" s="14">
        <f>Z75-AA75</f>
        <v>0</v>
      </c>
      <c r="AC75" s="14"/>
      <c r="AD75" s="13"/>
      <c r="AE75" s="14">
        <f>AC75-AD75</f>
        <v>0</v>
      </c>
      <c r="AF75" s="14"/>
      <c r="AG75" s="13"/>
      <c r="AH75" s="14">
        <f>AF75-AG75</f>
        <v>0</v>
      </c>
      <c r="AI75" s="174">
        <f t="shared" si="97"/>
        <v>0</v>
      </c>
      <c r="AJ75" s="174">
        <f>AA75+AD75+AG75</f>
        <v>0</v>
      </c>
      <c r="AK75" s="14">
        <f>21400000+13200000</f>
        <v>34600000</v>
      </c>
      <c r="AL75" s="13"/>
      <c r="AM75" s="14">
        <f>AK75-AL75</f>
        <v>34600000</v>
      </c>
      <c r="AN75" s="14"/>
      <c r="AO75" s="13"/>
      <c r="AP75" s="14">
        <f>AN75-AO75</f>
        <v>0</v>
      </c>
      <c r="AQ75" s="14"/>
      <c r="AR75" s="13"/>
      <c r="AS75" s="14">
        <f>AQ75-AR75</f>
        <v>0</v>
      </c>
      <c r="AT75" s="174"/>
      <c r="AU75" s="174">
        <f>AL75+AO75+AR75</f>
        <v>0</v>
      </c>
      <c r="AV75" s="38">
        <f t="shared" si="115"/>
        <v>69200000</v>
      </c>
      <c r="AW75" s="14">
        <f t="shared" si="115"/>
        <v>0</v>
      </c>
      <c r="AX75" s="178">
        <f>(AV75-(M75+X75))+AW75</f>
        <v>34600000</v>
      </c>
      <c r="AY75" s="16">
        <f>AW75*1.1</f>
        <v>0</v>
      </c>
      <c r="AZ75" s="16">
        <f t="shared" si="116"/>
        <v>0</v>
      </c>
      <c r="BA75" s="16">
        <f t="shared" si="116"/>
        <v>0</v>
      </c>
      <c r="BB75" s="16">
        <f t="shared" si="116"/>
        <v>0</v>
      </c>
    </row>
    <row r="76" spans="1:54" s="27" customFormat="1" ht="16.899999999999999" customHeight="1" x14ac:dyDescent="0.2">
      <c r="A76" s="69">
        <v>3</v>
      </c>
      <c r="B76" s="70" t="s">
        <v>33</v>
      </c>
      <c r="C76" s="41" t="s">
        <v>123</v>
      </c>
      <c r="D76" s="14">
        <v>800000</v>
      </c>
      <c r="E76" s="13">
        <v>1340000</v>
      </c>
      <c r="F76" s="14">
        <f>D76-E76</f>
        <v>-540000</v>
      </c>
      <c r="G76" s="14">
        <v>800000</v>
      </c>
      <c r="H76" s="13">
        <f>854000+2350000</f>
        <v>3204000</v>
      </c>
      <c r="I76" s="14">
        <f>G76-H76</f>
        <v>-2404000</v>
      </c>
      <c r="J76" s="14">
        <v>800000</v>
      </c>
      <c r="K76" s="13"/>
      <c r="L76" s="14">
        <f>J76-K76</f>
        <v>800000</v>
      </c>
      <c r="M76" s="174">
        <f t="shared" si="113"/>
        <v>2400000</v>
      </c>
      <c r="N76" s="174">
        <f t="shared" si="113"/>
        <v>4544000</v>
      </c>
      <c r="O76" s="14">
        <v>800000</v>
      </c>
      <c r="P76" s="14">
        <v>670000</v>
      </c>
      <c r="Q76" s="14">
        <f>O76-P76</f>
        <v>130000</v>
      </c>
      <c r="R76" s="14">
        <v>800000</v>
      </c>
      <c r="S76" s="13"/>
      <c r="T76" s="14">
        <f>R76-S76</f>
        <v>800000</v>
      </c>
      <c r="U76" s="14">
        <v>800000</v>
      </c>
      <c r="V76" s="13"/>
      <c r="W76" s="14">
        <f>U76-V76</f>
        <v>800000</v>
      </c>
      <c r="X76" s="174">
        <f t="shared" si="114"/>
        <v>2400000</v>
      </c>
      <c r="Y76" s="174">
        <f t="shared" si="114"/>
        <v>670000</v>
      </c>
      <c r="Z76" s="14">
        <v>800000</v>
      </c>
      <c r="AA76" s="13"/>
      <c r="AB76" s="14">
        <f>Z76-AA76</f>
        <v>800000</v>
      </c>
      <c r="AC76" s="14">
        <v>800000</v>
      </c>
      <c r="AD76" s="13"/>
      <c r="AE76" s="14">
        <f>AC76-AD76</f>
        <v>800000</v>
      </c>
      <c r="AF76" s="14">
        <v>800000</v>
      </c>
      <c r="AG76" s="13"/>
      <c r="AH76" s="14">
        <f>AF76-AG76</f>
        <v>800000</v>
      </c>
      <c r="AI76" s="174">
        <f t="shared" si="97"/>
        <v>2400000</v>
      </c>
      <c r="AJ76" s="174">
        <f>AA76+AD76+AG76</f>
        <v>0</v>
      </c>
      <c r="AK76" s="14">
        <v>800000</v>
      </c>
      <c r="AL76" s="13"/>
      <c r="AM76" s="14">
        <f>AK76-AL76</f>
        <v>800000</v>
      </c>
      <c r="AN76" s="14">
        <v>800000</v>
      </c>
      <c r="AO76" s="13"/>
      <c r="AP76" s="14">
        <f>AN76-AO76</f>
        <v>800000</v>
      </c>
      <c r="AQ76" s="14">
        <v>800000</v>
      </c>
      <c r="AR76" s="13"/>
      <c r="AS76" s="14">
        <f>AQ76-AR76</f>
        <v>800000</v>
      </c>
      <c r="AT76" s="174"/>
      <c r="AU76" s="174">
        <f>AL76+AO76+AR76</f>
        <v>0</v>
      </c>
      <c r="AV76" s="38">
        <f t="shared" si="115"/>
        <v>9600000</v>
      </c>
      <c r="AW76" s="14">
        <f t="shared" si="115"/>
        <v>5214000</v>
      </c>
      <c r="AX76" s="178">
        <f>(AV76-(M76+X76))+AW76</f>
        <v>10014000</v>
      </c>
      <c r="AY76" s="16">
        <f>AW76*1.1</f>
        <v>5735400</v>
      </c>
      <c r="AZ76" s="16">
        <f t="shared" si="116"/>
        <v>6308940.0000000009</v>
      </c>
      <c r="BA76" s="16">
        <f t="shared" si="116"/>
        <v>6939834.0000000019</v>
      </c>
      <c r="BB76" s="16">
        <f t="shared" si="116"/>
        <v>7633817.4000000022</v>
      </c>
    </row>
    <row r="77" spans="1:54" s="27" customFormat="1" ht="16.899999999999999" customHeight="1" x14ac:dyDescent="0.2">
      <c r="A77" s="69">
        <v>4</v>
      </c>
      <c r="B77" s="70" t="s">
        <v>124</v>
      </c>
      <c r="C77" s="41" t="s">
        <v>125</v>
      </c>
      <c r="D77" s="14"/>
      <c r="E77" s="13"/>
      <c r="F77" s="14"/>
      <c r="G77" s="14"/>
      <c r="H77" s="13"/>
      <c r="I77" s="14"/>
      <c r="J77" s="14"/>
      <c r="K77" s="13"/>
      <c r="L77" s="14"/>
      <c r="M77" s="174">
        <f t="shared" si="113"/>
        <v>0</v>
      </c>
      <c r="N77" s="174">
        <f t="shared" si="113"/>
        <v>0</v>
      </c>
      <c r="O77" s="14">
        <v>20000000</v>
      </c>
      <c r="P77" s="14"/>
      <c r="Q77" s="14">
        <f>O77-P77</f>
        <v>20000000</v>
      </c>
      <c r="R77" s="14"/>
      <c r="S77" s="13"/>
      <c r="T77" s="14"/>
      <c r="U77" s="14"/>
      <c r="V77" s="13"/>
      <c r="W77" s="14"/>
      <c r="X77" s="174">
        <f t="shared" si="114"/>
        <v>20000000</v>
      </c>
      <c r="Y77" s="174">
        <f t="shared" si="114"/>
        <v>0</v>
      </c>
      <c r="Z77" s="14"/>
      <c r="AA77" s="13"/>
      <c r="AB77" s="14"/>
      <c r="AC77" s="14"/>
      <c r="AD77" s="13"/>
      <c r="AE77" s="14"/>
      <c r="AF77" s="14"/>
      <c r="AG77" s="13"/>
      <c r="AH77" s="14"/>
      <c r="AI77" s="174">
        <f t="shared" si="97"/>
        <v>0</v>
      </c>
      <c r="AJ77" s="174">
        <f>AA77+AD77+AG77</f>
        <v>0</v>
      </c>
      <c r="AK77" s="14"/>
      <c r="AL77" s="13"/>
      <c r="AM77" s="14"/>
      <c r="AN77" s="14"/>
      <c r="AO77" s="13"/>
      <c r="AP77" s="14"/>
      <c r="AQ77" s="14">
        <f>1.3*AQ23</f>
        <v>9925500</v>
      </c>
      <c r="AR77" s="13"/>
      <c r="AS77" s="14">
        <f>AQ77-AR77</f>
        <v>9925500</v>
      </c>
      <c r="AT77" s="174"/>
      <c r="AU77" s="174">
        <f>AL77+AO77+AR77</f>
        <v>0</v>
      </c>
      <c r="AV77" s="38">
        <f t="shared" si="115"/>
        <v>29925500</v>
      </c>
      <c r="AW77" s="14">
        <f t="shared" si="115"/>
        <v>0</v>
      </c>
      <c r="AX77" s="178">
        <f>(AV77-(M77+X77))+AW77</f>
        <v>9925500</v>
      </c>
      <c r="AY77" s="16">
        <f>AW77*1.1</f>
        <v>0</v>
      </c>
      <c r="AZ77" s="16">
        <f t="shared" si="116"/>
        <v>0</v>
      </c>
      <c r="BA77" s="16">
        <f t="shared" si="116"/>
        <v>0</v>
      </c>
      <c r="BB77" s="16">
        <f t="shared" si="116"/>
        <v>0</v>
      </c>
    </row>
    <row r="78" spans="1:54" s="2" customFormat="1" ht="16.899999999999999" customHeight="1" x14ac:dyDescent="0.2">
      <c r="A78" s="58"/>
      <c r="B78" s="11"/>
      <c r="C78" s="47" t="s">
        <v>126</v>
      </c>
      <c r="D78" s="19">
        <f t="shared" ref="D78:BB78" si="117">SUM(D74:D77)</f>
        <v>6800000</v>
      </c>
      <c r="E78" s="19">
        <f t="shared" si="117"/>
        <v>1340000</v>
      </c>
      <c r="F78" s="19">
        <f t="shared" si="117"/>
        <v>5460000</v>
      </c>
      <c r="G78" s="19">
        <f t="shared" si="117"/>
        <v>6800000</v>
      </c>
      <c r="H78" s="19">
        <f t="shared" si="117"/>
        <v>3204000</v>
      </c>
      <c r="I78" s="19">
        <f t="shared" si="117"/>
        <v>3596000</v>
      </c>
      <c r="J78" s="19">
        <f t="shared" si="117"/>
        <v>800000</v>
      </c>
      <c r="K78" s="19">
        <f t="shared" si="117"/>
        <v>0</v>
      </c>
      <c r="L78" s="19">
        <f t="shared" si="117"/>
        <v>800000</v>
      </c>
      <c r="M78" s="19">
        <f t="shared" si="117"/>
        <v>14400000</v>
      </c>
      <c r="N78" s="19">
        <f t="shared" si="117"/>
        <v>4544000</v>
      </c>
      <c r="O78" s="19">
        <f t="shared" si="117"/>
        <v>61400000</v>
      </c>
      <c r="P78" s="19">
        <f t="shared" si="117"/>
        <v>670000</v>
      </c>
      <c r="Q78" s="19">
        <f t="shared" si="117"/>
        <v>60730000</v>
      </c>
      <c r="R78" s="19">
        <f t="shared" si="117"/>
        <v>800000</v>
      </c>
      <c r="S78" s="19">
        <f t="shared" si="117"/>
        <v>4200000</v>
      </c>
      <c r="T78" s="19">
        <f t="shared" si="117"/>
        <v>-3400000</v>
      </c>
      <c r="U78" s="19">
        <f t="shared" si="117"/>
        <v>800000</v>
      </c>
      <c r="V78" s="19">
        <f t="shared" si="117"/>
        <v>0</v>
      </c>
      <c r="W78" s="19">
        <f t="shared" si="117"/>
        <v>800000</v>
      </c>
      <c r="X78" s="19">
        <f t="shared" si="117"/>
        <v>63000000</v>
      </c>
      <c r="Y78" s="19">
        <f t="shared" si="117"/>
        <v>4870000</v>
      </c>
      <c r="Z78" s="19">
        <f t="shared" si="117"/>
        <v>6800000</v>
      </c>
      <c r="AA78" s="19">
        <f t="shared" si="117"/>
        <v>0</v>
      </c>
      <c r="AB78" s="19">
        <f t="shared" si="117"/>
        <v>6800000</v>
      </c>
      <c r="AC78" s="19">
        <f t="shared" si="117"/>
        <v>800000</v>
      </c>
      <c r="AD78" s="19">
        <f t="shared" si="117"/>
        <v>0</v>
      </c>
      <c r="AE78" s="19">
        <f t="shared" si="117"/>
        <v>800000</v>
      </c>
      <c r="AF78" s="19">
        <f t="shared" si="117"/>
        <v>800000</v>
      </c>
      <c r="AG78" s="19">
        <f t="shared" si="117"/>
        <v>0</v>
      </c>
      <c r="AH78" s="19">
        <f t="shared" si="117"/>
        <v>800000</v>
      </c>
      <c r="AI78" s="19">
        <f t="shared" si="117"/>
        <v>8400000</v>
      </c>
      <c r="AJ78" s="19">
        <f t="shared" si="117"/>
        <v>0</v>
      </c>
      <c r="AK78" s="19">
        <f t="shared" si="117"/>
        <v>41400000</v>
      </c>
      <c r="AL78" s="19">
        <f t="shared" si="117"/>
        <v>0</v>
      </c>
      <c r="AM78" s="19">
        <f t="shared" si="117"/>
        <v>41400000</v>
      </c>
      <c r="AN78" s="19">
        <f t="shared" si="117"/>
        <v>800000</v>
      </c>
      <c r="AO78" s="19">
        <f t="shared" si="117"/>
        <v>0</v>
      </c>
      <c r="AP78" s="19">
        <f t="shared" si="117"/>
        <v>800000</v>
      </c>
      <c r="AQ78" s="19">
        <f t="shared" si="117"/>
        <v>10725500</v>
      </c>
      <c r="AR78" s="19">
        <f t="shared" si="117"/>
        <v>0</v>
      </c>
      <c r="AS78" s="19">
        <f t="shared" si="117"/>
        <v>10725500</v>
      </c>
      <c r="AT78" s="19">
        <f t="shared" si="117"/>
        <v>0</v>
      </c>
      <c r="AU78" s="19">
        <f t="shared" si="117"/>
        <v>0</v>
      </c>
      <c r="AV78" s="19">
        <f t="shared" si="117"/>
        <v>138725500</v>
      </c>
      <c r="AW78" s="19">
        <f t="shared" si="117"/>
        <v>9414000</v>
      </c>
      <c r="AX78" s="19">
        <f t="shared" si="117"/>
        <v>70739500</v>
      </c>
      <c r="AY78" s="19">
        <f t="shared" si="117"/>
        <v>10355400</v>
      </c>
      <c r="AZ78" s="19">
        <f t="shared" si="117"/>
        <v>11390940</v>
      </c>
      <c r="BA78" s="19">
        <f t="shared" si="117"/>
        <v>12530034.000000002</v>
      </c>
      <c r="BB78" s="19">
        <f t="shared" si="117"/>
        <v>13783037.400000002</v>
      </c>
    </row>
    <row r="79" spans="1:54" ht="16.899999999999999" customHeight="1" x14ac:dyDescent="0.2">
      <c r="A79" s="10">
        <v>1</v>
      </c>
      <c r="B79" s="11" t="s">
        <v>57</v>
      </c>
      <c r="C79" s="29" t="s">
        <v>127</v>
      </c>
      <c r="D79" s="14"/>
      <c r="E79" s="13">
        <v>29751683</v>
      </c>
      <c r="F79" s="14">
        <f t="shared" ref="F79:F85" si="118">D79-E79</f>
        <v>-29751683</v>
      </c>
      <c r="G79" s="14"/>
      <c r="H79" s="13"/>
      <c r="I79" s="14">
        <f t="shared" ref="I79:I85" si="119">G79-H79</f>
        <v>0</v>
      </c>
      <c r="J79" s="14"/>
      <c r="K79" s="13"/>
      <c r="L79" s="14">
        <f t="shared" ref="L79:L84" si="120">J79-K79</f>
        <v>0</v>
      </c>
      <c r="M79" s="174">
        <f t="shared" ref="M79:N85" si="121">D79+G79+J79</f>
        <v>0</v>
      </c>
      <c r="N79" s="174">
        <f t="shared" si="121"/>
        <v>29751683</v>
      </c>
      <c r="O79" s="14">
        <v>10000000</v>
      </c>
      <c r="P79" s="13"/>
      <c r="Q79" s="14">
        <f t="shared" ref="Q79:Q84" si="122">O79-P79</f>
        <v>10000000</v>
      </c>
      <c r="R79" s="14"/>
      <c r="S79" s="13"/>
      <c r="T79" s="14">
        <f t="shared" ref="T79:T84" si="123">R79-S79</f>
        <v>0</v>
      </c>
      <c r="U79" s="14">
        <v>25000000</v>
      </c>
      <c r="V79" s="13"/>
      <c r="W79" s="14">
        <f t="shared" ref="W79:W84" si="124">U79-V79</f>
        <v>25000000</v>
      </c>
      <c r="X79" s="174">
        <f t="shared" ref="X79:Y85" si="125">O79+R79+U79</f>
        <v>35000000</v>
      </c>
      <c r="Y79" s="174">
        <f t="shared" si="125"/>
        <v>0</v>
      </c>
      <c r="Z79" s="14"/>
      <c r="AA79" s="13"/>
      <c r="AB79" s="14">
        <f t="shared" ref="AB79:AB84" si="126">Z79-AA79</f>
        <v>0</v>
      </c>
      <c r="AC79" s="14">
        <v>7500000</v>
      </c>
      <c r="AD79" s="13"/>
      <c r="AE79" s="14">
        <f t="shared" ref="AE79:AE84" si="127">AC79-AD79</f>
        <v>7500000</v>
      </c>
      <c r="AF79" s="14"/>
      <c r="AG79" s="13"/>
      <c r="AH79" s="14">
        <f t="shared" ref="AH79:AH84" si="128">AF79-AG79</f>
        <v>0</v>
      </c>
      <c r="AI79" s="174">
        <f t="shared" si="97"/>
        <v>7500000</v>
      </c>
      <c r="AJ79" s="174">
        <f t="shared" ref="AJ79:AJ85" si="129">AA79+AD79+AG79</f>
        <v>0</v>
      </c>
      <c r="AK79" s="14"/>
      <c r="AL79" s="13"/>
      <c r="AM79" s="14">
        <f t="shared" ref="AM79:AM84" si="130">AK79-AL79</f>
        <v>0</v>
      </c>
      <c r="AN79" s="14"/>
      <c r="AO79" s="13"/>
      <c r="AP79" s="14">
        <f t="shared" ref="AP79:AP84" si="131">AN79-AO79</f>
        <v>0</v>
      </c>
      <c r="AQ79" s="14">
        <v>25000000</v>
      </c>
      <c r="AR79" s="13"/>
      <c r="AS79" s="14">
        <f t="shared" ref="AS79:AS84" si="132">AQ79-AR79</f>
        <v>25000000</v>
      </c>
      <c r="AT79" s="174"/>
      <c r="AU79" s="174">
        <f t="shared" ref="AU79:AU85" si="133">AL79+AO79+AR79</f>
        <v>0</v>
      </c>
      <c r="AV79" s="38">
        <f t="shared" ref="AV79:AW85" si="134">AQ79+AN79+AK79+AF79+AC79+Z79+U79+R79+O79+J79+G79+D79</f>
        <v>67500000</v>
      </c>
      <c r="AW79" s="14">
        <f t="shared" si="134"/>
        <v>29751683</v>
      </c>
      <c r="AX79" s="178">
        <f t="shared" ref="AX79:AX85" si="135">(AV79-(M79+X79))+AW79</f>
        <v>62251683</v>
      </c>
      <c r="AY79" s="16">
        <f t="shared" ref="AY79:AY85" si="136">AW79*1.1</f>
        <v>32726851.300000004</v>
      </c>
      <c r="AZ79" s="16">
        <f t="shared" ref="AZ79:BB85" si="137">AY79*1.1</f>
        <v>35999536.430000007</v>
      </c>
      <c r="BA79" s="16">
        <f t="shared" si="137"/>
        <v>39599490.073000014</v>
      </c>
      <c r="BB79" s="16">
        <f t="shared" si="137"/>
        <v>43559439.080300018</v>
      </c>
    </row>
    <row r="80" spans="1:54" ht="16.899999999999999" customHeight="1" x14ac:dyDescent="0.2">
      <c r="A80" s="10">
        <v>2</v>
      </c>
      <c r="B80" s="11" t="s">
        <v>79</v>
      </c>
      <c r="C80" s="29" t="s">
        <v>128</v>
      </c>
      <c r="D80" s="14">
        <v>1250000</v>
      </c>
      <c r="E80" s="13">
        <v>15696160</v>
      </c>
      <c r="F80" s="14">
        <f t="shared" si="118"/>
        <v>-14446160</v>
      </c>
      <c r="G80" s="14">
        <v>1250000</v>
      </c>
      <c r="H80" s="13"/>
      <c r="I80" s="14">
        <f t="shared" si="119"/>
        <v>1250000</v>
      </c>
      <c r="J80" s="14">
        <v>1250000</v>
      </c>
      <c r="K80" s="13"/>
      <c r="L80" s="14">
        <f t="shared" si="120"/>
        <v>1250000</v>
      </c>
      <c r="M80" s="174">
        <f t="shared" si="121"/>
        <v>3750000</v>
      </c>
      <c r="N80" s="174">
        <f t="shared" si="121"/>
        <v>15696160</v>
      </c>
      <c r="O80" s="14">
        <v>1250000</v>
      </c>
      <c r="P80" s="13">
        <v>7500000</v>
      </c>
      <c r="Q80" s="14">
        <f t="shared" si="122"/>
        <v>-6250000</v>
      </c>
      <c r="R80" s="14">
        <v>1250000</v>
      </c>
      <c r="S80" s="13"/>
      <c r="T80" s="14">
        <f t="shared" si="123"/>
        <v>1250000</v>
      </c>
      <c r="U80" s="14">
        <f>1250000+50000000</f>
        <v>51250000</v>
      </c>
      <c r="V80" s="13"/>
      <c r="W80" s="14">
        <f t="shared" si="124"/>
        <v>51250000</v>
      </c>
      <c r="X80" s="174">
        <f t="shared" si="125"/>
        <v>53750000</v>
      </c>
      <c r="Y80" s="174">
        <f t="shared" si="125"/>
        <v>7500000</v>
      </c>
      <c r="Z80" s="14">
        <v>1250000</v>
      </c>
      <c r="AA80" s="13"/>
      <c r="AB80" s="14">
        <f t="shared" si="126"/>
        <v>1250000</v>
      </c>
      <c r="AC80" s="14">
        <v>1250000</v>
      </c>
      <c r="AD80" s="13"/>
      <c r="AE80" s="14">
        <f t="shared" si="127"/>
        <v>1250000</v>
      </c>
      <c r="AF80" s="14">
        <v>1250000</v>
      </c>
      <c r="AG80" s="13"/>
      <c r="AH80" s="14">
        <f t="shared" si="128"/>
        <v>1250000</v>
      </c>
      <c r="AI80" s="174">
        <f t="shared" si="97"/>
        <v>3750000</v>
      </c>
      <c r="AJ80" s="174">
        <f t="shared" si="129"/>
        <v>0</v>
      </c>
      <c r="AK80" s="14">
        <v>1250000</v>
      </c>
      <c r="AL80" s="13"/>
      <c r="AM80" s="14">
        <f t="shared" si="130"/>
        <v>1250000</v>
      </c>
      <c r="AN80" s="14">
        <v>1250000</v>
      </c>
      <c r="AO80" s="13"/>
      <c r="AP80" s="14">
        <f t="shared" si="131"/>
        <v>1250000</v>
      </c>
      <c r="AQ80" s="14">
        <v>1250000</v>
      </c>
      <c r="AR80" s="13"/>
      <c r="AS80" s="14">
        <f t="shared" si="132"/>
        <v>1250000</v>
      </c>
      <c r="AT80" s="174"/>
      <c r="AU80" s="174">
        <f t="shared" si="133"/>
        <v>0</v>
      </c>
      <c r="AV80" s="38">
        <f t="shared" si="134"/>
        <v>65000000</v>
      </c>
      <c r="AW80" s="14">
        <f t="shared" si="134"/>
        <v>23196160</v>
      </c>
      <c r="AX80" s="178">
        <f t="shared" si="135"/>
        <v>30696160</v>
      </c>
      <c r="AY80" s="16">
        <f t="shared" si="136"/>
        <v>25515776.000000004</v>
      </c>
      <c r="AZ80" s="16">
        <f t="shared" si="137"/>
        <v>28067353.600000005</v>
      </c>
      <c r="BA80" s="16">
        <f t="shared" si="137"/>
        <v>30874088.960000008</v>
      </c>
      <c r="BB80" s="16">
        <f t="shared" si="137"/>
        <v>33961497.856000014</v>
      </c>
    </row>
    <row r="81" spans="1:54" ht="16.899999999999999" customHeight="1" x14ac:dyDescent="0.2">
      <c r="A81" s="10">
        <v>3</v>
      </c>
      <c r="B81" s="11" t="s">
        <v>47</v>
      </c>
      <c r="C81" s="29" t="s">
        <v>111</v>
      </c>
      <c r="D81" s="14">
        <v>10000000</v>
      </c>
      <c r="E81" s="13"/>
      <c r="F81" s="14">
        <f t="shared" si="118"/>
        <v>10000000</v>
      </c>
      <c r="G81" s="14"/>
      <c r="H81" s="13"/>
      <c r="I81" s="14">
        <f t="shared" si="119"/>
        <v>0</v>
      </c>
      <c r="J81" s="14">
        <v>5000000</v>
      </c>
      <c r="K81" s="13"/>
      <c r="L81" s="14">
        <f t="shared" si="120"/>
        <v>5000000</v>
      </c>
      <c r="M81" s="174">
        <f t="shared" si="121"/>
        <v>15000000</v>
      </c>
      <c r="N81" s="174">
        <f t="shared" si="121"/>
        <v>0</v>
      </c>
      <c r="O81" s="14">
        <f>5000000</f>
        <v>5000000</v>
      </c>
      <c r="P81" s="13"/>
      <c r="Q81" s="14">
        <f t="shared" si="122"/>
        <v>5000000</v>
      </c>
      <c r="R81" s="14"/>
      <c r="S81" s="13"/>
      <c r="T81" s="14">
        <f t="shared" si="123"/>
        <v>0</v>
      </c>
      <c r="U81" s="14">
        <v>10000000</v>
      </c>
      <c r="V81" s="13"/>
      <c r="W81" s="14">
        <f t="shared" si="124"/>
        <v>10000000</v>
      </c>
      <c r="X81" s="174">
        <f t="shared" si="125"/>
        <v>15000000</v>
      </c>
      <c r="Y81" s="174">
        <f t="shared" si="125"/>
        <v>0</v>
      </c>
      <c r="Z81" s="14">
        <v>5000000</v>
      </c>
      <c r="AA81" s="13"/>
      <c r="AB81" s="14">
        <f t="shared" si="126"/>
        <v>5000000</v>
      </c>
      <c r="AC81" s="14">
        <v>10000000</v>
      </c>
      <c r="AD81" s="13"/>
      <c r="AE81" s="14">
        <f t="shared" si="127"/>
        <v>10000000</v>
      </c>
      <c r="AF81" s="14"/>
      <c r="AG81" s="13"/>
      <c r="AH81" s="14">
        <f t="shared" si="128"/>
        <v>0</v>
      </c>
      <c r="AI81" s="174">
        <f t="shared" si="97"/>
        <v>15000000</v>
      </c>
      <c r="AJ81" s="174">
        <f t="shared" si="129"/>
        <v>0</v>
      </c>
      <c r="AK81" s="14">
        <v>5000000</v>
      </c>
      <c r="AL81" s="13"/>
      <c r="AM81" s="14">
        <f t="shared" si="130"/>
        <v>5000000</v>
      </c>
      <c r="AN81" s="14"/>
      <c r="AO81" s="13"/>
      <c r="AP81" s="14">
        <f t="shared" si="131"/>
        <v>0</v>
      </c>
      <c r="AQ81" s="14">
        <f>10000000</f>
        <v>10000000</v>
      </c>
      <c r="AR81" s="13"/>
      <c r="AS81" s="14">
        <f t="shared" si="132"/>
        <v>10000000</v>
      </c>
      <c r="AT81" s="174"/>
      <c r="AU81" s="174">
        <f t="shared" si="133"/>
        <v>0</v>
      </c>
      <c r="AV81" s="38">
        <f t="shared" si="134"/>
        <v>60000000</v>
      </c>
      <c r="AW81" s="14">
        <f t="shared" si="134"/>
        <v>0</v>
      </c>
      <c r="AX81" s="178">
        <f t="shared" si="135"/>
        <v>30000000</v>
      </c>
      <c r="AY81" s="16">
        <f t="shared" si="136"/>
        <v>0</v>
      </c>
      <c r="AZ81" s="16">
        <f t="shared" si="137"/>
        <v>0</v>
      </c>
      <c r="BA81" s="16">
        <f t="shared" si="137"/>
        <v>0</v>
      </c>
      <c r="BB81" s="16">
        <f t="shared" si="137"/>
        <v>0</v>
      </c>
    </row>
    <row r="82" spans="1:54" ht="16.899999999999999" customHeight="1" x14ac:dyDescent="0.2">
      <c r="A82" s="10">
        <v>4</v>
      </c>
      <c r="B82" s="11" t="s">
        <v>129</v>
      </c>
      <c r="C82" s="29" t="s">
        <v>130</v>
      </c>
      <c r="D82" s="14">
        <v>600000</v>
      </c>
      <c r="E82" s="13">
        <v>100000</v>
      </c>
      <c r="F82" s="14">
        <f t="shared" si="118"/>
        <v>500000</v>
      </c>
      <c r="G82" s="14">
        <v>600000</v>
      </c>
      <c r="H82" s="13"/>
      <c r="I82" s="14">
        <f t="shared" si="119"/>
        <v>600000</v>
      </c>
      <c r="J82" s="14">
        <v>600000</v>
      </c>
      <c r="K82" s="13">
        <f>7930398</f>
        <v>7930398</v>
      </c>
      <c r="L82" s="14">
        <f t="shared" si="120"/>
        <v>-7330398</v>
      </c>
      <c r="M82" s="174">
        <f t="shared" si="121"/>
        <v>1800000</v>
      </c>
      <c r="N82" s="174">
        <f t="shared" si="121"/>
        <v>8030398</v>
      </c>
      <c r="O82" s="14">
        <f>80000000+600000</f>
        <v>80600000</v>
      </c>
      <c r="P82" s="13">
        <v>9586046</v>
      </c>
      <c r="Q82" s="14">
        <f t="shared" si="122"/>
        <v>71013954</v>
      </c>
      <c r="R82" s="14">
        <v>600000</v>
      </c>
      <c r="S82" s="13">
        <v>8053024</v>
      </c>
      <c r="T82" s="14">
        <f t="shared" si="123"/>
        <v>-7453024</v>
      </c>
      <c r="U82" s="14">
        <v>600000</v>
      </c>
      <c r="V82" s="13"/>
      <c r="W82" s="14">
        <f t="shared" si="124"/>
        <v>600000</v>
      </c>
      <c r="X82" s="174">
        <f t="shared" si="125"/>
        <v>81800000</v>
      </c>
      <c r="Y82" s="174">
        <f t="shared" si="125"/>
        <v>17639070</v>
      </c>
      <c r="Z82" s="14">
        <v>600000</v>
      </c>
      <c r="AA82" s="13">
        <v>8275503</v>
      </c>
      <c r="AB82" s="14">
        <f t="shared" si="126"/>
        <v>-7675503</v>
      </c>
      <c r="AC82" s="14">
        <v>600000</v>
      </c>
      <c r="AD82" s="13">
        <v>8326305.4000000004</v>
      </c>
      <c r="AE82" s="14">
        <f t="shared" si="127"/>
        <v>-7726305.4000000004</v>
      </c>
      <c r="AF82" s="14">
        <v>600000</v>
      </c>
      <c r="AG82" s="13">
        <v>8042503.2000000002</v>
      </c>
      <c r="AH82" s="14">
        <f t="shared" si="128"/>
        <v>-7442503.2000000002</v>
      </c>
      <c r="AI82" s="174">
        <f t="shared" si="97"/>
        <v>1800000</v>
      </c>
      <c r="AJ82" s="174">
        <f t="shared" si="129"/>
        <v>24644311.600000001</v>
      </c>
      <c r="AK82" s="14">
        <v>600000</v>
      </c>
      <c r="AL82" s="13"/>
      <c r="AM82" s="14">
        <f t="shared" si="130"/>
        <v>600000</v>
      </c>
      <c r="AN82" s="14">
        <v>600000</v>
      </c>
      <c r="AO82" s="13"/>
      <c r="AP82" s="14">
        <f t="shared" si="131"/>
        <v>600000</v>
      </c>
      <c r="AQ82" s="14">
        <v>600000</v>
      </c>
      <c r="AR82" s="13"/>
      <c r="AS82" s="14">
        <f t="shared" si="132"/>
        <v>600000</v>
      </c>
      <c r="AT82" s="174"/>
      <c r="AU82" s="174">
        <f t="shared" si="133"/>
        <v>0</v>
      </c>
      <c r="AV82" s="38">
        <f t="shared" si="134"/>
        <v>87200000</v>
      </c>
      <c r="AW82" s="14">
        <f t="shared" si="134"/>
        <v>50313779.600000001</v>
      </c>
      <c r="AX82" s="178">
        <f t="shared" si="135"/>
        <v>53913779.600000001</v>
      </c>
      <c r="AY82" s="16">
        <f t="shared" si="136"/>
        <v>55345157.560000002</v>
      </c>
      <c r="AZ82" s="16">
        <f t="shared" si="137"/>
        <v>60879673.316000007</v>
      </c>
      <c r="BA82" s="16">
        <f t="shared" si="137"/>
        <v>66967640.64760001</v>
      </c>
      <c r="BB82" s="16">
        <f t="shared" si="137"/>
        <v>73664404.71236001</v>
      </c>
    </row>
    <row r="83" spans="1:54" ht="16.899999999999999" customHeight="1" x14ac:dyDescent="0.2">
      <c r="A83" s="10">
        <v>5</v>
      </c>
      <c r="B83" s="11" t="s">
        <v>36</v>
      </c>
      <c r="C83" s="29" t="s">
        <v>131</v>
      </c>
      <c r="D83" s="14"/>
      <c r="E83" s="13"/>
      <c r="F83" s="14">
        <f t="shared" si="118"/>
        <v>0</v>
      </c>
      <c r="G83" s="14"/>
      <c r="H83" s="13"/>
      <c r="I83" s="14">
        <f t="shared" si="119"/>
        <v>0</v>
      </c>
      <c r="J83" s="14"/>
      <c r="K83" s="13"/>
      <c r="L83" s="14">
        <f t="shared" si="120"/>
        <v>0</v>
      </c>
      <c r="M83" s="174">
        <f t="shared" si="121"/>
        <v>0</v>
      </c>
      <c r="N83" s="174">
        <f t="shared" si="121"/>
        <v>0</v>
      </c>
      <c r="O83" s="14"/>
      <c r="P83" s="13"/>
      <c r="Q83" s="14">
        <f t="shared" si="122"/>
        <v>0</v>
      </c>
      <c r="R83" s="14"/>
      <c r="S83" s="13"/>
      <c r="T83" s="14">
        <f t="shared" si="123"/>
        <v>0</v>
      </c>
      <c r="U83" s="14"/>
      <c r="V83" s="13"/>
      <c r="W83" s="14">
        <f t="shared" si="124"/>
        <v>0</v>
      </c>
      <c r="X83" s="174">
        <f t="shared" si="125"/>
        <v>0</v>
      </c>
      <c r="Y83" s="174">
        <f t="shared" si="125"/>
        <v>0</v>
      </c>
      <c r="Z83" s="14"/>
      <c r="AA83" s="13"/>
      <c r="AB83" s="14">
        <f t="shared" si="126"/>
        <v>0</v>
      </c>
      <c r="AC83" s="14"/>
      <c r="AD83" s="13"/>
      <c r="AE83" s="14">
        <f t="shared" si="127"/>
        <v>0</v>
      </c>
      <c r="AF83" s="14"/>
      <c r="AG83" s="13"/>
      <c r="AH83" s="14">
        <f t="shared" si="128"/>
        <v>0</v>
      </c>
      <c r="AI83" s="174">
        <f t="shared" si="97"/>
        <v>0</v>
      </c>
      <c r="AJ83" s="174">
        <f t="shared" si="129"/>
        <v>0</v>
      </c>
      <c r="AK83" s="14"/>
      <c r="AL83" s="13"/>
      <c r="AM83" s="14">
        <f t="shared" si="130"/>
        <v>0</v>
      </c>
      <c r="AN83" s="14"/>
      <c r="AO83" s="13"/>
      <c r="AP83" s="14">
        <f t="shared" si="131"/>
        <v>0</v>
      </c>
      <c r="AQ83" s="14"/>
      <c r="AR83" s="13"/>
      <c r="AS83" s="14">
        <f t="shared" si="132"/>
        <v>0</v>
      </c>
      <c r="AT83" s="174"/>
      <c r="AU83" s="174">
        <f t="shared" si="133"/>
        <v>0</v>
      </c>
      <c r="AV83" s="38">
        <f t="shared" si="134"/>
        <v>0</v>
      </c>
      <c r="AW83" s="14">
        <f t="shared" si="134"/>
        <v>0</v>
      </c>
      <c r="AX83" s="178">
        <f t="shared" si="135"/>
        <v>0</v>
      </c>
      <c r="AY83" s="16">
        <f t="shared" si="136"/>
        <v>0</v>
      </c>
      <c r="AZ83" s="16">
        <f t="shared" si="137"/>
        <v>0</v>
      </c>
      <c r="BA83" s="16">
        <f t="shared" si="137"/>
        <v>0</v>
      </c>
      <c r="BB83" s="16">
        <f t="shared" si="137"/>
        <v>0</v>
      </c>
    </row>
    <row r="84" spans="1:54" ht="16.899999999999999" customHeight="1" x14ac:dyDescent="0.2">
      <c r="A84" s="10">
        <v>6</v>
      </c>
      <c r="B84" s="11" t="s">
        <v>39</v>
      </c>
      <c r="C84" s="29" t="s">
        <v>132</v>
      </c>
      <c r="D84" s="14">
        <v>12500000</v>
      </c>
      <c r="E84" s="13"/>
      <c r="F84" s="14">
        <f t="shared" si="118"/>
        <v>12500000</v>
      </c>
      <c r="G84" s="14"/>
      <c r="H84" s="13">
        <v>5000000</v>
      </c>
      <c r="I84" s="14">
        <f t="shared" si="119"/>
        <v>-5000000</v>
      </c>
      <c r="J84" s="14"/>
      <c r="K84" s="13"/>
      <c r="L84" s="14">
        <f t="shared" si="120"/>
        <v>0</v>
      </c>
      <c r="M84" s="174">
        <f t="shared" si="121"/>
        <v>12500000</v>
      </c>
      <c r="N84" s="174">
        <f t="shared" si="121"/>
        <v>5000000</v>
      </c>
      <c r="O84" s="14">
        <v>12500000</v>
      </c>
      <c r="P84" s="13"/>
      <c r="Q84" s="14">
        <f t="shared" si="122"/>
        <v>12500000</v>
      </c>
      <c r="R84" s="14"/>
      <c r="S84" s="13"/>
      <c r="T84" s="14">
        <f t="shared" si="123"/>
        <v>0</v>
      </c>
      <c r="U84" s="14"/>
      <c r="V84" s="13"/>
      <c r="W84" s="14">
        <f t="shared" si="124"/>
        <v>0</v>
      </c>
      <c r="X84" s="174">
        <f t="shared" si="125"/>
        <v>12500000</v>
      </c>
      <c r="Y84" s="174">
        <f t="shared" si="125"/>
        <v>0</v>
      </c>
      <c r="Z84" s="14">
        <f>450000+12500000</f>
        <v>12950000</v>
      </c>
      <c r="AA84" s="13"/>
      <c r="AB84" s="14">
        <f t="shared" si="126"/>
        <v>12950000</v>
      </c>
      <c r="AC84" s="14">
        <v>3000000</v>
      </c>
      <c r="AD84" s="13"/>
      <c r="AE84" s="14">
        <f t="shared" si="127"/>
        <v>3000000</v>
      </c>
      <c r="AF84" s="14"/>
      <c r="AG84" s="13"/>
      <c r="AH84" s="14">
        <f t="shared" si="128"/>
        <v>0</v>
      </c>
      <c r="AI84" s="174">
        <f t="shared" si="97"/>
        <v>15950000</v>
      </c>
      <c r="AJ84" s="174">
        <f t="shared" si="129"/>
        <v>0</v>
      </c>
      <c r="AK84" s="14">
        <v>12500000</v>
      </c>
      <c r="AL84" s="13"/>
      <c r="AM84" s="14">
        <f t="shared" si="130"/>
        <v>12500000</v>
      </c>
      <c r="AN84" s="14">
        <v>3500000</v>
      </c>
      <c r="AO84" s="13"/>
      <c r="AP84" s="14">
        <f t="shared" si="131"/>
        <v>3500000</v>
      </c>
      <c r="AQ84" s="14"/>
      <c r="AR84" s="13"/>
      <c r="AS84" s="14">
        <f t="shared" si="132"/>
        <v>0</v>
      </c>
      <c r="AT84" s="174"/>
      <c r="AU84" s="174">
        <f t="shared" si="133"/>
        <v>0</v>
      </c>
      <c r="AV84" s="38">
        <f t="shared" si="134"/>
        <v>56950000</v>
      </c>
      <c r="AW84" s="14">
        <f t="shared" si="134"/>
        <v>5000000</v>
      </c>
      <c r="AX84" s="178">
        <f t="shared" si="135"/>
        <v>36950000</v>
      </c>
      <c r="AY84" s="16">
        <f t="shared" si="136"/>
        <v>5500000</v>
      </c>
      <c r="AZ84" s="16">
        <f t="shared" si="137"/>
        <v>6050000.0000000009</v>
      </c>
      <c r="BA84" s="16">
        <f t="shared" si="137"/>
        <v>6655000.0000000019</v>
      </c>
      <c r="BB84" s="16">
        <f t="shared" si="137"/>
        <v>7320500.0000000028</v>
      </c>
    </row>
    <row r="85" spans="1:54" ht="16.899999999999999" customHeight="1" x14ac:dyDescent="0.2">
      <c r="A85" s="10">
        <v>7</v>
      </c>
      <c r="B85" s="11" t="s">
        <v>53</v>
      </c>
      <c r="C85" s="29" t="s">
        <v>112</v>
      </c>
      <c r="D85" s="14"/>
      <c r="E85" s="13">
        <f>440000+155000</f>
        <v>595000</v>
      </c>
      <c r="F85" s="14">
        <f t="shared" si="118"/>
        <v>-595000</v>
      </c>
      <c r="G85" s="14"/>
      <c r="H85" s="13">
        <f>1088600</f>
        <v>1088600</v>
      </c>
      <c r="I85" s="14">
        <f t="shared" si="119"/>
        <v>-1088600</v>
      </c>
      <c r="J85" s="14"/>
      <c r="K85" s="13"/>
      <c r="L85" s="14"/>
      <c r="M85" s="174">
        <f t="shared" si="121"/>
        <v>0</v>
      </c>
      <c r="N85" s="174">
        <f t="shared" si="121"/>
        <v>1683600</v>
      </c>
      <c r="O85" s="14"/>
      <c r="P85" s="13"/>
      <c r="Q85" s="14"/>
      <c r="R85" s="14"/>
      <c r="S85" s="13"/>
      <c r="T85" s="14"/>
      <c r="U85" s="14"/>
      <c r="V85" s="13"/>
      <c r="W85" s="14"/>
      <c r="X85" s="174">
        <f t="shared" si="125"/>
        <v>0</v>
      </c>
      <c r="Y85" s="174">
        <f t="shared" si="125"/>
        <v>0</v>
      </c>
      <c r="Z85" s="14"/>
      <c r="AA85" s="13"/>
      <c r="AB85" s="14"/>
      <c r="AC85" s="14"/>
      <c r="AD85" s="13"/>
      <c r="AE85" s="14"/>
      <c r="AF85" s="14"/>
      <c r="AG85" s="13"/>
      <c r="AH85" s="14"/>
      <c r="AI85" s="174">
        <f t="shared" si="97"/>
        <v>0</v>
      </c>
      <c r="AJ85" s="174">
        <f t="shared" si="129"/>
        <v>0</v>
      </c>
      <c r="AK85" s="14"/>
      <c r="AL85" s="13"/>
      <c r="AM85" s="14"/>
      <c r="AN85" s="14"/>
      <c r="AO85" s="13"/>
      <c r="AP85" s="14"/>
      <c r="AQ85" s="14"/>
      <c r="AR85" s="13"/>
      <c r="AS85" s="14"/>
      <c r="AT85" s="174"/>
      <c r="AU85" s="174">
        <f t="shared" si="133"/>
        <v>0</v>
      </c>
      <c r="AV85" s="38">
        <f t="shared" si="134"/>
        <v>0</v>
      </c>
      <c r="AW85" s="14">
        <f t="shared" si="134"/>
        <v>1683600</v>
      </c>
      <c r="AX85" s="178">
        <f t="shared" si="135"/>
        <v>1683600</v>
      </c>
      <c r="AY85" s="16">
        <f t="shared" si="136"/>
        <v>1851960.0000000002</v>
      </c>
      <c r="AZ85" s="16">
        <f t="shared" si="137"/>
        <v>2037156.0000000005</v>
      </c>
      <c r="BA85" s="16">
        <f t="shared" si="137"/>
        <v>2240871.6000000006</v>
      </c>
      <c r="BB85" s="16">
        <f t="shared" si="137"/>
        <v>2464958.7600000007</v>
      </c>
    </row>
    <row r="86" spans="1:54" s="2" customFormat="1" ht="16.899999999999999" customHeight="1" x14ac:dyDescent="0.2">
      <c r="A86" s="58"/>
      <c r="B86" s="11"/>
      <c r="C86" s="47" t="s">
        <v>133</v>
      </c>
      <c r="D86" s="59">
        <f t="shared" ref="D86:BB86" si="138">SUM(D79:D85)</f>
        <v>24350000</v>
      </c>
      <c r="E86" s="59">
        <f t="shared" si="138"/>
        <v>46142843</v>
      </c>
      <c r="F86" s="59">
        <f t="shared" si="138"/>
        <v>-21792843</v>
      </c>
      <c r="G86" s="59">
        <f t="shared" si="138"/>
        <v>1850000</v>
      </c>
      <c r="H86" s="59">
        <f t="shared" si="138"/>
        <v>6088600</v>
      </c>
      <c r="I86" s="59">
        <f t="shared" si="138"/>
        <v>-4238600</v>
      </c>
      <c r="J86" s="59">
        <f t="shared" si="138"/>
        <v>6850000</v>
      </c>
      <c r="K86" s="59">
        <f t="shared" si="138"/>
        <v>7930398</v>
      </c>
      <c r="L86" s="59">
        <f t="shared" si="138"/>
        <v>-1080398</v>
      </c>
      <c r="M86" s="59">
        <f t="shared" si="138"/>
        <v>33050000</v>
      </c>
      <c r="N86" s="59">
        <f t="shared" si="138"/>
        <v>60161841</v>
      </c>
      <c r="O86" s="59">
        <f t="shared" si="138"/>
        <v>109350000</v>
      </c>
      <c r="P86" s="59">
        <f t="shared" si="138"/>
        <v>17086046</v>
      </c>
      <c r="Q86" s="59">
        <f t="shared" si="138"/>
        <v>92263954</v>
      </c>
      <c r="R86" s="59">
        <f t="shared" si="138"/>
        <v>1850000</v>
      </c>
      <c r="S86" s="59">
        <f t="shared" si="138"/>
        <v>8053024</v>
      </c>
      <c r="T86" s="59">
        <f t="shared" si="138"/>
        <v>-6203024</v>
      </c>
      <c r="U86" s="59">
        <f t="shared" si="138"/>
        <v>86850000</v>
      </c>
      <c r="V86" s="59">
        <f t="shared" si="138"/>
        <v>0</v>
      </c>
      <c r="W86" s="59">
        <f t="shared" si="138"/>
        <v>86850000</v>
      </c>
      <c r="X86" s="59">
        <f t="shared" si="138"/>
        <v>198050000</v>
      </c>
      <c r="Y86" s="59">
        <f t="shared" si="138"/>
        <v>25139070</v>
      </c>
      <c r="Z86" s="59">
        <f t="shared" si="138"/>
        <v>19800000</v>
      </c>
      <c r="AA86" s="59">
        <f t="shared" si="138"/>
        <v>8275503</v>
      </c>
      <c r="AB86" s="59">
        <f t="shared" si="138"/>
        <v>11524497</v>
      </c>
      <c r="AC86" s="59">
        <f t="shared" si="138"/>
        <v>22350000</v>
      </c>
      <c r="AD86" s="59">
        <f t="shared" si="138"/>
        <v>8326305.4000000004</v>
      </c>
      <c r="AE86" s="59">
        <f t="shared" si="138"/>
        <v>14023694.6</v>
      </c>
      <c r="AF86" s="59">
        <f t="shared" si="138"/>
        <v>1850000</v>
      </c>
      <c r="AG86" s="59">
        <f t="shared" si="138"/>
        <v>8042503.2000000002</v>
      </c>
      <c r="AH86" s="59">
        <f t="shared" si="138"/>
        <v>-6192503.2000000002</v>
      </c>
      <c r="AI86" s="59">
        <f t="shared" si="138"/>
        <v>44000000</v>
      </c>
      <c r="AJ86" s="59">
        <f t="shared" si="138"/>
        <v>24644311.600000001</v>
      </c>
      <c r="AK86" s="59">
        <f t="shared" si="138"/>
        <v>19350000</v>
      </c>
      <c r="AL86" s="59">
        <f t="shared" si="138"/>
        <v>0</v>
      </c>
      <c r="AM86" s="59">
        <f t="shared" si="138"/>
        <v>19350000</v>
      </c>
      <c r="AN86" s="59">
        <f t="shared" si="138"/>
        <v>5350000</v>
      </c>
      <c r="AO86" s="59">
        <f t="shared" si="138"/>
        <v>0</v>
      </c>
      <c r="AP86" s="59">
        <f t="shared" si="138"/>
        <v>5350000</v>
      </c>
      <c r="AQ86" s="59">
        <f t="shared" si="138"/>
        <v>36850000</v>
      </c>
      <c r="AR86" s="59">
        <f t="shared" si="138"/>
        <v>0</v>
      </c>
      <c r="AS86" s="59">
        <f t="shared" si="138"/>
        <v>36850000</v>
      </c>
      <c r="AT86" s="59">
        <f t="shared" si="138"/>
        <v>0</v>
      </c>
      <c r="AU86" s="59">
        <f t="shared" si="138"/>
        <v>0</v>
      </c>
      <c r="AV86" s="59">
        <f t="shared" si="138"/>
        <v>336650000</v>
      </c>
      <c r="AW86" s="59">
        <f t="shared" si="138"/>
        <v>109945222.59999999</v>
      </c>
      <c r="AX86" s="59">
        <f t="shared" si="138"/>
        <v>215495222.59999999</v>
      </c>
      <c r="AY86" s="188">
        <f t="shared" si="138"/>
        <v>120939744.86000001</v>
      </c>
      <c r="AZ86" s="59">
        <f t="shared" si="138"/>
        <v>133033719.34600002</v>
      </c>
      <c r="BA86" s="59">
        <f t="shared" si="138"/>
        <v>146337091.28060004</v>
      </c>
      <c r="BB86" s="59">
        <f t="shared" si="138"/>
        <v>160970800.40866005</v>
      </c>
    </row>
    <row r="87" spans="1:54" s="2" customFormat="1" ht="16.899999999999999" customHeight="1" x14ac:dyDescent="0.2">
      <c r="A87" s="10">
        <v>1</v>
      </c>
      <c r="B87" s="11" t="s">
        <v>47</v>
      </c>
      <c r="C87" s="29" t="s">
        <v>111</v>
      </c>
      <c r="D87" s="14"/>
      <c r="E87" s="13"/>
      <c r="F87" s="14">
        <f t="shared" ref="F87:F92" si="139">D87-E87</f>
        <v>0</v>
      </c>
      <c r="G87" s="14">
        <v>7500000</v>
      </c>
      <c r="H87" s="13"/>
      <c r="I87" s="14">
        <f t="shared" ref="I87:I92" si="140">G87-H87</f>
        <v>7500000</v>
      </c>
      <c r="J87" s="14"/>
      <c r="K87" s="13"/>
      <c r="L87" s="14">
        <f t="shared" ref="L87:L92" si="141">J87-K87</f>
        <v>0</v>
      </c>
      <c r="M87" s="174">
        <f t="shared" ref="M87:N92" si="142">D87+G87+J87</f>
        <v>7500000</v>
      </c>
      <c r="N87" s="174">
        <f t="shared" si="142"/>
        <v>0</v>
      </c>
      <c r="O87" s="14">
        <v>75000000</v>
      </c>
      <c r="P87" s="13"/>
      <c r="Q87" s="14">
        <f t="shared" ref="Q87:Q92" si="143">O87-P87</f>
        <v>75000000</v>
      </c>
      <c r="R87" s="14">
        <v>7500000</v>
      </c>
      <c r="S87" s="13"/>
      <c r="T87" s="14">
        <f t="shared" ref="T87:T92" si="144">R87-S87</f>
        <v>7500000</v>
      </c>
      <c r="U87" s="14"/>
      <c r="V87" s="13"/>
      <c r="W87" s="14">
        <f t="shared" ref="W87:W92" si="145">U87-V87</f>
        <v>0</v>
      </c>
      <c r="X87" s="174">
        <f t="shared" ref="X87:Y92" si="146">O87+R87+U87</f>
        <v>82500000</v>
      </c>
      <c r="Y87" s="174">
        <f t="shared" si="146"/>
        <v>0</v>
      </c>
      <c r="Z87" s="14"/>
      <c r="AA87" s="13"/>
      <c r="AB87" s="14">
        <f t="shared" ref="AB87:AB92" si="147">Z87-AA87</f>
        <v>0</v>
      </c>
      <c r="AC87" s="14">
        <v>7500000</v>
      </c>
      <c r="AD87" s="13"/>
      <c r="AE87" s="14">
        <f t="shared" ref="AE87:AE92" si="148">AC87-AD87</f>
        <v>7500000</v>
      </c>
      <c r="AF87" s="14"/>
      <c r="AG87" s="13"/>
      <c r="AH87" s="14">
        <f t="shared" ref="AH87:AH92" si="149">AF87-AG87</f>
        <v>0</v>
      </c>
      <c r="AI87" s="174">
        <f t="shared" si="97"/>
        <v>7500000</v>
      </c>
      <c r="AJ87" s="174">
        <f t="shared" ref="AJ87:AJ92" si="150">AA87+AD87+AG87</f>
        <v>0</v>
      </c>
      <c r="AK87" s="14"/>
      <c r="AL87" s="13"/>
      <c r="AM87" s="14">
        <f t="shared" ref="AM87:AM92" si="151">AK87-AL87</f>
        <v>0</v>
      </c>
      <c r="AN87" s="14"/>
      <c r="AO87" s="13"/>
      <c r="AP87" s="14">
        <f t="shared" ref="AP87:AP92" si="152">AN87-AO87</f>
        <v>0</v>
      </c>
      <c r="AQ87" s="14"/>
      <c r="AR87" s="13"/>
      <c r="AS87" s="14">
        <f t="shared" ref="AS87:AS92" si="153">AQ87-AR87</f>
        <v>0</v>
      </c>
      <c r="AT87" s="174"/>
      <c r="AU87" s="174">
        <f t="shared" ref="AU87:AU92" si="154">AL87+AO87+AR87</f>
        <v>0</v>
      </c>
      <c r="AV87" s="38">
        <f t="shared" ref="AV87:AW92" si="155">AQ87+AN87+AK87+AF87+AC87+Z87+U87+R87+O87+J87+G87+D87</f>
        <v>97500000</v>
      </c>
      <c r="AW87" s="14">
        <f t="shared" si="155"/>
        <v>0</v>
      </c>
      <c r="AX87" s="178">
        <f t="shared" ref="AX87:AX92" si="156">(AV87-(M87+X87))+AW87</f>
        <v>7500000</v>
      </c>
      <c r="AY87" s="16">
        <f t="shared" ref="AY87:AY92" si="157">AW87*1.1</f>
        <v>0</v>
      </c>
      <c r="AZ87" s="16">
        <f t="shared" ref="AZ87:BB92" si="158">AY87*1.1</f>
        <v>0</v>
      </c>
      <c r="BA87" s="16">
        <f t="shared" si="158"/>
        <v>0</v>
      </c>
      <c r="BB87" s="16">
        <f t="shared" si="158"/>
        <v>0</v>
      </c>
    </row>
    <row r="88" spans="1:54" s="2" customFormat="1" ht="16.899999999999999" customHeight="1" x14ac:dyDescent="0.2">
      <c r="A88" s="10">
        <v>2</v>
      </c>
      <c r="B88" s="11" t="s">
        <v>53</v>
      </c>
      <c r="C88" s="29" t="s">
        <v>112</v>
      </c>
      <c r="D88" s="14">
        <v>6808000</v>
      </c>
      <c r="E88" s="13"/>
      <c r="F88" s="14">
        <f t="shared" si="139"/>
        <v>6808000</v>
      </c>
      <c r="G88" s="13">
        <v>9812000</v>
      </c>
      <c r="H88" s="13"/>
      <c r="I88" s="14">
        <f t="shared" si="140"/>
        <v>9812000</v>
      </c>
      <c r="J88" s="14"/>
      <c r="K88" s="13"/>
      <c r="L88" s="14">
        <f t="shared" si="141"/>
        <v>0</v>
      </c>
      <c r="M88" s="174">
        <f t="shared" si="142"/>
        <v>16620000</v>
      </c>
      <c r="N88" s="174">
        <f t="shared" si="142"/>
        <v>0</v>
      </c>
      <c r="O88" s="14"/>
      <c r="P88" s="13">
        <v>5414000</v>
      </c>
      <c r="Q88" s="14">
        <f t="shared" si="143"/>
        <v>-5414000</v>
      </c>
      <c r="R88" s="14"/>
      <c r="S88" s="13"/>
      <c r="T88" s="14">
        <f t="shared" si="144"/>
        <v>0</v>
      </c>
      <c r="U88" s="14">
        <v>11691000</v>
      </c>
      <c r="V88" s="13"/>
      <c r="W88" s="14">
        <f t="shared" si="145"/>
        <v>11691000</v>
      </c>
      <c r="X88" s="174">
        <f t="shared" si="146"/>
        <v>11691000</v>
      </c>
      <c r="Y88" s="174">
        <f t="shared" si="146"/>
        <v>5414000</v>
      </c>
      <c r="Z88" s="14"/>
      <c r="AA88" s="13"/>
      <c r="AB88" s="14">
        <f t="shared" si="147"/>
        <v>0</v>
      </c>
      <c r="AC88" s="14">
        <v>1110000</v>
      </c>
      <c r="AD88" s="13"/>
      <c r="AE88" s="14">
        <f t="shared" si="148"/>
        <v>1110000</v>
      </c>
      <c r="AF88" s="14"/>
      <c r="AG88" s="13"/>
      <c r="AH88" s="14">
        <f t="shared" si="149"/>
        <v>0</v>
      </c>
      <c r="AI88" s="174">
        <f t="shared" si="97"/>
        <v>1110000</v>
      </c>
      <c r="AJ88" s="174">
        <f t="shared" si="150"/>
        <v>0</v>
      </c>
      <c r="AK88" s="14"/>
      <c r="AL88" s="13"/>
      <c r="AM88" s="14">
        <f t="shared" si="151"/>
        <v>0</v>
      </c>
      <c r="AN88" s="14"/>
      <c r="AO88" s="13"/>
      <c r="AP88" s="14">
        <f t="shared" si="152"/>
        <v>0</v>
      </c>
      <c r="AQ88" s="14"/>
      <c r="AR88" s="13"/>
      <c r="AS88" s="14">
        <f t="shared" si="153"/>
        <v>0</v>
      </c>
      <c r="AT88" s="174"/>
      <c r="AU88" s="174">
        <f t="shared" si="154"/>
        <v>0</v>
      </c>
      <c r="AV88" s="38">
        <f t="shared" si="155"/>
        <v>29421000</v>
      </c>
      <c r="AW88" s="14">
        <f t="shared" si="155"/>
        <v>5414000</v>
      </c>
      <c r="AX88" s="178">
        <f t="shared" si="156"/>
        <v>6524000</v>
      </c>
      <c r="AY88" s="16">
        <f t="shared" si="157"/>
        <v>5955400.0000000009</v>
      </c>
      <c r="AZ88" s="16">
        <f t="shared" si="158"/>
        <v>6550940.0000000019</v>
      </c>
      <c r="BA88" s="16">
        <f t="shared" si="158"/>
        <v>7206034.0000000028</v>
      </c>
      <c r="BB88" s="16">
        <f t="shared" si="158"/>
        <v>7926637.4000000041</v>
      </c>
    </row>
    <row r="89" spans="1:54" s="2" customFormat="1" ht="16.899999999999999" customHeight="1" x14ac:dyDescent="0.2">
      <c r="A89" s="10">
        <v>3</v>
      </c>
      <c r="B89" s="11" t="s">
        <v>36</v>
      </c>
      <c r="C89" s="29" t="s">
        <v>134</v>
      </c>
      <c r="D89" s="14">
        <v>2000000</v>
      </c>
      <c r="E89" s="13"/>
      <c r="F89" s="14">
        <f t="shared" si="139"/>
        <v>2000000</v>
      </c>
      <c r="G89" s="14">
        <v>2000000</v>
      </c>
      <c r="H89" s="13"/>
      <c r="I89" s="14">
        <f t="shared" si="140"/>
        <v>2000000</v>
      </c>
      <c r="J89" s="14">
        <v>2000000</v>
      </c>
      <c r="K89" s="13"/>
      <c r="L89" s="14">
        <f t="shared" si="141"/>
        <v>2000000</v>
      </c>
      <c r="M89" s="174">
        <f t="shared" si="142"/>
        <v>6000000</v>
      </c>
      <c r="N89" s="174">
        <f t="shared" si="142"/>
        <v>0</v>
      </c>
      <c r="O89" s="14">
        <v>2000000</v>
      </c>
      <c r="P89" s="13"/>
      <c r="Q89" s="14">
        <f t="shared" si="143"/>
        <v>2000000</v>
      </c>
      <c r="R89" s="14">
        <v>2000000</v>
      </c>
      <c r="S89" s="13"/>
      <c r="T89" s="14">
        <f t="shared" si="144"/>
        <v>2000000</v>
      </c>
      <c r="U89" s="14">
        <v>2000000</v>
      </c>
      <c r="V89" s="13"/>
      <c r="W89" s="14">
        <f t="shared" si="145"/>
        <v>2000000</v>
      </c>
      <c r="X89" s="174">
        <f t="shared" si="146"/>
        <v>6000000</v>
      </c>
      <c r="Y89" s="174">
        <f t="shared" si="146"/>
        <v>0</v>
      </c>
      <c r="Z89" s="14">
        <v>2000000</v>
      </c>
      <c r="AA89" s="13"/>
      <c r="AB89" s="14">
        <f t="shared" si="147"/>
        <v>2000000</v>
      </c>
      <c r="AC89" s="14">
        <v>2000000</v>
      </c>
      <c r="AD89" s="13"/>
      <c r="AE89" s="14">
        <f t="shared" si="148"/>
        <v>2000000</v>
      </c>
      <c r="AF89" s="14">
        <v>2000000</v>
      </c>
      <c r="AG89" s="13"/>
      <c r="AH89" s="14">
        <f t="shared" si="149"/>
        <v>2000000</v>
      </c>
      <c r="AI89" s="174">
        <f t="shared" si="97"/>
        <v>6000000</v>
      </c>
      <c r="AJ89" s="174">
        <f t="shared" si="150"/>
        <v>0</v>
      </c>
      <c r="AK89" s="14">
        <v>2000000</v>
      </c>
      <c r="AL89" s="13"/>
      <c r="AM89" s="14">
        <f t="shared" si="151"/>
        <v>2000000</v>
      </c>
      <c r="AN89" s="14">
        <v>2000000</v>
      </c>
      <c r="AO89" s="13"/>
      <c r="AP89" s="14">
        <f t="shared" si="152"/>
        <v>2000000</v>
      </c>
      <c r="AQ89" s="14">
        <v>2000000</v>
      </c>
      <c r="AR89" s="13"/>
      <c r="AS89" s="14">
        <f t="shared" si="153"/>
        <v>2000000</v>
      </c>
      <c r="AT89" s="174"/>
      <c r="AU89" s="174">
        <f t="shared" si="154"/>
        <v>0</v>
      </c>
      <c r="AV89" s="38">
        <f t="shared" si="155"/>
        <v>24000000</v>
      </c>
      <c r="AW89" s="14">
        <f t="shared" si="155"/>
        <v>0</v>
      </c>
      <c r="AX89" s="178">
        <f t="shared" si="156"/>
        <v>12000000</v>
      </c>
      <c r="AY89" s="16">
        <f t="shared" si="157"/>
        <v>0</v>
      </c>
      <c r="AZ89" s="16">
        <f t="shared" si="158"/>
        <v>0</v>
      </c>
      <c r="BA89" s="16">
        <f t="shared" si="158"/>
        <v>0</v>
      </c>
      <c r="BB89" s="16">
        <f t="shared" si="158"/>
        <v>0</v>
      </c>
    </row>
    <row r="90" spans="1:54" s="2" customFormat="1" ht="16.899999999999999" customHeight="1" x14ac:dyDescent="0.2">
      <c r="A90" s="10">
        <v>4</v>
      </c>
      <c r="B90" s="11" t="s">
        <v>36</v>
      </c>
      <c r="C90" s="29" t="s">
        <v>135</v>
      </c>
      <c r="D90" s="14">
        <v>14718000</v>
      </c>
      <c r="E90" s="13"/>
      <c r="F90" s="14">
        <f t="shared" si="139"/>
        <v>14718000</v>
      </c>
      <c r="G90" s="14"/>
      <c r="H90" s="13"/>
      <c r="I90" s="14">
        <f t="shared" si="140"/>
        <v>0</v>
      </c>
      <c r="J90" s="14"/>
      <c r="K90" s="13"/>
      <c r="L90" s="14">
        <f t="shared" si="141"/>
        <v>0</v>
      </c>
      <c r="M90" s="174">
        <f t="shared" si="142"/>
        <v>14718000</v>
      </c>
      <c r="N90" s="174">
        <f t="shared" si="142"/>
        <v>0</v>
      </c>
      <c r="O90" s="14">
        <v>14718000</v>
      </c>
      <c r="P90" s="13"/>
      <c r="Q90" s="14">
        <f t="shared" si="143"/>
        <v>14718000</v>
      </c>
      <c r="R90" s="14"/>
      <c r="S90" s="13"/>
      <c r="T90" s="14">
        <f t="shared" si="144"/>
        <v>0</v>
      </c>
      <c r="U90" s="14"/>
      <c r="V90" s="13"/>
      <c r="W90" s="14">
        <f t="shared" si="145"/>
        <v>0</v>
      </c>
      <c r="X90" s="174">
        <f t="shared" si="146"/>
        <v>14718000</v>
      </c>
      <c r="Y90" s="174">
        <f t="shared" si="146"/>
        <v>0</v>
      </c>
      <c r="Z90" s="14">
        <v>14718000</v>
      </c>
      <c r="AA90" s="13"/>
      <c r="AB90" s="14">
        <f t="shared" si="147"/>
        <v>14718000</v>
      </c>
      <c r="AC90" s="14"/>
      <c r="AD90" s="13"/>
      <c r="AE90" s="14">
        <f t="shared" si="148"/>
        <v>0</v>
      </c>
      <c r="AF90" s="14"/>
      <c r="AG90" s="13"/>
      <c r="AH90" s="14">
        <f t="shared" si="149"/>
        <v>0</v>
      </c>
      <c r="AI90" s="174">
        <f t="shared" si="97"/>
        <v>14718000</v>
      </c>
      <c r="AJ90" s="174">
        <f t="shared" si="150"/>
        <v>0</v>
      </c>
      <c r="AK90" s="14">
        <v>113797000</v>
      </c>
      <c r="AL90" s="13"/>
      <c r="AM90" s="14">
        <f t="shared" si="151"/>
        <v>113797000</v>
      </c>
      <c r="AN90" s="14"/>
      <c r="AO90" s="13"/>
      <c r="AP90" s="14">
        <f t="shared" si="152"/>
        <v>0</v>
      </c>
      <c r="AQ90" s="14"/>
      <c r="AR90" s="13"/>
      <c r="AS90" s="14">
        <f t="shared" si="153"/>
        <v>0</v>
      </c>
      <c r="AT90" s="174"/>
      <c r="AU90" s="174">
        <f t="shared" si="154"/>
        <v>0</v>
      </c>
      <c r="AV90" s="38">
        <f t="shared" si="155"/>
        <v>157951000</v>
      </c>
      <c r="AW90" s="14">
        <f t="shared" si="155"/>
        <v>0</v>
      </c>
      <c r="AX90" s="178">
        <f t="shared" si="156"/>
        <v>128515000</v>
      </c>
      <c r="AY90" s="16">
        <f t="shared" si="157"/>
        <v>0</v>
      </c>
      <c r="AZ90" s="16">
        <f t="shared" si="158"/>
        <v>0</v>
      </c>
      <c r="BA90" s="16">
        <f t="shared" si="158"/>
        <v>0</v>
      </c>
      <c r="BB90" s="16">
        <f t="shared" si="158"/>
        <v>0</v>
      </c>
    </row>
    <row r="91" spans="1:54" s="62" customFormat="1" ht="16.899999999999999" customHeight="1" x14ac:dyDescent="0.25">
      <c r="A91" s="10">
        <v>5</v>
      </c>
      <c r="B91" s="11" t="s">
        <v>136</v>
      </c>
      <c r="C91" s="29" t="s">
        <v>137</v>
      </c>
      <c r="D91" s="14">
        <v>2000000</v>
      </c>
      <c r="E91" s="13"/>
      <c r="F91" s="14">
        <f t="shared" si="139"/>
        <v>2000000</v>
      </c>
      <c r="G91" s="14">
        <v>2000000</v>
      </c>
      <c r="H91" s="13"/>
      <c r="I91" s="14">
        <f t="shared" si="140"/>
        <v>2000000</v>
      </c>
      <c r="J91" s="14">
        <v>2000000</v>
      </c>
      <c r="K91" s="13"/>
      <c r="L91" s="14">
        <f t="shared" si="141"/>
        <v>2000000</v>
      </c>
      <c r="M91" s="174">
        <f t="shared" si="142"/>
        <v>6000000</v>
      </c>
      <c r="N91" s="174">
        <f t="shared" si="142"/>
        <v>0</v>
      </c>
      <c r="O91" s="14">
        <v>2000000</v>
      </c>
      <c r="P91" s="13"/>
      <c r="Q91" s="14">
        <f t="shared" si="143"/>
        <v>2000000</v>
      </c>
      <c r="R91" s="14">
        <v>2000000</v>
      </c>
      <c r="S91" s="13"/>
      <c r="T91" s="14">
        <f t="shared" si="144"/>
        <v>2000000</v>
      </c>
      <c r="U91" s="14">
        <v>2000000</v>
      </c>
      <c r="V91" s="13"/>
      <c r="W91" s="14">
        <f t="shared" si="145"/>
        <v>2000000</v>
      </c>
      <c r="X91" s="174">
        <f t="shared" si="146"/>
        <v>6000000</v>
      </c>
      <c r="Y91" s="174">
        <f t="shared" si="146"/>
        <v>0</v>
      </c>
      <c r="Z91" s="14">
        <v>2000000</v>
      </c>
      <c r="AA91" s="177">
        <v>39200000</v>
      </c>
      <c r="AB91" s="14">
        <f t="shared" si="147"/>
        <v>-37200000</v>
      </c>
      <c r="AC91" s="14">
        <v>2000000</v>
      </c>
      <c r="AD91" s="13"/>
      <c r="AE91" s="14">
        <f t="shared" si="148"/>
        <v>2000000</v>
      </c>
      <c r="AF91" s="14">
        <v>2000000</v>
      </c>
      <c r="AG91" s="13"/>
      <c r="AH91" s="14">
        <f t="shared" si="149"/>
        <v>2000000</v>
      </c>
      <c r="AI91" s="174">
        <f t="shared" si="97"/>
        <v>6000000</v>
      </c>
      <c r="AJ91" s="174">
        <f t="shared" si="150"/>
        <v>39200000</v>
      </c>
      <c r="AK91" s="14">
        <v>2000000</v>
      </c>
      <c r="AL91" s="13"/>
      <c r="AM91" s="14">
        <f t="shared" si="151"/>
        <v>2000000</v>
      </c>
      <c r="AN91" s="14">
        <v>2000000</v>
      </c>
      <c r="AO91" s="13"/>
      <c r="AP91" s="14">
        <f t="shared" si="152"/>
        <v>2000000</v>
      </c>
      <c r="AQ91" s="14">
        <v>2000000</v>
      </c>
      <c r="AR91" s="13"/>
      <c r="AS91" s="14">
        <f t="shared" si="153"/>
        <v>2000000</v>
      </c>
      <c r="AT91" s="174"/>
      <c r="AU91" s="174">
        <f t="shared" si="154"/>
        <v>0</v>
      </c>
      <c r="AV91" s="38">
        <f t="shared" si="155"/>
        <v>24000000</v>
      </c>
      <c r="AW91" s="14">
        <f t="shared" si="155"/>
        <v>39200000</v>
      </c>
      <c r="AX91" s="178">
        <f t="shared" si="156"/>
        <v>51200000</v>
      </c>
      <c r="AY91" s="16">
        <f t="shared" si="157"/>
        <v>43120000</v>
      </c>
      <c r="AZ91" s="16">
        <f t="shared" si="158"/>
        <v>47432000.000000007</v>
      </c>
      <c r="BA91" s="16">
        <f t="shared" si="158"/>
        <v>52175200.000000015</v>
      </c>
      <c r="BB91" s="16">
        <f t="shared" si="158"/>
        <v>57392720.000000022</v>
      </c>
    </row>
    <row r="92" spans="1:54" s="62" customFormat="1" ht="16.899999999999999" customHeight="1" x14ac:dyDescent="0.2">
      <c r="A92" s="10">
        <v>6</v>
      </c>
      <c r="B92" s="11" t="s">
        <v>138</v>
      </c>
      <c r="C92" s="29" t="s">
        <v>139</v>
      </c>
      <c r="D92" s="14">
        <v>500000</v>
      </c>
      <c r="E92" s="13"/>
      <c r="F92" s="14">
        <f t="shared" si="139"/>
        <v>500000</v>
      </c>
      <c r="G92" s="14">
        <v>500000</v>
      </c>
      <c r="H92" s="13"/>
      <c r="I92" s="14">
        <f t="shared" si="140"/>
        <v>500000</v>
      </c>
      <c r="J92" s="14">
        <v>500000</v>
      </c>
      <c r="K92" s="13"/>
      <c r="L92" s="14">
        <f t="shared" si="141"/>
        <v>500000</v>
      </c>
      <c r="M92" s="174">
        <f t="shared" si="142"/>
        <v>1500000</v>
      </c>
      <c r="N92" s="174">
        <f t="shared" si="142"/>
        <v>0</v>
      </c>
      <c r="O92" s="14">
        <v>500000</v>
      </c>
      <c r="P92" s="13"/>
      <c r="Q92" s="14">
        <f t="shared" si="143"/>
        <v>500000</v>
      </c>
      <c r="R92" s="14">
        <v>500000</v>
      </c>
      <c r="S92" s="13"/>
      <c r="T92" s="14">
        <f t="shared" si="144"/>
        <v>500000</v>
      </c>
      <c r="U92" s="14">
        <v>500000</v>
      </c>
      <c r="V92" s="13"/>
      <c r="W92" s="14">
        <f t="shared" si="145"/>
        <v>500000</v>
      </c>
      <c r="X92" s="174">
        <f t="shared" si="146"/>
        <v>1500000</v>
      </c>
      <c r="Y92" s="174">
        <f t="shared" si="146"/>
        <v>0</v>
      </c>
      <c r="Z92" s="14">
        <f>500000+15000000</f>
        <v>15500000</v>
      </c>
      <c r="AA92" s="13"/>
      <c r="AB92" s="14">
        <f t="shared" si="147"/>
        <v>15500000</v>
      </c>
      <c r="AC92" s="14">
        <v>500000</v>
      </c>
      <c r="AD92" s="13"/>
      <c r="AE92" s="14">
        <f t="shared" si="148"/>
        <v>500000</v>
      </c>
      <c r="AF92" s="14">
        <v>500000</v>
      </c>
      <c r="AG92" s="13"/>
      <c r="AH92" s="14">
        <f t="shared" si="149"/>
        <v>500000</v>
      </c>
      <c r="AI92" s="174">
        <f t="shared" si="97"/>
        <v>16500000</v>
      </c>
      <c r="AJ92" s="174">
        <f t="shared" si="150"/>
        <v>0</v>
      </c>
      <c r="AK92" s="14">
        <v>500000</v>
      </c>
      <c r="AL92" s="13"/>
      <c r="AM92" s="14">
        <f t="shared" si="151"/>
        <v>500000</v>
      </c>
      <c r="AN92" s="14">
        <v>500000</v>
      </c>
      <c r="AO92" s="13"/>
      <c r="AP92" s="14">
        <f t="shared" si="152"/>
        <v>500000</v>
      </c>
      <c r="AQ92" s="14">
        <v>500000</v>
      </c>
      <c r="AR92" s="13"/>
      <c r="AS92" s="14">
        <f t="shared" si="153"/>
        <v>500000</v>
      </c>
      <c r="AT92" s="174"/>
      <c r="AU92" s="174">
        <f t="shared" si="154"/>
        <v>0</v>
      </c>
      <c r="AV92" s="38">
        <f t="shared" si="155"/>
        <v>21000000</v>
      </c>
      <c r="AW92" s="14">
        <f t="shared" si="155"/>
        <v>0</v>
      </c>
      <c r="AX92" s="178">
        <f t="shared" si="156"/>
        <v>18000000</v>
      </c>
      <c r="AY92" s="16">
        <f t="shared" si="157"/>
        <v>0</v>
      </c>
      <c r="AZ92" s="16">
        <f t="shared" si="158"/>
        <v>0</v>
      </c>
      <c r="BA92" s="16">
        <f t="shared" si="158"/>
        <v>0</v>
      </c>
      <c r="BB92" s="16">
        <f t="shared" si="158"/>
        <v>0</v>
      </c>
    </row>
    <row r="93" spans="1:54" s="2" customFormat="1" ht="16.899999999999999" customHeight="1" x14ac:dyDescent="0.2">
      <c r="A93" s="58"/>
      <c r="B93" s="11"/>
      <c r="C93" s="47" t="s">
        <v>140</v>
      </c>
      <c r="D93" s="59">
        <f t="shared" ref="D93:BB93" si="159">SUM(D87:D92)</f>
        <v>26026000</v>
      </c>
      <c r="E93" s="59">
        <f t="shared" si="159"/>
        <v>0</v>
      </c>
      <c r="F93" s="59">
        <f t="shared" si="159"/>
        <v>26026000</v>
      </c>
      <c r="G93" s="59">
        <f t="shared" si="159"/>
        <v>21812000</v>
      </c>
      <c r="H93" s="59">
        <f t="shared" si="159"/>
        <v>0</v>
      </c>
      <c r="I93" s="59">
        <f t="shared" si="159"/>
        <v>21812000</v>
      </c>
      <c r="J93" s="59">
        <f t="shared" si="159"/>
        <v>4500000</v>
      </c>
      <c r="K93" s="59">
        <f t="shared" si="159"/>
        <v>0</v>
      </c>
      <c r="L93" s="59">
        <f t="shared" si="159"/>
        <v>4500000</v>
      </c>
      <c r="M93" s="59">
        <f t="shared" si="159"/>
        <v>52338000</v>
      </c>
      <c r="N93" s="59">
        <f t="shared" si="159"/>
        <v>0</v>
      </c>
      <c r="O93" s="59">
        <f t="shared" si="159"/>
        <v>94218000</v>
      </c>
      <c r="P93" s="59">
        <f t="shared" si="159"/>
        <v>5414000</v>
      </c>
      <c r="Q93" s="59">
        <f t="shared" si="159"/>
        <v>88804000</v>
      </c>
      <c r="R93" s="59">
        <f t="shared" si="159"/>
        <v>12000000</v>
      </c>
      <c r="S93" s="59">
        <f t="shared" si="159"/>
        <v>0</v>
      </c>
      <c r="T93" s="59">
        <f t="shared" si="159"/>
        <v>12000000</v>
      </c>
      <c r="U93" s="59">
        <f t="shared" si="159"/>
        <v>16191000</v>
      </c>
      <c r="V93" s="59">
        <f t="shared" si="159"/>
        <v>0</v>
      </c>
      <c r="W93" s="59">
        <f t="shared" si="159"/>
        <v>16191000</v>
      </c>
      <c r="X93" s="59">
        <f t="shared" si="159"/>
        <v>122409000</v>
      </c>
      <c r="Y93" s="59">
        <f t="shared" si="159"/>
        <v>5414000</v>
      </c>
      <c r="Z93" s="59">
        <f t="shared" si="159"/>
        <v>34218000</v>
      </c>
      <c r="AA93" s="59">
        <f t="shared" si="159"/>
        <v>39200000</v>
      </c>
      <c r="AB93" s="59">
        <f t="shared" si="159"/>
        <v>-4982000</v>
      </c>
      <c r="AC93" s="59">
        <f t="shared" si="159"/>
        <v>13110000</v>
      </c>
      <c r="AD93" s="59">
        <f t="shared" si="159"/>
        <v>0</v>
      </c>
      <c r="AE93" s="59">
        <f t="shared" si="159"/>
        <v>13110000</v>
      </c>
      <c r="AF93" s="59">
        <f t="shared" si="159"/>
        <v>4500000</v>
      </c>
      <c r="AG93" s="59">
        <f t="shared" si="159"/>
        <v>0</v>
      </c>
      <c r="AH93" s="59">
        <f t="shared" si="159"/>
        <v>4500000</v>
      </c>
      <c r="AI93" s="59">
        <f t="shared" si="159"/>
        <v>51828000</v>
      </c>
      <c r="AJ93" s="59">
        <f t="shared" si="159"/>
        <v>39200000</v>
      </c>
      <c r="AK93" s="59">
        <f t="shared" si="159"/>
        <v>118297000</v>
      </c>
      <c r="AL93" s="59">
        <f t="shared" si="159"/>
        <v>0</v>
      </c>
      <c r="AM93" s="59">
        <f t="shared" si="159"/>
        <v>118297000</v>
      </c>
      <c r="AN93" s="59">
        <f t="shared" si="159"/>
        <v>4500000</v>
      </c>
      <c r="AO93" s="59">
        <f t="shared" si="159"/>
        <v>0</v>
      </c>
      <c r="AP93" s="59">
        <f t="shared" si="159"/>
        <v>4500000</v>
      </c>
      <c r="AQ93" s="59">
        <f t="shared" si="159"/>
        <v>4500000</v>
      </c>
      <c r="AR93" s="59">
        <f t="shared" si="159"/>
        <v>0</v>
      </c>
      <c r="AS93" s="59">
        <f t="shared" si="159"/>
        <v>4500000</v>
      </c>
      <c r="AT93" s="59">
        <f t="shared" si="159"/>
        <v>0</v>
      </c>
      <c r="AU93" s="59">
        <f t="shared" si="159"/>
        <v>0</v>
      </c>
      <c r="AV93" s="59">
        <f t="shared" si="159"/>
        <v>353872000</v>
      </c>
      <c r="AW93" s="59">
        <f t="shared" si="159"/>
        <v>44614000</v>
      </c>
      <c r="AX93" s="59">
        <f t="shared" si="159"/>
        <v>223739000</v>
      </c>
      <c r="AY93" s="59">
        <f t="shared" si="159"/>
        <v>49075400</v>
      </c>
      <c r="AZ93" s="59">
        <f t="shared" si="159"/>
        <v>53982940.000000007</v>
      </c>
      <c r="BA93" s="59">
        <f t="shared" si="159"/>
        <v>59381234.000000015</v>
      </c>
      <c r="BB93" s="59">
        <f t="shared" si="159"/>
        <v>65319357.400000028</v>
      </c>
    </row>
    <row r="94" spans="1:54" s="27" customFormat="1" ht="16.899999999999999" customHeight="1" x14ac:dyDescent="0.2">
      <c r="A94" s="22">
        <v>1</v>
      </c>
      <c r="B94" s="11" t="s">
        <v>53</v>
      </c>
      <c r="C94" s="41" t="s">
        <v>141</v>
      </c>
      <c r="D94" s="14">
        <v>10024000</v>
      </c>
      <c r="E94" s="13"/>
      <c r="F94" s="14">
        <f>D94-E94</f>
        <v>10024000</v>
      </c>
      <c r="G94" s="14">
        <v>13720000</v>
      </c>
      <c r="H94" s="13">
        <v>1806200</v>
      </c>
      <c r="I94" s="14">
        <f>G94-H94</f>
        <v>11913800</v>
      </c>
      <c r="J94" s="14">
        <v>26990000</v>
      </c>
      <c r="K94" s="13"/>
      <c r="L94" s="14">
        <f>J94-K94</f>
        <v>26990000</v>
      </c>
      <c r="M94" s="174">
        <f>D94+G94+J94</f>
        <v>50734000</v>
      </c>
      <c r="N94" s="174">
        <f>E94+H94+K94</f>
        <v>1806200</v>
      </c>
      <c r="O94" s="14">
        <v>9332000</v>
      </c>
      <c r="P94" s="13"/>
      <c r="Q94" s="14">
        <f>O94-P94</f>
        <v>9332000</v>
      </c>
      <c r="R94" s="14"/>
      <c r="S94" s="13"/>
      <c r="T94" s="14">
        <f>R94-S94</f>
        <v>0</v>
      </c>
      <c r="U94" s="14">
        <v>12932000</v>
      </c>
      <c r="V94" s="13"/>
      <c r="W94" s="14">
        <f>U94-V94</f>
        <v>12932000</v>
      </c>
      <c r="X94" s="174">
        <f>O94+R94+U94</f>
        <v>22264000</v>
      </c>
      <c r="Y94" s="174">
        <f>P94+S94+V94</f>
        <v>0</v>
      </c>
      <c r="Z94" s="14">
        <v>29732000</v>
      </c>
      <c r="AA94" s="13"/>
      <c r="AB94" s="14">
        <f>Z94-AA94</f>
        <v>29732000</v>
      </c>
      <c r="AC94" s="14">
        <v>8566000</v>
      </c>
      <c r="AD94" s="13"/>
      <c r="AE94" s="14">
        <f>AC94-AD94</f>
        <v>8566000</v>
      </c>
      <c r="AF94" s="14">
        <v>18766000</v>
      </c>
      <c r="AG94" s="13"/>
      <c r="AH94" s="14">
        <f>AF94-AG94</f>
        <v>18766000</v>
      </c>
      <c r="AI94" s="174">
        <f t="shared" si="97"/>
        <v>57064000</v>
      </c>
      <c r="AJ94" s="174">
        <f>AA94+AD94+AG94</f>
        <v>0</v>
      </c>
      <c r="AK94" s="14">
        <v>8224000</v>
      </c>
      <c r="AL94" s="13"/>
      <c r="AM94" s="14">
        <f>AK94-AL94</f>
        <v>8224000</v>
      </c>
      <c r="AN94" s="14">
        <v>29282000</v>
      </c>
      <c r="AO94" s="13"/>
      <c r="AP94" s="14">
        <f>AN94-AO94</f>
        <v>29282000</v>
      </c>
      <c r="AQ94" s="14">
        <v>9750000</v>
      </c>
      <c r="AR94" s="13"/>
      <c r="AS94" s="14">
        <f>AQ94-AR94</f>
        <v>9750000</v>
      </c>
      <c r="AT94" s="174"/>
      <c r="AU94" s="174">
        <f>AL94+AO94+AR94</f>
        <v>0</v>
      </c>
      <c r="AV94" s="38">
        <f>AQ94+AN94+AK94+AF94+AC94+Z94+U94+R94+O94+J94+G94+D94</f>
        <v>177318000</v>
      </c>
      <c r="AW94" s="14">
        <f>AR94+AO94+AL94+AG94+AD94+AA94+V94+S94+P94+K94+H94+E94</f>
        <v>1806200</v>
      </c>
      <c r="AX94" s="178">
        <f>(AV94-(M94+X94))+AW94</f>
        <v>106126200</v>
      </c>
      <c r="AY94" s="16">
        <f>AW94*1.1</f>
        <v>1986820.0000000002</v>
      </c>
      <c r="AZ94" s="16">
        <f t="shared" ref="AZ94:BB95" si="160">AY94*1.1</f>
        <v>2185502.0000000005</v>
      </c>
      <c r="BA94" s="16">
        <f t="shared" si="160"/>
        <v>2404052.2000000007</v>
      </c>
      <c r="BB94" s="16">
        <f t="shared" si="160"/>
        <v>2644457.4200000009</v>
      </c>
    </row>
    <row r="95" spans="1:54" s="27" customFormat="1" ht="16.899999999999999" customHeight="1" x14ac:dyDescent="0.2">
      <c r="A95" s="22">
        <v>2</v>
      </c>
      <c r="B95" s="11" t="s">
        <v>47</v>
      </c>
      <c r="C95" s="29" t="s">
        <v>111</v>
      </c>
      <c r="D95" s="14">
        <v>5000000</v>
      </c>
      <c r="E95" s="13"/>
      <c r="F95" s="14">
        <f>D95-E95</f>
        <v>5000000</v>
      </c>
      <c r="G95" s="14"/>
      <c r="H95" s="13"/>
      <c r="I95" s="14">
        <f>G95-H95</f>
        <v>0</v>
      </c>
      <c r="J95" s="14">
        <v>5000000</v>
      </c>
      <c r="K95" s="13">
        <v>3500000</v>
      </c>
      <c r="L95" s="14">
        <f>J95-K95</f>
        <v>1500000</v>
      </c>
      <c r="M95" s="174">
        <f>D95+G95+J95</f>
        <v>10000000</v>
      </c>
      <c r="N95" s="174">
        <f>E95+H95+K95</f>
        <v>3500000</v>
      </c>
      <c r="O95" s="14"/>
      <c r="P95" s="13"/>
      <c r="Q95" s="14">
        <f>O95-P95</f>
        <v>0</v>
      </c>
      <c r="R95" s="14">
        <v>3000000</v>
      </c>
      <c r="S95" s="13"/>
      <c r="T95" s="14">
        <f>R95-S95</f>
        <v>3000000</v>
      </c>
      <c r="U95" s="14"/>
      <c r="V95" s="13"/>
      <c r="W95" s="14">
        <f>U95-V95</f>
        <v>0</v>
      </c>
      <c r="X95" s="174">
        <f>O95+R95+U95</f>
        <v>3000000</v>
      </c>
      <c r="Y95" s="174">
        <f>P95+S95+V95</f>
        <v>0</v>
      </c>
      <c r="Z95" s="14">
        <v>5000000</v>
      </c>
      <c r="AA95" s="13"/>
      <c r="AB95" s="14">
        <f>Z95-AA95</f>
        <v>5000000</v>
      </c>
      <c r="AC95" s="14"/>
      <c r="AD95" s="13"/>
      <c r="AE95" s="14">
        <f>AC95-AD95</f>
        <v>0</v>
      </c>
      <c r="AF95" s="14">
        <v>5000000</v>
      </c>
      <c r="AG95" s="13"/>
      <c r="AH95" s="14">
        <f>AF95-AG95</f>
        <v>5000000</v>
      </c>
      <c r="AI95" s="174">
        <f t="shared" si="97"/>
        <v>10000000</v>
      </c>
      <c r="AJ95" s="174">
        <f>AA95+AD95+AG95</f>
        <v>0</v>
      </c>
      <c r="AK95" s="14"/>
      <c r="AL95" s="13"/>
      <c r="AM95" s="14">
        <f>AK95-AL95</f>
        <v>0</v>
      </c>
      <c r="AN95" s="14">
        <v>5000000</v>
      </c>
      <c r="AO95" s="13"/>
      <c r="AP95" s="14">
        <f>AN95-AO95</f>
        <v>5000000</v>
      </c>
      <c r="AQ95" s="14"/>
      <c r="AR95" s="13"/>
      <c r="AS95" s="14">
        <f>AQ95-AR95</f>
        <v>0</v>
      </c>
      <c r="AT95" s="174"/>
      <c r="AU95" s="174">
        <f>AL95+AO95+AR95</f>
        <v>0</v>
      </c>
      <c r="AV95" s="38">
        <f>AQ95+AN95+AK95+AF95+AC95+Z95+U95+R95+O95+J95+G95+D95</f>
        <v>28000000</v>
      </c>
      <c r="AW95" s="14">
        <f>AR95+AO95+AL95+AG95+AD95+AA95+V95+S95+P95+K95+H95+E95</f>
        <v>3500000</v>
      </c>
      <c r="AX95" s="178">
        <f>(AV95-(M95+X95))+AW95</f>
        <v>18500000</v>
      </c>
      <c r="AY95" s="16">
        <f>AW95*1.1</f>
        <v>3850000.0000000005</v>
      </c>
      <c r="AZ95" s="16">
        <f t="shared" si="160"/>
        <v>4235000.0000000009</v>
      </c>
      <c r="BA95" s="16">
        <f t="shared" si="160"/>
        <v>4658500.0000000019</v>
      </c>
      <c r="BB95" s="16">
        <f t="shared" si="160"/>
        <v>5124350.0000000028</v>
      </c>
    </row>
    <row r="96" spans="1:54" s="2" customFormat="1" ht="16.899999999999999" customHeight="1" x14ac:dyDescent="0.2">
      <c r="A96" s="58"/>
      <c r="B96" s="11"/>
      <c r="C96" s="47" t="s">
        <v>142</v>
      </c>
      <c r="D96" s="19">
        <f t="shared" ref="D96:BB96" si="161">SUM(D94:D95)</f>
        <v>15024000</v>
      </c>
      <c r="E96" s="19">
        <f t="shared" si="161"/>
        <v>0</v>
      </c>
      <c r="F96" s="19">
        <f t="shared" si="161"/>
        <v>15024000</v>
      </c>
      <c r="G96" s="19">
        <f t="shared" si="161"/>
        <v>13720000</v>
      </c>
      <c r="H96" s="19">
        <f t="shared" si="161"/>
        <v>1806200</v>
      </c>
      <c r="I96" s="19">
        <f t="shared" si="161"/>
        <v>11913800</v>
      </c>
      <c r="J96" s="19">
        <f t="shared" si="161"/>
        <v>31990000</v>
      </c>
      <c r="K96" s="19">
        <f t="shared" si="161"/>
        <v>3500000</v>
      </c>
      <c r="L96" s="19">
        <f t="shared" si="161"/>
        <v>28490000</v>
      </c>
      <c r="M96" s="19">
        <f t="shared" si="161"/>
        <v>60734000</v>
      </c>
      <c r="N96" s="19">
        <f t="shared" si="161"/>
        <v>5306200</v>
      </c>
      <c r="O96" s="19">
        <f t="shared" si="161"/>
        <v>9332000</v>
      </c>
      <c r="P96" s="19">
        <f t="shared" si="161"/>
        <v>0</v>
      </c>
      <c r="Q96" s="19">
        <f t="shared" si="161"/>
        <v>9332000</v>
      </c>
      <c r="R96" s="19">
        <f t="shared" si="161"/>
        <v>3000000</v>
      </c>
      <c r="S96" s="19">
        <f t="shared" si="161"/>
        <v>0</v>
      </c>
      <c r="T96" s="19">
        <f t="shared" si="161"/>
        <v>3000000</v>
      </c>
      <c r="U96" s="19">
        <f t="shared" si="161"/>
        <v>12932000</v>
      </c>
      <c r="V96" s="19">
        <f t="shared" si="161"/>
        <v>0</v>
      </c>
      <c r="W96" s="19">
        <f t="shared" si="161"/>
        <v>12932000</v>
      </c>
      <c r="X96" s="19">
        <f t="shared" si="161"/>
        <v>25264000</v>
      </c>
      <c r="Y96" s="19">
        <f t="shared" si="161"/>
        <v>0</v>
      </c>
      <c r="Z96" s="19">
        <f t="shared" si="161"/>
        <v>34732000</v>
      </c>
      <c r="AA96" s="19">
        <f t="shared" si="161"/>
        <v>0</v>
      </c>
      <c r="AB96" s="19">
        <f t="shared" si="161"/>
        <v>34732000</v>
      </c>
      <c r="AC96" s="19">
        <f t="shared" si="161"/>
        <v>8566000</v>
      </c>
      <c r="AD96" s="19">
        <f t="shared" si="161"/>
        <v>0</v>
      </c>
      <c r="AE96" s="19">
        <f t="shared" si="161"/>
        <v>8566000</v>
      </c>
      <c r="AF96" s="19">
        <f t="shared" si="161"/>
        <v>23766000</v>
      </c>
      <c r="AG96" s="19">
        <f t="shared" si="161"/>
        <v>0</v>
      </c>
      <c r="AH96" s="19">
        <f t="shared" si="161"/>
        <v>23766000</v>
      </c>
      <c r="AI96" s="19">
        <f t="shared" si="161"/>
        <v>67064000</v>
      </c>
      <c r="AJ96" s="19">
        <f t="shared" si="161"/>
        <v>0</v>
      </c>
      <c r="AK96" s="19">
        <f t="shared" si="161"/>
        <v>8224000</v>
      </c>
      <c r="AL96" s="19">
        <f t="shared" si="161"/>
        <v>0</v>
      </c>
      <c r="AM96" s="19">
        <f t="shared" si="161"/>
        <v>8224000</v>
      </c>
      <c r="AN96" s="19">
        <f t="shared" si="161"/>
        <v>34282000</v>
      </c>
      <c r="AO96" s="19">
        <f t="shared" si="161"/>
        <v>0</v>
      </c>
      <c r="AP96" s="19">
        <f t="shared" si="161"/>
        <v>34282000</v>
      </c>
      <c r="AQ96" s="19">
        <f t="shared" si="161"/>
        <v>9750000</v>
      </c>
      <c r="AR96" s="19">
        <f t="shared" si="161"/>
        <v>0</v>
      </c>
      <c r="AS96" s="19">
        <f t="shared" si="161"/>
        <v>9750000</v>
      </c>
      <c r="AT96" s="19">
        <f t="shared" si="161"/>
        <v>0</v>
      </c>
      <c r="AU96" s="19">
        <f t="shared" si="161"/>
        <v>0</v>
      </c>
      <c r="AV96" s="19">
        <f t="shared" si="161"/>
        <v>205318000</v>
      </c>
      <c r="AW96" s="19">
        <f t="shared" si="161"/>
        <v>5306200</v>
      </c>
      <c r="AX96" s="19">
        <f t="shared" si="161"/>
        <v>124626200</v>
      </c>
      <c r="AY96" s="19">
        <f t="shared" si="161"/>
        <v>5836820.0000000009</v>
      </c>
      <c r="AZ96" s="19">
        <f t="shared" si="161"/>
        <v>6420502.0000000019</v>
      </c>
      <c r="BA96" s="19">
        <f t="shared" si="161"/>
        <v>7062552.200000003</v>
      </c>
      <c r="BB96" s="19">
        <f t="shared" si="161"/>
        <v>7768807.4200000037</v>
      </c>
    </row>
    <row r="97" spans="1:54" s="27" customFormat="1" ht="16.899999999999999" customHeight="1" x14ac:dyDescent="0.2">
      <c r="A97" s="22">
        <v>1</v>
      </c>
      <c r="B97" s="11" t="s">
        <v>53</v>
      </c>
      <c r="C97" s="41" t="s">
        <v>141</v>
      </c>
      <c r="D97" s="14"/>
      <c r="E97" s="13"/>
      <c r="F97" s="14">
        <f>D97-E97</f>
        <v>0</v>
      </c>
      <c r="G97" s="14"/>
      <c r="H97" s="13">
        <f>1272000+1340000</f>
        <v>2612000</v>
      </c>
      <c r="I97" s="14">
        <f>G97-H97</f>
        <v>-2612000</v>
      </c>
      <c r="J97" s="14"/>
      <c r="K97" s="13">
        <v>500000</v>
      </c>
      <c r="L97" s="14">
        <f>J97-K97</f>
        <v>-500000</v>
      </c>
      <c r="M97" s="174">
        <f>D97+G97+J97</f>
        <v>0</v>
      </c>
      <c r="N97" s="174">
        <f>E97+H97+K97</f>
        <v>3112000</v>
      </c>
      <c r="O97" s="14"/>
      <c r="P97" s="13"/>
      <c r="Q97" s="14">
        <f>O97-P97</f>
        <v>0</v>
      </c>
      <c r="R97" s="14"/>
      <c r="S97" s="13"/>
      <c r="T97" s="14">
        <f>R97-S97</f>
        <v>0</v>
      </c>
      <c r="U97" s="14"/>
      <c r="V97" s="13"/>
      <c r="W97" s="14">
        <f>U97-V97</f>
        <v>0</v>
      </c>
      <c r="X97" s="174">
        <f>O97+R97+U97</f>
        <v>0</v>
      </c>
      <c r="Y97" s="174">
        <f>P97+S97+V97</f>
        <v>0</v>
      </c>
      <c r="Z97" s="14"/>
      <c r="AA97" s="13"/>
      <c r="AB97" s="14">
        <f>Z97-AA97</f>
        <v>0</v>
      </c>
      <c r="AC97" s="14"/>
      <c r="AD97" s="13"/>
      <c r="AE97" s="14">
        <f>AC97-AD97</f>
        <v>0</v>
      </c>
      <c r="AF97" s="14"/>
      <c r="AG97" s="13"/>
      <c r="AH97" s="14">
        <f>AF97-AG97</f>
        <v>0</v>
      </c>
      <c r="AI97" s="174">
        <f t="shared" si="97"/>
        <v>0</v>
      </c>
      <c r="AJ97" s="174">
        <f>AA97+AD97+AG97</f>
        <v>0</v>
      </c>
      <c r="AK97" s="14"/>
      <c r="AL97" s="13"/>
      <c r="AM97" s="14">
        <f>AK97-AL97</f>
        <v>0</v>
      </c>
      <c r="AN97" s="14"/>
      <c r="AO97" s="13"/>
      <c r="AP97" s="14">
        <f>AN97-AO97</f>
        <v>0</v>
      </c>
      <c r="AQ97" s="14"/>
      <c r="AR97" s="13"/>
      <c r="AS97" s="14">
        <f>AQ97-AR97</f>
        <v>0</v>
      </c>
      <c r="AT97" s="174">
        <f>AK97+AN97+AQ97</f>
        <v>0</v>
      </c>
      <c r="AU97" s="174">
        <f>AL97+AO97+AR97</f>
        <v>0</v>
      </c>
      <c r="AV97" s="38">
        <f>AQ97+AN97+AK97+AF97+AC97+Z97+U97+R97+O97+J97+G97+D97</f>
        <v>0</v>
      </c>
      <c r="AW97" s="14">
        <f>AR97+AO97+AL97+AG97+AD97+AA97+V97+S97+P97+K97+H97+E97</f>
        <v>3112000</v>
      </c>
      <c r="AX97" s="178">
        <f>(AV97-(M97+X97))+AW97</f>
        <v>3112000</v>
      </c>
      <c r="AY97" s="16">
        <f>AW97*1.1</f>
        <v>3423200.0000000005</v>
      </c>
      <c r="AZ97" s="16">
        <f t="shared" ref="AZ97:BB98" si="162">AY97*1.1</f>
        <v>3765520.0000000009</v>
      </c>
      <c r="BA97" s="16">
        <f t="shared" si="162"/>
        <v>4142072.0000000014</v>
      </c>
      <c r="BB97" s="16">
        <f t="shared" si="162"/>
        <v>4556279.200000002</v>
      </c>
    </row>
    <row r="98" spans="1:54" s="27" customFormat="1" ht="16.899999999999999" customHeight="1" x14ac:dyDescent="0.2">
      <c r="A98" s="22">
        <v>2</v>
      </c>
      <c r="B98" s="11" t="s">
        <v>47</v>
      </c>
      <c r="C98" s="29" t="s">
        <v>111</v>
      </c>
      <c r="D98" s="14"/>
      <c r="E98" s="13"/>
      <c r="F98" s="14">
        <f>D98-E98</f>
        <v>0</v>
      </c>
      <c r="G98" s="14"/>
      <c r="H98" s="13"/>
      <c r="I98" s="14">
        <f>G98-H98</f>
        <v>0</v>
      </c>
      <c r="J98" s="14"/>
      <c r="K98" s="13">
        <v>5500000</v>
      </c>
      <c r="L98" s="14">
        <f>J98-K98</f>
        <v>-5500000</v>
      </c>
      <c r="M98" s="174">
        <f>D98+G98+J98</f>
        <v>0</v>
      </c>
      <c r="N98" s="174">
        <f>E98+H98+K98</f>
        <v>5500000</v>
      </c>
      <c r="O98" s="14"/>
      <c r="P98" s="13"/>
      <c r="Q98" s="14">
        <f>O98-P98</f>
        <v>0</v>
      </c>
      <c r="R98" s="14"/>
      <c r="S98" s="13"/>
      <c r="T98" s="14">
        <f>R98-S98</f>
        <v>0</v>
      </c>
      <c r="U98" s="14"/>
      <c r="V98" s="175">
        <v>10000000</v>
      </c>
      <c r="W98" s="14">
        <f>U98-V98</f>
        <v>-10000000</v>
      </c>
      <c r="X98" s="174">
        <f>O98+R98+U98</f>
        <v>0</v>
      </c>
      <c r="Y98" s="174">
        <f>P98+S98+V98</f>
        <v>10000000</v>
      </c>
      <c r="Z98" s="14"/>
      <c r="AA98" s="13"/>
      <c r="AB98" s="14">
        <f>Z98-AA98</f>
        <v>0</v>
      </c>
      <c r="AC98" s="14"/>
      <c r="AD98" s="13"/>
      <c r="AE98" s="14">
        <f>AC98-AD98</f>
        <v>0</v>
      </c>
      <c r="AF98" s="14"/>
      <c r="AG98" s="13"/>
      <c r="AH98" s="14">
        <f>AF98-AG98</f>
        <v>0</v>
      </c>
      <c r="AI98" s="174">
        <f t="shared" si="97"/>
        <v>0</v>
      </c>
      <c r="AJ98" s="174">
        <f>AA98+AD98+AG98</f>
        <v>0</v>
      </c>
      <c r="AK98" s="14"/>
      <c r="AL98" s="13"/>
      <c r="AM98" s="14">
        <f>AK98-AL98</f>
        <v>0</v>
      </c>
      <c r="AN98" s="14"/>
      <c r="AO98" s="13"/>
      <c r="AP98" s="14">
        <f>AN98-AO98</f>
        <v>0</v>
      </c>
      <c r="AQ98" s="14"/>
      <c r="AR98" s="13"/>
      <c r="AS98" s="14">
        <f>AQ98-AR98</f>
        <v>0</v>
      </c>
      <c r="AT98" s="174">
        <f>AK98+AN98+AQ98</f>
        <v>0</v>
      </c>
      <c r="AU98" s="174">
        <f>AL98+AO98+AR98</f>
        <v>0</v>
      </c>
      <c r="AV98" s="38">
        <f>AQ98+AN98+AK98+AF98+AC98+Z98+U98+R98+O98+J98+G98+D98</f>
        <v>0</v>
      </c>
      <c r="AW98" s="14">
        <f>AR98+AO98+AL98+AG98+AD98+AA98+V98+S98+P98+K98+H98+E98</f>
        <v>15500000</v>
      </c>
      <c r="AX98" s="178">
        <f>(AV98-(M98+X98))+AW98</f>
        <v>15500000</v>
      </c>
      <c r="AY98" s="16">
        <f>AW98*1.1</f>
        <v>17050000</v>
      </c>
      <c r="AZ98" s="16">
        <f t="shared" si="162"/>
        <v>18755000</v>
      </c>
      <c r="BA98" s="16">
        <f t="shared" si="162"/>
        <v>20630500</v>
      </c>
      <c r="BB98" s="16">
        <f t="shared" si="162"/>
        <v>22693550</v>
      </c>
    </row>
    <row r="99" spans="1:54" s="2" customFormat="1" ht="16.899999999999999" customHeight="1" x14ac:dyDescent="0.2">
      <c r="A99" s="58"/>
      <c r="B99" s="11"/>
      <c r="C99" s="47" t="s">
        <v>143</v>
      </c>
      <c r="D99" s="19">
        <f t="shared" ref="D99:BB99" si="163">SUM(D97:D98)</f>
        <v>0</v>
      </c>
      <c r="E99" s="19">
        <f t="shared" si="163"/>
        <v>0</v>
      </c>
      <c r="F99" s="19">
        <f t="shared" si="163"/>
        <v>0</v>
      </c>
      <c r="G99" s="19">
        <f t="shared" si="163"/>
        <v>0</v>
      </c>
      <c r="H99" s="19">
        <f t="shared" si="163"/>
        <v>2612000</v>
      </c>
      <c r="I99" s="19">
        <f t="shared" si="163"/>
        <v>-2612000</v>
      </c>
      <c r="J99" s="19">
        <f t="shared" si="163"/>
        <v>0</v>
      </c>
      <c r="K99" s="19">
        <f t="shared" si="163"/>
        <v>6000000</v>
      </c>
      <c r="L99" s="19">
        <f t="shared" si="163"/>
        <v>-6000000</v>
      </c>
      <c r="M99" s="19">
        <f t="shared" si="163"/>
        <v>0</v>
      </c>
      <c r="N99" s="19">
        <f t="shared" si="163"/>
        <v>8612000</v>
      </c>
      <c r="O99" s="19">
        <f t="shared" si="163"/>
        <v>0</v>
      </c>
      <c r="P99" s="19">
        <f t="shared" si="163"/>
        <v>0</v>
      </c>
      <c r="Q99" s="19">
        <f t="shared" si="163"/>
        <v>0</v>
      </c>
      <c r="R99" s="19">
        <f t="shared" si="163"/>
        <v>0</v>
      </c>
      <c r="S99" s="19">
        <f t="shared" si="163"/>
        <v>0</v>
      </c>
      <c r="T99" s="19">
        <f t="shared" si="163"/>
        <v>0</v>
      </c>
      <c r="U99" s="19">
        <f t="shared" si="163"/>
        <v>0</v>
      </c>
      <c r="V99" s="19">
        <f t="shared" si="163"/>
        <v>10000000</v>
      </c>
      <c r="W99" s="19">
        <f t="shared" si="163"/>
        <v>-10000000</v>
      </c>
      <c r="X99" s="19">
        <f t="shared" si="163"/>
        <v>0</v>
      </c>
      <c r="Y99" s="19">
        <f t="shared" si="163"/>
        <v>10000000</v>
      </c>
      <c r="Z99" s="19">
        <f t="shared" si="163"/>
        <v>0</v>
      </c>
      <c r="AA99" s="19">
        <f t="shared" si="163"/>
        <v>0</v>
      </c>
      <c r="AB99" s="19">
        <f t="shared" si="163"/>
        <v>0</v>
      </c>
      <c r="AC99" s="19">
        <f t="shared" si="163"/>
        <v>0</v>
      </c>
      <c r="AD99" s="19">
        <f t="shared" si="163"/>
        <v>0</v>
      </c>
      <c r="AE99" s="19">
        <f t="shared" si="163"/>
        <v>0</v>
      </c>
      <c r="AF99" s="19">
        <f t="shared" si="163"/>
        <v>0</v>
      </c>
      <c r="AG99" s="19">
        <f t="shared" si="163"/>
        <v>0</v>
      </c>
      <c r="AH99" s="19">
        <f t="shared" si="163"/>
        <v>0</v>
      </c>
      <c r="AI99" s="19">
        <f t="shared" si="163"/>
        <v>0</v>
      </c>
      <c r="AJ99" s="19">
        <f t="shared" si="163"/>
        <v>0</v>
      </c>
      <c r="AK99" s="19">
        <f t="shared" si="163"/>
        <v>0</v>
      </c>
      <c r="AL99" s="19">
        <f t="shared" si="163"/>
        <v>0</v>
      </c>
      <c r="AM99" s="19">
        <f t="shared" si="163"/>
        <v>0</v>
      </c>
      <c r="AN99" s="19">
        <f t="shared" si="163"/>
        <v>0</v>
      </c>
      <c r="AO99" s="19">
        <f t="shared" si="163"/>
        <v>0</v>
      </c>
      <c r="AP99" s="19">
        <f t="shared" si="163"/>
        <v>0</v>
      </c>
      <c r="AQ99" s="19">
        <f t="shared" si="163"/>
        <v>0</v>
      </c>
      <c r="AR99" s="19">
        <f t="shared" si="163"/>
        <v>0</v>
      </c>
      <c r="AS99" s="19">
        <f t="shared" si="163"/>
        <v>0</v>
      </c>
      <c r="AT99" s="19">
        <f t="shared" si="163"/>
        <v>0</v>
      </c>
      <c r="AU99" s="19">
        <f t="shared" si="163"/>
        <v>0</v>
      </c>
      <c r="AV99" s="19">
        <f t="shared" si="163"/>
        <v>0</v>
      </c>
      <c r="AW99" s="19">
        <f t="shared" si="163"/>
        <v>18612000</v>
      </c>
      <c r="AX99" s="19">
        <f t="shared" si="163"/>
        <v>18612000</v>
      </c>
      <c r="AY99" s="19">
        <f t="shared" si="163"/>
        <v>20473200</v>
      </c>
      <c r="AZ99" s="19">
        <f t="shared" si="163"/>
        <v>22520520</v>
      </c>
      <c r="BA99" s="19">
        <f t="shared" si="163"/>
        <v>24772572</v>
      </c>
      <c r="BB99" s="19">
        <f t="shared" si="163"/>
        <v>27249829.200000003</v>
      </c>
    </row>
    <row r="100" spans="1:54" s="62" customFormat="1" ht="16.899999999999999" customHeight="1" x14ac:dyDescent="0.2">
      <c r="A100" s="10">
        <v>1</v>
      </c>
      <c r="B100" s="11" t="s">
        <v>53</v>
      </c>
      <c r="C100" s="29" t="s">
        <v>84</v>
      </c>
      <c r="D100" s="14">
        <v>1900000</v>
      </c>
      <c r="E100" s="13">
        <v>707000</v>
      </c>
      <c r="F100" s="14">
        <f t="shared" ref="F100:F105" si="164">D100-E100</f>
        <v>1193000</v>
      </c>
      <c r="G100" s="14">
        <v>1900000</v>
      </c>
      <c r="H100" s="13"/>
      <c r="I100" s="14">
        <f t="shared" ref="I100:I105" si="165">G100-H100</f>
        <v>1900000</v>
      </c>
      <c r="J100" s="14">
        <v>1900000</v>
      </c>
      <c r="K100" s="13"/>
      <c r="L100" s="14">
        <f t="shared" ref="L100:L105" si="166">J100-K100</f>
        <v>1900000</v>
      </c>
      <c r="M100" s="174">
        <f t="shared" ref="M100:N105" si="167">D100+G100+J100</f>
        <v>5700000</v>
      </c>
      <c r="N100" s="174">
        <f t="shared" si="167"/>
        <v>707000</v>
      </c>
      <c r="O100" s="14">
        <v>1900000</v>
      </c>
      <c r="P100" s="13"/>
      <c r="Q100" s="14">
        <f t="shared" ref="Q100:Q105" si="168">O100-P100</f>
        <v>1900000</v>
      </c>
      <c r="R100" s="14">
        <v>1900000</v>
      </c>
      <c r="S100" s="13"/>
      <c r="T100" s="14">
        <f t="shared" ref="T100:T105" si="169">R100-S100</f>
        <v>1900000</v>
      </c>
      <c r="U100" s="14">
        <v>1900000</v>
      </c>
      <c r="V100" s="13"/>
      <c r="W100" s="14">
        <f t="shared" ref="W100:W105" si="170">U100-V100</f>
        <v>1900000</v>
      </c>
      <c r="X100" s="174">
        <f t="shared" ref="X100:Y105" si="171">O100+R100+U100</f>
        <v>5700000</v>
      </c>
      <c r="Y100" s="174">
        <f t="shared" si="171"/>
        <v>0</v>
      </c>
      <c r="Z100" s="14">
        <v>1900000</v>
      </c>
      <c r="AA100" s="13"/>
      <c r="AB100" s="14">
        <f t="shared" ref="AB100:AB105" si="172">Z100-AA100</f>
        <v>1900000</v>
      </c>
      <c r="AC100" s="14">
        <v>1900000</v>
      </c>
      <c r="AD100" s="13"/>
      <c r="AE100" s="14">
        <f t="shared" ref="AE100:AE105" si="173">AC100-AD100</f>
        <v>1900000</v>
      </c>
      <c r="AF100" s="14">
        <v>1900000</v>
      </c>
      <c r="AG100" s="13"/>
      <c r="AH100" s="14">
        <f t="shared" ref="AH100:AH105" si="174">AF100-AG100</f>
        <v>1900000</v>
      </c>
      <c r="AI100" s="174">
        <f t="shared" si="97"/>
        <v>5700000</v>
      </c>
      <c r="AJ100" s="174">
        <f t="shared" ref="AJ100:AJ105" si="175">AA100+AD100+AG100</f>
        <v>0</v>
      </c>
      <c r="AK100" s="14">
        <v>1900000</v>
      </c>
      <c r="AL100" s="13"/>
      <c r="AM100" s="14">
        <f t="shared" ref="AM100:AM105" si="176">AK100-AL100</f>
        <v>1900000</v>
      </c>
      <c r="AN100" s="14">
        <v>1900000</v>
      </c>
      <c r="AO100" s="13"/>
      <c r="AP100" s="14">
        <f t="shared" ref="AP100:AP105" si="177">AN100-AO100</f>
        <v>1900000</v>
      </c>
      <c r="AQ100" s="14"/>
      <c r="AR100" s="13"/>
      <c r="AS100" s="14">
        <f t="shared" ref="AS100:AS105" si="178">AQ100-AR100</f>
        <v>0</v>
      </c>
      <c r="AT100" s="174"/>
      <c r="AU100" s="174">
        <f t="shared" ref="AU100:AU105" si="179">AL100+AO100+AR100</f>
        <v>0</v>
      </c>
      <c r="AV100" s="38">
        <f t="shared" ref="AV100:AW105" si="180">AQ100+AN100+AK100+AF100+AC100+Z100+U100+R100+O100+J100+G100+D100</f>
        <v>20900000</v>
      </c>
      <c r="AW100" s="14">
        <f t="shared" si="180"/>
        <v>707000</v>
      </c>
      <c r="AX100" s="178">
        <f t="shared" ref="AX100:AX105" si="181">(AV100-(M100+X100))+AW100</f>
        <v>10207000</v>
      </c>
      <c r="AY100" s="16">
        <f t="shared" ref="AY100:AY105" si="182">AW100*1.1</f>
        <v>777700.00000000012</v>
      </c>
      <c r="AZ100" s="16">
        <f t="shared" ref="AZ100:BB105" si="183">AY100*1.1</f>
        <v>855470.00000000023</v>
      </c>
      <c r="BA100" s="16">
        <f t="shared" si="183"/>
        <v>941017.00000000035</v>
      </c>
      <c r="BB100" s="16">
        <f t="shared" si="183"/>
        <v>1035118.7000000004</v>
      </c>
    </row>
    <row r="101" spans="1:54" s="62" customFormat="1" ht="16.899999999999999" customHeight="1" x14ac:dyDescent="0.2">
      <c r="A101" s="10">
        <v>2</v>
      </c>
      <c r="B101" s="11" t="s">
        <v>144</v>
      </c>
      <c r="C101" s="41" t="s">
        <v>145</v>
      </c>
      <c r="D101" s="14">
        <v>11435400</v>
      </c>
      <c r="E101" s="13">
        <v>7832516</v>
      </c>
      <c r="F101" s="14">
        <f t="shared" si="164"/>
        <v>3602884</v>
      </c>
      <c r="G101" s="14">
        <v>5534522</v>
      </c>
      <c r="H101" s="13">
        <f>13538791-1200688</f>
        <v>12338103</v>
      </c>
      <c r="I101" s="14">
        <f t="shared" si="165"/>
        <v>-6803581</v>
      </c>
      <c r="J101" s="14">
        <v>5534522</v>
      </c>
      <c r="K101" s="13">
        <f>11688485+2650000-3489850</f>
        <v>10848635</v>
      </c>
      <c r="L101" s="14">
        <f t="shared" si="166"/>
        <v>-5314113</v>
      </c>
      <c r="M101" s="174">
        <f t="shared" si="167"/>
        <v>22504444</v>
      </c>
      <c r="N101" s="174">
        <f t="shared" si="167"/>
        <v>31019254</v>
      </c>
      <c r="O101" s="14">
        <v>5534522</v>
      </c>
      <c r="P101" s="13">
        <v>11242161</v>
      </c>
      <c r="Q101" s="14">
        <f t="shared" si="168"/>
        <v>-5707639</v>
      </c>
      <c r="R101" s="14">
        <v>5534522</v>
      </c>
      <c r="S101" s="13">
        <v>12070224</v>
      </c>
      <c r="T101" s="14">
        <f t="shared" si="169"/>
        <v>-6535702</v>
      </c>
      <c r="U101" s="14">
        <v>5534522</v>
      </c>
      <c r="V101" s="175">
        <f>13146547</f>
        <v>13146547</v>
      </c>
      <c r="W101" s="14">
        <f t="shared" si="170"/>
        <v>-7612025</v>
      </c>
      <c r="X101" s="174">
        <f t="shared" si="171"/>
        <v>16603566</v>
      </c>
      <c r="Y101" s="174">
        <f t="shared" si="171"/>
        <v>36458932</v>
      </c>
      <c r="Z101" s="14">
        <v>5534522</v>
      </c>
      <c r="AA101" s="13"/>
      <c r="AB101" s="14">
        <f t="shared" si="172"/>
        <v>5534522</v>
      </c>
      <c r="AC101" s="14">
        <v>5534522</v>
      </c>
      <c r="AD101" s="13"/>
      <c r="AE101" s="14">
        <f t="shared" si="173"/>
        <v>5534522</v>
      </c>
      <c r="AF101" s="14">
        <v>5534522</v>
      </c>
      <c r="AG101" s="13"/>
      <c r="AH101" s="14">
        <f t="shared" si="174"/>
        <v>5534522</v>
      </c>
      <c r="AI101" s="174">
        <f t="shared" si="97"/>
        <v>16603566</v>
      </c>
      <c r="AJ101" s="174">
        <f t="shared" si="175"/>
        <v>0</v>
      </c>
      <c r="AK101" s="14">
        <v>5534522</v>
      </c>
      <c r="AL101" s="13"/>
      <c r="AM101" s="14">
        <f t="shared" si="176"/>
        <v>5534522</v>
      </c>
      <c r="AN101" s="14">
        <v>5534522</v>
      </c>
      <c r="AO101" s="13"/>
      <c r="AP101" s="14">
        <f t="shared" si="177"/>
        <v>5534522</v>
      </c>
      <c r="AQ101" s="14">
        <v>5534522</v>
      </c>
      <c r="AR101" s="13"/>
      <c r="AS101" s="14">
        <f t="shared" si="178"/>
        <v>5534522</v>
      </c>
      <c r="AT101" s="174"/>
      <c r="AU101" s="174">
        <f t="shared" si="179"/>
        <v>0</v>
      </c>
      <c r="AV101" s="38">
        <f t="shared" si="180"/>
        <v>72315142</v>
      </c>
      <c r="AW101" s="14">
        <f t="shared" si="180"/>
        <v>67478186</v>
      </c>
      <c r="AX101" s="178">
        <f t="shared" si="181"/>
        <v>100685318</v>
      </c>
      <c r="AY101" s="16">
        <f t="shared" si="182"/>
        <v>74226004.600000009</v>
      </c>
      <c r="AZ101" s="16">
        <f t="shared" si="183"/>
        <v>81648605.060000017</v>
      </c>
      <c r="BA101" s="16">
        <f t="shared" si="183"/>
        <v>89813465.566000029</v>
      </c>
      <c r="BB101" s="16">
        <f t="shared" si="183"/>
        <v>98794812.122600034</v>
      </c>
    </row>
    <row r="102" spans="1:54" s="62" customFormat="1" ht="16.899999999999999" customHeight="1" x14ac:dyDescent="0.2">
      <c r="A102" s="10">
        <v>3</v>
      </c>
      <c r="B102" s="11" t="s">
        <v>73</v>
      </c>
      <c r="C102" s="29" t="s">
        <v>74</v>
      </c>
      <c r="D102" s="14"/>
      <c r="E102" s="13"/>
      <c r="F102" s="14">
        <f t="shared" si="164"/>
        <v>0</v>
      </c>
      <c r="G102" s="14"/>
      <c r="H102" s="13"/>
      <c r="I102" s="14">
        <f t="shared" si="165"/>
        <v>0</v>
      </c>
      <c r="J102" s="14"/>
      <c r="K102" s="13"/>
      <c r="L102" s="14">
        <f t="shared" si="166"/>
        <v>0</v>
      </c>
      <c r="M102" s="174">
        <f t="shared" si="167"/>
        <v>0</v>
      </c>
      <c r="N102" s="174">
        <f t="shared" si="167"/>
        <v>0</v>
      </c>
      <c r="O102" s="14"/>
      <c r="P102" s="13"/>
      <c r="Q102" s="14">
        <f t="shared" si="168"/>
        <v>0</v>
      </c>
      <c r="R102" s="14"/>
      <c r="S102" s="13"/>
      <c r="T102" s="14">
        <f t="shared" si="169"/>
        <v>0</v>
      </c>
      <c r="U102" s="14"/>
      <c r="V102" s="13">
        <v>967500</v>
      </c>
      <c r="W102" s="14">
        <f t="shared" si="170"/>
        <v>-967500</v>
      </c>
      <c r="X102" s="174">
        <f t="shared" si="171"/>
        <v>0</v>
      </c>
      <c r="Y102" s="174">
        <f t="shared" si="171"/>
        <v>967500</v>
      </c>
      <c r="Z102" s="14"/>
      <c r="AA102" s="13"/>
      <c r="AB102" s="14">
        <f t="shared" si="172"/>
        <v>0</v>
      </c>
      <c r="AC102" s="14"/>
      <c r="AD102" s="13"/>
      <c r="AE102" s="14">
        <f t="shared" si="173"/>
        <v>0</v>
      </c>
      <c r="AF102" s="14"/>
      <c r="AG102" s="13"/>
      <c r="AH102" s="14">
        <f t="shared" si="174"/>
        <v>0</v>
      </c>
      <c r="AI102" s="174">
        <f t="shared" si="97"/>
        <v>0</v>
      </c>
      <c r="AJ102" s="174">
        <f t="shared" si="175"/>
        <v>0</v>
      </c>
      <c r="AK102" s="14"/>
      <c r="AL102" s="13"/>
      <c r="AM102" s="14">
        <f t="shared" si="176"/>
        <v>0</v>
      </c>
      <c r="AN102" s="14"/>
      <c r="AO102" s="13"/>
      <c r="AP102" s="14">
        <f t="shared" si="177"/>
        <v>0</v>
      </c>
      <c r="AQ102" s="14"/>
      <c r="AR102" s="13"/>
      <c r="AS102" s="14">
        <f t="shared" si="178"/>
        <v>0</v>
      </c>
      <c r="AT102" s="174"/>
      <c r="AU102" s="174">
        <f t="shared" si="179"/>
        <v>0</v>
      </c>
      <c r="AV102" s="38">
        <f t="shared" si="180"/>
        <v>0</v>
      </c>
      <c r="AW102" s="14">
        <f t="shared" si="180"/>
        <v>967500</v>
      </c>
      <c r="AX102" s="178">
        <f t="shared" si="181"/>
        <v>967500</v>
      </c>
      <c r="AY102" s="16">
        <f t="shared" si="182"/>
        <v>1064250</v>
      </c>
      <c r="AZ102" s="16">
        <f t="shared" si="183"/>
        <v>1170675</v>
      </c>
      <c r="BA102" s="16">
        <f t="shared" si="183"/>
        <v>1287742.5</v>
      </c>
      <c r="BB102" s="16">
        <f t="shared" si="183"/>
        <v>1416516.75</v>
      </c>
    </row>
    <row r="103" spans="1:54" s="27" customFormat="1" ht="16.5" customHeight="1" x14ac:dyDescent="0.2">
      <c r="A103" s="10">
        <v>4</v>
      </c>
      <c r="B103" s="11" t="s">
        <v>47</v>
      </c>
      <c r="C103" s="29" t="s">
        <v>111</v>
      </c>
      <c r="D103" s="14">
        <v>3000000</v>
      </c>
      <c r="E103" s="13"/>
      <c r="F103" s="14">
        <f t="shared" si="164"/>
        <v>3000000</v>
      </c>
      <c r="G103" s="14">
        <v>0</v>
      </c>
      <c r="H103" s="189">
        <v>6000000</v>
      </c>
      <c r="I103" s="14">
        <f t="shared" si="165"/>
        <v>-6000000</v>
      </c>
      <c r="J103" s="14"/>
      <c r="K103" s="13">
        <v>20300000</v>
      </c>
      <c r="L103" s="14">
        <f t="shared" si="166"/>
        <v>-20300000</v>
      </c>
      <c r="M103" s="174">
        <f t="shared" si="167"/>
        <v>3000000</v>
      </c>
      <c r="N103" s="174">
        <f t="shared" si="167"/>
        <v>26300000</v>
      </c>
      <c r="O103" s="14"/>
      <c r="P103" s="13"/>
      <c r="Q103" s="14">
        <f t="shared" si="168"/>
        <v>0</v>
      </c>
      <c r="R103" s="14"/>
      <c r="S103" s="13"/>
      <c r="T103" s="14">
        <f t="shared" si="169"/>
        <v>0</v>
      </c>
      <c r="U103" s="14">
        <v>25000000</v>
      </c>
      <c r="V103" s="13"/>
      <c r="W103" s="14">
        <f t="shared" si="170"/>
        <v>25000000</v>
      </c>
      <c r="X103" s="174">
        <f t="shared" si="171"/>
        <v>25000000</v>
      </c>
      <c r="Y103" s="174">
        <f t="shared" si="171"/>
        <v>0</v>
      </c>
      <c r="Z103" s="14">
        <v>6000000</v>
      </c>
      <c r="AA103" s="13"/>
      <c r="AB103" s="14">
        <f t="shared" si="172"/>
        <v>6000000</v>
      </c>
      <c r="AC103" s="14">
        <v>0</v>
      </c>
      <c r="AD103" s="30">
        <v>0</v>
      </c>
      <c r="AE103" s="14">
        <f t="shared" si="173"/>
        <v>0</v>
      </c>
      <c r="AF103" s="14">
        <v>0</v>
      </c>
      <c r="AG103" s="30">
        <v>0</v>
      </c>
      <c r="AH103" s="14">
        <f t="shared" si="174"/>
        <v>0</v>
      </c>
      <c r="AI103" s="174">
        <f t="shared" si="97"/>
        <v>6000000</v>
      </c>
      <c r="AJ103" s="174">
        <f t="shared" si="175"/>
        <v>0</v>
      </c>
      <c r="AK103" s="14">
        <v>6000000</v>
      </c>
      <c r="AL103" s="13"/>
      <c r="AM103" s="14">
        <f t="shared" si="176"/>
        <v>6000000</v>
      </c>
      <c r="AN103" s="45"/>
      <c r="AO103" s="45"/>
      <c r="AP103" s="14">
        <f t="shared" si="177"/>
        <v>0</v>
      </c>
      <c r="AQ103" s="14">
        <v>25000000</v>
      </c>
      <c r="AR103" s="13"/>
      <c r="AS103" s="14">
        <f t="shared" si="178"/>
        <v>25000000</v>
      </c>
      <c r="AT103" s="174"/>
      <c r="AU103" s="174">
        <f t="shared" si="179"/>
        <v>0</v>
      </c>
      <c r="AV103" s="38">
        <f t="shared" si="180"/>
        <v>65000000</v>
      </c>
      <c r="AW103" s="14">
        <f t="shared" si="180"/>
        <v>26300000</v>
      </c>
      <c r="AX103" s="178">
        <f t="shared" si="181"/>
        <v>63300000</v>
      </c>
      <c r="AY103" s="16">
        <f t="shared" si="182"/>
        <v>28930000.000000004</v>
      </c>
      <c r="AZ103" s="16">
        <f t="shared" si="183"/>
        <v>31823000.000000007</v>
      </c>
      <c r="BA103" s="16">
        <f t="shared" si="183"/>
        <v>35005300.000000007</v>
      </c>
      <c r="BB103" s="16">
        <f t="shared" si="183"/>
        <v>38505830.000000015</v>
      </c>
    </row>
    <row r="104" spans="1:54" s="62" customFormat="1" ht="16.899999999999999" customHeight="1" x14ac:dyDescent="0.2">
      <c r="A104" s="10">
        <v>5</v>
      </c>
      <c r="B104" s="11" t="s">
        <v>136</v>
      </c>
      <c r="C104" s="41" t="s">
        <v>146</v>
      </c>
      <c r="D104" s="14"/>
      <c r="E104" s="13">
        <v>16800000</v>
      </c>
      <c r="F104" s="14">
        <f t="shared" si="164"/>
        <v>-16800000</v>
      </c>
      <c r="G104" s="14"/>
      <c r="H104" s="13"/>
      <c r="I104" s="14">
        <f t="shared" si="165"/>
        <v>0</v>
      </c>
      <c r="J104" s="14"/>
      <c r="K104" s="13"/>
      <c r="L104" s="14">
        <f t="shared" si="166"/>
        <v>0</v>
      </c>
      <c r="M104" s="174">
        <f t="shared" si="167"/>
        <v>0</v>
      </c>
      <c r="N104" s="174">
        <f t="shared" si="167"/>
        <v>16800000</v>
      </c>
      <c r="O104" s="14">
        <v>6000000</v>
      </c>
      <c r="P104" s="13"/>
      <c r="Q104" s="14">
        <f t="shared" si="168"/>
        <v>6000000</v>
      </c>
      <c r="R104" s="14">
        <v>3000000</v>
      </c>
      <c r="S104" s="13">
        <v>6000000</v>
      </c>
      <c r="T104" s="14">
        <f t="shared" si="169"/>
        <v>-3000000</v>
      </c>
      <c r="U104" s="14"/>
      <c r="V104" s="13"/>
      <c r="W104" s="14">
        <f t="shared" si="170"/>
        <v>0</v>
      </c>
      <c r="X104" s="174">
        <f t="shared" si="171"/>
        <v>9000000</v>
      </c>
      <c r="Y104" s="174">
        <f t="shared" si="171"/>
        <v>6000000</v>
      </c>
      <c r="Z104" s="14">
        <v>30000000</v>
      </c>
      <c r="AA104" s="13"/>
      <c r="AB104" s="14">
        <f t="shared" si="172"/>
        <v>30000000</v>
      </c>
      <c r="AC104" s="14"/>
      <c r="AD104" s="13"/>
      <c r="AE104" s="14">
        <f t="shared" si="173"/>
        <v>0</v>
      </c>
      <c r="AF104" s="14"/>
      <c r="AG104" s="13"/>
      <c r="AH104" s="14">
        <f t="shared" si="174"/>
        <v>0</v>
      </c>
      <c r="AI104" s="174">
        <f t="shared" si="97"/>
        <v>30000000</v>
      </c>
      <c r="AJ104" s="174">
        <f t="shared" si="175"/>
        <v>0</v>
      </c>
      <c r="AK104" s="14">
        <v>5700000</v>
      </c>
      <c r="AL104" s="13"/>
      <c r="AM104" s="14">
        <f t="shared" si="176"/>
        <v>5700000</v>
      </c>
      <c r="AN104" s="14">
        <v>1700000</v>
      </c>
      <c r="AO104" s="13"/>
      <c r="AP104" s="14">
        <f t="shared" si="177"/>
        <v>1700000</v>
      </c>
      <c r="AQ104" s="14">
        <v>10000000</v>
      </c>
      <c r="AR104" s="13"/>
      <c r="AS104" s="14">
        <f t="shared" si="178"/>
        <v>10000000</v>
      </c>
      <c r="AT104" s="174"/>
      <c r="AU104" s="174">
        <f t="shared" si="179"/>
        <v>0</v>
      </c>
      <c r="AV104" s="38">
        <f t="shared" si="180"/>
        <v>56400000</v>
      </c>
      <c r="AW104" s="14">
        <f t="shared" si="180"/>
        <v>22800000</v>
      </c>
      <c r="AX104" s="178">
        <f t="shared" si="181"/>
        <v>70200000</v>
      </c>
      <c r="AY104" s="16">
        <f t="shared" si="182"/>
        <v>25080000.000000004</v>
      </c>
      <c r="AZ104" s="16">
        <f t="shared" si="183"/>
        <v>27588000.000000007</v>
      </c>
      <c r="BA104" s="16">
        <f t="shared" si="183"/>
        <v>30346800.000000011</v>
      </c>
      <c r="BB104" s="16">
        <f t="shared" si="183"/>
        <v>33381480.000000015</v>
      </c>
    </row>
    <row r="105" spans="1:54" s="62" customFormat="1" ht="16.899999999999999" customHeight="1" x14ac:dyDescent="0.2">
      <c r="A105" s="10">
        <v>6</v>
      </c>
      <c r="B105" s="11" t="s">
        <v>147</v>
      </c>
      <c r="C105" s="29" t="s">
        <v>148</v>
      </c>
      <c r="D105" s="14"/>
      <c r="E105" s="13"/>
      <c r="F105" s="14">
        <f t="shared" si="164"/>
        <v>0</v>
      </c>
      <c r="G105" s="14"/>
      <c r="H105" s="13"/>
      <c r="I105" s="14">
        <f t="shared" si="165"/>
        <v>0</v>
      </c>
      <c r="J105" s="14"/>
      <c r="K105" s="13"/>
      <c r="L105" s="14">
        <f t="shared" si="166"/>
        <v>0</v>
      </c>
      <c r="M105" s="174">
        <f t="shared" si="167"/>
        <v>0</v>
      </c>
      <c r="N105" s="174">
        <f t="shared" si="167"/>
        <v>0</v>
      </c>
      <c r="O105" s="14"/>
      <c r="P105" s="13"/>
      <c r="Q105" s="14">
        <f t="shared" si="168"/>
        <v>0</v>
      </c>
      <c r="R105" s="14"/>
      <c r="S105" s="13"/>
      <c r="T105" s="14">
        <f t="shared" si="169"/>
        <v>0</v>
      </c>
      <c r="U105" s="14"/>
      <c r="V105" s="13"/>
      <c r="W105" s="14">
        <f t="shared" si="170"/>
        <v>0</v>
      </c>
      <c r="X105" s="174">
        <f t="shared" si="171"/>
        <v>0</v>
      </c>
      <c r="Y105" s="174">
        <f t="shared" si="171"/>
        <v>0</v>
      </c>
      <c r="Z105" s="14">
        <v>36000000</v>
      </c>
      <c r="AA105" s="13"/>
      <c r="AB105" s="14">
        <f t="shared" si="172"/>
        <v>36000000</v>
      </c>
      <c r="AC105" s="14"/>
      <c r="AD105" s="13"/>
      <c r="AE105" s="14">
        <f t="shared" si="173"/>
        <v>0</v>
      </c>
      <c r="AF105" s="14"/>
      <c r="AG105" s="13"/>
      <c r="AH105" s="14">
        <f t="shared" si="174"/>
        <v>0</v>
      </c>
      <c r="AI105" s="174">
        <f t="shared" si="97"/>
        <v>36000000</v>
      </c>
      <c r="AJ105" s="174">
        <f t="shared" si="175"/>
        <v>0</v>
      </c>
      <c r="AK105" s="14"/>
      <c r="AL105" s="13"/>
      <c r="AM105" s="14">
        <f t="shared" si="176"/>
        <v>0</v>
      </c>
      <c r="AN105" s="14"/>
      <c r="AO105" s="13"/>
      <c r="AP105" s="14">
        <f t="shared" si="177"/>
        <v>0</v>
      </c>
      <c r="AQ105" s="14"/>
      <c r="AR105" s="13"/>
      <c r="AS105" s="14">
        <f t="shared" si="178"/>
        <v>0</v>
      </c>
      <c r="AT105" s="174"/>
      <c r="AU105" s="174">
        <f t="shared" si="179"/>
        <v>0</v>
      </c>
      <c r="AV105" s="38">
        <f t="shared" si="180"/>
        <v>36000000</v>
      </c>
      <c r="AW105" s="14">
        <f t="shared" si="180"/>
        <v>0</v>
      </c>
      <c r="AX105" s="178">
        <f t="shared" si="181"/>
        <v>36000000</v>
      </c>
      <c r="AY105" s="16">
        <f t="shared" si="182"/>
        <v>0</v>
      </c>
      <c r="AZ105" s="16">
        <f t="shared" si="183"/>
        <v>0</v>
      </c>
      <c r="BA105" s="16">
        <f t="shared" si="183"/>
        <v>0</v>
      </c>
      <c r="BB105" s="16">
        <f t="shared" si="183"/>
        <v>0</v>
      </c>
    </row>
    <row r="106" spans="1:54" s="2" customFormat="1" ht="16.899999999999999" customHeight="1" x14ac:dyDescent="0.2">
      <c r="A106" s="58"/>
      <c r="B106" s="23"/>
      <c r="C106" s="47" t="s">
        <v>149</v>
      </c>
      <c r="D106" s="59">
        <f t="shared" ref="D106:BB106" si="184">SUM(D100:D105)</f>
        <v>16335400</v>
      </c>
      <c r="E106" s="59">
        <f t="shared" si="184"/>
        <v>25339516</v>
      </c>
      <c r="F106" s="59">
        <f t="shared" si="184"/>
        <v>-9004116</v>
      </c>
      <c r="G106" s="59">
        <f t="shared" si="184"/>
        <v>7434522</v>
      </c>
      <c r="H106" s="59">
        <f t="shared" si="184"/>
        <v>18338103</v>
      </c>
      <c r="I106" s="59">
        <f t="shared" si="184"/>
        <v>-10903581</v>
      </c>
      <c r="J106" s="59">
        <f t="shared" si="184"/>
        <v>7434522</v>
      </c>
      <c r="K106" s="59">
        <f t="shared" si="184"/>
        <v>31148635</v>
      </c>
      <c r="L106" s="59">
        <f t="shared" si="184"/>
        <v>-23714113</v>
      </c>
      <c r="M106" s="59">
        <f t="shared" si="184"/>
        <v>31204444</v>
      </c>
      <c r="N106" s="59">
        <f t="shared" si="184"/>
        <v>74826254</v>
      </c>
      <c r="O106" s="59">
        <f t="shared" si="184"/>
        <v>13434522</v>
      </c>
      <c r="P106" s="59">
        <f t="shared" si="184"/>
        <v>11242161</v>
      </c>
      <c r="Q106" s="59">
        <f t="shared" si="184"/>
        <v>2192361</v>
      </c>
      <c r="R106" s="59">
        <f t="shared" si="184"/>
        <v>10434522</v>
      </c>
      <c r="S106" s="59">
        <f t="shared" si="184"/>
        <v>18070224</v>
      </c>
      <c r="T106" s="59">
        <f t="shared" si="184"/>
        <v>-7635702</v>
      </c>
      <c r="U106" s="59">
        <f t="shared" si="184"/>
        <v>32434522</v>
      </c>
      <c r="V106" s="59">
        <f t="shared" si="184"/>
        <v>14114047</v>
      </c>
      <c r="W106" s="59">
        <f t="shared" si="184"/>
        <v>18320475</v>
      </c>
      <c r="X106" s="59">
        <f t="shared" si="184"/>
        <v>56303566</v>
      </c>
      <c r="Y106" s="59">
        <f t="shared" si="184"/>
        <v>43426432</v>
      </c>
      <c r="Z106" s="59">
        <f t="shared" si="184"/>
        <v>79434522</v>
      </c>
      <c r="AA106" s="59">
        <f t="shared" si="184"/>
        <v>0</v>
      </c>
      <c r="AB106" s="59">
        <f t="shared" si="184"/>
        <v>79434522</v>
      </c>
      <c r="AC106" s="59">
        <f t="shared" si="184"/>
        <v>7434522</v>
      </c>
      <c r="AD106" s="59">
        <f t="shared" si="184"/>
        <v>0</v>
      </c>
      <c r="AE106" s="59">
        <f t="shared" si="184"/>
        <v>7434522</v>
      </c>
      <c r="AF106" s="59">
        <f t="shared" si="184"/>
        <v>7434522</v>
      </c>
      <c r="AG106" s="59">
        <f t="shared" si="184"/>
        <v>0</v>
      </c>
      <c r="AH106" s="59">
        <f t="shared" si="184"/>
        <v>7434522</v>
      </c>
      <c r="AI106" s="59">
        <f t="shared" si="184"/>
        <v>94303566</v>
      </c>
      <c r="AJ106" s="59">
        <f t="shared" si="184"/>
        <v>0</v>
      </c>
      <c r="AK106" s="59">
        <f t="shared" si="184"/>
        <v>19134522</v>
      </c>
      <c r="AL106" s="59">
        <f t="shared" si="184"/>
        <v>0</v>
      </c>
      <c r="AM106" s="59">
        <f t="shared" si="184"/>
        <v>19134522</v>
      </c>
      <c r="AN106" s="59">
        <f t="shared" si="184"/>
        <v>9134522</v>
      </c>
      <c r="AO106" s="59">
        <f t="shared" si="184"/>
        <v>0</v>
      </c>
      <c r="AP106" s="59">
        <f t="shared" si="184"/>
        <v>9134522</v>
      </c>
      <c r="AQ106" s="59">
        <f t="shared" si="184"/>
        <v>40534522</v>
      </c>
      <c r="AR106" s="59">
        <f t="shared" si="184"/>
        <v>0</v>
      </c>
      <c r="AS106" s="59">
        <f t="shared" si="184"/>
        <v>40534522</v>
      </c>
      <c r="AT106" s="59">
        <f t="shared" si="184"/>
        <v>0</v>
      </c>
      <c r="AU106" s="59">
        <f t="shared" si="184"/>
        <v>0</v>
      </c>
      <c r="AV106" s="59">
        <f t="shared" si="184"/>
        <v>250615142</v>
      </c>
      <c r="AW106" s="59">
        <f t="shared" si="184"/>
        <v>118252686</v>
      </c>
      <c r="AX106" s="59">
        <f t="shared" si="184"/>
        <v>281359818</v>
      </c>
      <c r="AY106" s="188">
        <f t="shared" si="184"/>
        <v>130077954.60000001</v>
      </c>
      <c r="AZ106" s="59">
        <f t="shared" si="184"/>
        <v>143085750.06000003</v>
      </c>
      <c r="BA106" s="59">
        <f t="shared" si="184"/>
        <v>157394325.06600004</v>
      </c>
      <c r="BB106" s="59">
        <f t="shared" si="184"/>
        <v>173133757.57260007</v>
      </c>
    </row>
    <row r="107" spans="1:54" ht="16.899999999999999" customHeight="1" x14ac:dyDescent="0.2">
      <c r="A107" s="10">
        <v>1</v>
      </c>
      <c r="B107" s="11" t="s">
        <v>21</v>
      </c>
      <c r="C107" s="29" t="s">
        <v>150</v>
      </c>
      <c r="D107" s="14">
        <v>161012771</v>
      </c>
      <c r="E107" s="13">
        <v>139657637</v>
      </c>
      <c r="F107" s="14">
        <f t="shared" ref="F107:F116" si="185">D107-E107</f>
        <v>21355134</v>
      </c>
      <c r="G107" s="14">
        <v>161012771</v>
      </c>
      <c r="H107" s="13">
        <v>139657637</v>
      </c>
      <c r="I107" s="14">
        <f t="shared" ref="I107:I116" si="186">G107-H107</f>
        <v>21355134</v>
      </c>
      <c r="J107" s="14">
        <v>161012771</v>
      </c>
      <c r="K107" s="13"/>
      <c r="L107" s="14">
        <f t="shared" ref="L107:L116" si="187">J107-K107</f>
        <v>161012771</v>
      </c>
      <c r="M107" s="174">
        <f t="shared" ref="M107:N116" si="188">D107+G107+J107</f>
        <v>483038313</v>
      </c>
      <c r="N107" s="174">
        <f t="shared" si="188"/>
        <v>279315274</v>
      </c>
      <c r="O107" s="14">
        <v>161012771</v>
      </c>
      <c r="P107" s="13">
        <v>139657637</v>
      </c>
      <c r="Q107" s="14">
        <f t="shared" ref="Q107:Q116" si="189">O107-P107</f>
        <v>21355134</v>
      </c>
      <c r="R107" s="14">
        <v>161012771</v>
      </c>
      <c r="S107" s="13">
        <v>139657637</v>
      </c>
      <c r="T107" s="14">
        <f t="shared" ref="T107:T116" si="190">R107-S107</f>
        <v>21355134</v>
      </c>
      <c r="U107" s="14">
        <v>161012771</v>
      </c>
      <c r="V107" s="175">
        <v>139657637</v>
      </c>
      <c r="W107" s="14">
        <f t="shared" ref="W107:W116" si="191">U107-V107</f>
        <v>21355134</v>
      </c>
      <c r="X107" s="174">
        <f t="shared" ref="X107:Y116" si="192">O107+R107+U107</f>
        <v>483038313</v>
      </c>
      <c r="Y107" s="174">
        <f t="shared" si="192"/>
        <v>418972911</v>
      </c>
      <c r="Z107" s="14">
        <v>161012771</v>
      </c>
      <c r="AA107" s="13"/>
      <c r="AB107" s="14">
        <f t="shared" ref="AB107:AB116" si="193">Z107-AA107</f>
        <v>161012771</v>
      </c>
      <c r="AC107" s="14">
        <f>161012771*2</f>
        <v>322025542</v>
      </c>
      <c r="AD107" s="13"/>
      <c r="AE107" s="14">
        <f t="shared" ref="AE107:AE116" si="194">AC107-AD107</f>
        <v>322025542</v>
      </c>
      <c r="AF107" s="14">
        <v>161012771</v>
      </c>
      <c r="AG107" s="13"/>
      <c r="AH107" s="14">
        <f t="shared" ref="AH107:AH116" si="195">AF107-AG107</f>
        <v>161012771</v>
      </c>
      <c r="AI107" s="174">
        <f t="shared" si="97"/>
        <v>644051084</v>
      </c>
      <c r="AJ107" s="174">
        <f t="shared" ref="AJ107:AJ116" si="196">AA107+AD107+AG107</f>
        <v>0</v>
      </c>
      <c r="AK107" s="14">
        <v>161012771</v>
      </c>
      <c r="AL107" s="13"/>
      <c r="AM107" s="14">
        <f t="shared" ref="AM107:AM116" si="197">AK107-AL107</f>
        <v>161012771</v>
      </c>
      <c r="AN107" s="14">
        <v>161012771</v>
      </c>
      <c r="AO107" s="13"/>
      <c r="AP107" s="14">
        <f t="shared" ref="AP107:AP116" si="198">AN107-AO107</f>
        <v>161012771</v>
      </c>
      <c r="AQ107" s="14">
        <f>161012771*2</f>
        <v>322025542</v>
      </c>
      <c r="AR107" s="13"/>
      <c r="AS107" s="14">
        <f t="shared" ref="AS107:AS116" si="199">AQ107-AR107</f>
        <v>322025542</v>
      </c>
      <c r="AT107" s="174"/>
      <c r="AU107" s="174">
        <f t="shared" ref="AU107:AU116" si="200">AL107+AO107+AR107</f>
        <v>0</v>
      </c>
      <c r="AV107" s="38">
        <f t="shared" ref="AV107:AW116" si="201">AQ107+AN107+AK107+AF107+AC107+Z107+U107+R107+O107+J107+G107+D107</f>
        <v>2254178794</v>
      </c>
      <c r="AW107" s="14">
        <f t="shared" si="201"/>
        <v>698288185</v>
      </c>
      <c r="AX107" s="178">
        <f t="shared" ref="AX107:AX116" si="202">(AV107-(M107+X107))+AW107</f>
        <v>1986390353</v>
      </c>
      <c r="AY107" s="16">
        <f t="shared" ref="AY107:AY116" si="203">AW107*1.1</f>
        <v>768117003.50000012</v>
      </c>
      <c r="AZ107" s="16">
        <f t="shared" ref="AZ107:BB116" si="204">AY107*1.1</f>
        <v>844928703.85000014</v>
      </c>
      <c r="BA107" s="16">
        <f t="shared" si="204"/>
        <v>929421574.23500025</v>
      </c>
      <c r="BB107" s="16">
        <f t="shared" si="204"/>
        <v>1022363731.6585003</v>
      </c>
    </row>
    <row r="108" spans="1:54" ht="16.899999999999999" customHeight="1" x14ac:dyDescent="0.2">
      <c r="A108" s="10">
        <v>2</v>
      </c>
      <c r="B108" s="27" t="s">
        <v>33</v>
      </c>
      <c r="C108" s="29" t="s">
        <v>151</v>
      </c>
      <c r="D108" s="14">
        <v>22100000</v>
      </c>
      <c r="E108" s="13">
        <f>28000+31700+8993000</f>
        <v>9052700</v>
      </c>
      <c r="F108" s="14">
        <f t="shared" si="185"/>
        <v>13047300</v>
      </c>
      <c r="G108" s="14">
        <v>12798501</v>
      </c>
      <c r="H108" s="13"/>
      <c r="I108" s="14">
        <f t="shared" si="186"/>
        <v>12798501</v>
      </c>
      <c r="J108" s="14">
        <v>12798501</v>
      </c>
      <c r="K108" s="13">
        <f>48000+2177450+80000</f>
        <v>2305450</v>
      </c>
      <c r="L108" s="14">
        <f t="shared" si="187"/>
        <v>10493051</v>
      </c>
      <c r="M108" s="174">
        <f t="shared" si="188"/>
        <v>47697002</v>
      </c>
      <c r="N108" s="174">
        <f t="shared" si="188"/>
        <v>11358150</v>
      </c>
      <c r="O108" s="14">
        <v>12798501</v>
      </c>
      <c r="P108" s="13"/>
      <c r="Q108" s="14">
        <f t="shared" si="189"/>
        <v>12798501</v>
      </c>
      <c r="R108" s="14">
        <v>12798501</v>
      </c>
      <c r="S108" s="13"/>
      <c r="T108" s="14">
        <f t="shared" si="190"/>
        <v>12798501</v>
      </c>
      <c r="U108" s="14">
        <v>12798501</v>
      </c>
      <c r="V108" s="13"/>
      <c r="W108" s="14">
        <f t="shared" si="191"/>
        <v>12798501</v>
      </c>
      <c r="X108" s="174">
        <f t="shared" si="192"/>
        <v>38395503</v>
      </c>
      <c r="Y108" s="174">
        <f t="shared" si="192"/>
        <v>0</v>
      </c>
      <c r="Z108" s="14">
        <v>12798501</v>
      </c>
      <c r="AA108" s="13"/>
      <c r="AB108" s="14">
        <f t="shared" si="193"/>
        <v>12798501</v>
      </c>
      <c r="AC108" s="30">
        <f>((2049725)+((26904+8243)*9000)*1.1)+12798501</f>
        <v>362803526</v>
      </c>
      <c r="AD108" s="13"/>
      <c r="AE108" s="14">
        <f t="shared" si="194"/>
        <v>362803526</v>
      </c>
      <c r="AF108" s="14">
        <v>12798501</v>
      </c>
      <c r="AG108" s="13"/>
      <c r="AH108" s="14">
        <f t="shared" si="195"/>
        <v>12798501</v>
      </c>
      <c r="AI108" s="174">
        <f t="shared" si="97"/>
        <v>388400528</v>
      </c>
      <c r="AJ108" s="174">
        <f t="shared" si="196"/>
        <v>0</v>
      </c>
      <c r="AK108" s="14">
        <v>12798501</v>
      </c>
      <c r="AL108" s="13"/>
      <c r="AM108" s="14">
        <f t="shared" si="197"/>
        <v>12798501</v>
      </c>
      <c r="AN108" s="14">
        <v>12798501</v>
      </c>
      <c r="AO108" s="13"/>
      <c r="AP108" s="14">
        <f t="shared" si="198"/>
        <v>12798501</v>
      </c>
      <c r="AQ108" s="14">
        <v>12798501</v>
      </c>
      <c r="AR108" s="13"/>
      <c r="AS108" s="14">
        <f t="shared" si="199"/>
        <v>12798501</v>
      </c>
      <c r="AT108" s="174"/>
      <c r="AU108" s="174">
        <f t="shared" si="200"/>
        <v>0</v>
      </c>
      <c r="AV108" s="38">
        <f t="shared" si="201"/>
        <v>512888536</v>
      </c>
      <c r="AW108" s="14">
        <f t="shared" si="201"/>
        <v>11358150</v>
      </c>
      <c r="AX108" s="178">
        <f t="shared" si="202"/>
        <v>438154181</v>
      </c>
      <c r="AY108" s="16">
        <f t="shared" si="203"/>
        <v>12493965.000000002</v>
      </c>
      <c r="AZ108" s="16">
        <f t="shared" si="204"/>
        <v>13743361.500000004</v>
      </c>
      <c r="BA108" s="16">
        <f t="shared" si="204"/>
        <v>15117697.650000006</v>
      </c>
      <c r="BB108" s="16">
        <f t="shared" si="204"/>
        <v>16629467.415000008</v>
      </c>
    </row>
    <row r="109" spans="1:54" ht="16.899999999999999" customHeight="1" x14ac:dyDescent="0.2">
      <c r="A109" s="10">
        <v>3</v>
      </c>
      <c r="B109" s="11" t="s">
        <v>53</v>
      </c>
      <c r="C109" s="29" t="s">
        <v>84</v>
      </c>
      <c r="D109" s="14">
        <v>10000000</v>
      </c>
      <c r="E109" s="13">
        <f>2626000</f>
        <v>2626000</v>
      </c>
      <c r="F109" s="14">
        <f t="shared" si="185"/>
        <v>7374000</v>
      </c>
      <c r="G109" s="14">
        <v>10000000</v>
      </c>
      <c r="H109" s="13">
        <v>1220000</v>
      </c>
      <c r="I109" s="14">
        <f t="shared" si="186"/>
        <v>8780000</v>
      </c>
      <c r="J109" s="14">
        <v>10000000</v>
      </c>
      <c r="K109" s="13"/>
      <c r="L109" s="14">
        <f t="shared" si="187"/>
        <v>10000000</v>
      </c>
      <c r="M109" s="174">
        <f t="shared" si="188"/>
        <v>30000000</v>
      </c>
      <c r="N109" s="174">
        <f t="shared" si="188"/>
        <v>3846000</v>
      </c>
      <c r="O109" s="14">
        <v>10000000</v>
      </c>
      <c r="P109" s="13"/>
      <c r="Q109" s="14">
        <f t="shared" si="189"/>
        <v>10000000</v>
      </c>
      <c r="R109" s="14">
        <v>10000000</v>
      </c>
      <c r="S109" s="13">
        <v>9711664</v>
      </c>
      <c r="T109" s="14">
        <f t="shared" si="190"/>
        <v>288336</v>
      </c>
      <c r="U109" s="14">
        <v>10000000</v>
      </c>
      <c r="V109" s="175">
        <f>1121100+4045000+980000</f>
        <v>6146100</v>
      </c>
      <c r="W109" s="14">
        <f t="shared" si="191"/>
        <v>3853900</v>
      </c>
      <c r="X109" s="174">
        <f t="shared" si="192"/>
        <v>30000000</v>
      </c>
      <c r="Y109" s="174">
        <f t="shared" si="192"/>
        <v>15857764</v>
      </c>
      <c r="Z109" s="14">
        <v>10000000</v>
      </c>
      <c r="AA109" s="13"/>
      <c r="AB109" s="14">
        <f t="shared" si="193"/>
        <v>10000000</v>
      </c>
      <c r="AC109" s="14">
        <v>10000000</v>
      </c>
      <c r="AD109" s="13"/>
      <c r="AE109" s="14">
        <f t="shared" si="194"/>
        <v>10000000</v>
      </c>
      <c r="AF109" s="14">
        <v>10000000</v>
      </c>
      <c r="AG109" s="13"/>
      <c r="AH109" s="14">
        <f t="shared" si="195"/>
        <v>10000000</v>
      </c>
      <c r="AI109" s="174">
        <f t="shared" si="97"/>
        <v>30000000</v>
      </c>
      <c r="AJ109" s="174">
        <f t="shared" si="196"/>
        <v>0</v>
      </c>
      <c r="AK109" s="14">
        <v>10000000</v>
      </c>
      <c r="AL109" s="13"/>
      <c r="AM109" s="14">
        <f t="shared" si="197"/>
        <v>10000000</v>
      </c>
      <c r="AN109" s="14">
        <v>10000000</v>
      </c>
      <c r="AO109" s="13"/>
      <c r="AP109" s="14">
        <f t="shared" si="198"/>
        <v>10000000</v>
      </c>
      <c r="AQ109" s="14">
        <v>10000000</v>
      </c>
      <c r="AR109" s="13"/>
      <c r="AS109" s="14">
        <f t="shared" si="199"/>
        <v>10000000</v>
      </c>
      <c r="AT109" s="174"/>
      <c r="AU109" s="174">
        <f t="shared" si="200"/>
        <v>0</v>
      </c>
      <c r="AV109" s="38">
        <f t="shared" si="201"/>
        <v>120000000</v>
      </c>
      <c r="AW109" s="14">
        <f t="shared" si="201"/>
        <v>19703764</v>
      </c>
      <c r="AX109" s="178">
        <f t="shared" si="202"/>
        <v>79703764</v>
      </c>
      <c r="AY109" s="16">
        <f t="shared" si="203"/>
        <v>21674140.400000002</v>
      </c>
      <c r="AZ109" s="16">
        <f t="shared" si="204"/>
        <v>23841554.440000005</v>
      </c>
      <c r="BA109" s="16">
        <f t="shared" si="204"/>
        <v>26225709.884000007</v>
      </c>
      <c r="BB109" s="16">
        <f t="shared" si="204"/>
        <v>28848280.872400012</v>
      </c>
    </row>
    <row r="110" spans="1:54" ht="16.899999999999999" customHeight="1" x14ac:dyDescent="0.2">
      <c r="A110" s="10">
        <v>4</v>
      </c>
      <c r="B110" s="42" t="s">
        <v>85</v>
      </c>
      <c r="C110" s="29" t="s">
        <v>86</v>
      </c>
      <c r="D110" s="14">
        <v>124388500</v>
      </c>
      <c r="E110" s="13">
        <f>10339560</f>
        <v>10339560</v>
      </c>
      <c r="F110" s="14">
        <f t="shared" si="185"/>
        <v>114048940</v>
      </c>
      <c r="G110" s="14">
        <v>16135486</v>
      </c>
      <c r="H110" s="13">
        <f>21705000+9193974+2536070+3932525</f>
        <v>37367569</v>
      </c>
      <c r="I110" s="14">
        <f t="shared" si="186"/>
        <v>-21232083</v>
      </c>
      <c r="J110" s="14">
        <v>16135486</v>
      </c>
      <c r="K110" s="13">
        <f>75569840</f>
        <v>75569840</v>
      </c>
      <c r="L110" s="14">
        <f t="shared" si="187"/>
        <v>-59434354</v>
      </c>
      <c r="M110" s="174">
        <f t="shared" si="188"/>
        <v>156659472</v>
      </c>
      <c r="N110" s="174">
        <f t="shared" si="188"/>
        <v>123276969</v>
      </c>
      <c r="O110" s="14">
        <v>16135486</v>
      </c>
      <c r="P110" s="13">
        <v>14032795</v>
      </c>
      <c r="Q110" s="14">
        <f t="shared" si="189"/>
        <v>2102691</v>
      </c>
      <c r="R110" s="14">
        <v>16135486</v>
      </c>
      <c r="S110" s="13">
        <v>52788117</v>
      </c>
      <c r="T110" s="14">
        <f t="shared" si="190"/>
        <v>-36652631</v>
      </c>
      <c r="U110" s="14">
        <v>16135486</v>
      </c>
      <c r="V110" s="175">
        <f>61123644-354524</f>
        <v>60769120</v>
      </c>
      <c r="W110" s="14">
        <f t="shared" si="191"/>
        <v>-44633634</v>
      </c>
      <c r="X110" s="174">
        <f t="shared" si="192"/>
        <v>48406458</v>
      </c>
      <c r="Y110" s="174">
        <f t="shared" si="192"/>
        <v>127590032</v>
      </c>
      <c r="Z110" s="14">
        <v>16135486</v>
      </c>
      <c r="AA110" s="13"/>
      <c r="AB110" s="14">
        <f t="shared" si="193"/>
        <v>16135486</v>
      </c>
      <c r="AC110" s="14">
        <v>16135486</v>
      </c>
      <c r="AD110" s="13"/>
      <c r="AE110" s="14">
        <f t="shared" si="194"/>
        <v>16135486</v>
      </c>
      <c r="AF110" s="14">
        <v>16135486</v>
      </c>
      <c r="AG110" s="13"/>
      <c r="AH110" s="14">
        <f t="shared" si="195"/>
        <v>16135486</v>
      </c>
      <c r="AI110" s="174">
        <f t="shared" si="97"/>
        <v>48406458</v>
      </c>
      <c r="AJ110" s="174">
        <f t="shared" si="196"/>
        <v>0</v>
      </c>
      <c r="AK110" s="14">
        <v>16135486</v>
      </c>
      <c r="AL110" s="13"/>
      <c r="AM110" s="14">
        <f t="shared" si="197"/>
        <v>16135486</v>
      </c>
      <c r="AN110" s="14">
        <v>16135486</v>
      </c>
      <c r="AO110" s="13"/>
      <c r="AP110" s="14">
        <f t="shared" si="198"/>
        <v>16135486</v>
      </c>
      <c r="AQ110" s="14">
        <v>16135486</v>
      </c>
      <c r="AR110" s="13"/>
      <c r="AS110" s="14">
        <f t="shared" si="199"/>
        <v>16135486</v>
      </c>
      <c r="AT110" s="174"/>
      <c r="AU110" s="174">
        <f t="shared" si="200"/>
        <v>0</v>
      </c>
      <c r="AV110" s="38">
        <f t="shared" si="201"/>
        <v>301878846</v>
      </c>
      <c r="AW110" s="14">
        <f t="shared" si="201"/>
        <v>250867001</v>
      </c>
      <c r="AX110" s="178">
        <f t="shared" si="202"/>
        <v>347679917</v>
      </c>
      <c r="AY110" s="16">
        <f t="shared" si="203"/>
        <v>275953701.10000002</v>
      </c>
      <c r="AZ110" s="16">
        <f t="shared" si="204"/>
        <v>303549071.21000004</v>
      </c>
      <c r="BA110" s="16">
        <f t="shared" si="204"/>
        <v>333903978.33100009</v>
      </c>
      <c r="BB110" s="16">
        <f t="shared" si="204"/>
        <v>367294376.16410011</v>
      </c>
    </row>
    <row r="111" spans="1:54" ht="16.899999999999999" customHeight="1" x14ac:dyDescent="0.2">
      <c r="A111" s="10">
        <v>5</v>
      </c>
      <c r="B111" s="11" t="s">
        <v>129</v>
      </c>
      <c r="C111" s="29" t="s">
        <v>152</v>
      </c>
      <c r="D111" s="14">
        <v>3750000</v>
      </c>
      <c r="E111" s="13"/>
      <c r="F111" s="14">
        <f t="shared" si="185"/>
        <v>3750000</v>
      </c>
      <c r="G111" s="14">
        <v>1216683</v>
      </c>
      <c r="H111" s="13"/>
      <c r="I111" s="14">
        <f t="shared" si="186"/>
        <v>1216683</v>
      </c>
      <c r="J111" s="14">
        <v>1216683</v>
      </c>
      <c r="K111" s="13"/>
      <c r="L111" s="14">
        <f t="shared" si="187"/>
        <v>1216683</v>
      </c>
      <c r="M111" s="174">
        <f t="shared" si="188"/>
        <v>6183366</v>
      </c>
      <c r="N111" s="174">
        <f t="shared" si="188"/>
        <v>0</v>
      </c>
      <c r="O111" s="14">
        <v>1216683</v>
      </c>
      <c r="P111" s="13"/>
      <c r="Q111" s="14">
        <f t="shared" si="189"/>
        <v>1216683</v>
      </c>
      <c r="R111" s="14">
        <v>1216683</v>
      </c>
      <c r="S111" s="13"/>
      <c r="T111" s="14">
        <f t="shared" si="190"/>
        <v>1216683</v>
      </c>
      <c r="U111" s="14">
        <v>1216683</v>
      </c>
      <c r="V111" s="175">
        <v>7882297</v>
      </c>
      <c r="W111" s="14">
        <f t="shared" si="191"/>
        <v>-6665614</v>
      </c>
      <c r="X111" s="174">
        <f t="shared" si="192"/>
        <v>3650049</v>
      </c>
      <c r="Y111" s="174">
        <f t="shared" si="192"/>
        <v>7882297</v>
      </c>
      <c r="Z111" s="14">
        <v>1216683</v>
      </c>
      <c r="AA111" s="13"/>
      <c r="AB111" s="14">
        <f t="shared" si="193"/>
        <v>1216683</v>
      </c>
      <c r="AC111" s="14">
        <v>1216683</v>
      </c>
      <c r="AD111" s="13"/>
      <c r="AE111" s="14">
        <f t="shared" si="194"/>
        <v>1216683</v>
      </c>
      <c r="AF111" s="14">
        <v>1216683</v>
      </c>
      <c r="AG111" s="13"/>
      <c r="AH111" s="14">
        <f t="shared" si="195"/>
        <v>1216683</v>
      </c>
      <c r="AI111" s="174">
        <f t="shared" si="97"/>
        <v>3650049</v>
      </c>
      <c r="AJ111" s="174">
        <f t="shared" si="196"/>
        <v>0</v>
      </c>
      <c r="AK111" s="14">
        <v>1216683</v>
      </c>
      <c r="AL111" s="13"/>
      <c r="AM111" s="14">
        <f t="shared" si="197"/>
        <v>1216683</v>
      </c>
      <c r="AN111" s="14">
        <v>1216683</v>
      </c>
      <c r="AO111" s="13"/>
      <c r="AP111" s="14">
        <f t="shared" si="198"/>
        <v>1216683</v>
      </c>
      <c r="AQ111" s="14">
        <v>1216683</v>
      </c>
      <c r="AR111" s="13"/>
      <c r="AS111" s="14">
        <f t="shared" si="199"/>
        <v>1216683</v>
      </c>
      <c r="AT111" s="174"/>
      <c r="AU111" s="174">
        <f t="shared" si="200"/>
        <v>0</v>
      </c>
      <c r="AV111" s="38">
        <f t="shared" si="201"/>
        <v>17133513</v>
      </c>
      <c r="AW111" s="14">
        <f t="shared" si="201"/>
        <v>7882297</v>
      </c>
      <c r="AX111" s="178">
        <f t="shared" si="202"/>
        <v>15182395</v>
      </c>
      <c r="AY111" s="16">
        <f t="shared" si="203"/>
        <v>8670526.7000000011</v>
      </c>
      <c r="AZ111" s="16">
        <f t="shared" si="204"/>
        <v>9537579.3700000029</v>
      </c>
      <c r="BA111" s="16">
        <f t="shared" si="204"/>
        <v>10491337.307000004</v>
      </c>
      <c r="BB111" s="16">
        <f t="shared" si="204"/>
        <v>11540471.037700005</v>
      </c>
    </row>
    <row r="112" spans="1:54" ht="16.899999999999999" customHeight="1" x14ac:dyDescent="0.2">
      <c r="A112" s="10">
        <v>6</v>
      </c>
      <c r="B112" s="11" t="s">
        <v>153</v>
      </c>
      <c r="C112" s="29" t="s">
        <v>154</v>
      </c>
      <c r="D112" s="14">
        <v>40000000</v>
      </c>
      <c r="E112" s="13">
        <v>157785000</v>
      </c>
      <c r="F112" s="14">
        <f t="shared" si="185"/>
        <v>-117785000</v>
      </c>
      <c r="G112" s="14">
        <v>10000000</v>
      </c>
      <c r="H112" s="13"/>
      <c r="I112" s="14">
        <f t="shared" si="186"/>
        <v>10000000</v>
      </c>
      <c r="J112" s="14">
        <v>10000000</v>
      </c>
      <c r="K112" s="13"/>
      <c r="L112" s="14">
        <f t="shared" si="187"/>
        <v>10000000</v>
      </c>
      <c r="M112" s="174">
        <f t="shared" si="188"/>
        <v>60000000</v>
      </c>
      <c r="N112" s="174">
        <f t="shared" si="188"/>
        <v>157785000</v>
      </c>
      <c r="O112" s="14">
        <v>10000000</v>
      </c>
      <c r="P112" s="13">
        <v>12000000</v>
      </c>
      <c r="Q112" s="14">
        <f t="shared" si="189"/>
        <v>-2000000</v>
      </c>
      <c r="R112" s="14">
        <v>10000000</v>
      </c>
      <c r="S112" s="13"/>
      <c r="T112" s="14">
        <f t="shared" si="190"/>
        <v>10000000</v>
      </c>
      <c r="U112" s="14">
        <v>10000000</v>
      </c>
      <c r="V112" s="175">
        <f>11000000+6536650</f>
        <v>17536650</v>
      </c>
      <c r="W112" s="14">
        <f t="shared" si="191"/>
        <v>-7536650</v>
      </c>
      <c r="X112" s="174">
        <f t="shared" si="192"/>
        <v>30000000</v>
      </c>
      <c r="Y112" s="174">
        <f t="shared" si="192"/>
        <v>29536650</v>
      </c>
      <c r="Z112" s="14">
        <v>10000000</v>
      </c>
      <c r="AA112" s="13"/>
      <c r="AB112" s="14">
        <f t="shared" si="193"/>
        <v>10000000</v>
      </c>
      <c r="AC112" s="14">
        <v>10000000</v>
      </c>
      <c r="AD112" s="13"/>
      <c r="AE112" s="14">
        <f t="shared" si="194"/>
        <v>10000000</v>
      </c>
      <c r="AF112" s="14">
        <v>10000000</v>
      </c>
      <c r="AG112" s="13"/>
      <c r="AH112" s="14">
        <f t="shared" si="195"/>
        <v>10000000</v>
      </c>
      <c r="AI112" s="174">
        <f t="shared" si="97"/>
        <v>30000000</v>
      </c>
      <c r="AJ112" s="174">
        <f t="shared" si="196"/>
        <v>0</v>
      </c>
      <c r="AK112" s="14">
        <v>10000000</v>
      </c>
      <c r="AL112" s="13"/>
      <c r="AM112" s="14">
        <f t="shared" si="197"/>
        <v>10000000</v>
      </c>
      <c r="AN112" s="14">
        <v>10000000</v>
      </c>
      <c r="AO112" s="13"/>
      <c r="AP112" s="14">
        <f t="shared" si="198"/>
        <v>10000000</v>
      </c>
      <c r="AQ112" s="14">
        <v>10000000</v>
      </c>
      <c r="AR112" s="13"/>
      <c r="AS112" s="14">
        <f t="shared" si="199"/>
        <v>10000000</v>
      </c>
      <c r="AT112" s="174"/>
      <c r="AU112" s="174">
        <f t="shared" si="200"/>
        <v>0</v>
      </c>
      <c r="AV112" s="38">
        <f t="shared" si="201"/>
        <v>150000000</v>
      </c>
      <c r="AW112" s="14">
        <f t="shared" si="201"/>
        <v>187321650</v>
      </c>
      <c r="AX112" s="178">
        <f t="shared" si="202"/>
        <v>247321650</v>
      </c>
      <c r="AY112" s="16">
        <f t="shared" si="203"/>
        <v>206053815.00000003</v>
      </c>
      <c r="AZ112" s="16">
        <f t="shared" si="204"/>
        <v>226659196.50000006</v>
      </c>
      <c r="BA112" s="16">
        <f t="shared" si="204"/>
        <v>249325116.1500001</v>
      </c>
      <c r="BB112" s="16">
        <f t="shared" si="204"/>
        <v>274257627.7650001</v>
      </c>
    </row>
    <row r="113" spans="1:54" ht="16.899999999999999" customHeight="1" x14ac:dyDescent="0.2">
      <c r="A113" s="10">
        <v>7</v>
      </c>
      <c r="B113" s="11" t="s">
        <v>155</v>
      </c>
      <c r="C113" s="29" t="s">
        <v>156</v>
      </c>
      <c r="D113" s="14"/>
      <c r="E113" s="13">
        <f>1397755+391427+2058712+1422769+323555+849285+153825+2085000</f>
        <v>8682328</v>
      </c>
      <c r="F113" s="14">
        <f t="shared" si="185"/>
        <v>-8682328</v>
      </c>
      <c r="G113" s="14"/>
      <c r="H113" s="13">
        <f>1307557+426505+1119512+1925892+1330977</f>
        <v>6110443</v>
      </c>
      <c r="I113" s="14">
        <f t="shared" si="186"/>
        <v>-6110443</v>
      </c>
      <c r="J113" s="14">
        <v>6900000</v>
      </c>
      <c r="K113" s="13">
        <f>1397755+455919+1196720+2058712+1422769</f>
        <v>6531875</v>
      </c>
      <c r="L113" s="14">
        <f t="shared" si="187"/>
        <v>368125</v>
      </c>
      <c r="M113" s="174">
        <f t="shared" si="188"/>
        <v>6900000</v>
      </c>
      <c r="N113" s="174">
        <f t="shared" si="188"/>
        <v>21324646</v>
      </c>
      <c r="O113" s="14">
        <v>6900000</v>
      </c>
      <c r="P113" s="13">
        <v>2755000</v>
      </c>
      <c r="Q113" s="14">
        <f t="shared" si="189"/>
        <v>4145000</v>
      </c>
      <c r="R113" s="14">
        <v>6900000</v>
      </c>
      <c r="S113" s="13">
        <v>5134121</v>
      </c>
      <c r="T113" s="14">
        <f t="shared" si="190"/>
        <v>1765879</v>
      </c>
      <c r="U113" s="14">
        <v>6900000</v>
      </c>
      <c r="V113" s="13"/>
      <c r="W113" s="14">
        <f t="shared" si="191"/>
        <v>6900000</v>
      </c>
      <c r="X113" s="174">
        <f t="shared" si="192"/>
        <v>20700000</v>
      </c>
      <c r="Y113" s="174">
        <f t="shared" si="192"/>
        <v>7889121</v>
      </c>
      <c r="Z113" s="14">
        <v>6900000</v>
      </c>
      <c r="AA113" s="13"/>
      <c r="AB113" s="14">
        <f t="shared" si="193"/>
        <v>6900000</v>
      </c>
      <c r="AC113" s="14"/>
      <c r="AD113" s="13"/>
      <c r="AE113" s="14">
        <f t="shared" si="194"/>
        <v>0</v>
      </c>
      <c r="AF113" s="14">
        <v>6900000</v>
      </c>
      <c r="AG113" s="13"/>
      <c r="AH113" s="14">
        <f t="shared" si="195"/>
        <v>6900000</v>
      </c>
      <c r="AI113" s="174">
        <f t="shared" si="97"/>
        <v>13800000</v>
      </c>
      <c r="AJ113" s="174">
        <f t="shared" si="196"/>
        <v>0</v>
      </c>
      <c r="AK113" s="14">
        <v>6900000</v>
      </c>
      <c r="AL113" s="13"/>
      <c r="AM113" s="14">
        <f t="shared" si="197"/>
        <v>6900000</v>
      </c>
      <c r="AN113" s="14">
        <v>6900000</v>
      </c>
      <c r="AO113" s="13"/>
      <c r="AP113" s="14">
        <f t="shared" si="198"/>
        <v>6900000</v>
      </c>
      <c r="AQ113" s="14">
        <v>6900000</v>
      </c>
      <c r="AR113" s="13"/>
      <c r="AS113" s="14">
        <f t="shared" si="199"/>
        <v>6900000</v>
      </c>
      <c r="AT113" s="174"/>
      <c r="AU113" s="174">
        <f t="shared" si="200"/>
        <v>0</v>
      </c>
      <c r="AV113" s="38">
        <f t="shared" si="201"/>
        <v>62100000</v>
      </c>
      <c r="AW113" s="14">
        <f t="shared" si="201"/>
        <v>29213767</v>
      </c>
      <c r="AX113" s="178">
        <f t="shared" si="202"/>
        <v>63713767</v>
      </c>
      <c r="AY113" s="16">
        <f t="shared" si="203"/>
        <v>32135143.700000003</v>
      </c>
      <c r="AZ113" s="16">
        <f t="shared" si="204"/>
        <v>35348658.070000008</v>
      </c>
      <c r="BA113" s="16">
        <f t="shared" si="204"/>
        <v>38883523.877000012</v>
      </c>
      <c r="BB113" s="16">
        <f t="shared" si="204"/>
        <v>42771876.264700018</v>
      </c>
    </row>
    <row r="114" spans="1:54" ht="16.899999999999999" customHeight="1" x14ac:dyDescent="0.2">
      <c r="A114" s="10">
        <v>8</v>
      </c>
      <c r="B114" s="11" t="s">
        <v>47</v>
      </c>
      <c r="C114" s="29" t="s">
        <v>111</v>
      </c>
      <c r="D114" s="14"/>
      <c r="E114" s="13">
        <v>1500000</v>
      </c>
      <c r="F114" s="14">
        <f t="shared" si="185"/>
        <v>-1500000</v>
      </c>
      <c r="G114" s="14"/>
      <c r="H114" s="13">
        <f>2500000</f>
        <v>2500000</v>
      </c>
      <c r="I114" s="14">
        <f t="shared" si="186"/>
        <v>-2500000</v>
      </c>
      <c r="J114" s="14"/>
      <c r="K114" s="13"/>
      <c r="L114" s="14">
        <f t="shared" si="187"/>
        <v>0</v>
      </c>
      <c r="M114" s="174">
        <f t="shared" si="188"/>
        <v>0</v>
      </c>
      <c r="N114" s="174">
        <f t="shared" si="188"/>
        <v>4000000</v>
      </c>
      <c r="O114" s="14"/>
      <c r="P114" s="13"/>
      <c r="Q114" s="14">
        <f t="shared" si="189"/>
        <v>0</v>
      </c>
      <c r="R114" s="14"/>
      <c r="S114" s="13"/>
      <c r="T114" s="14">
        <f t="shared" si="190"/>
        <v>0</v>
      </c>
      <c r="U114" s="14"/>
      <c r="V114" s="175">
        <v>15600000</v>
      </c>
      <c r="W114" s="14">
        <f t="shared" si="191"/>
        <v>-15600000</v>
      </c>
      <c r="X114" s="174">
        <f t="shared" si="192"/>
        <v>0</v>
      </c>
      <c r="Y114" s="174">
        <f t="shared" si="192"/>
        <v>15600000</v>
      </c>
      <c r="Z114" s="14">
        <v>14000000</v>
      </c>
      <c r="AA114" s="13"/>
      <c r="AB114" s="14">
        <f t="shared" si="193"/>
        <v>14000000</v>
      </c>
      <c r="AC114" s="14"/>
      <c r="AD114" s="13"/>
      <c r="AE114" s="14">
        <f t="shared" si="194"/>
        <v>0</v>
      </c>
      <c r="AF114" s="14"/>
      <c r="AG114" s="13"/>
      <c r="AH114" s="14">
        <f t="shared" si="195"/>
        <v>0</v>
      </c>
      <c r="AI114" s="174">
        <f t="shared" si="97"/>
        <v>14000000</v>
      </c>
      <c r="AJ114" s="174">
        <f t="shared" si="196"/>
        <v>0</v>
      </c>
      <c r="AK114" s="14"/>
      <c r="AL114" s="13"/>
      <c r="AM114" s="14">
        <f t="shared" si="197"/>
        <v>0</v>
      </c>
      <c r="AN114" s="14"/>
      <c r="AO114" s="13"/>
      <c r="AP114" s="14">
        <f t="shared" si="198"/>
        <v>0</v>
      </c>
      <c r="AQ114" s="14"/>
      <c r="AR114" s="13"/>
      <c r="AS114" s="14">
        <f t="shared" si="199"/>
        <v>0</v>
      </c>
      <c r="AT114" s="174"/>
      <c r="AU114" s="174">
        <f t="shared" si="200"/>
        <v>0</v>
      </c>
      <c r="AV114" s="38">
        <f t="shared" si="201"/>
        <v>14000000</v>
      </c>
      <c r="AW114" s="14">
        <f t="shared" si="201"/>
        <v>19600000</v>
      </c>
      <c r="AX114" s="178">
        <f t="shared" si="202"/>
        <v>33600000</v>
      </c>
      <c r="AY114" s="16">
        <f t="shared" si="203"/>
        <v>21560000</v>
      </c>
      <c r="AZ114" s="16">
        <f t="shared" si="204"/>
        <v>23716000.000000004</v>
      </c>
      <c r="BA114" s="16">
        <f t="shared" si="204"/>
        <v>26087600.000000007</v>
      </c>
      <c r="BB114" s="16">
        <f t="shared" si="204"/>
        <v>28696360.000000011</v>
      </c>
    </row>
    <row r="115" spans="1:54" ht="16.899999999999999" customHeight="1" x14ac:dyDescent="0.2">
      <c r="A115" s="10">
        <v>9</v>
      </c>
      <c r="B115" s="11" t="s">
        <v>147</v>
      </c>
      <c r="C115" s="29" t="s">
        <v>157</v>
      </c>
      <c r="D115" s="14"/>
      <c r="E115" s="13"/>
      <c r="F115" s="14">
        <f t="shared" si="185"/>
        <v>0</v>
      </c>
      <c r="G115" s="14"/>
      <c r="H115" s="13"/>
      <c r="I115" s="14">
        <f t="shared" si="186"/>
        <v>0</v>
      </c>
      <c r="J115" s="14"/>
      <c r="K115" s="13"/>
      <c r="L115" s="14">
        <f t="shared" si="187"/>
        <v>0</v>
      </c>
      <c r="M115" s="174">
        <f t="shared" si="188"/>
        <v>0</v>
      </c>
      <c r="N115" s="174">
        <f t="shared" si="188"/>
        <v>0</v>
      </c>
      <c r="O115" s="14"/>
      <c r="P115" s="13"/>
      <c r="Q115" s="14">
        <f t="shared" si="189"/>
        <v>0</v>
      </c>
      <c r="R115" s="14"/>
      <c r="S115" s="13"/>
      <c r="T115" s="14">
        <f t="shared" si="190"/>
        <v>0</v>
      </c>
      <c r="U115" s="14"/>
      <c r="V115" s="13"/>
      <c r="W115" s="14">
        <f t="shared" si="191"/>
        <v>0</v>
      </c>
      <c r="X115" s="174">
        <f t="shared" si="192"/>
        <v>0</v>
      </c>
      <c r="Y115" s="174">
        <f t="shared" si="192"/>
        <v>0</v>
      </c>
      <c r="Z115" s="14"/>
      <c r="AA115" s="13"/>
      <c r="AB115" s="14">
        <f t="shared" si="193"/>
        <v>0</v>
      </c>
      <c r="AC115" s="14">
        <v>130000000</v>
      </c>
      <c r="AD115" s="13"/>
      <c r="AE115" s="14">
        <f t="shared" si="194"/>
        <v>130000000</v>
      </c>
      <c r="AF115" s="14"/>
      <c r="AG115" s="13"/>
      <c r="AH115" s="14">
        <f t="shared" si="195"/>
        <v>0</v>
      </c>
      <c r="AI115" s="174">
        <f t="shared" si="97"/>
        <v>130000000</v>
      </c>
      <c r="AJ115" s="174">
        <f t="shared" si="196"/>
        <v>0</v>
      </c>
      <c r="AK115" s="14"/>
      <c r="AL115" s="13"/>
      <c r="AM115" s="14">
        <f t="shared" si="197"/>
        <v>0</v>
      </c>
      <c r="AN115" s="14"/>
      <c r="AO115" s="13"/>
      <c r="AP115" s="14">
        <f t="shared" si="198"/>
        <v>0</v>
      </c>
      <c r="AQ115" s="14"/>
      <c r="AR115" s="13"/>
      <c r="AS115" s="14">
        <f t="shared" si="199"/>
        <v>0</v>
      </c>
      <c r="AT115" s="174"/>
      <c r="AU115" s="174">
        <f t="shared" si="200"/>
        <v>0</v>
      </c>
      <c r="AV115" s="38">
        <f t="shared" si="201"/>
        <v>130000000</v>
      </c>
      <c r="AW115" s="14">
        <f t="shared" si="201"/>
        <v>0</v>
      </c>
      <c r="AX115" s="178">
        <f t="shared" si="202"/>
        <v>130000000</v>
      </c>
      <c r="AY115" s="16">
        <f t="shared" si="203"/>
        <v>0</v>
      </c>
      <c r="AZ115" s="16">
        <f t="shared" si="204"/>
        <v>0</v>
      </c>
      <c r="BA115" s="16">
        <f t="shared" si="204"/>
        <v>0</v>
      </c>
      <c r="BB115" s="16">
        <f t="shared" si="204"/>
        <v>0</v>
      </c>
    </row>
    <row r="116" spans="1:54" ht="16.899999999999999" customHeight="1" x14ac:dyDescent="0.25">
      <c r="A116" s="10">
        <v>10</v>
      </c>
      <c r="B116" s="11" t="s">
        <v>36</v>
      </c>
      <c r="C116" s="29" t="s">
        <v>158</v>
      </c>
      <c r="D116" s="14">
        <v>365000000</v>
      </c>
      <c r="E116" s="13">
        <f>1000000+1950000+374567279+75000000</f>
        <v>452517279</v>
      </c>
      <c r="F116" s="14">
        <f t="shared" si="185"/>
        <v>-87517279</v>
      </c>
      <c r="G116" s="14">
        <v>365000000</v>
      </c>
      <c r="H116" s="13">
        <f>375517726-20060000</f>
        <v>355457726</v>
      </c>
      <c r="I116" s="14">
        <f t="shared" si="186"/>
        <v>9542274</v>
      </c>
      <c r="J116" s="14">
        <v>365000000</v>
      </c>
      <c r="K116" s="13">
        <f>100530080</f>
        <v>100530080</v>
      </c>
      <c r="L116" s="14">
        <f t="shared" si="187"/>
        <v>264469920</v>
      </c>
      <c r="M116" s="174">
        <f t="shared" si="188"/>
        <v>1095000000</v>
      </c>
      <c r="N116" s="174">
        <f t="shared" si="188"/>
        <v>908505085</v>
      </c>
      <c r="O116" s="14">
        <v>365000000</v>
      </c>
      <c r="P116" s="13">
        <v>86225017</v>
      </c>
      <c r="Q116" s="14">
        <f t="shared" si="189"/>
        <v>278774983</v>
      </c>
      <c r="R116" s="14">
        <v>365000000</v>
      </c>
      <c r="S116" s="13">
        <v>58878047</v>
      </c>
      <c r="T116" s="14">
        <f t="shared" si="190"/>
        <v>306121953</v>
      </c>
      <c r="U116" s="14">
        <v>365000000</v>
      </c>
      <c r="V116" s="175">
        <f>302138136-46495000-87600000</f>
        <v>168043136</v>
      </c>
      <c r="W116" s="14">
        <f t="shared" si="191"/>
        <v>196956864</v>
      </c>
      <c r="X116" s="174">
        <f t="shared" si="192"/>
        <v>1095000000</v>
      </c>
      <c r="Y116" s="174">
        <f t="shared" si="192"/>
        <v>313146200</v>
      </c>
      <c r="Z116" s="14">
        <v>365000000</v>
      </c>
      <c r="AA116" s="177">
        <v>174360022</v>
      </c>
      <c r="AB116" s="14">
        <f t="shared" si="193"/>
        <v>190639978</v>
      </c>
      <c r="AC116" s="14">
        <v>365000000</v>
      </c>
      <c r="AD116" s="176">
        <v>50673000</v>
      </c>
      <c r="AE116" s="14">
        <f t="shared" si="194"/>
        <v>314327000</v>
      </c>
      <c r="AF116" s="14">
        <v>365000000</v>
      </c>
      <c r="AG116" s="176">
        <v>353572947</v>
      </c>
      <c r="AH116" s="14">
        <f t="shared" si="195"/>
        <v>11427053</v>
      </c>
      <c r="AI116" s="174">
        <f t="shared" si="97"/>
        <v>1095000000</v>
      </c>
      <c r="AJ116" s="174">
        <f t="shared" si="196"/>
        <v>578605969</v>
      </c>
      <c r="AK116" s="14">
        <v>365000000</v>
      </c>
      <c r="AL116" s="13"/>
      <c r="AM116" s="14">
        <f t="shared" si="197"/>
        <v>365000000</v>
      </c>
      <c r="AN116" s="14">
        <v>365000000</v>
      </c>
      <c r="AO116" s="13"/>
      <c r="AP116" s="14">
        <f t="shared" si="198"/>
        <v>365000000</v>
      </c>
      <c r="AQ116" s="14">
        <v>365000000</v>
      </c>
      <c r="AR116" s="13"/>
      <c r="AS116" s="14">
        <f t="shared" si="199"/>
        <v>365000000</v>
      </c>
      <c r="AT116" s="174"/>
      <c r="AU116" s="174">
        <f t="shared" si="200"/>
        <v>0</v>
      </c>
      <c r="AV116" s="38">
        <f t="shared" si="201"/>
        <v>4380000000</v>
      </c>
      <c r="AW116" s="14">
        <f t="shared" si="201"/>
        <v>1800257254</v>
      </c>
      <c r="AX116" s="178">
        <f t="shared" si="202"/>
        <v>3990257254</v>
      </c>
      <c r="AY116" s="16">
        <f t="shared" si="203"/>
        <v>1980282979.4000001</v>
      </c>
      <c r="AZ116" s="16">
        <f t="shared" si="204"/>
        <v>2178311277.3400002</v>
      </c>
      <c r="BA116" s="16">
        <f t="shared" si="204"/>
        <v>2396142405.0740004</v>
      </c>
      <c r="BB116" s="16">
        <f t="shared" si="204"/>
        <v>2635756645.5814004</v>
      </c>
    </row>
    <row r="117" spans="1:54" s="2" customFormat="1" ht="16.899999999999999" customHeight="1" x14ac:dyDescent="0.2">
      <c r="A117" s="58"/>
      <c r="B117" s="23"/>
      <c r="C117" s="47" t="s">
        <v>159</v>
      </c>
      <c r="D117" s="59">
        <f t="shared" ref="D117:BB117" si="205">SUM(D107:D116)</f>
        <v>726251271</v>
      </c>
      <c r="E117" s="59">
        <f t="shared" si="205"/>
        <v>782160504</v>
      </c>
      <c r="F117" s="59">
        <f t="shared" si="205"/>
        <v>-55909233</v>
      </c>
      <c r="G117" s="59">
        <f t="shared" si="205"/>
        <v>576163441</v>
      </c>
      <c r="H117" s="59">
        <f t="shared" si="205"/>
        <v>542313375</v>
      </c>
      <c r="I117" s="59">
        <f t="shared" si="205"/>
        <v>33850066</v>
      </c>
      <c r="J117" s="59">
        <f t="shared" si="205"/>
        <v>583063441</v>
      </c>
      <c r="K117" s="59">
        <f t="shared" si="205"/>
        <v>184937245</v>
      </c>
      <c r="L117" s="59">
        <f t="shared" si="205"/>
        <v>398126196</v>
      </c>
      <c r="M117" s="59">
        <f t="shared" si="205"/>
        <v>1885478153</v>
      </c>
      <c r="N117" s="59">
        <f t="shared" si="205"/>
        <v>1509411124</v>
      </c>
      <c r="O117" s="59">
        <f t="shared" si="205"/>
        <v>583063441</v>
      </c>
      <c r="P117" s="59">
        <f t="shared" si="205"/>
        <v>254670449</v>
      </c>
      <c r="Q117" s="59">
        <f t="shared" si="205"/>
        <v>328392992</v>
      </c>
      <c r="R117" s="59">
        <f t="shared" si="205"/>
        <v>583063441</v>
      </c>
      <c r="S117" s="59">
        <f t="shared" si="205"/>
        <v>266169586</v>
      </c>
      <c r="T117" s="59">
        <f t="shared" si="205"/>
        <v>316893855</v>
      </c>
      <c r="U117" s="59">
        <f t="shared" si="205"/>
        <v>583063441</v>
      </c>
      <c r="V117" s="59">
        <f t="shared" si="205"/>
        <v>415634940</v>
      </c>
      <c r="W117" s="59">
        <f t="shared" si="205"/>
        <v>167428501</v>
      </c>
      <c r="X117" s="59">
        <f t="shared" si="205"/>
        <v>1749190323</v>
      </c>
      <c r="Y117" s="59">
        <f t="shared" si="205"/>
        <v>936474975</v>
      </c>
      <c r="Z117" s="59">
        <f t="shared" si="205"/>
        <v>597063441</v>
      </c>
      <c r="AA117" s="59">
        <f t="shared" si="205"/>
        <v>174360022</v>
      </c>
      <c r="AB117" s="59">
        <f t="shared" si="205"/>
        <v>422703419</v>
      </c>
      <c r="AC117" s="59">
        <f t="shared" si="205"/>
        <v>1217181237</v>
      </c>
      <c r="AD117" s="59">
        <f t="shared" si="205"/>
        <v>50673000</v>
      </c>
      <c r="AE117" s="59">
        <f t="shared" si="205"/>
        <v>1166508237</v>
      </c>
      <c r="AF117" s="59">
        <f t="shared" si="205"/>
        <v>583063441</v>
      </c>
      <c r="AG117" s="59">
        <f t="shared" si="205"/>
        <v>353572947</v>
      </c>
      <c r="AH117" s="59">
        <f t="shared" si="205"/>
        <v>229490494</v>
      </c>
      <c r="AI117" s="59">
        <f t="shared" si="205"/>
        <v>2397308119</v>
      </c>
      <c r="AJ117" s="59">
        <f t="shared" si="205"/>
        <v>578605969</v>
      </c>
      <c r="AK117" s="59">
        <f t="shared" si="205"/>
        <v>583063441</v>
      </c>
      <c r="AL117" s="59">
        <f t="shared" si="205"/>
        <v>0</v>
      </c>
      <c r="AM117" s="59">
        <f t="shared" si="205"/>
        <v>583063441</v>
      </c>
      <c r="AN117" s="59">
        <f t="shared" si="205"/>
        <v>583063441</v>
      </c>
      <c r="AO117" s="59">
        <f t="shared" si="205"/>
        <v>0</v>
      </c>
      <c r="AP117" s="59">
        <f t="shared" si="205"/>
        <v>583063441</v>
      </c>
      <c r="AQ117" s="59">
        <f t="shared" si="205"/>
        <v>744076212</v>
      </c>
      <c r="AR117" s="59">
        <f t="shared" si="205"/>
        <v>0</v>
      </c>
      <c r="AS117" s="59">
        <f t="shared" si="205"/>
        <v>744076212</v>
      </c>
      <c r="AT117" s="59">
        <f t="shared" si="205"/>
        <v>0</v>
      </c>
      <c r="AU117" s="59">
        <f t="shared" si="205"/>
        <v>0</v>
      </c>
      <c r="AV117" s="59">
        <f t="shared" si="205"/>
        <v>7942179689</v>
      </c>
      <c r="AW117" s="59">
        <f t="shared" si="205"/>
        <v>3024492068</v>
      </c>
      <c r="AX117" s="59">
        <f t="shared" si="205"/>
        <v>7332003281</v>
      </c>
      <c r="AY117" s="59">
        <f t="shared" si="205"/>
        <v>3326941274.8000002</v>
      </c>
      <c r="AZ117" s="59">
        <f t="shared" si="205"/>
        <v>3659635402.2800002</v>
      </c>
      <c r="BA117" s="59">
        <f t="shared" si="205"/>
        <v>4025598942.5080009</v>
      </c>
      <c r="BB117" s="59">
        <f t="shared" si="205"/>
        <v>4428158836.7588005</v>
      </c>
    </row>
    <row r="118" spans="1:54" s="2" customFormat="1" ht="16.899999999999999" customHeight="1" x14ac:dyDescent="0.2">
      <c r="A118" s="58"/>
      <c r="B118" s="23"/>
      <c r="C118" s="47" t="s">
        <v>160</v>
      </c>
      <c r="D118" s="19">
        <f t="shared" ref="D118:BB118" si="206">D117+D106+D96+D93+D86+D78+D73+D67+D64+D57+D32+D23+D22+D11+D99</f>
        <v>2091785044.428</v>
      </c>
      <c r="E118" s="19">
        <f t="shared" si="206"/>
        <v>1363145017</v>
      </c>
      <c r="F118" s="19">
        <f t="shared" si="206"/>
        <v>728640027.42799997</v>
      </c>
      <c r="G118" s="19">
        <f t="shared" si="206"/>
        <v>1584277370.428</v>
      </c>
      <c r="H118" s="19">
        <f t="shared" si="206"/>
        <v>1052040270</v>
      </c>
      <c r="I118" s="19">
        <f t="shared" si="206"/>
        <v>532237100.42800003</v>
      </c>
      <c r="J118" s="19">
        <f t="shared" si="206"/>
        <v>1309778336.428</v>
      </c>
      <c r="K118" s="19">
        <f t="shared" si="206"/>
        <v>751917100</v>
      </c>
      <c r="L118" s="19">
        <f t="shared" si="206"/>
        <v>557861236.42799997</v>
      </c>
      <c r="M118" s="19">
        <f t="shared" si="206"/>
        <v>4985840751.2840004</v>
      </c>
      <c r="N118" s="19">
        <f t="shared" si="206"/>
        <v>3167102387</v>
      </c>
      <c r="O118" s="19">
        <f t="shared" si="206"/>
        <v>1592159695.5993602</v>
      </c>
      <c r="P118" s="19">
        <f t="shared" si="206"/>
        <v>851769036</v>
      </c>
      <c r="Q118" s="19">
        <f t="shared" si="206"/>
        <v>740390659.59935999</v>
      </c>
      <c r="R118" s="19">
        <f t="shared" si="206"/>
        <v>1531986729.59936</v>
      </c>
      <c r="S118" s="19">
        <f t="shared" si="206"/>
        <v>824553503</v>
      </c>
      <c r="T118" s="19">
        <f t="shared" si="206"/>
        <v>707433226.59936011</v>
      </c>
      <c r="U118" s="19">
        <f t="shared" si="206"/>
        <v>1423607695.59936</v>
      </c>
      <c r="V118" s="19">
        <f t="shared" si="206"/>
        <v>931152252</v>
      </c>
      <c r="W118" s="19">
        <f t="shared" si="206"/>
        <v>492455443.59936011</v>
      </c>
      <c r="X118" s="19">
        <f t="shared" si="206"/>
        <v>4547754120.7980804</v>
      </c>
      <c r="Y118" s="19">
        <f t="shared" si="206"/>
        <v>2607474791</v>
      </c>
      <c r="Z118" s="19">
        <f t="shared" si="206"/>
        <v>1558909695.5993602</v>
      </c>
      <c r="AA118" s="19">
        <f t="shared" si="206"/>
        <v>952147306.83000004</v>
      </c>
      <c r="AB118" s="19">
        <f t="shared" si="206"/>
        <v>606762388.76935995</v>
      </c>
      <c r="AC118" s="19">
        <f t="shared" si="206"/>
        <v>2565428415.8393602</v>
      </c>
      <c r="AD118" s="19">
        <f t="shared" si="206"/>
        <v>1354651834.7</v>
      </c>
      <c r="AE118" s="19">
        <f t="shared" si="206"/>
        <v>1210776581.1393602</v>
      </c>
      <c r="AF118" s="19">
        <f t="shared" si="206"/>
        <v>1285750695.59936</v>
      </c>
      <c r="AG118" s="19">
        <f t="shared" si="206"/>
        <v>1199753988.78</v>
      </c>
      <c r="AH118" s="19">
        <f t="shared" si="206"/>
        <v>85996706.819360107</v>
      </c>
      <c r="AI118" s="19">
        <f t="shared" si="206"/>
        <v>5387183807.0380802</v>
      </c>
      <c r="AJ118" s="19">
        <f t="shared" si="206"/>
        <v>3506553130.3099995</v>
      </c>
      <c r="AK118" s="19">
        <f t="shared" si="206"/>
        <v>1521079695.59936</v>
      </c>
      <c r="AL118" s="19">
        <f t="shared" si="206"/>
        <v>0</v>
      </c>
      <c r="AM118" s="19">
        <f t="shared" si="206"/>
        <v>1521079695.59936</v>
      </c>
      <c r="AN118" s="19">
        <f t="shared" si="206"/>
        <v>1532260729.59936</v>
      </c>
      <c r="AO118" s="19">
        <f t="shared" si="206"/>
        <v>0</v>
      </c>
      <c r="AP118" s="19">
        <f t="shared" si="206"/>
        <v>1532260729.59936</v>
      </c>
      <c r="AQ118" s="19">
        <f t="shared" si="206"/>
        <v>2003443856.8393602</v>
      </c>
      <c r="AR118" s="19">
        <f t="shared" si="206"/>
        <v>0</v>
      </c>
      <c r="AS118" s="19">
        <f t="shared" si="206"/>
        <v>2003443856.8393602</v>
      </c>
      <c r="AT118" s="19">
        <f t="shared" si="206"/>
        <v>0</v>
      </c>
      <c r="AU118" s="19">
        <f t="shared" si="206"/>
        <v>0</v>
      </c>
      <c r="AV118" s="19">
        <f t="shared" si="206"/>
        <v>20000467961.158241</v>
      </c>
      <c r="AW118" s="19">
        <f t="shared" si="206"/>
        <v>9281130308.3100014</v>
      </c>
      <c r="AX118" s="19">
        <f t="shared" si="206"/>
        <v>19748003397.386162</v>
      </c>
      <c r="AY118" s="19">
        <f t="shared" si="206"/>
        <v>10444162982.341</v>
      </c>
      <c r="AZ118" s="19">
        <f t="shared" si="206"/>
        <v>11488579280.575104</v>
      </c>
      <c r="BA118" s="19">
        <f t="shared" si="206"/>
        <v>12637437208.632612</v>
      </c>
      <c r="BB118" s="19">
        <f t="shared" si="206"/>
        <v>13901180929.495872</v>
      </c>
    </row>
    <row r="119" spans="1:54" s="27" customFormat="1" ht="16.899999999999999" customHeight="1" x14ac:dyDescent="0.2">
      <c r="A119" s="22"/>
      <c r="B119" s="23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174">
        <f t="shared" ref="M119:N121" si="207">D119+G119+J119</f>
        <v>0</v>
      </c>
      <c r="N119" s="174">
        <f t="shared" si="207"/>
        <v>0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174">
        <f t="shared" ref="X119:Y121" si="208">O119+R119+U119</f>
        <v>0</v>
      </c>
      <c r="Y119" s="174">
        <f t="shared" si="208"/>
        <v>0</v>
      </c>
      <c r="Z119" s="25"/>
      <c r="AA119" s="25"/>
      <c r="AB119" s="25"/>
      <c r="AC119" s="25"/>
      <c r="AD119" s="25"/>
      <c r="AE119" s="25"/>
      <c r="AF119" s="25"/>
      <c r="AG119" s="25"/>
      <c r="AH119" s="25"/>
      <c r="AI119" s="174">
        <f>AF119+AC119+Z119</f>
        <v>0</v>
      </c>
      <c r="AJ119" s="174">
        <f>AA119+AD119+AG119</f>
        <v>0</v>
      </c>
      <c r="AK119" s="25"/>
      <c r="AL119" s="25"/>
      <c r="AM119" s="25"/>
      <c r="AN119" s="25"/>
      <c r="AO119" s="25"/>
      <c r="AP119" s="25"/>
      <c r="AQ119" s="25"/>
      <c r="AR119" s="25"/>
      <c r="AS119" s="25"/>
      <c r="AT119" s="174"/>
      <c r="AU119" s="174">
        <f>AL119+AO119+AR119</f>
        <v>0</v>
      </c>
      <c r="AV119" s="25"/>
      <c r="AW119" s="190"/>
      <c r="AX119" s="178">
        <f>(AV119-(M119+X119))+AW119</f>
        <v>0</v>
      </c>
      <c r="AY119" s="26"/>
      <c r="AZ119" s="26"/>
      <c r="BA119" s="26"/>
      <c r="BB119" s="26"/>
    </row>
    <row r="120" spans="1:54" s="2" customFormat="1" ht="16.899999999999999" customHeight="1" x14ac:dyDescent="0.2">
      <c r="A120" s="58"/>
      <c r="B120" s="23"/>
      <c r="C120" s="71" t="s">
        <v>161</v>
      </c>
      <c r="D120" s="72">
        <v>146091400</v>
      </c>
      <c r="E120" s="72">
        <v>146091400</v>
      </c>
      <c r="F120" s="14">
        <f>D120-E120</f>
        <v>0</v>
      </c>
      <c r="G120" s="72">
        <v>146091400</v>
      </c>
      <c r="H120" s="72">
        <v>146091400</v>
      </c>
      <c r="I120" s="14">
        <f>G120-H120</f>
        <v>0</v>
      </c>
      <c r="J120" s="72">
        <v>146091400</v>
      </c>
      <c r="K120" s="15">
        <v>146091400</v>
      </c>
      <c r="L120" s="14">
        <f>J120-K120</f>
        <v>0</v>
      </c>
      <c r="M120" s="174">
        <f t="shared" si="207"/>
        <v>438274200</v>
      </c>
      <c r="N120" s="174">
        <f t="shared" si="207"/>
        <v>438274200</v>
      </c>
      <c r="O120" s="72">
        <v>146091400</v>
      </c>
      <c r="P120" s="72">
        <v>146091400</v>
      </c>
      <c r="Q120" s="14">
        <f>O120-P120</f>
        <v>0</v>
      </c>
      <c r="R120" s="72">
        <v>146091400</v>
      </c>
      <c r="S120" s="72">
        <v>146091400</v>
      </c>
      <c r="T120" s="14">
        <f>R120-S120</f>
        <v>0</v>
      </c>
      <c r="U120" s="72">
        <v>146091400</v>
      </c>
      <c r="V120" s="72">
        <v>146091400</v>
      </c>
      <c r="W120" s="14">
        <f>U120-V120</f>
        <v>0</v>
      </c>
      <c r="X120" s="174">
        <f t="shared" si="208"/>
        <v>438274200</v>
      </c>
      <c r="Y120" s="174">
        <f t="shared" si="208"/>
        <v>438274200</v>
      </c>
      <c r="Z120" s="72">
        <v>146091400</v>
      </c>
      <c r="AA120" s="72"/>
      <c r="AB120" s="14">
        <f>Z120-AA120</f>
        <v>146091400</v>
      </c>
      <c r="AC120" s="72">
        <v>146091400</v>
      </c>
      <c r="AD120" s="72"/>
      <c r="AE120" s="14">
        <f>AC120-AD120</f>
        <v>146091400</v>
      </c>
      <c r="AF120" s="72">
        <v>146091400</v>
      </c>
      <c r="AG120" s="72"/>
      <c r="AH120" s="14">
        <f>AF120-AG120</f>
        <v>146091400</v>
      </c>
      <c r="AI120" s="174">
        <f>AF120+AC120+Z120</f>
        <v>438274200</v>
      </c>
      <c r="AJ120" s="174">
        <f>AA120+AD120+AG120</f>
        <v>0</v>
      </c>
      <c r="AK120" s="72">
        <v>146091400</v>
      </c>
      <c r="AL120" s="72"/>
      <c r="AM120" s="14">
        <f>AK120-AL120</f>
        <v>146091400</v>
      </c>
      <c r="AN120" s="72">
        <v>146091400</v>
      </c>
      <c r="AO120" s="72"/>
      <c r="AP120" s="14">
        <f>AN120-AO120</f>
        <v>146091400</v>
      </c>
      <c r="AQ120" s="72">
        <v>146091400</v>
      </c>
      <c r="AR120" s="72"/>
      <c r="AS120" s="14">
        <f>AQ120-AR120</f>
        <v>146091400</v>
      </c>
      <c r="AT120" s="174"/>
      <c r="AU120" s="174">
        <f>AL120+AO120+AR120</f>
        <v>0</v>
      </c>
      <c r="AV120" s="38">
        <f>AQ120+AN120+AK120+AF120+AC120+Z120+U120+R120+O120+J120+G120+D120</f>
        <v>1753096800</v>
      </c>
      <c r="AW120" s="14">
        <f>AR120+AO120+AL120+AG120+AD120+AA120+V120+S120+P120+K120+H120+E120</f>
        <v>876548400</v>
      </c>
      <c r="AX120" s="178">
        <f>(AV120-(M120+X120))+AW120</f>
        <v>1753096800</v>
      </c>
      <c r="AY120" s="16">
        <f>AW120*1.1</f>
        <v>964203240.00000012</v>
      </c>
      <c r="AZ120" s="16">
        <f t="shared" ref="AZ120:BB121" si="209">AY120*1.1</f>
        <v>1060623564.0000002</v>
      </c>
      <c r="BA120" s="16">
        <f t="shared" si="209"/>
        <v>1166685920.4000003</v>
      </c>
      <c r="BB120" s="16">
        <f t="shared" si="209"/>
        <v>1283354512.4400005</v>
      </c>
    </row>
    <row r="121" spans="1:54" s="2" customFormat="1" ht="16.899999999999999" customHeight="1" x14ac:dyDescent="0.2">
      <c r="A121" s="58"/>
      <c r="B121" s="23"/>
      <c r="C121" s="73" t="s">
        <v>162</v>
      </c>
      <c r="D121" s="74">
        <v>11519166.666666666</v>
      </c>
      <c r="E121" s="13">
        <v>11519167</v>
      </c>
      <c r="F121" s="14">
        <f>D121-E121</f>
        <v>-0.33333333395421505</v>
      </c>
      <c r="G121" s="74">
        <v>13047916.666666666</v>
      </c>
      <c r="H121" s="75">
        <v>13047917</v>
      </c>
      <c r="I121" s="14">
        <f>G121-H121</f>
        <v>-0.33333333395421505</v>
      </c>
      <c r="J121" s="74">
        <v>23916666.666666664</v>
      </c>
      <c r="K121" s="75">
        <v>23916667</v>
      </c>
      <c r="L121" s="14">
        <f>J121-K121</f>
        <v>-0.3333333358168602</v>
      </c>
      <c r="M121" s="174">
        <f t="shared" si="207"/>
        <v>48483750</v>
      </c>
      <c r="N121" s="174">
        <f t="shared" si="207"/>
        <v>48483751</v>
      </c>
      <c r="O121" s="74">
        <v>23916666.666666664</v>
      </c>
      <c r="P121" s="75">
        <v>23916667</v>
      </c>
      <c r="Q121" s="14">
        <f>O121-P121</f>
        <v>-0.3333333358168602</v>
      </c>
      <c r="R121" s="74">
        <v>23916666.666666664</v>
      </c>
      <c r="S121" s="75">
        <v>23916667</v>
      </c>
      <c r="T121" s="14">
        <f>R121-S121</f>
        <v>-0.3333333358168602</v>
      </c>
      <c r="U121" s="74">
        <v>26466666.666666664</v>
      </c>
      <c r="V121" s="75">
        <v>26466667</v>
      </c>
      <c r="W121" s="14">
        <f>U121-V121</f>
        <v>-0.3333333358168602</v>
      </c>
      <c r="X121" s="174">
        <f t="shared" si="208"/>
        <v>74300000</v>
      </c>
      <c r="Y121" s="174">
        <f t="shared" si="208"/>
        <v>74300001</v>
      </c>
      <c r="Z121" s="74">
        <v>26466666.666666664</v>
      </c>
      <c r="AA121" s="75"/>
      <c r="AB121" s="14">
        <f>Z121-AA121</f>
        <v>26466666.666666664</v>
      </c>
      <c r="AC121" s="74">
        <v>26466666.666666664</v>
      </c>
      <c r="AD121" s="14"/>
      <c r="AE121" s="14">
        <f>AC121-AD121</f>
        <v>26466666.666666664</v>
      </c>
      <c r="AF121" s="74">
        <v>26466666.666666664</v>
      </c>
      <c r="AG121" s="14">
        <v>0</v>
      </c>
      <c r="AH121" s="14">
        <f>AF121-AG121</f>
        <v>26466666.666666664</v>
      </c>
      <c r="AI121" s="174">
        <f>AF121+AC121+Z121</f>
        <v>79400000</v>
      </c>
      <c r="AJ121" s="174">
        <f>AA121+AD121+AG121</f>
        <v>0</v>
      </c>
      <c r="AK121" s="74">
        <v>26466666.666666664</v>
      </c>
      <c r="AL121" s="14">
        <v>0</v>
      </c>
      <c r="AM121" s="14">
        <f>AK121-AL121</f>
        <v>26466666.666666664</v>
      </c>
      <c r="AN121" s="74">
        <v>26466666.666666664</v>
      </c>
      <c r="AO121" s="14">
        <v>0</v>
      </c>
      <c r="AP121" s="14">
        <f>AN121-AO121</f>
        <v>26466666.666666664</v>
      </c>
      <c r="AQ121" s="74">
        <v>26466666.666666664</v>
      </c>
      <c r="AR121" s="14">
        <v>0</v>
      </c>
      <c r="AS121" s="14">
        <f>AQ121-AR121</f>
        <v>26466666.666666664</v>
      </c>
      <c r="AT121" s="174"/>
      <c r="AU121" s="174">
        <f>AL121+AO121+AR121</f>
        <v>0</v>
      </c>
      <c r="AV121" s="38">
        <f>AQ121+AN121+AK121+AF121+AC121+Z121+U121+R121+O121+J121+G121+D121</f>
        <v>281583749.99999994</v>
      </c>
      <c r="AW121" s="14">
        <f>AR121+AO121+AL121+AG121+AD121+AA121+V121+S121+P121+K121+H121+E121</f>
        <v>122783752</v>
      </c>
      <c r="AX121" s="178">
        <f>(AV121-(M121+X121))+AW121</f>
        <v>281583751.99999994</v>
      </c>
      <c r="AY121" s="16">
        <f>AW121*1.1</f>
        <v>135062127.20000002</v>
      </c>
      <c r="AZ121" s="16">
        <f t="shared" si="209"/>
        <v>148568339.92000005</v>
      </c>
      <c r="BA121" s="16">
        <f t="shared" si="209"/>
        <v>163425173.91200006</v>
      </c>
      <c r="BB121" s="16">
        <f t="shared" si="209"/>
        <v>179767691.30320007</v>
      </c>
    </row>
    <row r="122" spans="1:54" s="2" customFormat="1" ht="16.899999999999999" customHeight="1" x14ac:dyDescent="0.2">
      <c r="A122" s="58"/>
      <c r="B122" s="11" t="s">
        <v>163</v>
      </c>
      <c r="C122" s="47" t="s">
        <v>164</v>
      </c>
      <c r="D122" s="76">
        <f t="shared" ref="D122:BB122" si="210">SUM(D120:D121)</f>
        <v>157610566.66666666</v>
      </c>
      <c r="E122" s="76">
        <f t="shared" si="210"/>
        <v>157610567</v>
      </c>
      <c r="F122" s="76">
        <f t="shared" si="210"/>
        <v>-0.33333333395421505</v>
      </c>
      <c r="G122" s="76">
        <f t="shared" si="210"/>
        <v>159139316.66666666</v>
      </c>
      <c r="H122" s="76">
        <f t="shared" si="210"/>
        <v>159139317</v>
      </c>
      <c r="I122" s="76">
        <f t="shared" si="210"/>
        <v>-0.33333333395421505</v>
      </c>
      <c r="J122" s="76">
        <f t="shared" si="210"/>
        <v>170008066.66666666</v>
      </c>
      <c r="K122" s="76">
        <f t="shared" si="210"/>
        <v>170008067</v>
      </c>
      <c r="L122" s="76">
        <f t="shared" si="210"/>
        <v>-0.3333333358168602</v>
      </c>
      <c r="M122" s="76">
        <f t="shared" si="210"/>
        <v>486757950</v>
      </c>
      <c r="N122" s="76">
        <f t="shared" si="210"/>
        <v>486757951</v>
      </c>
      <c r="O122" s="76">
        <f t="shared" si="210"/>
        <v>170008066.66666666</v>
      </c>
      <c r="P122" s="76">
        <f t="shared" si="210"/>
        <v>170008067</v>
      </c>
      <c r="Q122" s="76">
        <f t="shared" si="210"/>
        <v>-0.3333333358168602</v>
      </c>
      <c r="R122" s="76">
        <f t="shared" si="210"/>
        <v>170008066.66666666</v>
      </c>
      <c r="S122" s="76">
        <f t="shared" si="210"/>
        <v>170008067</v>
      </c>
      <c r="T122" s="76">
        <f t="shared" si="210"/>
        <v>-0.3333333358168602</v>
      </c>
      <c r="U122" s="76">
        <f t="shared" si="210"/>
        <v>172558066.66666666</v>
      </c>
      <c r="V122" s="76">
        <f t="shared" si="210"/>
        <v>172558067</v>
      </c>
      <c r="W122" s="76">
        <f t="shared" si="210"/>
        <v>-0.3333333358168602</v>
      </c>
      <c r="X122" s="76">
        <f t="shared" si="210"/>
        <v>512574200</v>
      </c>
      <c r="Y122" s="76">
        <f t="shared" si="210"/>
        <v>512574201</v>
      </c>
      <c r="Z122" s="76">
        <f t="shared" si="210"/>
        <v>172558066.66666666</v>
      </c>
      <c r="AA122" s="76">
        <f t="shared" si="210"/>
        <v>0</v>
      </c>
      <c r="AB122" s="76">
        <f t="shared" si="210"/>
        <v>172558066.66666666</v>
      </c>
      <c r="AC122" s="76">
        <f t="shared" si="210"/>
        <v>172558066.66666666</v>
      </c>
      <c r="AD122" s="76">
        <f t="shared" si="210"/>
        <v>0</v>
      </c>
      <c r="AE122" s="76">
        <f t="shared" si="210"/>
        <v>172558066.66666666</v>
      </c>
      <c r="AF122" s="76">
        <f t="shared" si="210"/>
        <v>172558066.66666666</v>
      </c>
      <c r="AG122" s="76">
        <f t="shared" si="210"/>
        <v>0</v>
      </c>
      <c r="AH122" s="76">
        <f t="shared" si="210"/>
        <v>172558066.66666666</v>
      </c>
      <c r="AI122" s="76">
        <f t="shared" si="210"/>
        <v>517674200</v>
      </c>
      <c r="AJ122" s="76">
        <f t="shared" si="210"/>
        <v>0</v>
      </c>
      <c r="AK122" s="76">
        <f t="shared" si="210"/>
        <v>172558066.66666666</v>
      </c>
      <c r="AL122" s="76">
        <f t="shared" si="210"/>
        <v>0</v>
      </c>
      <c r="AM122" s="76">
        <f t="shared" si="210"/>
        <v>172558066.66666666</v>
      </c>
      <c r="AN122" s="76">
        <f t="shared" si="210"/>
        <v>172558066.66666666</v>
      </c>
      <c r="AO122" s="76">
        <f t="shared" si="210"/>
        <v>0</v>
      </c>
      <c r="AP122" s="76">
        <f t="shared" si="210"/>
        <v>172558066.66666666</v>
      </c>
      <c r="AQ122" s="76">
        <f t="shared" si="210"/>
        <v>172558066.66666666</v>
      </c>
      <c r="AR122" s="76">
        <f t="shared" si="210"/>
        <v>0</v>
      </c>
      <c r="AS122" s="76">
        <f t="shared" si="210"/>
        <v>172558066.66666666</v>
      </c>
      <c r="AT122" s="76">
        <f t="shared" si="210"/>
        <v>0</v>
      </c>
      <c r="AU122" s="76">
        <f t="shared" si="210"/>
        <v>0</v>
      </c>
      <c r="AV122" s="76">
        <f t="shared" si="210"/>
        <v>2034680550</v>
      </c>
      <c r="AW122" s="76">
        <f t="shared" si="210"/>
        <v>999332152</v>
      </c>
      <c r="AX122" s="76">
        <f t="shared" si="210"/>
        <v>2034680552</v>
      </c>
      <c r="AY122" s="76">
        <f t="shared" si="210"/>
        <v>1099265367.2</v>
      </c>
      <c r="AZ122" s="76">
        <f t="shared" si="210"/>
        <v>1209191903.9200003</v>
      </c>
      <c r="BA122" s="76">
        <f t="shared" si="210"/>
        <v>1330111094.3120003</v>
      </c>
      <c r="BB122" s="76">
        <f t="shared" si="210"/>
        <v>1463122203.7432005</v>
      </c>
    </row>
    <row r="123" spans="1:54" s="2" customFormat="1" ht="16.899999999999999" customHeight="1" x14ac:dyDescent="0.2">
      <c r="A123" s="58"/>
      <c r="B123" s="23"/>
      <c r="C123" s="47" t="s">
        <v>165</v>
      </c>
      <c r="D123" s="19">
        <f t="shared" ref="D123:BB123" si="211">D118+D122</f>
        <v>2249395611.0946665</v>
      </c>
      <c r="E123" s="19">
        <f t="shared" si="211"/>
        <v>1520755584</v>
      </c>
      <c r="F123" s="19">
        <f t="shared" si="211"/>
        <v>728640027.0946666</v>
      </c>
      <c r="G123" s="19">
        <f t="shared" si="211"/>
        <v>1743416687.0946667</v>
      </c>
      <c r="H123" s="19">
        <f t="shared" si="211"/>
        <v>1211179587</v>
      </c>
      <c r="I123" s="19">
        <f t="shared" si="211"/>
        <v>532237100.09466672</v>
      </c>
      <c r="J123" s="19">
        <f t="shared" si="211"/>
        <v>1479786403.0946667</v>
      </c>
      <c r="K123" s="19">
        <f t="shared" si="211"/>
        <v>921925167</v>
      </c>
      <c r="L123" s="19">
        <f t="shared" si="211"/>
        <v>557861236.0946666</v>
      </c>
      <c r="M123" s="19">
        <f t="shared" si="211"/>
        <v>5472598701.2840004</v>
      </c>
      <c r="N123" s="19">
        <f t="shared" si="211"/>
        <v>3653860338</v>
      </c>
      <c r="O123" s="19">
        <f t="shared" si="211"/>
        <v>1762167762.266027</v>
      </c>
      <c r="P123" s="19">
        <f t="shared" si="211"/>
        <v>1021777103</v>
      </c>
      <c r="Q123" s="19">
        <f t="shared" si="211"/>
        <v>740390659.26602662</v>
      </c>
      <c r="R123" s="19">
        <f t="shared" si="211"/>
        <v>1701994796.2660267</v>
      </c>
      <c r="S123" s="19">
        <f t="shared" si="211"/>
        <v>994561570</v>
      </c>
      <c r="T123" s="19">
        <f t="shared" si="211"/>
        <v>707433226.26602674</v>
      </c>
      <c r="U123" s="19">
        <f t="shared" si="211"/>
        <v>1596165762.2660267</v>
      </c>
      <c r="V123" s="19">
        <f t="shared" si="211"/>
        <v>1103710319</v>
      </c>
      <c r="W123" s="19">
        <f t="shared" si="211"/>
        <v>492455443.26602679</v>
      </c>
      <c r="X123" s="19">
        <f t="shared" si="211"/>
        <v>5060328320.7980804</v>
      </c>
      <c r="Y123" s="19">
        <f t="shared" si="211"/>
        <v>3120048992</v>
      </c>
      <c r="Z123" s="19">
        <f t="shared" si="211"/>
        <v>1731467762.266027</v>
      </c>
      <c r="AA123" s="19">
        <f t="shared" si="211"/>
        <v>952147306.83000004</v>
      </c>
      <c r="AB123" s="19">
        <f t="shared" si="211"/>
        <v>779320455.43602657</v>
      </c>
      <c r="AC123" s="19">
        <f t="shared" si="211"/>
        <v>2737986482.5060267</v>
      </c>
      <c r="AD123" s="19">
        <f t="shared" si="211"/>
        <v>1354651834.7</v>
      </c>
      <c r="AE123" s="19">
        <f t="shared" si="211"/>
        <v>1383334647.8060269</v>
      </c>
      <c r="AF123" s="19">
        <f t="shared" si="211"/>
        <v>1458308762.2660267</v>
      </c>
      <c r="AG123" s="19">
        <f t="shared" si="211"/>
        <v>1199753988.78</v>
      </c>
      <c r="AH123" s="19">
        <f t="shared" si="211"/>
        <v>258554773.48602676</v>
      </c>
      <c r="AI123" s="19">
        <f t="shared" si="211"/>
        <v>5904858007.0380802</v>
      </c>
      <c r="AJ123" s="19">
        <f t="shared" si="211"/>
        <v>3506553130.3099995</v>
      </c>
      <c r="AK123" s="19">
        <f t="shared" si="211"/>
        <v>1693637762.2660267</v>
      </c>
      <c r="AL123" s="19">
        <f t="shared" si="211"/>
        <v>0</v>
      </c>
      <c r="AM123" s="19">
        <f t="shared" si="211"/>
        <v>1693637762.2660267</v>
      </c>
      <c r="AN123" s="19">
        <f t="shared" si="211"/>
        <v>1704818796.2660267</v>
      </c>
      <c r="AO123" s="19">
        <f t="shared" si="211"/>
        <v>0</v>
      </c>
      <c r="AP123" s="19">
        <f t="shared" si="211"/>
        <v>1704818796.2660267</v>
      </c>
      <c r="AQ123" s="19">
        <f t="shared" si="211"/>
        <v>2176001923.5060267</v>
      </c>
      <c r="AR123" s="19">
        <f t="shared" si="211"/>
        <v>0</v>
      </c>
      <c r="AS123" s="19">
        <f t="shared" si="211"/>
        <v>2176001923.5060267</v>
      </c>
      <c r="AT123" s="19">
        <f t="shared" si="211"/>
        <v>0</v>
      </c>
      <c r="AU123" s="19">
        <f t="shared" si="211"/>
        <v>0</v>
      </c>
      <c r="AV123" s="19">
        <f t="shared" si="211"/>
        <v>22035148511.158241</v>
      </c>
      <c r="AW123" s="19">
        <f t="shared" si="211"/>
        <v>10280462460.310001</v>
      </c>
      <c r="AX123" s="19">
        <f t="shared" si="211"/>
        <v>21782683949.386162</v>
      </c>
      <c r="AY123" s="19">
        <f t="shared" si="211"/>
        <v>11543428349.541</v>
      </c>
      <c r="AZ123" s="19">
        <f t="shared" si="211"/>
        <v>12697771184.495104</v>
      </c>
      <c r="BA123" s="19">
        <f t="shared" si="211"/>
        <v>13967548302.944613</v>
      </c>
      <c r="BB123" s="19">
        <f t="shared" si="211"/>
        <v>15364303133.239073</v>
      </c>
    </row>
    <row r="124" spans="1:54" ht="16.899999999999999" customHeight="1" x14ac:dyDescent="0.2">
      <c r="A124" s="10"/>
      <c r="B124" s="77"/>
      <c r="C124" s="29"/>
      <c r="D124" s="30"/>
      <c r="E124" s="14"/>
      <c r="F124" s="30"/>
      <c r="G124" s="30"/>
      <c r="H124" s="30"/>
      <c r="I124" s="30"/>
      <c r="J124" s="30"/>
      <c r="K124" s="30"/>
      <c r="L124" s="30"/>
      <c r="M124" s="174">
        <f t="shared" ref="M124:N127" si="212">D124+G124+J124</f>
        <v>0</v>
      </c>
      <c r="N124" s="174">
        <f t="shared" si="212"/>
        <v>0</v>
      </c>
      <c r="O124" s="30"/>
      <c r="P124" s="30"/>
      <c r="Q124" s="30"/>
      <c r="R124" s="30"/>
      <c r="S124" s="30"/>
      <c r="T124" s="30"/>
      <c r="U124" s="30"/>
      <c r="V124" s="30"/>
      <c r="W124" s="30"/>
      <c r="X124" s="174">
        <f t="shared" ref="X124:Y127" si="213">O124+R124+U124</f>
        <v>0</v>
      </c>
      <c r="Y124" s="174">
        <f t="shared" si="213"/>
        <v>0</v>
      </c>
      <c r="Z124" s="30"/>
      <c r="AA124" s="30"/>
      <c r="AB124" s="30"/>
      <c r="AC124" s="30"/>
      <c r="AD124" s="30"/>
      <c r="AE124" s="30"/>
      <c r="AF124" s="30"/>
      <c r="AG124" s="30">
        <v>0</v>
      </c>
      <c r="AH124" s="14">
        <v>0</v>
      </c>
      <c r="AI124" s="174">
        <f>AF124+AC124+Z124</f>
        <v>0</v>
      </c>
      <c r="AJ124" s="174">
        <f>AA124+AD124+AG124</f>
        <v>0</v>
      </c>
      <c r="AK124" s="30"/>
      <c r="AL124" s="30">
        <v>0</v>
      </c>
      <c r="AM124" s="14">
        <v>0</v>
      </c>
      <c r="AN124" s="30"/>
      <c r="AO124" s="30">
        <v>0</v>
      </c>
      <c r="AP124" s="14">
        <v>0</v>
      </c>
      <c r="AQ124" s="30"/>
      <c r="AR124" s="30">
        <v>0</v>
      </c>
      <c r="AS124" s="14">
        <v>0</v>
      </c>
      <c r="AT124" s="174"/>
      <c r="AU124" s="174">
        <f>AL124+AO124+AR124</f>
        <v>0</v>
      </c>
      <c r="AV124" s="14"/>
      <c r="AW124" s="14"/>
      <c r="AX124" s="178">
        <f>(AV124-(M124+X124))+AW124</f>
        <v>0</v>
      </c>
      <c r="AY124" s="31"/>
      <c r="AZ124" s="31"/>
      <c r="BA124" s="31"/>
      <c r="BB124" s="31"/>
    </row>
    <row r="125" spans="1:54" s="62" customFormat="1" ht="16.899999999999999" customHeight="1" x14ac:dyDescent="0.2">
      <c r="A125" s="10"/>
      <c r="B125" s="11" t="s">
        <v>166</v>
      </c>
      <c r="C125" s="29" t="s">
        <v>167</v>
      </c>
      <c r="D125" s="14">
        <v>4000000</v>
      </c>
      <c r="E125" s="14">
        <v>4000000</v>
      </c>
      <c r="F125" s="14">
        <f>D125-E125</f>
        <v>0</v>
      </c>
      <c r="G125" s="14">
        <v>4000000</v>
      </c>
      <c r="H125" s="14">
        <v>4000000</v>
      </c>
      <c r="I125" s="14">
        <f>G125-H125</f>
        <v>0</v>
      </c>
      <c r="J125" s="14">
        <v>4000000</v>
      </c>
      <c r="K125" s="14">
        <v>4000000</v>
      </c>
      <c r="L125" s="14">
        <f>J125-K125</f>
        <v>0</v>
      </c>
      <c r="M125" s="174">
        <f t="shared" si="212"/>
        <v>12000000</v>
      </c>
      <c r="N125" s="174">
        <f t="shared" si="212"/>
        <v>12000000</v>
      </c>
      <c r="O125" s="14">
        <v>4000000</v>
      </c>
      <c r="P125" s="14">
        <v>4000000</v>
      </c>
      <c r="Q125" s="14">
        <f>O125-P125</f>
        <v>0</v>
      </c>
      <c r="R125" s="14">
        <v>4000000</v>
      </c>
      <c r="S125" s="14">
        <v>4000000</v>
      </c>
      <c r="T125" s="14">
        <f>R125-S125</f>
        <v>0</v>
      </c>
      <c r="U125" s="14">
        <v>4000000</v>
      </c>
      <c r="V125" s="14">
        <v>4000000</v>
      </c>
      <c r="W125" s="14">
        <f>U125-V125</f>
        <v>0</v>
      </c>
      <c r="X125" s="174">
        <f t="shared" si="213"/>
        <v>12000000</v>
      </c>
      <c r="Y125" s="174">
        <f t="shared" si="213"/>
        <v>12000000</v>
      </c>
      <c r="Z125" s="14">
        <v>4000000</v>
      </c>
      <c r="AA125" s="14"/>
      <c r="AB125" s="14">
        <f>Z125-AA125</f>
        <v>4000000</v>
      </c>
      <c r="AC125" s="14">
        <v>4000000</v>
      </c>
      <c r="AD125" s="14"/>
      <c r="AE125" s="14">
        <f>AC125-AD125</f>
        <v>4000000</v>
      </c>
      <c r="AF125" s="14">
        <v>4000000</v>
      </c>
      <c r="AG125" s="14"/>
      <c r="AH125" s="14">
        <f>AF125-AG125</f>
        <v>4000000</v>
      </c>
      <c r="AI125" s="174">
        <f>AF125+AC125+Z125</f>
        <v>12000000</v>
      </c>
      <c r="AJ125" s="174">
        <f>AA125+AD125+AG125</f>
        <v>0</v>
      </c>
      <c r="AK125" s="14">
        <v>4000000</v>
      </c>
      <c r="AL125" s="14"/>
      <c r="AM125" s="14">
        <f>AK125-AL125</f>
        <v>4000000</v>
      </c>
      <c r="AN125" s="14">
        <v>4000000</v>
      </c>
      <c r="AO125" s="14"/>
      <c r="AP125" s="14">
        <f>AN125-AO125</f>
        <v>4000000</v>
      </c>
      <c r="AQ125" s="14">
        <v>4000000</v>
      </c>
      <c r="AR125" s="14"/>
      <c r="AS125" s="14">
        <f>AQ125-AR125</f>
        <v>4000000</v>
      </c>
      <c r="AT125" s="174"/>
      <c r="AU125" s="174">
        <f>AL125+AO125+AR125</f>
        <v>0</v>
      </c>
      <c r="AV125" s="38">
        <f t="shared" ref="AV125:AW127" si="214">AQ125+AN125+AK125+AF125+AC125+Z125+U125+R125+O125+J125+G125+D125</f>
        <v>48000000</v>
      </c>
      <c r="AW125" s="14">
        <f t="shared" si="214"/>
        <v>24000000</v>
      </c>
      <c r="AX125" s="178">
        <f>(AV125-(M125+X125))+AW125</f>
        <v>48000000</v>
      </c>
      <c r="AY125" s="16">
        <f>AW125*1.1</f>
        <v>26400000.000000004</v>
      </c>
      <c r="AZ125" s="16">
        <f t="shared" ref="AZ125:BB127" si="215">AY125*1.1</f>
        <v>29040000.000000007</v>
      </c>
      <c r="BA125" s="16">
        <f t="shared" si="215"/>
        <v>31944000.000000011</v>
      </c>
      <c r="BB125" s="16">
        <f t="shared" si="215"/>
        <v>35138400.000000015</v>
      </c>
    </row>
    <row r="126" spans="1:54" s="62" customFormat="1" ht="16.899999999999999" customHeight="1" x14ac:dyDescent="0.2">
      <c r="A126" s="10"/>
      <c r="B126" s="11" t="s">
        <v>166</v>
      </c>
      <c r="C126" s="78" t="s">
        <v>168</v>
      </c>
      <c r="D126" s="14">
        <v>159562500</v>
      </c>
      <c r="E126" s="14">
        <v>159562500</v>
      </c>
      <c r="F126" s="14">
        <f>D126-E126</f>
        <v>0</v>
      </c>
      <c r="G126" s="14">
        <v>159562500</v>
      </c>
      <c r="H126" s="14">
        <v>159562500</v>
      </c>
      <c r="I126" s="14">
        <f>G126-H126</f>
        <v>0</v>
      </c>
      <c r="J126" s="14">
        <v>159562500</v>
      </c>
      <c r="K126" s="14">
        <v>159562500</v>
      </c>
      <c r="L126" s="14">
        <f>J126-K126</f>
        <v>0</v>
      </c>
      <c r="M126" s="174">
        <f t="shared" si="212"/>
        <v>478687500</v>
      </c>
      <c r="N126" s="174">
        <f t="shared" si="212"/>
        <v>478687500</v>
      </c>
      <c r="O126" s="14">
        <v>159562500</v>
      </c>
      <c r="P126" s="14">
        <v>159562500</v>
      </c>
      <c r="Q126" s="14">
        <f>O126-P126</f>
        <v>0</v>
      </c>
      <c r="R126" s="14">
        <v>159562500</v>
      </c>
      <c r="S126" s="14">
        <v>159562500</v>
      </c>
      <c r="T126" s="14">
        <f>R126-S126</f>
        <v>0</v>
      </c>
      <c r="U126" s="14">
        <v>159562500</v>
      </c>
      <c r="V126" s="14">
        <v>159562500</v>
      </c>
      <c r="W126" s="14">
        <f>U126-V126</f>
        <v>0</v>
      </c>
      <c r="X126" s="174">
        <f t="shared" si="213"/>
        <v>478687500</v>
      </c>
      <c r="Y126" s="174">
        <f t="shared" si="213"/>
        <v>478687500</v>
      </c>
      <c r="Z126" s="14">
        <v>159562500</v>
      </c>
      <c r="AA126" s="14"/>
      <c r="AB126" s="14">
        <f>Z126-AA126</f>
        <v>159562500</v>
      </c>
      <c r="AC126" s="14">
        <v>159562500</v>
      </c>
      <c r="AD126" s="14"/>
      <c r="AE126" s="14">
        <f>AC126-AD126</f>
        <v>159562500</v>
      </c>
      <c r="AF126" s="14">
        <v>159562500</v>
      </c>
      <c r="AG126" s="14"/>
      <c r="AH126" s="14">
        <f>AF126-AG126</f>
        <v>159562500</v>
      </c>
      <c r="AI126" s="174">
        <f>AF126+AC126+Z126</f>
        <v>478687500</v>
      </c>
      <c r="AJ126" s="174">
        <f>AA126+AD126+AG126</f>
        <v>0</v>
      </c>
      <c r="AK126" s="14">
        <v>159562500</v>
      </c>
      <c r="AL126" s="14"/>
      <c r="AM126" s="14">
        <f>AK126-AL126</f>
        <v>159562500</v>
      </c>
      <c r="AN126" s="14">
        <v>159562500</v>
      </c>
      <c r="AO126" s="14"/>
      <c r="AP126" s="14">
        <f>AN126-AO126</f>
        <v>159562500</v>
      </c>
      <c r="AQ126" s="14">
        <v>159562500</v>
      </c>
      <c r="AR126" s="14"/>
      <c r="AS126" s="14">
        <f>AQ126-AR126</f>
        <v>159562500</v>
      </c>
      <c r="AT126" s="174"/>
      <c r="AU126" s="174">
        <f>AL126+AO126+AR126</f>
        <v>0</v>
      </c>
      <c r="AV126" s="38">
        <f t="shared" si="214"/>
        <v>1914750000</v>
      </c>
      <c r="AW126" s="14">
        <f t="shared" si="214"/>
        <v>957375000</v>
      </c>
      <c r="AX126" s="178">
        <f>(AV126-(M126+X126))+AW126</f>
        <v>1914750000</v>
      </c>
      <c r="AY126" s="16">
        <f>AW126*1.1</f>
        <v>1053112500.0000001</v>
      </c>
      <c r="AZ126" s="16">
        <f t="shared" si="215"/>
        <v>1158423750.0000002</v>
      </c>
      <c r="BA126" s="16">
        <f t="shared" si="215"/>
        <v>1274266125.0000005</v>
      </c>
      <c r="BB126" s="16">
        <f t="shared" si="215"/>
        <v>1401692737.5000007</v>
      </c>
    </row>
    <row r="127" spans="1:54" s="62" customFormat="1" ht="16.899999999999999" customHeight="1" x14ac:dyDescent="0.2">
      <c r="A127" s="10"/>
      <c r="B127" s="11" t="s">
        <v>166</v>
      </c>
      <c r="C127" s="79" t="s">
        <v>169</v>
      </c>
      <c r="D127" s="80">
        <v>13500000</v>
      </c>
      <c r="E127" s="14">
        <v>13590000</v>
      </c>
      <c r="F127" s="14">
        <f>D127-E127</f>
        <v>-90000</v>
      </c>
      <c r="G127" s="80">
        <v>13500000</v>
      </c>
      <c r="H127" s="14">
        <v>13543500</v>
      </c>
      <c r="I127" s="14">
        <f>G127-H127</f>
        <v>-43500</v>
      </c>
      <c r="J127" s="80">
        <v>13500000</v>
      </c>
      <c r="K127" s="14">
        <v>13746000</v>
      </c>
      <c r="L127" s="14">
        <f>J127-K127</f>
        <v>-246000</v>
      </c>
      <c r="M127" s="174">
        <f t="shared" si="212"/>
        <v>40500000</v>
      </c>
      <c r="N127" s="174">
        <f t="shared" si="212"/>
        <v>40879500</v>
      </c>
      <c r="O127" s="80">
        <v>13500000</v>
      </c>
      <c r="P127" s="14">
        <v>13500000</v>
      </c>
      <c r="Q127" s="14">
        <f>O127-P127</f>
        <v>0</v>
      </c>
      <c r="R127" s="80">
        <v>13500000</v>
      </c>
      <c r="S127" s="14">
        <v>13500000</v>
      </c>
      <c r="T127" s="14">
        <f>R127-S127</f>
        <v>0</v>
      </c>
      <c r="U127" s="80">
        <v>13500000</v>
      </c>
      <c r="V127" s="14">
        <v>13500000</v>
      </c>
      <c r="W127" s="14">
        <f>U127-V127</f>
        <v>0</v>
      </c>
      <c r="X127" s="174">
        <f t="shared" si="213"/>
        <v>40500000</v>
      </c>
      <c r="Y127" s="174">
        <f t="shared" si="213"/>
        <v>40500000</v>
      </c>
      <c r="Z127" s="80">
        <v>13500000</v>
      </c>
      <c r="AA127" s="14"/>
      <c r="AB127" s="14">
        <f>Z127-AA127</f>
        <v>13500000</v>
      </c>
      <c r="AC127" s="80">
        <v>13500000</v>
      </c>
      <c r="AD127" s="14"/>
      <c r="AE127" s="14">
        <f>AC127-AD127</f>
        <v>13500000</v>
      </c>
      <c r="AF127" s="80">
        <v>13500000</v>
      </c>
      <c r="AG127" s="14"/>
      <c r="AH127" s="14">
        <f>AF127-AG127</f>
        <v>13500000</v>
      </c>
      <c r="AI127" s="174">
        <f>AF127+AC127+Z127</f>
        <v>40500000</v>
      </c>
      <c r="AJ127" s="174">
        <f>AA127+AD127+AG127</f>
        <v>0</v>
      </c>
      <c r="AK127" s="80">
        <v>13500000</v>
      </c>
      <c r="AL127" s="14"/>
      <c r="AM127" s="14">
        <f>AK127-AL127</f>
        <v>13500000</v>
      </c>
      <c r="AN127" s="80">
        <v>13500000</v>
      </c>
      <c r="AO127" s="14"/>
      <c r="AP127" s="14">
        <f>AN127-AO127</f>
        <v>13500000</v>
      </c>
      <c r="AQ127" s="80">
        <v>13500000</v>
      </c>
      <c r="AR127" s="14"/>
      <c r="AS127" s="14">
        <f>AQ127-AR127</f>
        <v>13500000</v>
      </c>
      <c r="AT127" s="174"/>
      <c r="AU127" s="174">
        <f>AL127+AO127+AR127</f>
        <v>0</v>
      </c>
      <c r="AV127" s="38">
        <f t="shared" si="214"/>
        <v>162000000</v>
      </c>
      <c r="AW127" s="14">
        <f t="shared" si="214"/>
        <v>81379500</v>
      </c>
      <c r="AX127" s="178">
        <f>(AV127-(M127+X127))+AW127</f>
        <v>162379500</v>
      </c>
      <c r="AY127" s="16">
        <f>AW127*1.1</f>
        <v>89517450</v>
      </c>
      <c r="AZ127" s="16">
        <f t="shared" si="215"/>
        <v>98469195.000000015</v>
      </c>
      <c r="BA127" s="16">
        <f t="shared" si="215"/>
        <v>108316114.50000003</v>
      </c>
      <c r="BB127" s="16">
        <f t="shared" si="215"/>
        <v>119147725.95000005</v>
      </c>
    </row>
    <row r="128" spans="1:54" s="2" customFormat="1" ht="16.899999999999999" customHeight="1" x14ac:dyDescent="0.2">
      <c r="A128" s="58"/>
      <c r="B128" s="81"/>
      <c r="C128" s="82" t="s">
        <v>170</v>
      </c>
      <c r="D128" s="83">
        <f t="shared" ref="D128:BB128" si="216">SUM(D125:D127)</f>
        <v>177062500</v>
      </c>
      <c r="E128" s="83">
        <f t="shared" si="216"/>
        <v>177152500</v>
      </c>
      <c r="F128" s="83">
        <f t="shared" si="216"/>
        <v>-90000</v>
      </c>
      <c r="G128" s="83">
        <f t="shared" si="216"/>
        <v>177062500</v>
      </c>
      <c r="H128" s="83">
        <f t="shared" si="216"/>
        <v>177106000</v>
      </c>
      <c r="I128" s="83">
        <f t="shared" si="216"/>
        <v>-43500</v>
      </c>
      <c r="J128" s="83">
        <f t="shared" si="216"/>
        <v>177062500</v>
      </c>
      <c r="K128" s="83">
        <f t="shared" si="216"/>
        <v>177308500</v>
      </c>
      <c r="L128" s="83">
        <f t="shared" si="216"/>
        <v>-246000</v>
      </c>
      <c r="M128" s="83">
        <f t="shared" si="216"/>
        <v>531187500</v>
      </c>
      <c r="N128" s="83">
        <f t="shared" si="216"/>
        <v>531567000</v>
      </c>
      <c r="O128" s="83">
        <f t="shared" si="216"/>
        <v>177062500</v>
      </c>
      <c r="P128" s="83">
        <f t="shared" si="216"/>
        <v>177062500</v>
      </c>
      <c r="Q128" s="83">
        <f t="shared" si="216"/>
        <v>0</v>
      </c>
      <c r="R128" s="83">
        <f t="shared" si="216"/>
        <v>177062500</v>
      </c>
      <c r="S128" s="83">
        <f t="shared" si="216"/>
        <v>177062500</v>
      </c>
      <c r="T128" s="83">
        <f t="shared" si="216"/>
        <v>0</v>
      </c>
      <c r="U128" s="83">
        <f t="shared" si="216"/>
        <v>177062500</v>
      </c>
      <c r="V128" s="83">
        <f t="shared" si="216"/>
        <v>177062500</v>
      </c>
      <c r="W128" s="83">
        <f t="shared" si="216"/>
        <v>0</v>
      </c>
      <c r="X128" s="83">
        <f t="shared" si="216"/>
        <v>531187500</v>
      </c>
      <c r="Y128" s="83">
        <f t="shared" si="216"/>
        <v>531187500</v>
      </c>
      <c r="Z128" s="83">
        <f t="shared" si="216"/>
        <v>177062500</v>
      </c>
      <c r="AA128" s="83">
        <f t="shared" si="216"/>
        <v>0</v>
      </c>
      <c r="AB128" s="83">
        <f t="shared" si="216"/>
        <v>177062500</v>
      </c>
      <c r="AC128" s="83">
        <f t="shared" si="216"/>
        <v>177062500</v>
      </c>
      <c r="AD128" s="83">
        <f t="shared" si="216"/>
        <v>0</v>
      </c>
      <c r="AE128" s="83">
        <f t="shared" si="216"/>
        <v>177062500</v>
      </c>
      <c r="AF128" s="83">
        <f t="shared" si="216"/>
        <v>177062500</v>
      </c>
      <c r="AG128" s="83">
        <f t="shared" si="216"/>
        <v>0</v>
      </c>
      <c r="AH128" s="83">
        <f t="shared" si="216"/>
        <v>177062500</v>
      </c>
      <c r="AI128" s="83">
        <f t="shared" si="216"/>
        <v>531187500</v>
      </c>
      <c r="AJ128" s="83">
        <f t="shared" si="216"/>
        <v>0</v>
      </c>
      <c r="AK128" s="83">
        <f t="shared" si="216"/>
        <v>177062500</v>
      </c>
      <c r="AL128" s="83">
        <f t="shared" si="216"/>
        <v>0</v>
      </c>
      <c r="AM128" s="83">
        <f t="shared" si="216"/>
        <v>177062500</v>
      </c>
      <c r="AN128" s="83">
        <f t="shared" si="216"/>
        <v>177062500</v>
      </c>
      <c r="AO128" s="83">
        <f t="shared" si="216"/>
        <v>0</v>
      </c>
      <c r="AP128" s="83">
        <f t="shared" si="216"/>
        <v>177062500</v>
      </c>
      <c r="AQ128" s="83">
        <f t="shared" si="216"/>
        <v>177062500</v>
      </c>
      <c r="AR128" s="83">
        <f t="shared" si="216"/>
        <v>0</v>
      </c>
      <c r="AS128" s="83">
        <f t="shared" si="216"/>
        <v>177062500</v>
      </c>
      <c r="AT128" s="83">
        <f t="shared" si="216"/>
        <v>0</v>
      </c>
      <c r="AU128" s="83">
        <f t="shared" si="216"/>
        <v>0</v>
      </c>
      <c r="AV128" s="83">
        <f t="shared" si="216"/>
        <v>2124750000</v>
      </c>
      <c r="AW128" s="83">
        <f t="shared" si="216"/>
        <v>1062754500</v>
      </c>
      <c r="AX128" s="83">
        <f t="shared" si="216"/>
        <v>2125129500</v>
      </c>
      <c r="AY128" s="83">
        <f t="shared" si="216"/>
        <v>1169029950.0000002</v>
      </c>
      <c r="AZ128" s="83">
        <f t="shared" si="216"/>
        <v>1285932945.0000002</v>
      </c>
      <c r="BA128" s="83">
        <f t="shared" si="216"/>
        <v>1414526239.5000005</v>
      </c>
      <c r="BB128" s="83">
        <f t="shared" si="216"/>
        <v>1555978863.4500008</v>
      </c>
    </row>
    <row r="129" spans="1:54" ht="16.899999999999999" customHeight="1" x14ac:dyDescent="0.2">
      <c r="A129" s="10"/>
      <c r="B129" s="28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174">
        <f>D129+G129+J129</f>
        <v>0</v>
      </c>
      <c r="N129" s="174">
        <f>E129+H129+K129</f>
        <v>0</v>
      </c>
      <c r="O129" s="30"/>
      <c r="P129" s="30"/>
      <c r="Q129" s="30"/>
      <c r="R129" s="30"/>
      <c r="S129" s="30"/>
      <c r="T129" s="30"/>
      <c r="U129" s="30"/>
      <c r="V129" s="30"/>
      <c r="W129" s="30"/>
      <c r="X129" s="174">
        <f>O129+R129+U129</f>
        <v>0</v>
      </c>
      <c r="Y129" s="174">
        <f>P129+S129+V129</f>
        <v>0</v>
      </c>
      <c r="Z129" s="30"/>
      <c r="AA129" s="30"/>
      <c r="AB129" s="30"/>
      <c r="AC129" s="30"/>
      <c r="AD129" s="30"/>
      <c r="AE129" s="30"/>
      <c r="AF129" s="30"/>
      <c r="AG129" s="30"/>
      <c r="AH129" s="30"/>
      <c r="AI129" s="174">
        <f>Z129+AC129+AF129</f>
        <v>0</v>
      </c>
      <c r="AJ129" s="174">
        <f>AA129+AD129+AG129</f>
        <v>0</v>
      </c>
      <c r="AK129" s="30"/>
      <c r="AL129" s="30"/>
      <c r="AM129" s="30"/>
      <c r="AN129" s="30"/>
      <c r="AO129" s="30"/>
      <c r="AP129" s="30"/>
      <c r="AQ129" s="30"/>
      <c r="AR129" s="30"/>
      <c r="AS129" s="30"/>
      <c r="AT129" s="174">
        <f>AK129+AN129+AQ129</f>
        <v>0</v>
      </c>
      <c r="AU129" s="174">
        <f>AL129+AO129+AR129</f>
        <v>0</v>
      </c>
      <c r="AV129" s="30"/>
      <c r="AW129" s="14"/>
      <c r="AX129" s="178">
        <f>(AV129-M129-X129-AI129-AT129)+N129+Y129+AJ129+AU129</f>
        <v>0</v>
      </c>
      <c r="AY129" s="31"/>
      <c r="AZ129" s="31"/>
      <c r="BA129" s="31"/>
      <c r="BB129" s="31"/>
    </row>
    <row r="130" spans="1:54" s="2" customFormat="1" ht="16.899999999999999" customHeight="1" x14ac:dyDescent="0.2">
      <c r="A130" s="32"/>
      <c r="B130" s="33"/>
      <c r="C130" s="34" t="s">
        <v>24</v>
      </c>
      <c r="D130" s="35">
        <f t="shared" ref="D130:BB130" si="217">D123-D128</f>
        <v>2072333111.0946665</v>
      </c>
      <c r="E130" s="35">
        <f t="shared" si="217"/>
        <v>1343603084</v>
      </c>
      <c r="F130" s="35">
        <f t="shared" si="217"/>
        <v>728730027.0946666</v>
      </c>
      <c r="G130" s="35">
        <f t="shared" si="217"/>
        <v>1566354187.0946667</v>
      </c>
      <c r="H130" s="35">
        <f t="shared" si="217"/>
        <v>1034073587</v>
      </c>
      <c r="I130" s="35">
        <f t="shared" si="217"/>
        <v>532280600.09466672</v>
      </c>
      <c r="J130" s="35">
        <f t="shared" si="217"/>
        <v>1302723903.0946667</v>
      </c>
      <c r="K130" s="35">
        <f t="shared" si="217"/>
        <v>744616667</v>
      </c>
      <c r="L130" s="35">
        <f t="shared" si="217"/>
        <v>558107236.0946666</v>
      </c>
      <c r="M130" s="35">
        <f t="shared" si="217"/>
        <v>4941411201.2840004</v>
      </c>
      <c r="N130" s="35">
        <f t="shared" si="217"/>
        <v>3122293338</v>
      </c>
      <c r="O130" s="35">
        <f t="shared" si="217"/>
        <v>1585105262.266027</v>
      </c>
      <c r="P130" s="35">
        <f t="shared" si="217"/>
        <v>844714603</v>
      </c>
      <c r="Q130" s="35">
        <f t="shared" si="217"/>
        <v>740390659.26602662</v>
      </c>
      <c r="R130" s="35">
        <f t="shared" si="217"/>
        <v>1524932296.2660267</v>
      </c>
      <c r="S130" s="35">
        <f t="shared" si="217"/>
        <v>817499070</v>
      </c>
      <c r="T130" s="35">
        <f t="shared" si="217"/>
        <v>707433226.26602674</v>
      </c>
      <c r="U130" s="35">
        <f t="shared" si="217"/>
        <v>1419103262.2660267</v>
      </c>
      <c r="V130" s="35">
        <f t="shared" si="217"/>
        <v>926647819</v>
      </c>
      <c r="W130" s="35">
        <f t="shared" si="217"/>
        <v>492455443.26602679</v>
      </c>
      <c r="X130" s="35">
        <f t="shared" si="217"/>
        <v>4529140820.7980804</v>
      </c>
      <c r="Y130" s="35">
        <f t="shared" si="217"/>
        <v>2588861492</v>
      </c>
      <c r="Z130" s="35">
        <f t="shared" si="217"/>
        <v>1554405262.266027</v>
      </c>
      <c r="AA130" s="35">
        <f t="shared" si="217"/>
        <v>952147306.83000004</v>
      </c>
      <c r="AB130" s="35">
        <f t="shared" si="217"/>
        <v>602257955.43602657</v>
      </c>
      <c r="AC130" s="35">
        <f t="shared" si="217"/>
        <v>2560923982.5060267</v>
      </c>
      <c r="AD130" s="35">
        <f t="shared" si="217"/>
        <v>1354651834.7</v>
      </c>
      <c r="AE130" s="35">
        <f t="shared" si="217"/>
        <v>1206272147.8060269</v>
      </c>
      <c r="AF130" s="35">
        <f t="shared" si="217"/>
        <v>1281246262.2660267</v>
      </c>
      <c r="AG130" s="35">
        <f t="shared" si="217"/>
        <v>1199753988.78</v>
      </c>
      <c r="AH130" s="35">
        <f t="shared" si="217"/>
        <v>81492273.486026764</v>
      </c>
      <c r="AI130" s="35">
        <f t="shared" si="217"/>
        <v>5373670507.0380802</v>
      </c>
      <c r="AJ130" s="35">
        <f t="shared" si="217"/>
        <v>3506553130.3099995</v>
      </c>
      <c r="AK130" s="35">
        <f t="shared" si="217"/>
        <v>1516575262.2660267</v>
      </c>
      <c r="AL130" s="35">
        <f t="shared" si="217"/>
        <v>0</v>
      </c>
      <c r="AM130" s="35">
        <f t="shared" si="217"/>
        <v>1516575262.2660267</v>
      </c>
      <c r="AN130" s="35">
        <f t="shared" si="217"/>
        <v>1527756296.2660267</v>
      </c>
      <c r="AO130" s="35">
        <f t="shared" si="217"/>
        <v>0</v>
      </c>
      <c r="AP130" s="35">
        <f t="shared" si="217"/>
        <v>1527756296.2660267</v>
      </c>
      <c r="AQ130" s="35">
        <f t="shared" si="217"/>
        <v>1998939423.5060267</v>
      </c>
      <c r="AR130" s="35">
        <f t="shared" si="217"/>
        <v>0</v>
      </c>
      <c r="AS130" s="35">
        <f t="shared" si="217"/>
        <v>1998939423.5060267</v>
      </c>
      <c r="AT130" s="35">
        <f t="shared" si="217"/>
        <v>0</v>
      </c>
      <c r="AU130" s="35">
        <f t="shared" si="217"/>
        <v>0</v>
      </c>
      <c r="AV130" s="35">
        <f t="shared" si="217"/>
        <v>19910398511.158241</v>
      </c>
      <c r="AW130" s="35">
        <f t="shared" si="217"/>
        <v>9217707960.3100014</v>
      </c>
      <c r="AX130" s="35">
        <f t="shared" si="217"/>
        <v>19657554449.386162</v>
      </c>
      <c r="AY130" s="35">
        <f t="shared" si="217"/>
        <v>10374398399.541</v>
      </c>
      <c r="AZ130" s="35">
        <f t="shared" si="217"/>
        <v>11411838239.495104</v>
      </c>
      <c r="BA130" s="35">
        <f t="shared" si="217"/>
        <v>12553022063.444613</v>
      </c>
      <c r="BB130" s="35">
        <f t="shared" si="217"/>
        <v>13808324269.789072</v>
      </c>
    </row>
    <row r="131" spans="1:54" x14ac:dyDescent="0.2">
      <c r="M131" s="174">
        <f>D131+G131+J131</f>
        <v>0</v>
      </c>
      <c r="N131" s="174">
        <f>E131+H131+K131</f>
        <v>0</v>
      </c>
      <c r="X131" s="174">
        <f>O131+R131+U131</f>
        <v>0</v>
      </c>
      <c r="Y131" s="174">
        <f>P131+S131+V131</f>
        <v>0</v>
      </c>
      <c r="AI131" s="174">
        <f>Z131+AC131+AF131</f>
        <v>0</v>
      </c>
      <c r="AJ131" s="174">
        <f>AA131+AD131+AG131</f>
        <v>0</v>
      </c>
      <c r="AT131" s="174">
        <f>AK131+AN131+AQ131</f>
        <v>0</v>
      </c>
      <c r="AU131" s="174">
        <f>AL131+AO131+AR131</f>
        <v>0</v>
      </c>
      <c r="AX131" s="178">
        <f>(AV131-M131-X131-AI131-AT131)+N131+Y131+AJ131+AU131</f>
        <v>0</v>
      </c>
    </row>
    <row r="132" spans="1:54" ht="16.899999999999999" customHeight="1" x14ac:dyDescent="0.2">
      <c r="A132" s="84">
        <v>23</v>
      </c>
      <c r="B132" s="85" t="s">
        <v>171</v>
      </c>
      <c r="C132" s="86" t="s">
        <v>172</v>
      </c>
      <c r="D132" s="87">
        <v>3400000</v>
      </c>
      <c r="E132" s="191">
        <v>3381232</v>
      </c>
      <c r="F132" s="87">
        <f>D132-E132</f>
        <v>18768</v>
      </c>
      <c r="G132" s="87">
        <v>3400000</v>
      </c>
      <c r="H132" s="191">
        <v>3163088</v>
      </c>
      <c r="I132" s="87">
        <f>G132-H132</f>
        <v>236912</v>
      </c>
      <c r="J132" s="87">
        <v>3400000</v>
      </c>
      <c r="K132" s="191">
        <v>3381232</v>
      </c>
      <c r="L132" s="87">
        <f>J132-K132</f>
        <v>18768</v>
      </c>
      <c r="M132" s="192">
        <f>D132+G132+J132</f>
        <v>10200000</v>
      </c>
      <c r="N132" s="192">
        <f>E132+H132+K132</f>
        <v>9925552</v>
      </c>
      <c r="O132" s="87">
        <v>3400000</v>
      </c>
      <c r="P132" s="191">
        <v>3272160</v>
      </c>
      <c r="Q132" s="87">
        <f>O132-P132</f>
        <v>127840</v>
      </c>
      <c r="R132" s="87">
        <v>3400000</v>
      </c>
      <c r="S132" s="193">
        <v>3381232</v>
      </c>
      <c r="T132" s="87">
        <f>R132-S132</f>
        <v>18768</v>
      </c>
      <c r="U132" s="87">
        <v>3400000</v>
      </c>
      <c r="V132" s="191">
        <v>3272160</v>
      </c>
      <c r="W132" s="87">
        <f>U132-V132</f>
        <v>127840</v>
      </c>
      <c r="X132" s="192">
        <f>O132+R132+U132</f>
        <v>10200000</v>
      </c>
      <c r="Y132" s="192">
        <f>P132+S132+V132</f>
        <v>9925552</v>
      </c>
      <c r="Z132" s="87">
        <v>3400000</v>
      </c>
      <c r="AA132" s="191"/>
      <c r="AB132" s="87">
        <f>Z132-AA132</f>
        <v>3400000</v>
      </c>
      <c r="AC132" s="87">
        <v>3400000</v>
      </c>
      <c r="AD132" s="191"/>
      <c r="AE132" s="87">
        <f>AC132-AD132</f>
        <v>3400000</v>
      </c>
      <c r="AF132" s="87">
        <v>3400000</v>
      </c>
      <c r="AG132" s="191"/>
      <c r="AH132" s="87">
        <f>AF132-AG132</f>
        <v>3400000</v>
      </c>
      <c r="AI132" s="192"/>
      <c r="AJ132" s="192">
        <f>AA132+AD132+AG132</f>
        <v>0</v>
      </c>
      <c r="AK132" s="87">
        <v>3400000</v>
      </c>
      <c r="AL132" s="191"/>
      <c r="AM132" s="87">
        <f>AK132-AL132</f>
        <v>3400000</v>
      </c>
      <c r="AN132" s="87">
        <v>3400000</v>
      </c>
      <c r="AO132" s="191"/>
      <c r="AP132" s="87">
        <f>AN132-AO132</f>
        <v>3400000</v>
      </c>
      <c r="AQ132" s="87">
        <v>3400000</v>
      </c>
      <c r="AR132" s="191"/>
      <c r="AS132" s="87">
        <f>AQ132-AR132</f>
        <v>3400000</v>
      </c>
      <c r="AT132" s="192"/>
      <c r="AU132" s="192"/>
      <c r="AV132" s="88">
        <f>AQ132+AN132+AK132+AF132+AC132+Z132+U132+R132+O132+J132+G132+D132</f>
        <v>40800000</v>
      </c>
      <c r="AW132" s="88">
        <f>AR132+AO132+AL132+AG132+AD132+AA132+V132+S132+P132+K132+H132+E132</f>
        <v>19851104</v>
      </c>
      <c r="AX132" s="178">
        <f>(AV132-(M132+X132))+AW132</f>
        <v>40251104</v>
      </c>
      <c r="AY132" s="16">
        <f>AW132*1.1</f>
        <v>21836214.400000002</v>
      </c>
      <c r="AZ132" s="16">
        <f>AY132*1.1</f>
        <v>24019835.840000004</v>
      </c>
      <c r="BA132" s="16">
        <f>AZ132*1.1</f>
        <v>26421819.424000006</v>
      </c>
      <c r="BB132" s="16">
        <f>BA132*1.1</f>
        <v>29064001.366400011</v>
      </c>
    </row>
    <row r="134" spans="1:54" s="89" customFormat="1" x14ac:dyDescent="0.2">
      <c r="D134" s="90" t="s">
        <v>173</v>
      </c>
      <c r="E134" s="90"/>
      <c r="F134" s="90"/>
      <c r="G134" s="90" t="s">
        <v>174</v>
      </c>
      <c r="H134" s="90"/>
      <c r="I134" s="90"/>
      <c r="J134" s="90" t="s">
        <v>175</v>
      </c>
      <c r="K134" s="90"/>
      <c r="L134" s="90"/>
      <c r="M134" s="194" t="s">
        <v>309</v>
      </c>
      <c r="N134" s="194" t="s">
        <v>300</v>
      </c>
      <c r="O134" s="91" t="s">
        <v>176</v>
      </c>
      <c r="P134" s="91"/>
      <c r="Q134" s="91"/>
      <c r="R134" s="91" t="s">
        <v>177</v>
      </c>
      <c r="S134" s="91"/>
      <c r="T134" s="91"/>
      <c r="U134" s="91" t="s">
        <v>178</v>
      </c>
      <c r="V134" s="91"/>
      <c r="W134" s="91"/>
      <c r="X134" s="194"/>
      <c r="Y134" s="194"/>
      <c r="Z134" s="91" t="s">
        <v>179</v>
      </c>
      <c r="AA134" s="91"/>
      <c r="AB134" s="91"/>
      <c r="AC134" s="91" t="s">
        <v>180</v>
      </c>
      <c r="AD134" s="91"/>
      <c r="AE134" s="91"/>
      <c r="AF134" s="91" t="s">
        <v>181</v>
      </c>
      <c r="AG134" s="91"/>
      <c r="AH134" s="91"/>
      <c r="AI134" s="91"/>
      <c r="AJ134" s="91"/>
      <c r="AK134" s="91" t="s">
        <v>182</v>
      </c>
      <c r="AL134" s="91"/>
      <c r="AM134" s="91"/>
      <c r="AN134" s="91" t="s">
        <v>183</v>
      </c>
      <c r="AO134" s="91"/>
      <c r="AP134" s="91"/>
      <c r="AQ134" s="91" t="s">
        <v>184</v>
      </c>
      <c r="AR134" s="91"/>
      <c r="AS134" s="91"/>
      <c r="AT134" s="91"/>
      <c r="AU134" s="91"/>
      <c r="AV134" s="91" t="s">
        <v>18</v>
      </c>
      <c r="AW134" s="90" t="s">
        <v>300</v>
      </c>
      <c r="AX134" s="90" t="s">
        <v>19</v>
      </c>
      <c r="AY134" s="90"/>
      <c r="AZ134" s="92"/>
      <c r="BA134" s="92"/>
      <c r="BB134" s="92"/>
    </row>
    <row r="135" spans="1:54" x14ac:dyDescent="0.2">
      <c r="B135" s="89"/>
      <c r="C135" s="89"/>
      <c r="D135" s="91" t="s">
        <v>8</v>
      </c>
      <c r="E135" s="91" t="s">
        <v>300</v>
      </c>
      <c r="F135" s="91" t="s">
        <v>310</v>
      </c>
      <c r="G135" s="91" t="s">
        <v>8</v>
      </c>
      <c r="H135" s="91" t="s">
        <v>300</v>
      </c>
      <c r="I135" s="91" t="s">
        <v>310</v>
      </c>
      <c r="J135" s="91" t="s">
        <v>8</v>
      </c>
      <c r="K135" s="91" t="s">
        <v>300</v>
      </c>
      <c r="L135" s="91" t="s">
        <v>310</v>
      </c>
      <c r="M135" s="194" t="s">
        <v>304</v>
      </c>
      <c r="N135" s="194" t="s">
        <v>304</v>
      </c>
      <c r="O135" s="91" t="s">
        <v>8</v>
      </c>
      <c r="P135" s="91" t="s">
        <v>300</v>
      </c>
      <c r="Q135" s="91" t="s">
        <v>310</v>
      </c>
      <c r="R135" s="91" t="s">
        <v>8</v>
      </c>
      <c r="S135" s="91" t="s">
        <v>300</v>
      </c>
      <c r="T135" s="91" t="s">
        <v>310</v>
      </c>
      <c r="U135" s="91" t="s">
        <v>8</v>
      </c>
      <c r="V135" s="91" t="s">
        <v>300</v>
      </c>
      <c r="W135" s="91" t="s">
        <v>310</v>
      </c>
      <c r="X135" s="194"/>
      <c r="Y135" s="194"/>
      <c r="Z135" s="91" t="s">
        <v>8</v>
      </c>
      <c r="AA135" s="91" t="s">
        <v>300</v>
      </c>
      <c r="AB135" s="91" t="s">
        <v>310</v>
      </c>
      <c r="AC135" s="91" t="s">
        <v>8</v>
      </c>
      <c r="AD135" s="91" t="s">
        <v>300</v>
      </c>
      <c r="AE135" s="91" t="s">
        <v>310</v>
      </c>
      <c r="AF135" s="91" t="s">
        <v>8</v>
      </c>
      <c r="AG135" s="91" t="s">
        <v>300</v>
      </c>
      <c r="AH135" s="91" t="s">
        <v>310</v>
      </c>
      <c r="AI135" s="91"/>
      <c r="AJ135" s="91"/>
      <c r="AK135" s="91" t="s">
        <v>8</v>
      </c>
      <c r="AL135" s="91" t="s">
        <v>300</v>
      </c>
      <c r="AM135" s="91" t="s">
        <v>310</v>
      </c>
      <c r="AN135" s="91" t="s">
        <v>8</v>
      </c>
      <c r="AO135" s="91" t="s">
        <v>300</v>
      </c>
      <c r="AP135" s="91" t="s">
        <v>310</v>
      </c>
      <c r="AQ135" s="91" t="s">
        <v>8</v>
      </c>
      <c r="AR135" s="91" t="s">
        <v>300</v>
      </c>
      <c r="AS135" s="91" t="s">
        <v>310</v>
      </c>
      <c r="AT135" s="91"/>
      <c r="AU135" s="91"/>
      <c r="AV135" s="91" t="s">
        <v>8</v>
      </c>
      <c r="AW135" s="91">
        <v>2012</v>
      </c>
      <c r="AX135" s="91">
        <v>2012</v>
      </c>
      <c r="AY135" s="91" t="s">
        <v>310</v>
      </c>
    </row>
    <row r="136" spans="1:54" s="70" customFormat="1" ht="15.75" customHeight="1" x14ac:dyDescent="0.2">
      <c r="A136" s="70">
        <v>1</v>
      </c>
      <c r="B136" s="70" t="s">
        <v>185</v>
      </c>
      <c r="C136" s="15"/>
      <c r="D136" s="15">
        <f t="shared" ref="D136:L136" si="218">D41+D42+D43+D74+D75+D80</f>
        <v>45250000</v>
      </c>
      <c r="E136" s="15">
        <f t="shared" si="218"/>
        <v>15696160</v>
      </c>
      <c r="F136" s="15">
        <f t="shared" si="218"/>
        <v>29553840</v>
      </c>
      <c r="G136" s="15">
        <f t="shared" si="218"/>
        <v>7250000</v>
      </c>
      <c r="H136" s="15">
        <f t="shared" si="218"/>
        <v>0</v>
      </c>
      <c r="I136" s="15">
        <f t="shared" si="218"/>
        <v>7250000</v>
      </c>
      <c r="J136" s="15">
        <f t="shared" si="218"/>
        <v>1250000</v>
      </c>
      <c r="K136" s="15">
        <f t="shared" si="218"/>
        <v>0</v>
      </c>
      <c r="L136" s="15">
        <f t="shared" si="218"/>
        <v>1250000</v>
      </c>
      <c r="M136" s="195">
        <f t="shared" ref="M136:N177" si="219">D136+G136+J136</f>
        <v>53750000</v>
      </c>
      <c r="N136" s="195">
        <f t="shared" si="219"/>
        <v>15696160</v>
      </c>
      <c r="O136" s="15">
        <f t="shared" ref="O136:W136" si="220">O41+O42+O43+O74+O75+O80</f>
        <v>57850000</v>
      </c>
      <c r="P136" s="15">
        <f t="shared" si="220"/>
        <v>7500000</v>
      </c>
      <c r="Q136" s="15">
        <f t="shared" si="220"/>
        <v>50350000</v>
      </c>
      <c r="R136" s="15">
        <f t="shared" si="220"/>
        <v>1250000</v>
      </c>
      <c r="S136" s="15">
        <f t="shared" si="220"/>
        <v>4200000</v>
      </c>
      <c r="T136" s="15">
        <f t="shared" si="220"/>
        <v>-2950000</v>
      </c>
      <c r="U136" s="15">
        <f t="shared" si="220"/>
        <v>51250000</v>
      </c>
      <c r="V136" s="15">
        <f t="shared" si="220"/>
        <v>0</v>
      </c>
      <c r="W136" s="15">
        <f t="shared" si="220"/>
        <v>51250000</v>
      </c>
      <c r="X136" s="196">
        <f t="shared" ref="X136:Y177" si="221">O136+R136+U136</f>
        <v>110350000</v>
      </c>
      <c r="Y136" s="196">
        <f t="shared" si="221"/>
        <v>11700000</v>
      </c>
      <c r="Z136" s="15">
        <f t="shared" ref="Z136:AH136" si="222">Z41+Z42+Z43+Z74+Z75+Z80</f>
        <v>7250000</v>
      </c>
      <c r="AA136" s="15">
        <f t="shared" si="222"/>
        <v>0</v>
      </c>
      <c r="AB136" s="15">
        <f t="shared" si="222"/>
        <v>7250000</v>
      </c>
      <c r="AC136" s="15">
        <f t="shared" si="222"/>
        <v>1250000</v>
      </c>
      <c r="AD136" s="15">
        <f t="shared" si="222"/>
        <v>0</v>
      </c>
      <c r="AE136" s="15">
        <f t="shared" si="222"/>
        <v>1250000</v>
      </c>
      <c r="AF136" s="15">
        <f t="shared" si="222"/>
        <v>1250000</v>
      </c>
      <c r="AG136" s="15">
        <f>AG41+AG42+AG43+AG74+AG75+AG80</f>
        <v>0</v>
      </c>
      <c r="AH136" s="15">
        <f t="shared" si="222"/>
        <v>1250000</v>
      </c>
      <c r="AI136" s="1"/>
      <c r="AJ136" s="1"/>
      <c r="AK136" s="15">
        <f t="shared" ref="AK136:AS136" si="223">AK41+AK42+AK43+AK74+AK75+AK80</f>
        <v>41850000</v>
      </c>
      <c r="AL136" s="15">
        <f t="shared" si="223"/>
        <v>0</v>
      </c>
      <c r="AM136" s="15">
        <f t="shared" si="223"/>
        <v>41850000</v>
      </c>
      <c r="AN136" s="15">
        <f t="shared" si="223"/>
        <v>1250000</v>
      </c>
      <c r="AO136" s="15">
        <f t="shared" si="223"/>
        <v>0</v>
      </c>
      <c r="AP136" s="15">
        <f t="shared" si="223"/>
        <v>1250000</v>
      </c>
      <c r="AQ136" s="15">
        <f t="shared" si="223"/>
        <v>1250000</v>
      </c>
      <c r="AR136" s="15">
        <f t="shared" si="223"/>
        <v>0</v>
      </c>
      <c r="AS136" s="15">
        <f t="shared" si="223"/>
        <v>1250000</v>
      </c>
      <c r="AT136" s="1"/>
      <c r="AU136" s="1"/>
      <c r="AV136" s="1">
        <f t="shared" ref="AV136:AW177" si="224">AQ136+AN136+AK136+AF136+AC136+Z136+U136+R136+O136+J136+G136+D136</f>
        <v>218200000</v>
      </c>
      <c r="AW136" s="36">
        <f t="shared" si="224"/>
        <v>27396160</v>
      </c>
      <c r="AX136" s="197">
        <f t="shared" ref="AX136:AX177" si="225">(AV136-(M136+X136))+AW136</f>
        <v>81496160</v>
      </c>
      <c r="AY136" s="1">
        <f t="shared" ref="AY136:AY177" si="226">AS136+AP136+AM136+AH136+AE136+AB136+W136+T136+Q136+L136+I136+F136</f>
        <v>190803840</v>
      </c>
      <c r="AZ136" s="15"/>
      <c r="BA136" s="15"/>
      <c r="BB136" s="15"/>
    </row>
    <row r="137" spans="1:54" s="70" customFormat="1" ht="15.75" customHeight="1" x14ac:dyDescent="0.2">
      <c r="A137" s="70">
        <v>2</v>
      </c>
      <c r="B137" s="70" t="s">
        <v>146</v>
      </c>
      <c r="C137" s="15"/>
      <c r="D137" s="15">
        <f t="shared" ref="D137:L137" si="227">D104+D91</f>
        <v>2000000</v>
      </c>
      <c r="E137" s="15">
        <f t="shared" si="227"/>
        <v>16800000</v>
      </c>
      <c r="F137" s="15">
        <f t="shared" si="227"/>
        <v>-14800000</v>
      </c>
      <c r="G137" s="15">
        <f t="shared" si="227"/>
        <v>2000000</v>
      </c>
      <c r="H137" s="15">
        <f t="shared" si="227"/>
        <v>0</v>
      </c>
      <c r="I137" s="15">
        <f t="shared" si="227"/>
        <v>2000000</v>
      </c>
      <c r="J137" s="15">
        <f t="shared" si="227"/>
        <v>2000000</v>
      </c>
      <c r="K137" s="15">
        <f t="shared" si="227"/>
        <v>0</v>
      </c>
      <c r="L137" s="15">
        <f t="shared" si="227"/>
        <v>2000000</v>
      </c>
      <c r="M137" s="195">
        <f t="shared" si="219"/>
        <v>6000000</v>
      </c>
      <c r="N137" s="195">
        <f t="shared" si="219"/>
        <v>16800000</v>
      </c>
      <c r="O137" s="15">
        <f t="shared" ref="O137:W137" si="228">O104+O91</f>
        <v>8000000</v>
      </c>
      <c r="P137" s="15">
        <f t="shared" si="228"/>
        <v>0</v>
      </c>
      <c r="Q137" s="15">
        <f t="shared" si="228"/>
        <v>8000000</v>
      </c>
      <c r="R137" s="15">
        <f t="shared" si="228"/>
        <v>5000000</v>
      </c>
      <c r="S137" s="15">
        <f t="shared" si="228"/>
        <v>6000000</v>
      </c>
      <c r="T137" s="15">
        <f t="shared" si="228"/>
        <v>-1000000</v>
      </c>
      <c r="U137" s="15">
        <f t="shared" si="228"/>
        <v>2000000</v>
      </c>
      <c r="V137" s="15">
        <f t="shared" si="228"/>
        <v>0</v>
      </c>
      <c r="W137" s="15">
        <f t="shared" si="228"/>
        <v>2000000</v>
      </c>
      <c r="X137" s="196">
        <f t="shared" si="221"/>
        <v>15000000</v>
      </c>
      <c r="Y137" s="196">
        <f t="shared" si="221"/>
        <v>6000000</v>
      </c>
      <c r="Z137" s="15">
        <f t="shared" ref="Z137:AH137" si="229">Z104+Z91</f>
        <v>32000000</v>
      </c>
      <c r="AA137" s="15">
        <f t="shared" si="229"/>
        <v>39200000</v>
      </c>
      <c r="AB137" s="15">
        <f t="shared" si="229"/>
        <v>-7200000</v>
      </c>
      <c r="AC137" s="15">
        <f t="shared" si="229"/>
        <v>2000000</v>
      </c>
      <c r="AD137" s="15">
        <f t="shared" si="229"/>
        <v>0</v>
      </c>
      <c r="AE137" s="15">
        <f t="shared" si="229"/>
        <v>2000000</v>
      </c>
      <c r="AF137" s="15">
        <f t="shared" si="229"/>
        <v>2000000</v>
      </c>
      <c r="AG137" s="15">
        <f t="shared" si="229"/>
        <v>0</v>
      </c>
      <c r="AH137" s="15">
        <f t="shared" si="229"/>
        <v>2000000</v>
      </c>
      <c r="AI137" s="1"/>
      <c r="AJ137" s="1"/>
      <c r="AK137" s="15">
        <f t="shared" ref="AK137:AS137" si="230">AK104+AK91</f>
        <v>7700000</v>
      </c>
      <c r="AL137" s="15">
        <f t="shared" si="230"/>
        <v>0</v>
      </c>
      <c r="AM137" s="15">
        <f t="shared" si="230"/>
        <v>7700000</v>
      </c>
      <c r="AN137" s="15">
        <f t="shared" si="230"/>
        <v>3700000</v>
      </c>
      <c r="AO137" s="15">
        <f t="shared" si="230"/>
        <v>0</v>
      </c>
      <c r="AP137" s="15">
        <f t="shared" si="230"/>
        <v>3700000</v>
      </c>
      <c r="AQ137" s="15">
        <f t="shared" si="230"/>
        <v>12000000</v>
      </c>
      <c r="AR137" s="15">
        <f t="shared" si="230"/>
        <v>0</v>
      </c>
      <c r="AS137" s="15">
        <f t="shared" si="230"/>
        <v>12000000</v>
      </c>
      <c r="AT137" s="1"/>
      <c r="AU137" s="1"/>
      <c r="AV137" s="1">
        <f t="shared" si="224"/>
        <v>80400000</v>
      </c>
      <c r="AW137" s="36">
        <f t="shared" si="224"/>
        <v>62000000</v>
      </c>
      <c r="AX137" s="197">
        <f t="shared" si="225"/>
        <v>121400000</v>
      </c>
      <c r="AY137" s="1">
        <f t="shared" si="226"/>
        <v>18400000</v>
      </c>
      <c r="AZ137" s="15"/>
      <c r="BA137" s="15"/>
      <c r="BB137" s="15"/>
    </row>
    <row r="138" spans="1:54" s="70" customFormat="1" ht="15.75" customHeight="1" x14ac:dyDescent="0.2">
      <c r="A138" s="70">
        <v>3</v>
      </c>
      <c r="B138" s="70" t="s">
        <v>145</v>
      </c>
      <c r="D138" s="15">
        <f t="shared" ref="D138:L138" si="231">D101</f>
        <v>11435400</v>
      </c>
      <c r="E138" s="15">
        <f t="shared" si="231"/>
        <v>7832516</v>
      </c>
      <c r="F138" s="15">
        <f t="shared" si="231"/>
        <v>3602884</v>
      </c>
      <c r="G138" s="15">
        <f t="shared" si="231"/>
        <v>5534522</v>
      </c>
      <c r="H138" s="15">
        <f t="shared" si="231"/>
        <v>12338103</v>
      </c>
      <c r="I138" s="15">
        <f t="shared" si="231"/>
        <v>-6803581</v>
      </c>
      <c r="J138" s="15">
        <f t="shared" si="231"/>
        <v>5534522</v>
      </c>
      <c r="K138" s="15">
        <f t="shared" si="231"/>
        <v>10848635</v>
      </c>
      <c r="L138" s="15">
        <f t="shared" si="231"/>
        <v>-5314113</v>
      </c>
      <c r="M138" s="195">
        <f t="shared" si="219"/>
        <v>22504444</v>
      </c>
      <c r="N138" s="195">
        <f t="shared" si="219"/>
        <v>31019254</v>
      </c>
      <c r="O138" s="15">
        <f t="shared" ref="O138:W138" si="232">O101</f>
        <v>5534522</v>
      </c>
      <c r="P138" s="15">
        <f t="shared" si="232"/>
        <v>11242161</v>
      </c>
      <c r="Q138" s="15">
        <f t="shared" si="232"/>
        <v>-5707639</v>
      </c>
      <c r="R138" s="15">
        <f t="shared" si="232"/>
        <v>5534522</v>
      </c>
      <c r="S138" s="15">
        <f t="shared" si="232"/>
        <v>12070224</v>
      </c>
      <c r="T138" s="15">
        <f t="shared" si="232"/>
        <v>-6535702</v>
      </c>
      <c r="U138" s="15">
        <f t="shared" si="232"/>
        <v>5534522</v>
      </c>
      <c r="V138" s="15">
        <f t="shared" si="232"/>
        <v>13146547</v>
      </c>
      <c r="W138" s="15">
        <f t="shared" si="232"/>
        <v>-7612025</v>
      </c>
      <c r="X138" s="196">
        <f t="shared" si="221"/>
        <v>16603566</v>
      </c>
      <c r="Y138" s="196">
        <f t="shared" si="221"/>
        <v>36458932</v>
      </c>
      <c r="Z138" s="15">
        <f t="shared" ref="Z138:AH138" si="233">Z101</f>
        <v>5534522</v>
      </c>
      <c r="AA138" s="15">
        <f t="shared" si="233"/>
        <v>0</v>
      </c>
      <c r="AB138" s="15">
        <f t="shared" si="233"/>
        <v>5534522</v>
      </c>
      <c r="AC138" s="15">
        <f t="shared" si="233"/>
        <v>5534522</v>
      </c>
      <c r="AD138" s="15">
        <f t="shared" si="233"/>
        <v>0</v>
      </c>
      <c r="AE138" s="15">
        <f t="shared" si="233"/>
        <v>5534522</v>
      </c>
      <c r="AF138" s="15">
        <f t="shared" si="233"/>
        <v>5534522</v>
      </c>
      <c r="AG138" s="15">
        <f t="shared" si="233"/>
        <v>0</v>
      </c>
      <c r="AH138" s="15">
        <f t="shared" si="233"/>
        <v>5534522</v>
      </c>
      <c r="AI138" s="1"/>
      <c r="AJ138" s="1"/>
      <c r="AK138" s="15">
        <f t="shared" ref="AK138:AS138" si="234">AK101</f>
        <v>5534522</v>
      </c>
      <c r="AL138" s="15">
        <f t="shared" si="234"/>
        <v>0</v>
      </c>
      <c r="AM138" s="15">
        <f t="shared" si="234"/>
        <v>5534522</v>
      </c>
      <c r="AN138" s="15">
        <f t="shared" si="234"/>
        <v>5534522</v>
      </c>
      <c r="AO138" s="15">
        <f t="shared" si="234"/>
        <v>0</v>
      </c>
      <c r="AP138" s="15">
        <f t="shared" si="234"/>
        <v>5534522</v>
      </c>
      <c r="AQ138" s="15">
        <f t="shared" si="234"/>
        <v>5534522</v>
      </c>
      <c r="AR138" s="15">
        <f t="shared" si="234"/>
        <v>0</v>
      </c>
      <c r="AS138" s="15">
        <f t="shared" si="234"/>
        <v>5534522</v>
      </c>
      <c r="AT138" s="1"/>
      <c r="AU138" s="1"/>
      <c r="AV138" s="1">
        <f t="shared" si="224"/>
        <v>72315142</v>
      </c>
      <c r="AW138" s="36">
        <f t="shared" si="224"/>
        <v>67478186</v>
      </c>
      <c r="AX138" s="197">
        <f t="shared" si="225"/>
        <v>100685318</v>
      </c>
      <c r="AY138" s="1">
        <f t="shared" si="226"/>
        <v>4836956</v>
      </c>
      <c r="AZ138" s="15"/>
      <c r="BA138" s="15"/>
      <c r="BB138" s="15"/>
    </row>
    <row r="139" spans="1:54" s="70" customFormat="1" ht="15.75" customHeight="1" x14ac:dyDescent="0.2">
      <c r="A139" s="70">
        <v>4</v>
      </c>
      <c r="B139" s="70" t="s">
        <v>186</v>
      </c>
      <c r="D139" s="15">
        <f t="shared" ref="D139:L139" si="235">D59</f>
        <v>1899000</v>
      </c>
      <c r="E139" s="15">
        <f t="shared" si="235"/>
        <v>0</v>
      </c>
      <c r="F139" s="15">
        <f t="shared" si="235"/>
        <v>1899000</v>
      </c>
      <c r="G139" s="15">
        <f t="shared" si="235"/>
        <v>1899000</v>
      </c>
      <c r="H139" s="15">
        <f t="shared" si="235"/>
        <v>350000</v>
      </c>
      <c r="I139" s="15">
        <f t="shared" si="235"/>
        <v>1549000</v>
      </c>
      <c r="J139" s="15">
        <f t="shared" si="235"/>
        <v>1899000</v>
      </c>
      <c r="K139" s="15">
        <f t="shared" si="235"/>
        <v>75000</v>
      </c>
      <c r="L139" s="15">
        <f t="shared" si="235"/>
        <v>1824000</v>
      </c>
      <c r="M139" s="195">
        <f t="shared" si="219"/>
        <v>5697000</v>
      </c>
      <c r="N139" s="195">
        <f t="shared" si="219"/>
        <v>425000</v>
      </c>
      <c r="O139" s="15">
        <f t="shared" ref="O139:W139" si="236">O59</f>
        <v>1899000</v>
      </c>
      <c r="P139" s="15">
        <f t="shared" si="236"/>
        <v>0</v>
      </c>
      <c r="Q139" s="15">
        <f t="shared" si="236"/>
        <v>1899000</v>
      </c>
      <c r="R139" s="15">
        <f t="shared" si="236"/>
        <v>1899000</v>
      </c>
      <c r="S139" s="15">
        <f t="shared" si="236"/>
        <v>885000</v>
      </c>
      <c r="T139" s="15">
        <f t="shared" si="236"/>
        <v>1014000</v>
      </c>
      <c r="U139" s="15">
        <f t="shared" si="236"/>
        <v>1899000</v>
      </c>
      <c r="V139" s="15">
        <f t="shared" si="236"/>
        <v>0</v>
      </c>
      <c r="W139" s="15">
        <f t="shared" si="236"/>
        <v>1899000</v>
      </c>
      <c r="X139" s="196">
        <f t="shared" si="221"/>
        <v>5697000</v>
      </c>
      <c r="Y139" s="196">
        <f t="shared" si="221"/>
        <v>885000</v>
      </c>
      <c r="Z139" s="15">
        <f t="shared" ref="Z139:AH139" si="237">Z59</f>
        <v>1899000</v>
      </c>
      <c r="AA139" s="15">
        <f t="shared" si="237"/>
        <v>0</v>
      </c>
      <c r="AB139" s="15">
        <f t="shared" si="237"/>
        <v>1899000</v>
      </c>
      <c r="AC139" s="15">
        <f t="shared" si="237"/>
        <v>1899000</v>
      </c>
      <c r="AD139" s="15">
        <f t="shared" si="237"/>
        <v>0</v>
      </c>
      <c r="AE139" s="15">
        <f t="shared" si="237"/>
        <v>1899000</v>
      </c>
      <c r="AF139" s="15">
        <f t="shared" si="237"/>
        <v>1899000</v>
      </c>
      <c r="AG139" s="15">
        <f t="shared" si="237"/>
        <v>0</v>
      </c>
      <c r="AH139" s="15">
        <f t="shared" si="237"/>
        <v>1899000</v>
      </c>
      <c r="AI139" s="1"/>
      <c r="AJ139" s="1"/>
      <c r="AK139" s="15">
        <f t="shared" ref="AK139:AS139" si="238">AK59</f>
        <v>1899000</v>
      </c>
      <c r="AL139" s="15">
        <f t="shared" si="238"/>
        <v>0</v>
      </c>
      <c r="AM139" s="15">
        <f t="shared" si="238"/>
        <v>1899000</v>
      </c>
      <c r="AN139" s="15">
        <f t="shared" si="238"/>
        <v>1899000</v>
      </c>
      <c r="AO139" s="15">
        <f t="shared" si="238"/>
        <v>0</v>
      </c>
      <c r="AP139" s="15">
        <f t="shared" si="238"/>
        <v>1899000</v>
      </c>
      <c r="AQ139" s="15">
        <f t="shared" si="238"/>
        <v>1899000</v>
      </c>
      <c r="AR139" s="15">
        <f t="shared" si="238"/>
        <v>0</v>
      </c>
      <c r="AS139" s="15">
        <f t="shared" si="238"/>
        <v>1899000</v>
      </c>
      <c r="AT139" s="1"/>
      <c r="AU139" s="1"/>
      <c r="AV139" s="1">
        <f t="shared" si="224"/>
        <v>22788000</v>
      </c>
      <c r="AW139" s="36">
        <f t="shared" si="224"/>
        <v>1310000</v>
      </c>
      <c r="AX139" s="197">
        <f t="shared" si="225"/>
        <v>12704000</v>
      </c>
      <c r="AY139" s="1">
        <f t="shared" si="226"/>
        <v>21478000</v>
      </c>
      <c r="AZ139" s="15"/>
      <c r="BA139" s="15"/>
      <c r="BB139" s="15"/>
    </row>
    <row r="140" spans="1:54" s="70" customFormat="1" ht="15.75" customHeight="1" x14ac:dyDescent="0.2">
      <c r="A140" s="70">
        <v>5</v>
      </c>
      <c r="B140" s="70" t="s">
        <v>106</v>
      </c>
      <c r="D140" s="15">
        <f t="shared" ref="D140:L140" si="239">D58</f>
        <v>22870000</v>
      </c>
      <c r="E140" s="15">
        <f t="shared" si="239"/>
        <v>0</v>
      </c>
      <c r="F140" s="15">
        <f t="shared" si="239"/>
        <v>22870000</v>
      </c>
      <c r="G140" s="15">
        <f t="shared" si="239"/>
        <v>2700000</v>
      </c>
      <c r="H140" s="15">
        <f t="shared" si="239"/>
        <v>0</v>
      </c>
      <c r="I140" s="15">
        <f t="shared" si="239"/>
        <v>2700000</v>
      </c>
      <c r="J140" s="15">
        <f t="shared" si="239"/>
        <v>30569000</v>
      </c>
      <c r="K140" s="15">
        <f t="shared" si="239"/>
        <v>35560000</v>
      </c>
      <c r="L140" s="15">
        <f t="shared" si="239"/>
        <v>-4991000</v>
      </c>
      <c r="M140" s="195">
        <f t="shared" si="219"/>
        <v>56139000</v>
      </c>
      <c r="N140" s="195">
        <f t="shared" si="219"/>
        <v>35560000</v>
      </c>
      <c r="O140" s="15">
        <f t="shared" ref="O140:W140" si="240">O58</f>
        <v>12825000</v>
      </c>
      <c r="P140" s="15">
        <f t="shared" si="240"/>
        <v>840000</v>
      </c>
      <c r="Q140" s="15">
        <f t="shared" si="240"/>
        <v>11985000</v>
      </c>
      <c r="R140" s="15">
        <f t="shared" si="240"/>
        <v>0</v>
      </c>
      <c r="S140" s="15">
        <f t="shared" si="240"/>
        <v>300000</v>
      </c>
      <c r="T140" s="15">
        <f t="shared" si="240"/>
        <v>-300000</v>
      </c>
      <c r="U140" s="15">
        <f t="shared" si="240"/>
        <v>0</v>
      </c>
      <c r="V140" s="15">
        <f t="shared" si="240"/>
        <v>0</v>
      </c>
      <c r="W140" s="15">
        <f t="shared" si="240"/>
        <v>0</v>
      </c>
      <c r="X140" s="196">
        <f t="shared" si="221"/>
        <v>12825000</v>
      </c>
      <c r="Y140" s="196">
        <f t="shared" si="221"/>
        <v>1140000</v>
      </c>
      <c r="Z140" s="15">
        <f t="shared" ref="Z140:AH140" si="241">Z58</f>
        <v>23940000</v>
      </c>
      <c r="AA140" s="15">
        <f t="shared" si="241"/>
        <v>7200000</v>
      </c>
      <c r="AB140" s="15">
        <f t="shared" si="241"/>
        <v>16740000</v>
      </c>
      <c r="AC140" s="15">
        <f t="shared" si="241"/>
        <v>4500000</v>
      </c>
      <c r="AD140" s="15">
        <f t="shared" si="241"/>
        <v>0</v>
      </c>
      <c r="AE140" s="15">
        <f t="shared" si="241"/>
        <v>4500000</v>
      </c>
      <c r="AF140" s="15">
        <f t="shared" si="241"/>
        <v>0</v>
      </c>
      <c r="AG140" s="15">
        <f t="shared" si="241"/>
        <v>0</v>
      </c>
      <c r="AH140" s="15">
        <f t="shared" si="241"/>
        <v>0</v>
      </c>
      <c r="AI140" s="1"/>
      <c r="AJ140" s="1"/>
      <c r="AK140" s="15">
        <f t="shared" ref="AK140:AS140" si="242">AK58</f>
        <v>2889000</v>
      </c>
      <c r="AL140" s="15">
        <f t="shared" si="242"/>
        <v>0</v>
      </c>
      <c r="AM140" s="15">
        <f t="shared" si="242"/>
        <v>2889000</v>
      </c>
      <c r="AN140" s="15">
        <f t="shared" si="242"/>
        <v>0</v>
      </c>
      <c r="AO140" s="15">
        <f t="shared" si="242"/>
        <v>0</v>
      </c>
      <c r="AP140" s="15">
        <f t="shared" si="242"/>
        <v>0</v>
      </c>
      <c r="AQ140" s="15">
        <f t="shared" si="242"/>
        <v>0</v>
      </c>
      <c r="AR140" s="15">
        <f t="shared" si="242"/>
        <v>0</v>
      </c>
      <c r="AS140" s="15">
        <f t="shared" si="242"/>
        <v>0</v>
      </c>
      <c r="AT140" s="1"/>
      <c r="AU140" s="1"/>
      <c r="AV140" s="1">
        <f t="shared" si="224"/>
        <v>100293000</v>
      </c>
      <c r="AW140" s="36">
        <f t="shared" si="224"/>
        <v>43900000</v>
      </c>
      <c r="AX140" s="197">
        <f t="shared" si="225"/>
        <v>75229000</v>
      </c>
      <c r="AY140" s="1">
        <f t="shared" si="226"/>
        <v>56393000</v>
      </c>
      <c r="AZ140" s="15"/>
      <c r="BA140" s="15"/>
      <c r="BB140" s="15"/>
    </row>
    <row r="141" spans="1:54" s="70" customFormat="1" ht="15.75" customHeight="1" x14ac:dyDescent="0.2">
      <c r="A141" s="70">
        <v>6</v>
      </c>
      <c r="B141" s="70" t="s">
        <v>187</v>
      </c>
      <c r="D141" s="15">
        <f t="shared" ref="D141:L141" si="243">D21+D61+D68+D69+D71+D72+D65+D81+D87+D95+D103+D114+D98</f>
        <v>37098000</v>
      </c>
      <c r="E141" s="15">
        <f t="shared" si="243"/>
        <v>1500000</v>
      </c>
      <c r="F141" s="15">
        <f t="shared" si="243"/>
        <v>35598000</v>
      </c>
      <c r="G141" s="15">
        <f t="shared" si="243"/>
        <v>24098000</v>
      </c>
      <c r="H141" s="15">
        <f t="shared" si="243"/>
        <v>14500000</v>
      </c>
      <c r="I141" s="15">
        <f t="shared" si="243"/>
        <v>9598000</v>
      </c>
      <c r="J141" s="15">
        <f t="shared" si="243"/>
        <v>17398000</v>
      </c>
      <c r="K141" s="15">
        <f t="shared" si="243"/>
        <v>29300000</v>
      </c>
      <c r="L141" s="15">
        <f t="shared" si="243"/>
        <v>-11902000</v>
      </c>
      <c r="M141" s="195">
        <f t="shared" si="219"/>
        <v>78594000</v>
      </c>
      <c r="N141" s="195">
        <f t="shared" si="219"/>
        <v>45300000</v>
      </c>
      <c r="O141" s="15">
        <f t="shared" ref="O141:W141" si="244">O21+O61+O68+O69+O71+O72+O65+O81+O87+O95+O103+O114+O98</f>
        <v>81098000</v>
      </c>
      <c r="P141" s="15">
        <f t="shared" si="244"/>
        <v>7189420</v>
      </c>
      <c r="Q141" s="15">
        <f t="shared" si="244"/>
        <v>73908580</v>
      </c>
      <c r="R141" s="15">
        <f t="shared" si="244"/>
        <v>61598000</v>
      </c>
      <c r="S141" s="15">
        <f t="shared" si="244"/>
        <v>0</v>
      </c>
      <c r="T141" s="15">
        <f t="shared" si="244"/>
        <v>61598000</v>
      </c>
      <c r="U141" s="15">
        <f t="shared" si="244"/>
        <v>57898000</v>
      </c>
      <c r="V141" s="15">
        <f t="shared" si="244"/>
        <v>25600000</v>
      </c>
      <c r="W141" s="15">
        <f t="shared" si="244"/>
        <v>32298000</v>
      </c>
      <c r="X141" s="196">
        <f t="shared" si="221"/>
        <v>200594000</v>
      </c>
      <c r="Y141" s="196">
        <f t="shared" si="221"/>
        <v>32789420</v>
      </c>
      <c r="Z141" s="15">
        <f t="shared" ref="Z141:AH141" si="245">Z21+Z61+Z68+Z69+Z71+Z72+Z65+Z81+Z87+Z95+Z103+Z114+Z98</f>
        <v>99098000</v>
      </c>
      <c r="AA141" s="15">
        <f t="shared" si="245"/>
        <v>0</v>
      </c>
      <c r="AB141" s="15">
        <f t="shared" si="245"/>
        <v>99098000</v>
      </c>
      <c r="AC141" s="15">
        <f t="shared" si="245"/>
        <v>18598000</v>
      </c>
      <c r="AD141" s="15">
        <f t="shared" si="245"/>
        <v>0</v>
      </c>
      <c r="AE141" s="15">
        <f t="shared" si="245"/>
        <v>18598000</v>
      </c>
      <c r="AF141" s="15">
        <f t="shared" si="245"/>
        <v>12398000</v>
      </c>
      <c r="AG141" s="15">
        <f t="shared" si="245"/>
        <v>0</v>
      </c>
      <c r="AH141" s="15">
        <f t="shared" si="245"/>
        <v>12398000</v>
      </c>
      <c r="AI141" s="1"/>
      <c r="AJ141" s="1"/>
      <c r="AK141" s="15">
        <f t="shared" ref="AK141:AS141" si="246">AK21+AK61+AK68+AK69+AK71+AK72+AK65+AK81+AK87+AK95+AK103+AK114+AK98</f>
        <v>27598000</v>
      </c>
      <c r="AL141" s="15">
        <f t="shared" si="246"/>
        <v>0</v>
      </c>
      <c r="AM141" s="15">
        <f t="shared" si="246"/>
        <v>27598000</v>
      </c>
      <c r="AN141" s="15">
        <f t="shared" si="246"/>
        <v>62398000</v>
      </c>
      <c r="AO141" s="15">
        <f t="shared" si="246"/>
        <v>0</v>
      </c>
      <c r="AP141" s="15">
        <f t="shared" si="246"/>
        <v>62398000</v>
      </c>
      <c r="AQ141" s="15">
        <f t="shared" si="246"/>
        <v>36098000</v>
      </c>
      <c r="AR141" s="15">
        <f t="shared" si="246"/>
        <v>0</v>
      </c>
      <c r="AS141" s="15">
        <f t="shared" si="246"/>
        <v>36098000</v>
      </c>
      <c r="AT141" s="1"/>
      <c r="AU141" s="1"/>
      <c r="AV141" s="1">
        <f t="shared" si="224"/>
        <v>535376000</v>
      </c>
      <c r="AW141" s="36">
        <f t="shared" si="224"/>
        <v>78089420</v>
      </c>
      <c r="AX141" s="197">
        <f t="shared" si="225"/>
        <v>334277420</v>
      </c>
      <c r="AY141" s="1">
        <f t="shared" si="226"/>
        <v>457286580</v>
      </c>
      <c r="AZ141" s="15"/>
      <c r="BA141" s="15"/>
      <c r="BB141" s="15"/>
    </row>
    <row r="142" spans="1:54" s="70" customFormat="1" ht="15.75" customHeight="1" x14ac:dyDescent="0.2">
      <c r="A142" s="70">
        <v>7</v>
      </c>
      <c r="B142" s="70" t="s">
        <v>188</v>
      </c>
      <c r="D142" s="15">
        <f t="shared" ref="D142:L142" si="247">D48</f>
        <v>5734349</v>
      </c>
      <c r="E142" s="15">
        <f t="shared" si="247"/>
        <v>2721643</v>
      </c>
      <c r="F142" s="15">
        <f t="shared" si="247"/>
        <v>3012706</v>
      </c>
      <c r="G142" s="15">
        <f t="shared" si="247"/>
        <v>5734349</v>
      </c>
      <c r="H142" s="15">
        <f t="shared" si="247"/>
        <v>2145887</v>
      </c>
      <c r="I142" s="15">
        <f t="shared" si="247"/>
        <v>3588462</v>
      </c>
      <c r="J142" s="15">
        <f t="shared" si="247"/>
        <v>5734349</v>
      </c>
      <c r="K142" s="15">
        <f t="shared" si="247"/>
        <v>0</v>
      </c>
      <c r="L142" s="15">
        <f t="shared" si="247"/>
        <v>5734349</v>
      </c>
      <c r="M142" s="195">
        <f t="shared" si="219"/>
        <v>17203047</v>
      </c>
      <c r="N142" s="195">
        <f t="shared" si="219"/>
        <v>4867530</v>
      </c>
      <c r="O142" s="15">
        <f t="shared" ref="O142:W142" si="248">O48</f>
        <v>5734349</v>
      </c>
      <c r="P142" s="15">
        <f t="shared" si="248"/>
        <v>3283803</v>
      </c>
      <c r="Q142" s="15">
        <f t="shared" si="248"/>
        <v>2450546</v>
      </c>
      <c r="R142" s="15">
        <f t="shared" si="248"/>
        <v>5734349</v>
      </c>
      <c r="S142" s="15">
        <f t="shared" si="248"/>
        <v>2150831</v>
      </c>
      <c r="T142" s="15">
        <f t="shared" si="248"/>
        <v>3583518</v>
      </c>
      <c r="U142" s="15">
        <f t="shared" si="248"/>
        <v>5734349</v>
      </c>
      <c r="V142" s="15">
        <f t="shared" si="248"/>
        <v>0</v>
      </c>
      <c r="W142" s="15">
        <f t="shared" si="248"/>
        <v>5734349</v>
      </c>
      <c r="X142" s="196">
        <f t="shared" si="221"/>
        <v>17203047</v>
      </c>
      <c r="Y142" s="196">
        <f t="shared" si="221"/>
        <v>5434634</v>
      </c>
      <c r="Z142" s="15">
        <f t="shared" ref="Z142:AH142" si="249">Z48</f>
        <v>5734349</v>
      </c>
      <c r="AA142" s="15">
        <f t="shared" si="249"/>
        <v>2199859</v>
      </c>
      <c r="AB142" s="15">
        <f t="shared" si="249"/>
        <v>3534490</v>
      </c>
      <c r="AC142" s="15">
        <f t="shared" si="249"/>
        <v>5734349</v>
      </c>
      <c r="AD142" s="15">
        <f t="shared" si="249"/>
        <v>2157835</v>
      </c>
      <c r="AE142" s="15">
        <f t="shared" si="249"/>
        <v>3576514</v>
      </c>
      <c r="AF142" s="15">
        <f t="shared" si="249"/>
        <v>5734349</v>
      </c>
      <c r="AG142" s="15">
        <f t="shared" si="249"/>
        <v>0</v>
      </c>
      <c r="AH142" s="15">
        <f t="shared" si="249"/>
        <v>5734349</v>
      </c>
      <c r="AI142" s="1"/>
      <c r="AJ142" s="1"/>
      <c r="AK142" s="15">
        <f t="shared" ref="AK142:AS142" si="250">AK48</f>
        <v>5734349</v>
      </c>
      <c r="AL142" s="15">
        <f t="shared" si="250"/>
        <v>0</v>
      </c>
      <c r="AM142" s="15">
        <f t="shared" si="250"/>
        <v>5734349</v>
      </c>
      <c r="AN142" s="15">
        <f t="shared" si="250"/>
        <v>5734349</v>
      </c>
      <c r="AO142" s="15">
        <f t="shared" si="250"/>
        <v>0</v>
      </c>
      <c r="AP142" s="15">
        <f t="shared" si="250"/>
        <v>5734349</v>
      </c>
      <c r="AQ142" s="15">
        <f t="shared" si="250"/>
        <v>5734349</v>
      </c>
      <c r="AR142" s="15">
        <f t="shared" si="250"/>
        <v>0</v>
      </c>
      <c r="AS142" s="15">
        <f t="shared" si="250"/>
        <v>5734349</v>
      </c>
      <c r="AT142" s="1"/>
      <c r="AU142" s="1"/>
      <c r="AV142" s="1">
        <f t="shared" si="224"/>
        <v>68812188</v>
      </c>
      <c r="AW142" s="36">
        <f t="shared" si="224"/>
        <v>14659858</v>
      </c>
      <c r="AX142" s="197">
        <f t="shared" si="225"/>
        <v>49065952</v>
      </c>
      <c r="AY142" s="1">
        <f t="shared" si="226"/>
        <v>54152330</v>
      </c>
      <c r="AZ142" s="15"/>
      <c r="BA142" s="15"/>
      <c r="BB142" s="15"/>
    </row>
    <row r="143" spans="1:54" s="70" customFormat="1" ht="15.75" customHeight="1" x14ac:dyDescent="0.2">
      <c r="A143" s="70">
        <v>8</v>
      </c>
      <c r="B143" s="70" t="s">
        <v>189</v>
      </c>
      <c r="D143" s="15">
        <f t="shared" ref="D143:L143" si="251">D14+D15+D17+D18+D30+D31+D70+D83+D89+D90+D116+D63</f>
        <v>428718000</v>
      </c>
      <c r="E143" s="15">
        <f t="shared" si="251"/>
        <v>453375279</v>
      </c>
      <c r="F143" s="15">
        <f t="shared" si="251"/>
        <v>-24657279</v>
      </c>
      <c r="G143" s="15">
        <f t="shared" si="251"/>
        <v>553466034</v>
      </c>
      <c r="H143" s="15">
        <f t="shared" si="251"/>
        <v>356857726</v>
      </c>
      <c r="I143" s="15">
        <f t="shared" si="251"/>
        <v>196608308</v>
      </c>
      <c r="J143" s="15">
        <f t="shared" si="251"/>
        <v>370008000</v>
      </c>
      <c r="K143" s="15">
        <f t="shared" si="251"/>
        <v>100791597</v>
      </c>
      <c r="L143" s="15">
        <f t="shared" si="251"/>
        <v>269216403</v>
      </c>
      <c r="M143" s="195">
        <f t="shared" si="219"/>
        <v>1352192034</v>
      </c>
      <c r="N143" s="195">
        <f t="shared" si="219"/>
        <v>911024602</v>
      </c>
      <c r="O143" s="15">
        <f t="shared" ref="O143:W143" si="252">O14+O15+O17+O18+O30+O31+O70+O83+O89+O90+O116+O63</f>
        <v>383718000</v>
      </c>
      <c r="P143" s="15">
        <f t="shared" si="252"/>
        <v>101345017</v>
      </c>
      <c r="Q143" s="15">
        <f t="shared" si="252"/>
        <v>282372983</v>
      </c>
      <c r="R143" s="15">
        <f t="shared" si="252"/>
        <v>401474034</v>
      </c>
      <c r="S143" s="15">
        <f t="shared" si="252"/>
        <v>59778047</v>
      </c>
      <c r="T143" s="15">
        <f t="shared" si="252"/>
        <v>341695987</v>
      </c>
      <c r="U143" s="15">
        <f t="shared" si="252"/>
        <v>374000000</v>
      </c>
      <c r="V143" s="15">
        <f t="shared" si="252"/>
        <v>168043136</v>
      </c>
      <c r="W143" s="15">
        <f t="shared" si="252"/>
        <v>205956864</v>
      </c>
      <c r="X143" s="196">
        <f t="shared" si="221"/>
        <v>1159192034</v>
      </c>
      <c r="Y143" s="196">
        <f t="shared" si="221"/>
        <v>329166200</v>
      </c>
      <c r="Z143" s="15">
        <f t="shared" ref="Z143:AH143" si="253">Z14+Z15+Z17+Z18+Z30+Z31+Z70+Z83+Z89+Z90+Z116+Z63</f>
        <v>383718000</v>
      </c>
      <c r="AA143" s="15">
        <f t="shared" si="253"/>
        <v>174360022</v>
      </c>
      <c r="AB143" s="15">
        <f t="shared" si="253"/>
        <v>209357978</v>
      </c>
      <c r="AC143" s="15">
        <f t="shared" si="253"/>
        <v>427566034</v>
      </c>
      <c r="AD143" s="15">
        <f t="shared" si="253"/>
        <v>50673000</v>
      </c>
      <c r="AE143" s="15">
        <f t="shared" si="253"/>
        <v>376893034</v>
      </c>
      <c r="AF143" s="15">
        <f t="shared" si="253"/>
        <v>369000000</v>
      </c>
      <c r="AG143" s="15">
        <f t="shared" si="253"/>
        <v>353572947</v>
      </c>
      <c r="AH143" s="15">
        <f t="shared" si="253"/>
        <v>15427053</v>
      </c>
      <c r="AI143" s="1"/>
      <c r="AJ143" s="1"/>
      <c r="AK143" s="15">
        <f t="shared" ref="AK143:AS143" si="254">AK14+AK15+AK17+AK18+AK30+AK31+AK70+AK83+AK89+AK90+AK116+AK63</f>
        <v>483797000</v>
      </c>
      <c r="AL143" s="15">
        <f t="shared" si="254"/>
        <v>0</v>
      </c>
      <c r="AM143" s="15">
        <f t="shared" si="254"/>
        <v>483797000</v>
      </c>
      <c r="AN143" s="15">
        <f t="shared" si="254"/>
        <v>399466034</v>
      </c>
      <c r="AO143" s="15">
        <f t="shared" si="254"/>
        <v>0</v>
      </c>
      <c r="AP143" s="15">
        <f t="shared" si="254"/>
        <v>399466034</v>
      </c>
      <c r="AQ143" s="15">
        <f t="shared" si="254"/>
        <v>369000000</v>
      </c>
      <c r="AR143" s="15">
        <f t="shared" si="254"/>
        <v>0</v>
      </c>
      <c r="AS143" s="15">
        <f t="shared" si="254"/>
        <v>369000000</v>
      </c>
      <c r="AT143" s="1"/>
      <c r="AU143" s="1"/>
      <c r="AV143" s="1">
        <f t="shared" si="224"/>
        <v>4943931136</v>
      </c>
      <c r="AW143" s="36">
        <f t="shared" si="224"/>
        <v>1818796771</v>
      </c>
      <c r="AX143" s="197">
        <f t="shared" si="225"/>
        <v>4251343839</v>
      </c>
      <c r="AY143" s="1">
        <f t="shared" si="226"/>
        <v>3125134365</v>
      </c>
      <c r="AZ143" s="15"/>
      <c r="BA143" s="15"/>
      <c r="BB143" s="15"/>
    </row>
    <row r="144" spans="1:54" s="70" customFormat="1" ht="15.75" customHeight="1" x14ac:dyDescent="0.2">
      <c r="A144" s="70">
        <v>9</v>
      </c>
      <c r="B144" s="70" t="s">
        <v>190</v>
      </c>
      <c r="D144" s="15">
        <f t="shared" ref="D144:L144" si="255">D26+D35</f>
        <v>3335785</v>
      </c>
      <c r="E144" s="15">
        <f t="shared" si="255"/>
        <v>904800</v>
      </c>
      <c r="F144" s="15">
        <f t="shared" si="255"/>
        <v>2430985</v>
      </c>
      <c r="G144" s="15">
        <f t="shared" si="255"/>
        <v>335785</v>
      </c>
      <c r="H144" s="15">
        <f t="shared" si="255"/>
        <v>1041000</v>
      </c>
      <c r="I144" s="15">
        <f t="shared" si="255"/>
        <v>-705215</v>
      </c>
      <c r="J144" s="15">
        <f t="shared" si="255"/>
        <v>335785</v>
      </c>
      <c r="K144" s="15">
        <f t="shared" si="255"/>
        <v>0</v>
      </c>
      <c r="L144" s="15">
        <f t="shared" si="255"/>
        <v>335785</v>
      </c>
      <c r="M144" s="195">
        <f t="shared" si="219"/>
        <v>4007355</v>
      </c>
      <c r="N144" s="195">
        <f t="shared" si="219"/>
        <v>1945800</v>
      </c>
      <c r="O144" s="15">
        <f t="shared" ref="O144:W144" si="256">O26+O35</f>
        <v>335785</v>
      </c>
      <c r="P144" s="15">
        <f t="shared" si="256"/>
        <v>53000</v>
      </c>
      <c r="Q144" s="15">
        <f t="shared" si="256"/>
        <v>282785</v>
      </c>
      <c r="R144" s="15">
        <f t="shared" si="256"/>
        <v>335785</v>
      </c>
      <c r="S144" s="15">
        <f t="shared" si="256"/>
        <v>52500</v>
      </c>
      <c r="T144" s="15">
        <f t="shared" si="256"/>
        <v>283285</v>
      </c>
      <c r="U144" s="15">
        <f t="shared" si="256"/>
        <v>335785</v>
      </c>
      <c r="V144" s="15">
        <f t="shared" si="256"/>
        <v>0</v>
      </c>
      <c r="W144" s="15">
        <f t="shared" si="256"/>
        <v>335785</v>
      </c>
      <c r="X144" s="196">
        <f t="shared" si="221"/>
        <v>1007355</v>
      </c>
      <c r="Y144" s="196">
        <f t="shared" si="221"/>
        <v>105500</v>
      </c>
      <c r="Z144" s="15">
        <f t="shared" ref="Z144:AH144" si="257">Z26+Z35</f>
        <v>335785</v>
      </c>
      <c r="AA144" s="15">
        <f t="shared" si="257"/>
        <v>625000</v>
      </c>
      <c r="AB144" s="15">
        <f t="shared" si="257"/>
        <v>-289215</v>
      </c>
      <c r="AC144" s="15">
        <f t="shared" si="257"/>
        <v>335785</v>
      </c>
      <c r="AD144" s="15">
        <f t="shared" si="257"/>
        <v>2215600</v>
      </c>
      <c r="AE144" s="15">
        <f t="shared" si="257"/>
        <v>-1879815</v>
      </c>
      <c r="AF144" s="15">
        <f t="shared" si="257"/>
        <v>335785</v>
      </c>
      <c r="AG144" s="15">
        <f t="shared" si="257"/>
        <v>0</v>
      </c>
      <c r="AH144" s="15">
        <f t="shared" si="257"/>
        <v>335785</v>
      </c>
      <c r="AI144" s="1"/>
      <c r="AJ144" s="1"/>
      <c r="AK144" s="15">
        <f t="shared" ref="AK144:AS144" si="258">AK26+AK35</f>
        <v>335785</v>
      </c>
      <c r="AL144" s="15">
        <f t="shared" si="258"/>
        <v>0</v>
      </c>
      <c r="AM144" s="15">
        <f t="shared" si="258"/>
        <v>335785</v>
      </c>
      <c r="AN144" s="15">
        <f t="shared" si="258"/>
        <v>335785</v>
      </c>
      <c r="AO144" s="15">
        <f t="shared" si="258"/>
        <v>0</v>
      </c>
      <c r="AP144" s="15">
        <f t="shared" si="258"/>
        <v>335785</v>
      </c>
      <c r="AQ144" s="15">
        <f t="shared" si="258"/>
        <v>335785</v>
      </c>
      <c r="AR144" s="15">
        <f t="shared" si="258"/>
        <v>0</v>
      </c>
      <c r="AS144" s="15">
        <f t="shared" si="258"/>
        <v>335785</v>
      </c>
      <c r="AT144" s="1"/>
      <c r="AU144" s="1"/>
      <c r="AV144" s="1">
        <f t="shared" si="224"/>
        <v>7029420</v>
      </c>
      <c r="AW144" s="36">
        <f t="shared" si="224"/>
        <v>4891900</v>
      </c>
      <c r="AX144" s="197">
        <f t="shared" si="225"/>
        <v>6906610</v>
      </c>
      <c r="AY144" s="1">
        <f t="shared" si="226"/>
        <v>2137520</v>
      </c>
      <c r="AZ144" s="15"/>
      <c r="BA144" s="15"/>
      <c r="BB144" s="15"/>
    </row>
    <row r="145" spans="1:54" s="70" customFormat="1" ht="15.75" customHeight="1" x14ac:dyDescent="0.2">
      <c r="A145" s="70">
        <v>10</v>
      </c>
      <c r="B145" s="70" t="s">
        <v>154</v>
      </c>
      <c r="D145" s="15">
        <f t="shared" ref="D145:L145" si="259">D112</f>
        <v>40000000</v>
      </c>
      <c r="E145" s="15">
        <f t="shared" si="259"/>
        <v>157785000</v>
      </c>
      <c r="F145" s="15">
        <f t="shared" si="259"/>
        <v>-117785000</v>
      </c>
      <c r="G145" s="15">
        <f t="shared" si="259"/>
        <v>10000000</v>
      </c>
      <c r="H145" s="15">
        <f t="shared" si="259"/>
        <v>0</v>
      </c>
      <c r="I145" s="15">
        <f t="shared" si="259"/>
        <v>10000000</v>
      </c>
      <c r="J145" s="15">
        <f t="shared" si="259"/>
        <v>10000000</v>
      </c>
      <c r="K145" s="15">
        <f t="shared" si="259"/>
        <v>0</v>
      </c>
      <c r="L145" s="15">
        <f t="shared" si="259"/>
        <v>10000000</v>
      </c>
      <c r="M145" s="195">
        <f t="shared" si="219"/>
        <v>60000000</v>
      </c>
      <c r="N145" s="195">
        <f t="shared" si="219"/>
        <v>157785000</v>
      </c>
      <c r="O145" s="15">
        <f t="shared" ref="O145:W145" si="260">O112</f>
        <v>10000000</v>
      </c>
      <c r="P145" s="15">
        <f t="shared" si="260"/>
        <v>12000000</v>
      </c>
      <c r="Q145" s="15">
        <f t="shared" si="260"/>
        <v>-2000000</v>
      </c>
      <c r="R145" s="15">
        <f t="shared" si="260"/>
        <v>10000000</v>
      </c>
      <c r="S145" s="15">
        <f t="shared" si="260"/>
        <v>0</v>
      </c>
      <c r="T145" s="15">
        <f t="shared" si="260"/>
        <v>10000000</v>
      </c>
      <c r="U145" s="15">
        <f t="shared" si="260"/>
        <v>10000000</v>
      </c>
      <c r="V145" s="15">
        <f t="shared" si="260"/>
        <v>17536650</v>
      </c>
      <c r="W145" s="15">
        <f t="shared" si="260"/>
        <v>-7536650</v>
      </c>
      <c r="X145" s="196">
        <f t="shared" si="221"/>
        <v>30000000</v>
      </c>
      <c r="Y145" s="196">
        <f t="shared" si="221"/>
        <v>29536650</v>
      </c>
      <c r="Z145" s="15">
        <f t="shared" ref="Z145:AH145" si="261">Z112</f>
        <v>10000000</v>
      </c>
      <c r="AA145" s="15">
        <f t="shared" si="261"/>
        <v>0</v>
      </c>
      <c r="AB145" s="15">
        <f t="shared" si="261"/>
        <v>10000000</v>
      </c>
      <c r="AC145" s="15">
        <f t="shared" si="261"/>
        <v>10000000</v>
      </c>
      <c r="AD145" s="15">
        <f t="shared" si="261"/>
        <v>0</v>
      </c>
      <c r="AE145" s="15">
        <f t="shared" si="261"/>
        <v>10000000</v>
      </c>
      <c r="AF145" s="15">
        <f t="shared" si="261"/>
        <v>10000000</v>
      </c>
      <c r="AG145" s="15">
        <f t="shared" si="261"/>
        <v>0</v>
      </c>
      <c r="AH145" s="15">
        <f t="shared" si="261"/>
        <v>10000000</v>
      </c>
      <c r="AI145" s="1"/>
      <c r="AJ145" s="1"/>
      <c r="AK145" s="15">
        <f t="shared" ref="AK145:AS145" si="262">AK112</f>
        <v>10000000</v>
      </c>
      <c r="AL145" s="15">
        <f t="shared" si="262"/>
        <v>0</v>
      </c>
      <c r="AM145" s="15">
        <f t="shared" si="262"/>
        <v>10000000</v>
      </c>
      <c r="AN145" s="15">
        <f t="shared" si="262"/>
        <v>10000000</v>
      </c>
      <c r="AO145" s="15">
        <f t="shared" si="262"/>
        <v>0</v>
      </c>
      <c r="AP145" s="15">
        <f t="shared" si="262"/>
        <v>10000000</v>
      </c>
      <c r="AQ145" s="15">
        <f t="shared" si="262"/>
        <v>10000000</v>
      </c>
      <c r="AR145" s="15">
        <f t="shared" si="262"/>
        <v>0</v>
      </c>
      <c r="AS145" s="15">
        <f t="shared" si="262"/>
        <v>10000000</v>
      </c>
      <c r="AT145" s="1"/>
      <c r="AU145" s="1"/>
      <c r="AV145" s="1">
        <f t="shared" si="224"/>
        <v>150000000</v>
      </c>
      <c r="AW145" s="36">
        <f t="shared" si="224"/>
        <v>187321650</v>
      </c>
      <c r="AX145" s="197">
        <f t="shared" si="225"/>
        <v>247321650</v>
      </c>
      <c r="AY145" s="1">
        <f t="shared" si="226"/>
        <v>-37321650</v>
      </c>
      <c r="AZ145" s="15"/>
      <c r="BA145" s="15"/>
      <c r="BB145" s="15"/>
    </row>
    <row r="146" spans="1:54" s="70" customFormat="1" ht="15.75" customHeight="1" x14ac:dyDescent="0.2">
      <c r="A146" s="70">
        <v>11</v>
      </c>
      <c r="B146" s="70" t="s">
        <v>129</v>
      </c>
      <c r="D146" s="15">
        <f t="shared" ref="D146:L146" si="263">D82+D111</f>
        <v>4350000</v>
      </c>
      <c r="E146" s="15">
        <f t="shared" si="263"/>
        <v>100000</v>
      </c>
      <c r="F146" s="15">
        <f t="shared" si="263"/>
        <v>4250000</v>
      </c>
      <c r="G146" s="15">
        <f t="shared" si="263"/>
        <v>1816683</v>
      </c>
      <c r="H146" s="15">
        <f t="shared" si="263"/>
        <v>0</v>
      </c>
      <c r="I146" s="15">
        <f t="shared" si="263"/>
        <v>1816683</v>
      </c>
      <c r="J146" s="15">
        <f t="shared" si="263"/>
        <v>1816683</v>
      </c>
      <c r="K146" s="15">
        <f t="shared" si="263"/>
        <v>7930398</v>
      </c>
      <c r="L146" s="15">
        <f t="shared" si="263"/>
        <v>-6113715</v>
      </c>
      <c r="M146" s="195">
        <f t="shared" si="219"/>
        <v>7983366</v>
      </c>
      <c r="N146" s="195">
        <f t="shared" si="219"/>
        <v>8030398</v>
      </c>
      <c r="O146" s="15">
        <f t="shared" ref="O146:W146" si="264">O82+O111</f>
        <v>81816683</v>
      </c>
      <c r="P146" s="15">
        <f t="shared" si="264"/>
        <v>9586046</v>
      </c>
      <c r="Q146" s="15">
        <f t="shared" si="264"/>
        <v>72230637</v>
      </c>
      <c r="R146" s="15">
        <f t="shared" si="264"/>
        <v>1816683</v>
      </c>
      <c r="S146" s="15">
        <f t="shared" si="264"/>
        <v>8053024</v>
      </c>
      <c r="T146" s="15">
        <f t="shared" si="264"/>
        <v>-6236341</v>
      </c>
      <c r="U146" s="15">
        <f t="shared" si="264"/>
        <v>1816683</v>
      </c>
      <c r="V146" s="15">
        <f t="shared" si="264"/>
        <v>7882297</v>
      </c>
      <c r="W146" s="15">
        <f t="shared" si="264"/>
        <v>-6065614</v>
      </c>
      <c r="X146" s="196">
        <f t="shared" si="221"/>
        <v>85450049</v>
      </c>
      <c r="Y146" s="196">
        <f t="shared" si="221"/>
        <v>25521367</v>
      </c>
      <c r="Z146" s="15">
        <f t="shared" ref="Z146:AH146" si="265">Z82+Z111</f>
        <v>1816683</v>
      </c>
      <c r="AA146" s="15">
        <f t="shared" si="265"/>
        <v>8275503</v>
      </c>
      <c r="AB146" s="15">
        <f t="shared" si="265"/>
        <v>-6458820</v>
      </c>
      <c r="AC146" s="15">
        <f t="shared" si="265"/>
        <v>1816683</v>
      </c>
      <c r="AD146" s="15">
        <f t="shared" si="265"/>
        <v>8326305.4000000004</v>
      </c>
      <c r="AE146" s="15">
        <f t="shared" si="265"/>
        <v>-6509622.4000000004</v>
      </c>
      <c r="AF146" s="15">
        <f t="shared" si="265"/>
        <v>1816683</v>
      </c>
      <c r="AG146" s="15">
        <f t="shared" si="265"/>
        <v>8042503.2000000002</v>
      </c>
      <c r="AH146" s="15">
        <f t="shared" si="265"/>
        <v>-6225820.2000000002</v>
      </c>
      <c r="AI146" s="1"/>
      <c r="AJ146" s="1"/>
      <c r="AK146" s="15">
        <f t="shared" ref="AK146:AS146" si="266">AK82+AK111</f>
        <v>1816683</v>
      </c>
      <c r="AL146" s="15">
        <f t="shared" si="266"/>
        <v>0</v>
      </c>
      <c r="AM146" s="15">
        <f t="shared" si="266"/>
        <v>1816683</v>
      </c>
      <c r="AN146" s="15">
        <f t="shared" si="266"/>
        <v>1816683</v>
      </c>
      <c r="AO146" s="15">
        <f t="shared" si="266"/>
        <v>0</v>
      </c>
      <c r="AP146" s="15">
        <f t="shared" si="266"/>
        <v>1816683</v>
      </c>
      <c r="AQ146" s="15">
        <f t="shared" si="266"/>
        <v>1816683</v>
      </c>
      <c r="AR146" s="15">
        <f t="shared" si="266"/>
        <v>0</v>
      </c>
      <c r="AS146" s="15">
        <f t="shared" si="266"/>
        <v>1816683</v>
      </c>
      <c r="AT146" s="1"/>
      <c r="AU146" s="1"/>
      <c r="AV146" s="1">
        <f t="shared" si="224"/>
        <v>104333513</v>
      </c>
      <c r="AW146" s="36">
        <f t="shared" si="224"/>
        <v>58196076.600000001</v>
      </c>
      <c r="AX146" s="197">
        <f t="shared" si="225"/>
        <v>69096174.599999994</v>
      </c>
      <c r="AY146" s="1">
        <f t="shared" si="226"/>
        <v>46137436.399999999</v>
      </c>
      <c r="AZ146" s="15"/>
      <c r="BA146" s="15"/>
      <c r="BB146" s="15"/>
    </row>
    <row r="147" spans="1:54" s="70" customFormat="1" ht="15.75" customHeight="1" x14ac:dyDescent="0.2">
      <c r="A147" s="70">
        <v>13</v>
      </c>
      <c r="B147" s="70" t="s">
        <v>191</v>
      </c>
      <c r="D147" s="15">
        <f t="shared" ref="D147:L147" si="267">D8</f>
        <v>0</v>
      </c>
      <c r="E147" s="15">
        <f t="shared" si="267"/>
        <v>24685760</v>
      </c>
      <c r="F147" s="15">
        <f t="shared" si="267"/>
        <v>-24685760</v>
      </c>
      <c r="G147" s="15">
        <f t="shared" si="267"/>
        <v>0</v>
      </c>
      <c r="H147" s="15">
        <f t="shared" si="267"/>
        <v>23035431</v>
      </c>
      <c r="I147" s="15">
        <f t="shared" si="267"/>
        <v>-23035431</v>
      </c>
      <c r="J147" s="15">
        <f t="shared" si="267"/>
        <v>0</v>
      </c>
      <c r="K147" s="15">
        <f t="shared" si="267"/>
        <v>24198057</v>
      </c>
      <c r="L147" s="15">
        <f t="shared" si="267"/>
        <v>-24198057</v>
      </c>
      <c r="M147" s="195">
        <f t="shared" si="219"/>
        <v>0</v>
      </c>
      <c r="N147" s="195">
        <f t="shared" si="219"/>
        <v>71919248</v>
      </c>
      <c r="O147" s="15">
        <f t="shared" ref="O147:W147" si="268">O8</f>
        <v>0</v>
      </c>
      <c r="P147" s="15">
        <f t="shared" si="268"/>
        <v>4107230</v>
      </c>
      <c r="Q147" s="15">
        <f t="shared" si="268"/>
        <v>-4107230</v>
      </c>
      <c r="R147" s="15">
        <f t="shared" si="268"/>
        <v>0</v>
      </c>
      <c r="S147" s="15">
        <f t="shared" si="268"/>
        <v>3834180</v>
      </c>
      <c r="T147" s="15">
        <f t="shared" si="268"/>
        <v>-3834180</v>
      </c>
      <c r="U147" s="15">
        <f t="shared" si="268"/>
        <v>0</v>
      </c>
      <c r="V147" s="15">
        <f t="shared" si="268"/>
        <v>3838464</v>
      </c>
      <c r="W147" s="15">
        <f t="shared" si="268"/>
        <v>-3838464</v>
      </c>
      <c r="X147" s="196">
        <f t="shared" si="221"/>
        <v>0</v>
      </c>
      <c r="Y147" s="196">
        <f t="shared" si="221"/>
        <v>11779874</v>
      </c>
      <c r="Z147" s="15">
        <f t="shared" ref="Z147:AH147" si="269">Z8</f>
        <v>0</v>
      </c>
      <c r="AA147" s="15">
        <f t="shared" si="269"/>
        <v>0</v>
      </c>
      <c r="AB147" s="15">
        <f t="shared" si="269"/>
        <v>0</v>
      </c>
      <c r="AC147" s="15">
        <f t="shared" si="269"/>
        <v>0</v>
      </c>
      <c r="AD147" s="15">
        <f t="shared" si="269"/>
        <v>0</v>
      </c>
      <c r="AE147" s="15">
        <f t="shared" si="269"/>
        <v>0</v>
      </c>
      <c r="AF147" s="15">
        <f t="shared" si="269"/>
        <v>0</v>
      </c>
      <c r="AG147" s="15">
        <f t="shared" si="269"/>
        <v>0</v>
      </c>
      <c r="AH147" s="15">
        <f t="shared" si="269"/>
        <v>0</v>
      </c>
      <c r="AI147" s="1"/>
      <c r="AJ147" s="1"/>
      <c r="AK147" s="15">
        <f t="shared" ref="AK147:AS147" si="270">AK8</f>
        <v>0</v>
      </c>
      <c r="AL147" s="15">
        <f t="shared" si="270"/>
        <v>0</v>
      </c>
      <c r="AM147" s="15">
        <f t="shared" si="270"/>
        <v>0</v>
      </c>
      <c r="AN147" s="15">
        <f t="shared" si="270"/>
        <v>0</v>
      </c>
      <c r="AO147" s="15">
        <f t="shared" si="270"/>
        <v>0</v>
      </c>
      <c r="AP147" s="15">
        <f t="shared" si="270"/>
        <v>0</v>
      </c>
      <c r="AQ147" s="15">
        <f t="shared" si="270"/>
        <v>0</v>
      </c>
      <c r="AR147" s="15">
        <f t="shared" si="270"/>
        <v>0</v>
      </c>
      <c r="AS147" s="15">
        <f t="shared" si="270"/>
        <v>0</v>
      </c>
      <c r="AT147" s="1"/>
      <c r="AU147" s="1"/>
      <c r="AV147" s="1">
        <f t="shared" si="224"/>
        <v>0</v>
      </c>
      <c r="AW147" s="36">
        <f t="shared" si="224"/>
        <v>83699122</v>
      </c>
      <c r="AX147" s="197">
        <f t="shared" si="225"/>
        <v>83699122</v>
      </c>
      <c r="AY147" s="1">
        <f t="shared" si="226"/>
        <v>-83699122</v>
      </c>
      <c r="AZ147" s="15"/>
      <c r="BA147" s="15"/>
      <c r="BB147" s="15"/>
    </row>
    <row r="148" spans="1:54" s="70" customFormat="1" ht="15.75" customHeight="1" x14ac:dyDescent="0.2">
      <c r="A148" s="70">
        <v>14</v>
      </c>
      <c r="B148" s="70" t="s">
        <v>27</v>
      </c>
      <c r="D148" s="15">
        <f t="shared" ref="D148:L148" si="271">D7</f>
        <v>0</v>
      </c>
      <c r="E148" s="15">
        <f t="shared" si="271"/>
        <v>679428</v>
      </c>
      <c r="F148" s="15">
        <f t="shared" si="271"/>
        <v>-679428</v>
      </c>
      <c r="G148" s="15">
        <f t="shared" si="271"/>
        <v>0</v>
      </c>
      <c r="H148" s="15">
        <f t="shared" si="271"/>
        <v>621941</v>
      </c>
      <c r="I148" s="15">
        <f t="shared" si="271"/>
        <v>-621941</v>
      </c>
      <c r="J148" s="15">
        <f t="shared" si="271"/>
        <v>0</v>
      </c>
      <c r="K148" s="15">
        <f t="shared" si="271"/>
        <v>661978</v>
      </c>
      <c r="L148" s="15">
        <f t="shared" si="271"/>
        <v>-661978</v>
      </c>
      <c r="M148" s="195">
        <f t="shared" si="219"/>
        <v>0</v>
      </c>
      <c r="N148" s="195">
        <f t="shared" si="219"/>
        <v>1963347</v>
      </c>
      <c r="O148" s="15">
        <f t="shared" ref="O148:W148" si="272">O7</f>
        <v>0</v>
      </c>
      <c r="P148" s="15">
        <f t="shared" si="272"/>
        <v>655835</v>
      </c>
      <c r="Q148" s="15">
        <f t="shared" si="272"/>
        <v>-655835</v>
      </c>
      <c r="R148" s="15">
        <f t="shared" si="272"/>
        <v>0</v>
      </c>
      <c r="S148" s="15">
        <f t="shared" si="272"/>
        <v>600766</v>
      </c>
      <c r="T148" s="15">
        <f t="shared" si="272"/>
        <v>-600766</v>
      </c>
      <c r="U148" s="15">
        <f t="shared" si="272"/>
        <v>0</v>
      </c>
      <c r="V148" s="15">
        <f t="shared" si="272"/>
        <v>601630</v>
      </c>
      <c r="W148" s="15">
        <f t="shared" si="272"/>
        <v>-601630</v>
      </c>
      <c r="X148" s="196">
        <f t="shared" si="221"/>
        <v>0</v>
      </c>
      <c r="Y148" s="196">
        <f t="shared" si="221"/>
        <v>1858231</v>
      </c>
      <c r="Z148" s="15">
        <f t="shared" ref="Z148:AH148" si="273">Z7</f>
        <v>0</v>
      </c>
      <c r="AA148" s="15">
        <f t="shared" si="273"/>
        <v>0</v>
      </c>
      <c r="AB148" s="15">
        <f t="shared" si="273"/>
        <v>0</v>
      </c>
      <c r="AC148" s="15">
        <f t="shared" si="273"/>
        <v>0</v>
      </c>
      <c r="AD148" s="15">
        <f t="shared" si="273"/>
        <v>0</v>
      </c>
      <c r="AE148" s="15">
        <f t="shared" si="273"/>
        <v>0</v>
      </c>
      <c r="AF148" s="15">
        <f t="shared" si="273"/>
        <v>0</v>
      </c>
      <c r="AG148" s="15">
        <f t="shared" si="273"/>
        <v>0</v>
      </c>
      <c r="AH148" s="15">
        <f t="shared" si="273"/>
        <v>0</v>
      </c>
      <c r="AI148" s="1"/>
      <c r="AJ148" s="1"/>
      <c r="AK148" s="15">
        <f t="shared" ref="AK148:AS148" si="274">AK7</f>
        <v>0</v>
      </c>
      <c r="AL148" s="15">
        <f t="shared" si="274"/>
        <v>0</v>
      </c>
      <c r="AM148" s="15">
        <f t="shared" si="274"/>
        <v>0</v>
      </c>
      <c r="AN148" s="15">
        <f t="shared" si="274"/>
        <v>0</v>
      </c>
      <c r="AO148" s="15">
        <f t="shared" si="274"/>
        <v>0</v>
      </c>
      <c r="AP148" s="15">
        <f t="shared" si="274"/>
        <v>0</v>
      </c>
      <c r="AQ148" s="15">
        <f t="shared" si="274"/>
        <v>0</v>
      </c>
      <c r="AR148" s="15">
        <f t="shared" si="274"/>
        <v>0</v>
      </c>
      <c r="AS148" s="15">
        <f t="shared" si="274"/>
        <v>0</v>
      </c>
      <c r="AT148" s="1"/>
      <c r="AU148" s="1"/>
      <c r="AV148" s="1">
        <f t="shared" si="224"/>
        <v>0</v>
      </c>
      <c r="AW148" s="36">
        <f t="shared" si="224"/>
        <v>3821578</v>
      </c>
      <c r="AX148" s="197">
        <f t="shared" si="225"/>
        <v>3821578</v>
      </c>
      <c r="AY148" s="1">
        <f t="shared" si="226"/>
        <v>-3821578</v>
      </c>
      <c r="AZ148" s="15"/>
      <c r="BA148" s="15"/>
      <c r="BB148" s="15"/>
    </row>
    <row r="149" spans="1:54" s="70" customFormat="1" ht="15.75" customHeight="1" x14ac:dyDescent="0.2">
      <c r="A149" s="70">
        <v>15</v>
      </c>
      <c r="B149" s="70" t="s">
        <v>192</v>
      </c>
      <c r="D149" s="15">
        <f t="shared" ref="D149:L149" si="275">D27+D29+D79+D28</f>
        <v>100000</v>
      </c>
      <c r="E149" s="15">
        <f t="shared" si="275"/>
        <v>30951683</v>
      </c>
      <c r="F149" s="15">
        <f t="shared" si="275"/>
        <v>-30851683</v>
      </c>
      <c r="G149" s="15">
        <f t="shared" si="275"/>
        <v>100000</v>
      </c>
      <c r="H149" s="15">
        <f t="shared" si="275"/>
        <v>0</v>
      </c>
      <c r="I149" s="15">
        <f t="shared" si="275"/>
        <v>100000</v>
      </c>
      <c r="J149" s="15">
        <f t="shared" si="275"/>
        <v>600000</v>
      </c>
      <c r="K149" s="15">
        <f t="shared" si="275"/>
        <v>0</v>
      </c>
      <c r="L149" s="15">
        <f t="shared" si="275"/>
        <v>600000</v>
      </c>
      <c r="M149" s="195">
        <f t="shared" si="219"/>
        <v>800000</v>
      </c>
      <c r="N149" s="195">
        <f t="shared" si="219"/>
        <v>30951683</v>
      </c>
      <c r="O149" s="15">
        <f t="shared" ref="O149:W149" si="276">O27+O29+O79+O28</f>
        <v>10100000</v>
      </c>
      <c r="P149" s="15">
        <f t="shared" si="276"/>
        <v>0</v>
      </c>
      <c r="Q149" s="15">
        <f t="shared" si="276"/>
        <v>10100000</v>
      </c>
      <c r="R149" s="15">
        <f t="shared" si="276"/>
        <v>100000</v>
      </c>
      <c r="S149" s="15">
        <f t="shared" si="276"/>
        <v>0</v>
      </c>
      <c r="T149" s="15">
        <f t="shared" si="276"/>
        <v>100000</v>
      </c>
      <c r="U149" s="15">
        <f t="shared" si="276"/>
        <v>25100000</v>
      </c>
      <c r="V149" s="15">
        <f t="shared" si="276"/>
        <v>0</v>
      </c>
      <c r="W149" s="15">
        <f t="shared" si="276"/>
        <v>25100000</v>
      </c>
      <c r="X149" s="196">
        <f t="shared" si="221"/>
        <v>35300000</v>
      </c>
      <c r="Y149" s="196">
        <f t="shared" si="221"/>
        <v>0</v>
      </c>
      <c r="Z149" s="15">
        <f t="shared" ref="Z149:AH149" si="277">Z27+Z29+Z79+Z28</f>
        <v>100000</v>
      </c>
      <c r="AA149" s="15">
        <f t="shared" si="277"/>
        <v>0</v>
      </c>
      <c r="AB149" s="15">
        <f t="shared" si="277"/>
        <v>100000</v>
      </c>
      <c r="AC149" s="15">
        <f t="shared" si="277"/>
        <v>7500000</v>
      </c>
      <c r="AD149" s="15">
        <f t="shared" si="277"/>
        <v>0</v>
      </c>
      <c r="AE149" s="15">
        <f t="shared" si="277"/>
        <v>7500000</v>
      </c>
      <c r="AF149" s="15">
        <f t="shared" si="277"/>
        <v>100000</v>
      </c>
      <c r="AG149" s="15">
        <f t="shared" si="277"/>
        <v>0</v>
      </c>
      <c r="AH149" s="15">
        <f t="shared" si="277"/>
        <v>100000</v>
      </c>
      <c r="AI149" s="1"/>
      <c r="AJ149" s="1"/>
      <c r="AK149" s="15">
        <f t="shared" ref="AK149:AS149" si="278">AK27+AK29+AK79+AK28</f>
        <v>100000</v>
      </c>
      <c r="AL149" s="15">
        <f t="shared" si="278"/>
        <v>0</v>
      </c>
      <c r="AM149" s="15">
        <f t="shared" si="278"/>
        <v>100000</v>
      </c>
      <c r="AN149" s="15">
        <f t="shared" si="278"/>
        <v>100000</v>
      </c>
      <c r="AO149" s="15">
        <f t="shared" si="278"/>
        <v>0</v>
      </c>
      <c r="AP149" s="15">
        <f t="shared" si="278"/>
        <v>100000</v>
      </c>
      <c r="AQ149" s="15">
        <f t="shared" si="278"/>
        <v>25100000</v>
      </c>
      <c r="AR149" s="15">
        <f t="shared" si="278"/>
        <v>0</v>
      </c>
      <c r="AS149" s="15">
        <f t="shared" si="278"/>
        <v>25100000</v>
      </c>
      <c r="AT149" s="1"/>
      <c r="AU149" s="1"/>
      <c r="AV149" s="1">
        <f t="shared" si="224"/>
        <v>69100000</v>
      </c>
      <c r="AW149" s="36">
        <f t="shared" si="224"/>
        <v>30951683</v>
      </c>
      <c r="AX149" s="197">
        <f t="shared" si="225"/>
        <v>63951683</v>
      </c>
      <c r="AY149" s="1">
        <f t="shared" si="226"/>
        <v>38148317</v>
      </c>
      <c r="AZ149" s="15"/>
      <c r="BA149" s="15"/>
      <c r="BB149" s="15"/>
    </row>
    <row r="150" spans="1:54" s="70" customFormat="1" ht="15.75" customHeight="1" x14ac:dyDescent="0.2">
      <c r="A150" s="70">
        <v>16</v>
      </c>
      <c r="B150" s="70" t="s">
        <v>100</v>
      </c>
      <c r="D150" s="15">
        <f t="shared" ref="D150:L150" si="279">D53</f>
        <v>8913594</v>
      </c>
      <c r="E150" s="15">
        <f t="shared" si="279"/>
        <v>5401396</v>
      </c>
      <c r="F150" s="15">
        <f t="shared" si="279"/>
        <v>3512198</v>
      </c>
      <c r="G150" s="15">
        <f t="shared" si="279"/>
        <v>8913594</v>
      </c>
      <c r="H150" s="15">
        <f t="shared" si="279"/>
        <v>8956702</v>
      </c>
      <c r="I150" s="15">
        <f t="shared" si="279"/>
        <v>-43108</v>
      </c>
      <c r="J150" s="15">
        <f t="shared" si="279"/>
        <v>8913594</v>
      </c>
      <c r="K150" s="15">
        <f t="shared" si="279"/>
        <v>10360619</v>
      </c>
      <c r="L150" s="15">
        <f t="shared" si="279"/>
        <v>-1447025</v>
      </c>
      <c r="M150" s="195">
        <f t="shared" si="219"/>
        <v>26740782</v>
      </c>
      <c r="N150" s="195">
        <f t="shared" si="219"/>
        <v>24718717</v>
      </c>
      <c r="O150" s="15">
        <f t="shared" ref="O150:W150" si="280">O53</f>
        <v>8913594</v>
      </c>
      <c r="P150" s="15">
        <f t="shared" si="280"/>
        <v>10509416</v>
      </c>
      <c r="Q150" s="15">
        <f t="shared" si="280"/>
        <v>-1595822</v>
      </c>
      <c r="R150" s="15">
        <f t="shared" si="280"/>
        <v>8913594</v>
      </c>
      <c r="S150" s="15">
        <f t="shared" si="280"/>
        <v>4451830</v>
      </c>
      <c r="T150" s="15">
        <f t="shared" si="280"/>
        <v>4461764</v>
      </c>
      <c r="U150" s="15">
        <f t="shared" si="280"/>
        <v>8913594</v>
      </c>
      <c r="V150" s="15">
        <f t="shared" si="280"/>
        <v>11647487</v>
      </c>
      <c r="W150" s="15">
        <f t="shared" si="280"/>
        <v>-2733893</v>
      </c>
      <c r="X150" s="196">
        <f t="shared" si="221"/>
        <v>26740782</v>
      </c>
      <c r="Y150" s="196">
        <f t="shared" si="221"/>
        <v>26608733</v>
      </c>
      <c r="Z150" s="15">
        <f t="shared" ref="Z150:AH150" si="281">Z53</f>
        <v>8913594</v>
      </c>
      <c r="AA150" s="15">
        <f t="shared" si="281"/>
        <v>7035736</v>
      </c>
      <c r="AB150" s="15">
        <f t="shared" si="281"/>
        <v>1877858</v>
      </c>
      <c r="AC150" s="15">
        <f t="shared" si="281"/>
        <v>8913594</v>
      </c>
      <c r="AD150" s="15">
        <f t="shared" si="281"/>
        <v>17560378</v>
      </c>
      <c r="AE150" s="15">
        <f t="shared" si="281"/>
        <v>-8646784</v>
      </c>
      <c r="AF150" s="15">
        <f t="shared" si="281"/>
        <v>8913594</v>
      </c>
      <c r="AG150" s="15">
        <f t="shared" si="281"/>
        <v>9920975</v>
      </c>
      <c r="AH150" s="15">
        <f t="shared" si="281"/>
        <v>-1007381</v>
      </c>
      <c r="AI150" s="1"/>
      <c r="AJ150" s="1"/>
      <c r="AK150" s="15">
        <f t="shared" ref="AK150:AS150" si="282">AK53</f>
        <v>8913594</v>
      </c>
      <c r="AL150" s="15">
        <f t="shared" si="282"/>
        <v>0</v>
      </c>
      <c r="AM150" s="15">
        <f t="shared" si="282"/>
        <v>8913594</v>
      </c>
      <c r="AN150" s="15">
        <f t="shared" si="282"/>
        <v>8913594</v>
      </c>
      <c r="AO150" s="15">
        <f t="shared" si="282"/>
        <v>0</v>
      </c>
      <c r="AP150" s="15">
        <f t="shared" si="282"/>
        <v>8913594</v>
      </c>
      <c r="AQ150" s="15">
        <f t="shared" si="282"/>
        <v>8913594</v>
      </c>
      <c r="AR150" s="15">
        <f t="shared" si="282"/>
        <v>0</v>
      </c>
      <c r="AS150" s="15">
        <f t="shared" si="282"/>
        <v>8913594</v>
      </c>
      <c r="AT150" s="1"/>
      <c r="AU150" s="1"/>
      <c r="AV150" s="1">
        <f t="shared" si="224"/>
        <v>106963128</v>
      </c>
      <c r="AW150" s="36">
        <f t="shared" si="224"/>
        <v>85844539</v>
      </c>
      <c r="AX150" s="197">
        <f t="shared" si="225"/>
        <v>139326103</v>
      </c>
      <c r="AY150" s="1">
        <f t="shared" si="226"/>
        <v>21118589</v>
      </c>
      <c r="AZ150" s="15"/>
      <c r="BA150" s="15"/>
      <c r="BB150" s="15"/>
    </row>
    <row r="151" spans="1:54" s="70" customFormat="1" ht="15.75" customHeight="1" x14ac:dyDescent="0.2">
      <c r="A151" s="70">
        <v>17</v>
      </c>
      <c r="B151" s="70" t="s">
        <v>84</v>
      </c>
      <c r="D151" s="15">
        <f t="shared" ref="D151:L151" si="283">D25+D45+D62+D66+D88+D94+D100+D109+D85+D97</f>
        <v>102936907</v>
      </c>
      <c r="E151" s="15">
        <f t="shared" si="283"/>
        <v>3928000</v>
      </c>
      <c r="F151" s="15">
        <f t="shared" si="283"/>
        <v>99008907</v>
      </c>
      <c r="G151" s="15">
        <f t="shared" si="283"/>
        <v>54136907</v>
      </c>
      <c r="H151" s="15">
        <f t="shared" si="283"/>
        <v>9136800</v>
      </c>
      <c r="I151" s="15">
        <f t="shared" si="283"/>
        <v>45000107</v>
      </c>
      <c r="J151" s="15">
        <f t="shared" si="283"/>
        <v>53094907</v>
      </c>
      <c r="K151" s="15">
        <f t="shared" si="283"/>
        <v>500000</v>
      </c>
      <c r="L151" s="15">
        <f t="shared" si="283"/>
        <v>52594907</v>
      </c>
      <c r="M151" s="195">
        <f t="shared" si="219"/>
        <v>210168721</v>
      </c>
      <c r="N151" s="195">
        <f t="shared" si="219"/>
        <v>13564800</v>
      </c>
      <c r="O151" s="15">
        <f t="shared" ref="O151:W151" si="284">O25+O45+O62+O66+O88+O94+O100+O109+O85+O97</f>
        <v>69936907</v>
      </c>
      <c r="P151" s="15">
        <f t="shared" si="284"/>
        <v>9221045</v>
      </c>
      <c r="Q151" s="15">
        <f t="shared" si="284"/>
        <v>60715862</v>
      </c>
      <c r="R151" s="15">
        <f t="shared" si="284"/>
        <v>26104907</v>
      </c>
      <c r="S151" s="15">
        <f t="shared" si="284"/>
        <v>19423328</v>
      </c>
      <c r="T151" s="15">
        <f t="shared" si="284"/>
        <v>6681579</v>
      </c>
      <c r="U151" s="15">
        <f t="shared" si="284"/>
        <v>55227907</v>
      </c>
      <c r="V151" s="15">
        <f t="shared" si="284"/>
        <v>6146100</v>
      </c>
      <c r="W151" s="15">
        <f t="shared" si="284"/>
        <v>49081807</v>
      </c>
      <c r="X151" s="196">
        <f t="shared" si="221"/>
        <v>151269721</v>
      </c>
      <c r="Y151" s="196">
        <f t="shared" si="221"/>
        <v>34790473</v>
      </c>
      <c r="Z151" s="15">
        <f t="shared" ref="Z151:AH151" si="285">Z25+Z45+Z62+Z66+Z88+Z94+Z100+Z109+Z85+Z97</f>
        <v>85836907</v>
      </c>
      <c r="AA151" s="15">
        <f t="shared" si="285"/>
        <v>4910600</v>
      </c>
      <c r="AB151" s="15">
        <f t="shared" si="285"/>
        <v>80926307</v>
      </c>
      <c r="AC151" s="15">
        <f t="shared" si="285"/>
        <v>40280907</v>
      </c>
      <c r="AD151" s="15">
        <f t="shared" si="285"/>
        <v>1413610</v>
      </c>
      <c r="AE151" s="15">
        <f t="shared" si="285"/>
        <v>38867297</v>
      </c>
      <c r="AF151" s="15">
        <f t="shared" si="285"/>
        <v>44870907</v>
      </c>
      <c r="AG151" s="15">
        <f t="shared" si="285"/>
        <v>12998086</v>
      </c>
      <c r="AH151" s="15">
        <f t="shared" si="285"/>
        <v>31872821</v>
      </c>
      <c r="AI151" s="1"/>
      <c r="AJ151" s="1"/>
      <c r="AK151" s="15">
        <f t="shared" ref="AK151:AS151" si="286">AK25+AK45+AK62+AK66+AK88+AK94+AK100+AK109+AK85+AK97</f>
        <v>73328907</v>
      </c>
      <c r="AL151" s="15">
        <f t="shared" si="286"/>
        <v>0</v>
      </c>
      <c r="AM151" s="15">
        <f t="shared" si="286"/>
        <v>73328907</v>
      </c>
      <c r="AN151" s="15">
        <f t="shared" si="286"/>
        <v>55386907</v>
      </c>
      <c r="AO151" s="15">
        <f t="shared" si="286"/>
        <v>0</v>
      </c>
      <c r="AP151" s="15">
        <f t="shared" si="286"/>
        <v>55386907</v>
      </c>
      <c r="AQ151" s="15">
        <f t="shared" si="286"/>
        <v>98454907</v>
      </c>
      <c r="AR151" s="15">
        <f t="shared" si="286"/>
        <v>0</v>
      </c>
      <c r="AS151" s="15">
        <f t="shared" si="286"/>
        <v>98454907</v>
      </c>
      <c r="AT151" s="1"/>
      <c r="AU151" s="1"/>
      <c r="AV151" s="1">
        <f t="shared" si="224"/>
        <v>759597884</v>
      </c>
      <c r="AW151" s="36">
        <f t="shared" si="224"/>
        <v>67677569</v>
      </c>
      <c r="AX151" s="197">
        <f t="shared" si="225"/>
        <v>465837011</v>
      </c>
      <c r="AY151" s="1">
        <f t="shared" si="226"/>
        <v>691920315</v>
      </c>
      <c r="AZ151" s="15"/>
      <c r="BA151" s="15"/>
      <c r="BB151" s="15"/>
    </row>
    <row r="152" spans="1:54" s="70" customFormat="1" ht="15.75" customHeight="1" x14ac:dyDescent="0.2">
      <c r="A152" s="70">
        <v>18</v>
      </c>
      <c r="B152" s="70" t="s">
        <v>72</v>
      </c>
      <c r="D152" s="15">
        <f t="shared" ref="D152:L152" si="287">D37</f>
        <v>2637954</v>
      </c>
      <c r="E152" s="15">
        <f t="shared" si="287"/>
        <v>5268800</v>
      </c>
      <c r="F152" s="15">
        <f t="shared" si="287"/>
        <v>-2630846</v>
      </c>
      <c r="G152" s="15">
        <f t="shared" si="287"/>
        <v>2637954</v>
      </c>
      <c r="H152" s="15">
        <f t="shared" si="287"/>
        <v>5038130</v>
      </c>
      <c r="I152" s="15">
        <f t="shared" si="287"/>
        <v>-2400176</v>
      </c>
      <c r="J152" s="15">
        <f t="shared" si="287"/>
        <v>2637954</v>
      </c>
      <c r="K152" s="15">
        <f t="shared" si="287"/>
        <v>3993512</v>
      </c>
      <c r="L152" s="15">
        <f t="shared" si="287"/>
        <v>-1355558</v>
      </c>
      <c r="M152" s="195">
        <f t="shared" si="219"/>
        <v>7913862</v>
      </c>
      <c r="N152" s="195">
        <f t="shared" si="219"/>
        <v>14300442</v>
      </c>
      <c r="O152" s="15">
        <f t="shared" ref="O152:W152" si="288">O37</f>
        <v>2637954</v>
      </c>
      <c r="P152" s="15">
        <f t="shared" si="288"/>
        <v>6999796</v>
      </c>
      <c r="Q152" s="15">
        <f t="shared" si="288"/>
        <v>-4361842</v>
      </c>
      <c r="R152" s="15">
        <f t="shared" si="288"/>
        <v>2637954</v>
      </c>
      <c r="S152" s="15">
        <f t="shared" si="288"/>
        <v>11059790</v>
      </c>
      <c r="T152" s="15">
        <f t="shared" si="288"/>
        <v>-8421836</v>
      </c>
      <c r="U152" s="15">
        <f t="shared" si="288"/>
        <v>2637954</v>
      </c>
      <c r="V152" s="15">
        <f t="shared" si="288"/>
        <v>2883392</v>
      </c>
      <c r="W152" s="15">
        <f t="shared" si="288"/>
        <v>-245438</v>
      </c>
      <c r="X152" s="196">
        <f t="shared" si="221"/>
        <v>7913862</v>
      </c>
      <c r="Y152" s="196">
        <f t="shared" si="221"/>
        <v>20942978</v>
      </c>
      <c r="Z152" s="15">
        <f t="shared" ref="Z152:AH152" si="289">Z37</f>
        <v>2637954</v>
      </c>
      <c r="AA152" s="15">
        <f t="shared" si="289"/>
        <v>14466421.720000001</v>
      </c>
      <c r="AB152" s="15">
        <f t="shared" si="289"/>
        <v>-11828467.720000001</v>
      </c>
      <c r="AC152" s="15">
        <f t="shared" si="289"/>
        <v>2637954</v>
      </c>
      <c r="AD152" s="15">
        <f t="shared" si="289"/>
        <v>10141541.119999999</v>
      </c>
      <c r="AE152" s="15">
        <f t="shared" si="289"/>
        <v>-7503587.1199999992</v>
      </c>
      <c r="AF152" s="15">
        <f t="shared" si="289"/>
        <v>2637954</v>
      </c>
      <c r="AG152" s="15">
        <f t="shared" si="289"/>
        <v>7049367.5099999998</v>
      </c>
      <c r="AH152" s="15">
        <f t="shared" si="289"/>
        <v>-4411413.51</v>
      </c>
      <c r="AI152" s="1"/>
      <c r="AJ152" s="1"/>
      <c r="AK152" s="15">
        <f t="shared" ref="AK152:AS152" si="290">AK37</f>
        <v>2637954</v>
      </c>
      <c r="AL152" s="15">
        <f t="shared" si="290"/>
        <v>0</v>
      </c>
      <c r="AM152" s="15">
        <f t="shared" si="290"/>
        <v>2637954</v>
      </c>
      <c r="AN152" s="15">
        <f t="shared" si="290"/>
        <v>2637954</v>
      </c>
      <c r="AO152" s="15">
        <f t="shared" si="290"/>
        <v>0</v>
      </c>
      <c r="AP152" s="15">
        <f t="shared" si="290"/>
        <v>2637954</v>
      </c>
      <c r="AQ152" s="15">
        <f t="shared" si="290"/>
        <v>2637954</v>
      </c>
      <c r="AR152" s="15">
        <f t="shared" si="290"/>
        <v>0</v>
      </c>
      <c r="AS152" s="15">
        <f t="shared" si="290"/>
        <v>2637954</v>
      </c>
      <c r="AT152" s="1"/>
      <c r="AU152" s="1"/>
      <c r="AV152" s="1">
        <f t="shared" si="224"/>
        <v>31655448</v>
      </c>
      <c r="AW152" s="36">
        <f t="shared" si="224"/>
        <v>66900750.350000001</v>
      </c>
      <c r="AX152" s="197">
        <f t="shared" si="225"/>
        <v>82728474.349999994</v>
      </c>
      <c r="AY152" s="1">
        <f t="shared" si="226"/>
        <v>-35245302.350000001</v>
      </c>
      <c r="AZ152" s="15"/>
      <c r="BA152" s="15"/>
      <c r="BB152" s="15"/>
    </row>
    <row r="153" spans="1:54" s="70" customFormat="1" ht="15.75" customHeight="1" x14ac:dyDescent="0.2">
      <c r="A153" s="70">
        <v>19</v>
      </c>
      <c r="B153" s="70" t="s">
        <v>193</v>
      </c>
      <c r="D153" s="15">
        <f t="shared" ref="D153:L153" si="291">D12+D13+D108+D76</f>
        <v>42385307.600000001</v>
      </c>
      <c r="E153" s="15">
        <f t="shared" si="291"/>
        <v>16110700</v>
      </c>
      <c r="F153" s="15">
        <f t="shared" si="291"/>
        <v>26274607.600000001</v>
      </c>
      <c r="G153" s="15">
        <f t="shared" si="291"/>
        <v>33083808.600000001</v>
      </c>
      <c r="H153" s="15">
        <f t="shared" si="291"/>
        <v>22144065</v>
      </c>
      <c r="I153" s="15">
        <f t="shared" si="291"/>
        <v>10939743.600000001</v>
      </c>
      <c r="J153" s="15">
        <f t="shared" si="291"/>
        <v>33083808.600000001</v>
      </c>
      <c r="K153" s="15">
        <f t="shared" si="291"/>
        <v>31025450</v>
      </c>
      <c r="L153" s="15">
        <f t="shared" si="291"/>
        <v>2058358.6000000015</v>
      </c>
      <c r="M153" s="195">
        <f t="shared" si="219"/>
        <v>108552924.80000001</v>
      </c>
      <c r="N153" s="195">
        <f t="shared" si="219"/>
        <v>69280215</v>
      </c>
      <c r="O153" s="15">
        <f t="shared" ref="O153:W153" si="292">O12+O13+O108+O76</f>
        <v>35322045.512000009</v>
      </c>
      <c r="P153" s="15">
        <f t="shared" si="292"/>
        <v>10685271</v>
      </c>
      <c r="Q153" s="15">
        <f t="shared" si="292"/>
        <v>24636774.512000006</v>
      </c>
      <c r="R153" s="15">
        <f t="shared" si="292"/>
        <v>35322045.512000009</v>
      </c>
      <c r="S153" s="15">
        <f t="shared" si="292"/>
        <v>21807569</v>
      </c>
      <c r="T153" s="15">
        <f t="shared" si="292"/>
        <v>13514476.512000006</v>
      </c>
      <c r="U153" s="15">
        <f t="shared" si="292"/>
        <v>35322045.512000009</v>
      </c>
      <c r="V153" s="15">
        <f t="shared" si="292"/>
        <v>9273461</v>
      </c>
      <c r="W153" s="15">
        <f t="shared" si="292"/>
        <v>26048584.512000006</v>
      </c>
      <c r="X153" s="196">
        <f t="shared" si="221"/>
        <v>105966136.53600003</v>
      </c>
      <c r="Y153" s="196">
        <f t="shared" si="221"/>
        <v>41766301</v>
      </c>
      <c r="Z153" s="15">
        <f t="shared" ref="Z153:AH153" si="293">Z12+Z13+Z108+Z76</f>
        <v>35322045.512000009</v>
      </c>
      <c r="AA153" s="15">
        <f t="shared" si="293"/>
        <v>38358725</v>
      </c>
      <c r="AB153" s="15">
        <f t="shared" si="293"/>
        <v>-3036679.4879999943</v>
      </c>
      <c r="AC153" s="15">
        <f t="shared" si="293"/>
        <v>385327070.51200002</v>
      </c>
      <c r="AD153" s="15">
        <f t="shared" si="293"/>
        <v>5091031</v>
      </c>
      <c r="AE153" s="15">
        <f t="shared" si="293"/>
        <v>380236039.51200002</v>
      </c>
      <c r="AF153" s="15">
        <f t="shared" si="293"/>
        <v>35322045.512000009</v>
      </c>
      <c r="AG153" s="15">
        <f t="shared" si="293"/>
        <v>89880317</v>
      </c>
      <c r="AH153" s="15">
        <f t="shared" si="293"/>
        <v>-54558271.487999991</v>
      </c>
      <c r="AI153" s="1"/>
      <c r="AJ153" s="1"/>
      <c r="AK153" s="15">
        <f t="shared" ref="AK153:AS153" si="294">AK12+AK13+AK108+AK76</f>
        <v>35322045.512000009</v>
      </c>
      <c r="AL153" s="15">
        <f t="shared" si="294"/>
        <v>0</v>
      </c>
      <c r="AM153" s="15">
        <f t="shared" si="294"/>
        <v>35322045.512000009</v>
      </c>
      <c r="AN153" s="15">
        <f t="shared" si="294"/>
        <v>35322045.512000009</v>
      </c>
      <c r="AO153" s="15">
        <f t="shared" si="294"/>
        <v>0</v>
      </c>
      <c r="AP153" s="15">
        <f t="shared" si="294"/>
        <v>35322045.512000009</v>
      </c>
      <c r="AQ153" s="15">
        <f t="shared" si="294"/>
        <v>35322045.512000009</v>
      </c>
      <c r="AR153" s="15">
        <f t="shared" si="294"/>
        <v>0</v>
      </c>
      <c r="AS153" s="15">
        <f t="shared" si="294"/>
        <v>35322045.512000009</v>
      </c>
      <c r="AT153" s="1"/>
      <c r="AU153" s="1"/>
      <c r="AV153" s="1">
        <f t="shared" si="224"/>
        <v>776456359.40799999</v>
      </c>
      <c r="AW153" s="1">
        <f t="shared" si="224"/>
        <v>244376589</v>
      </c>
      <c r="AX153" s="197">
        <f t="shared" si="225"/>
        <v>806313887.07200003</v>
      </c>
      <c r="AY153" s="1">
        <f t="shared" si="226"/>
        <v>532079770.40800023</v>
      </c>
      <c r="AZ153" s="15"/>
      <c r="BA153" s="15"/>
      <c r="BB153" s="15"/>
    </row>
    <row r="154" spans="1:54" s="70" customFormat="1" ht="15.75" customHeight="1" x14ac:dyDescent="0.2">
      <c r="A154" s="70">
        <v>20</v>
      </c>
      <c r="B154" s="70" t="s">
        <v>194</v>
      </c>
      <c r="D154" s="15">
        <f t="shared" ref="D154:L154" si="295">D92</f>
        <v>500000</v>
      </c>
      <c r="E154" s="15">
        <f t="shared" si="295"/>
        <v>0</v>
      </c>
      <c r="F154" s="15">
        <f t="shared" si="295"/>
        <v>500000</v>
      </c>
      <c r="G154" s="15">
        <f t="shared" si="295"/>
        <v>500000</v>
      </c>
      <c r="H154" s="15">
        <f t="shared" si="295"/>
        <v>0</v>
      </c>
      <c r="I154" s="15">
        <f t="shared" si="295"/>
        <v>500000</v>
      </c>
      <c r="J154" s="15">
        <f t="shared" si="295"/>
        <v>500000</v>
      </c>
      <c r="K154" s="15">
        <f t="shared" si="295"/>
        <v>0</v>
      </c>
      <c r="L154" s="15">
        <f t="shared" si="295"/>
        <v>500000</v>
      </c>
      <c r="M154" s="195">
        <f t="shared" si="219"/>
        <v>1500000</v>
      </c>
      <c r="N154" s="195">
        <f t="shared" si="219"/>
        <v>0</v>
      </c>
      <c r="O154" s="15">
        <f t="shared" ref="O154:W154" si="296">O92</f>
        <v>500000</v>
      </c>
      <c r="P154" s="15">
        <f t="shared" si="296"/>
        <v>0</v>
      </c>
      <c r="Q154" s="15">
        <f t="shared" si="296"/>
        <v>500000</v>
      </c>
      <c r="R154" s="15">
        <f t="shared" si="296"/>
        <v>500000</v>
      </c>
      <c r="S154" s="15">
        <f t="shared" si="296"/>
        <v>0</v>
      </c>
      <c r="T154" s="15">
        <f t="shared" si="296"/>
        <v>500000</v>
      </c>
      <c r="U154" s="15">
        <f t="shared" si="296"/>
        <v>500000</v>
      </c>
      <c r="V154" s="15">
        <f t="shared" si="296"/>
        <v>0</v>
      </c>
      <c r="W154" s="15">
        <f t="shared" si="296"/>
        <v>500000</v>
      </c>
      <c r="X154" s="196">
        <f t="shared" si="221"/>
        <v>1500000</v>
      </c>
      <c r="Y154" s="196">
        <f t="shared" si="221"/>
        <v>0</v>
      </c>
      <c r="Z154" s="15">
        <f t="shared" ref="Z154:AH154" si="297">Z92</f>
        <v>15500000</v>
      </c>
      <c r="AA154" s="15">
        <f t="shared" si="297"/>
        <v>0</v>
      </c>
      <c r="AB154" s="15">
        <f t="shared" si="297"/>
        <v>15500000</v>
      </c>
      <c r="AC154" s="15">
        <f t="shared" si="297"/>
        <v>500000</v>
      </c>
      <c r="AD154" s="15">
        <f t="shared" si="297"/>
        <v>0</v>
      </c>
      <c r="AE154" s="15">
        <f t="shared" si="297"/>
        <v>500000</v>
      </c>
      <c r="AF154" s="15">
        <f t="shared" si="297"/>
        <v>500000</v>
      </c>
      <c r="AG154" s="15">
        <f t="shared" si="297"/>
        <v>0</v>
      </c>
      <c r="AH154" s="15">
        <f t="shared" si="297"/>
        <v>500000</v>
      </c>
      <c r="AI154" s="1"/>
      <c r="AJ154" s="1"/>
      <c r="AK154" s="15">
        <f t="shared" ref="AK154:AS154" si="298">AK92</f>
        <v>500000</v>
      </c>
      <c r="AL154" s="15">
        <f t="shared" si="298"/>
        <v>0</v>
      </c>
      <c r="AM154" s="15">
        <f t="shared" si="298"/>
        <v>500000</v>
      </c>
      <c r="AN154" s="15">
        <f t="shared" si="298"/>
        <v>500000</v>
      </c>
      <c r="AO154" s="15">
        <f t="shared" si="298"/>
        <v>0</v>
      </c>
      <c r="AP154" s="15">
        <f t="shared" si="298"/>
        <v>500000</v>
      </c>
      <c r="AQ154" s="15">
        <f t="shared" si="298"/>
        <v>500000</v>
      </c>
      <c r="AR154" s="15">
        <f t="shared" si="298"/>
        <v>0</v>
      </c>
      <c r="AS154" s="15">
        <f t="shared" si="298"/>
        <v>500000</v>
      </c>
      <c r="AT154" s="1"/>
      <c r="AU154" s="1"/>
      <c r="AV154" s="1">
        <f t="shared" si="224"/>
        <v>21000000</v>
      </c>
      <c r="AW154" s="36">
        <f t="shared" si="224"/>
        <v>0</v>
      </c>
      <c r="AX154" s="197">
        <f t="shared" si="225"/>
        <v>18000000</v>
      </c>
      <c r="AY154" s="1">
        <f t="shared" si="226"/>
        <v>21000000</v>
      </c>
      <c r="AZ154" s="15"/>
      <c r="BA154" s="15"/>
      <c r="BB154" s="15"/>
    </row>
    <row r="155" spans="1:54" s="70" customFormat="1" ht="15.75" customHeight="1" x14ac:dyDescent="0.2">
      <c r="A155" s="70">
        <v>21</v>
      </c>
      <c r="B155" s="70" t="s">
        <v>195</v>
      </c>
      <c r="D155" s="15">
        <f t="shared" ref="D155:L155" si="299">D38+D102</f>
        <v>469085</v>
      </c>
      <c r="E155" s="15">
        <f t="shared" si="299"/>
        <v>1931000</v>
      </c>
      <c r="F155" s="15">
        <f t="shared" si="299"/>
        <v>-1461915</v>
      </c>
      <c r="G155" s="15">
        <f t="shared" si="299"/>
        <v>469085</v>
      </c>
      <c r="H155" s="15">
        <f t="shared" si="299"/>
        <v>150000</v>
      </c>
      <c r="I155" s="15">
        <f t="shared" si="299"/>
        <v>319085</v>
      </c>
      <c r="J155" s="15">
        <f t="shared" si="299"/>
        <v>469085</v>
      </c>
      <c r="K155" s="15">
        <f t="shared" si="299"/>
        <v>840000</v>
      </c>
      <c r="L155" s="15">
        <f t="shared" si="299"/>
        <v>-370915</v>
      </c>
      <c r="M155" s="195">
        <f t="shared" si="219"/>
        <v>1407255</v>
      </c>
      <c r="N155" s="195">
        <f t="shared" si="219"/>
        <v>2921000</v>
      </c>
      <c r="O155" s="15">
        <f t="shared" ref="O155:W155" si="300">O38+O102</f>
        <v>469085</v>
      </c>
      <c r="P155" s="15">
        <f t="shared" si="300"/>
        <v>1225000</v>
      </c>
      <c r="Q155" s="15">
        <f t="shared" si="300"/>
        <v>-755915</v>
      </c>
      <c r="R155" s="15">
        <f t="shared" si="300"/>
        <v>469085</v>
      </c>
      <c r="S155" s="15">
        <f t="shared" si="300"/>
        <v>179500</v>
      </c>
      <c r="T155" s="15">
        <f t="shared" si="300"/>
        <v>289585</v>
      </c>
      <c r="U155" s="15">
        <f t="shared" si="300"/>
        <v>469085</v>
      </c>
      <c r="V155" s="15">
        <f t="shared" si="300"/>
        <v>967500</v>
      </c>
      <c r="W155" s="15">
        <f t="shared" si="300"/>
        <v>-498415</v>
      </c>
      <c r="X155" s="196">
        <f t="shared" si="221"/>
        <v>1407255</v>
      </c>
      <c r="Y155" s="196">
        <f t="shared" si="221"/>
        <v>2372000</v>
      </c>
      <c r="Z155" s="15">
        <f t="shared" ref="Z155:AH155" si="301">Z38+Z102</f>
        <v>469085</v>
      </c>
      <c r="AA155" s="15">
        <f t="shared" si="301"/>
        <v>285000</v>
      </c>
      <c r="AB155" s="15">
        <f t="shared" si="301"/>
        <v>184085</v>
      </c>
      <c r="AC155" s="15">
        <f t="shared" si="301"/>
        <v>469085</v>
      </c>
      <c r="AD155" s="15">
        <f t="shared" si="301"/>
        <v>150000</v>
      </c>
      <c r="AE155" s="15">
        <f t="shared" si="301"/>
        <v>319085</v>
      </c>
      <c r="AF155" s="15">
        <f t="shared" si="301"/>
        <v>469085</v>
      </c>
      <c r="AG155" s="15">
        <f t="shared" si="301"/>
        <v>5285000</v>
      </c>
      <c r="AH155" s="15">
        <f t="shared" si="301"/>
        <v>-4815915</v>
      </c>
      <c r="AI155" s="1"/>
      <c r="AJ155" s="1"/>
      <c r="AK155" s="15">
        <f t="shared" ref="AK155:AS155" si="302">AK38+AK102</f>
        <v>469085</v>
      </c>
      <c r="AL155" s="15">
        <f t="shared" si="302"/>
        <v>0</v>
      </c>
      <c r="AM155" s="15">
        <f t="shared" si="302"/>
        <v>469085</v>
      </c>
      <c r="AN155" s="15">
        <f t="shared" si="302"/>
        <v>469085</v>
      </c>
      <c r="AO155" s="15">
        <f t="shared" si="302"/>
        <v>0</v>
      </c>
      <c r="AP155" s="15">
        <f t="shared" si="302"/>
        <v>469085</v>
      </c>
      <c r="AQ155" s="15">
        <f t="shared" si="302"/>
        <v>469085</v>
      </c>
      <c r="AR155" s="15">
        <f t="shared" si="302"/>
        <v>0</v>
      </c>
      <c r="AS155" s="15">
        <f t="shared" si="302"/>
        <v>469085</v>
      </c>
      <c r="AT155" s="1"/>
      <c r="AU155" s="1"/>
      <c r="AV155" s="1">
        <f t="shared" si="224"/>
        <v>5629020</v>
      </c>
      <c r="AW155" s="36">
        <f t="shared" si="224"/>
        <v>11013000</v>
      </c>
      <c r="AX155" s="197">
        <f t="shared" si="225"/>
        <v>13827510</v>
      </c>
      <c r="AY155" s="1">
        <f t="shared" si="226"/>
        <v>-5383980</v>
      </c>
      <c r="AZ155" s="15"/>
      <c r="BA155" s="15"/>
      <c r="BB155" s="15"/>
    </row>
    <row r="156" spans="1:54" s="70" customFormat="1" ht="15.75" customHeight="1" x14ac:dyDescent="0.2">
      <c r="A156" s="70">
        <v>22</v>
      </c>
      <c r="B156" s="70" t="s">
        <v>76</v>
      </c>
      <c r="D156" s="15">
        <f t="shared" ref="D156:L156" si="303">D39</f>
        <v>10034743</v>
      </c>
      <c r="E156" s="15">
        <f t="shared" si="303"/>
        <v>4377358</v>
      </c>
      <c r="F156" s="15">
        <f t="shared" si="303"/>
        <v>5657385</v>
      </c>
      <c r="G156" s="15">
        <f t="shared" si="303"/>
        <v>10034743</v>
      </c>
      <c r="H156" s="15">
        <f t="shared" si="303"/>
        <v>3697218</v>
      </c>
      <c r="I156" s="15">
        <f t="shared" si="303"/>
        <v>6337525</v>
      </c>
      <c r="J156" s="15">
        <f t="shared" si="303"/>
        <v>10034743</v>
      </c>
      <c r="K156" s="15">
        <f t="shared" si="303"/>
        <v>3747298</v>
      </c>
      <c r="L156" s="15">
        <f t="shared" si="303"/>
        <v>6287445</v>
      </c>
      <c r="M156" s="195">
        <f t="shared" si="219"/>
        <v>30104229</v>
      </c>
      <c r="N156" s="195">
        <f t="shared" si="219"/>
        <v>11821874</v>
      </c>
      <c r="O156" s="15">
        <f t="shared" ref="O156:W156" si="304">O39</f>
        <v>10034743</v>
      </c>
      <c r="P156" s="15">
        <f t="shared" si="304"/>
        <v>5519044</v>
      </c>
      <c r="Q156" s="15">
        <f t="shared" si="304"/>
        <v>4515699</v>
      </c>
      <c r="R156" s="15">
        <f t="shared" si="304"/>
        <v>10034743</v>
      </c>
      <c r="S156" s="15">
        <f t="shared" si="304"/>
        <v>7669169</v>
      </c>
      <c r="T156" s="15">
        <f t="shared" si="304"/>
        <v>2365574</v>
      </c>
      <c r="U156" s="15">
        <f t="shared" si="304"/>
        <v>10034743</v>
      </c>
      <c r="V156" s="15">
        <f t="shared" si="304"/>
        <v>7238324</v>
      </c>
      <c r="W156" s="15">
        <f t="shared" si="304"/>
        <v>2796419</v>
      </c>
      <c r="X156" s="196">
        <f t="shared" si="221"/>
        <v>30104229</v>
      </c>
      <c r="Y156" s="196">
        <f t="shared" si="221"/>
        <v>20426537</v>
      </c>
      <c r="Z156" s="15">
        <f t="shared" ref="Z156:AH156" si="305">Z39</f>
        <v>10034743</v>
      </c>
      <c r="AA156" s="15">
        <f t="shared" si="305"/>
        <v>6243590</v>
      </c>
      <c r="AB156" s="15">
        <f t="shared" si="305"/>
        <v>3791153</v>
      </c>
      <c r="AC156" s="15">
        <f t="shared" si="305"/>
        <v>10034743</v>
      </c>
      <c r="AD156" s="15">
        <f t="shared" si="305"/>
        <v>4074260</v>
      </c>
      <c r="AE156" s="15">
        <f t="shared" si="305"/>
        <v>5960483</v>
      </c>
      <c r="AF156" s="15">
        <f t="shared" si="305"/>
        <v>10034743</v>
      </c>
      <c r="AG156" s="15">
        <f t="shared" si="305"/>
        <v>4921855</v>
      </c>
      <c r="AH156" s="15">
        <f t="shared" si="305"/>
        <v>5112888</v>
      </c>
      <c r="AI156" s="1"/>
      <c r="AJ156" s="1"/>
      <c r="AK156" s="15">
        <f t="shared" ref="AK156:AS156" si="306">AK39</f>
        <v>10034743</v>
      </c>
      <c r="AL156" s="15">
        <f t="shared" si="306"/>
        <v>0</v>
      </c>
      <c r="AM156" s="15">
        <f t="shared" si="306"/>
        <v>10034743</v>
      </c>
      <c r="AN156" s="15">
        <f t="shared" si="306"/>
        <v>10034743</v>
      </c>
      <c r="AO156" s="15">
        <f t="shared" si="306"/>
        <v>0</v>
      </c>
      <c r="AP156" s="15">
        <f t="shared" si="306"/>
        <v>10034743</v>
      </c>
      <c r="AQ156" s="15">
        <f t="shared" si="306"/>
        <v>10034743</v>
      </c>
      <c r="AR156" s="15">
        <f t="shared" si="306"/>
        <v>0</v>
      </c>
      <c r="AS156" s="15">
        <f t="shared" si="306"/>
        <v>10034743</v>
      </c>
      <c r="AT156" s="1"/>
      <c r="AU156" s="1"/>
      <c r="AV156" s="1">
        <f t="shared" si="224"/>
        <v>120416916</v>
      </c>
      <c r="AW156" s="36">
        <f t="shared" si="224"/>
        <v>47488116</v>
      </c>
      <c r="AX156" s="197">
        <f t="shared" si="225"/>
        <v>107696574</v>
      </c>
      <c r="AY156" s="1">
        <f t="shared" si="226"/>
        <v>72928800</v>
      </c>
      <c r="AZ156" s="15"/>
      <c r="BA156" s="15"/>
      <c r="BB156" s="15"/>
    </row>
    <row r="157" spans="1:54" s="70" customFormat="1" ht="15.75" customHeight="1" x14ac:dyDescent="0.2">
      <c r="A157" s="70">
        <v>23</v>
      </c>
      <c r="B157" s="70" t="s">
        <v>196</v>
      </c>
      <c r="D157" s="15">
        <f t="shared" ref="D157:L157" si="307">D47</f>
        <v>60359010</v>
      </c>
      <c r="E157" s="15">
        <f t="shared" si="307"/>
        <v>0</v>
      </c>
      <c r="F157" s="15">
        <f t="shared" si="307"/>
        <v>60359010</v>
      </c>
      <c r="G157" s="15">
        <f t="shared" si="307"/>
        <v>60359010</v>
      </c>
      <c r="H157" s="15">
        <f t="shared" si="307"/>
        <v>0</v>
      </c>
      <c r="I157" s="15">
        <f t="shared" si="307"/>
        <v>60359010</v>
      </c>
      <c r="J157" s="15">
        <f t="shared" si="307"/>
        <v>60359010</v>
      </c>
      <c r="K157" s="15">
        <f t="shared" si="307"/>
        <v>0</v>
      </c>
      <c r="L157" s="15">
        <f t="shared" si="307"/>
        <v>60359010</v>
      </c>
      <c r="M157" s="195">
        <f t="shared" si="219"/>
        <v>181077030</v>
      </c>
      <c r="N157" s="195">
        <f t="shared" si="219"/>
        <v>0</v>
      </c>
      <c r="O157" s="15">
        <f t="shared" ref="O157:W157" si="308">O47</f>
        <v>60359010</v>
      </c>
      <c r="P157" s="15">
        <f t="shared" si="308"/>
        <v>51230000</v>
      </c>
      <c r="Q157" s="15">
        <f t="shared" si="308"/>
        <v>9129010</v>
      </c>
      <c r="R157" s="15">
        <f t="shared" si="308"/>
        <v>60359010</v>
      </c>
      <c r="S157" s="15">
        <f t="shared" si="308"/>
        <v>51230000</v>
      </c>
      <c r="T157" s="15">
        <f t="shared" si="308"/>
        <v>9129010</v>
      </c>
      <c r="U157" s="15">
        <f t="shared" si="308"/>
        <v>60359010</v>
      </c>
      <c r="V157" s="15">
        <f t="shared" si="308"/>
        <v>51230000</v>
      </c>
      <c r="W157" s="15">
        <f t="shared" si="308"/>
        <v>9129010</v>
      </c>
      <c r="X157" s="196">
        <f t="shared" si="221"/>
        <v>181077030</v>
      </c>
      <c r="Y157" s="196">
        <f t="shared" si="221"/>
        <v>153690000</v>
      </c>
      <c r="Z157" s="15">
        <f t="shared" ref="Z157:AH157" si="309">Z47</f>
        <v>60359010</v>
      </c>
      <c r="AA157" s="15">
        <f t="shared" si="309"/>
        <v>51230000</v>
      </c>
      <c r="AB157" s="15">
        <f t="shared" si="309"/>
        <v>9129010</v>
      </c>
      <c r="AC157" s="15">
        <f t="shared" si="309"/>
        <v>60359010</v>
      </c>
      <c r="AD157" s="15">
        <f t="shared" si="309"/>
        <v>51230000</v>
      </c>
      <c r="AE157" s="15">
        <f t="shared" si="309"/>
        <v>9129010</v>
      </c>
      <c r="AF157" s="15">
        <f t="shared" si="309"/>
        <v>60359010</v>
      </c>
      <c r="AG157" s="15">
        <f t="shared" si="309"/>
        <v>51230000</v>
      </c>
      <c r="AH157" s="15">
        <f t="shared" si="309"/>
        <v>9129010</v>
      </c>
      <c r="AI157" s="1"/>
      <c r="AJ157" s="1"/>
      <c r="AK157" s="15">
        <f t="shared" ref="AK157:AS157" si="310">AK47</f>
        <v>60359010</v>
      </c>
      <c r="AL157" s="15">
        <f t="shared" si="310"/>
        <v>0</v>
      </c>
      <c r="AM157" s="15">
        <f t="shared" si="310"/>
        <v>60359010</v>
      </c>
      <c r="AN157" s="15">
        <f t="shared" si="310"/>
        <v>60359010</v>
      </c>
      <c r="AO157" s="15">
        <f t="shared" si="310"/>
        <v>0</v>
      </c>
      <c r="AP157" s="15">
        <f t="shared" si="310"/>
        <v>60359010</v>
      </c>
      <c r="AQ157" s="15">
        <f t="shared" si="310"/>
        <v>60359010</v>
      </c>
      <c r="AR157" s="15">
        <f t="shared" si="310"/>
        <v>0</v>
      </c>
      <c r="AS157" s="15">
        <f t="shared" si="310"/>
        <v>60359010</v>
      </c>
      <c r="AT157" s="1"/>
      <c r="AU157" s="1"/>
      <c r="AV157" s="1">
        <f t="shared" si="224"/>
        <v>724308120</v>
      </c>
      <c r="AW157" s="36">
        <f t="shared" si="224"/>
        <v>307380000</v>
      </c>
      <c r="AX157" s="197">
        <f t="shared" si="225"/>
        <v>669534060</v>
      </c>
      <c r="AY157" s="1">
        <f t="shared" si="226"/>
        <v>416928120</v>
      </c>
      <c r="AZ157" s="15"/>
      <c r="BA157" s="15"/>
      <c r="BB157" s="15"/>
    </row>
    <row r="158" spans="1:54" s="70" customFormat="1" ht="15.75" customHeight="1" x14ac:dyDescent="0.2">
      <c r="A158" s="70">
        <v>24</v>
      </c>
      <c r="B158" s="70" t="s">
        <v>83</v>
      </c>
      <c r="D158" s="15">
        <f t="shared" ref="D158:L158" si="311">D34</f>
        <v>2000000</v>
      </c>
      <c r="E158" s="15">
        <f t="shared" si="311"/>
        <v>0</v>
      </c>
      <c r="F158" s="15">
        <f t="shared" si="311"/>
        <v>2000000</v>
      </c>
      <c r="G158" s="15">
        <f t="shared" si="311"/>
        <v>2000000</v>
      </c>
      <c r="H158" s="15">
        <f t="shared" si="311"/>
        <v>0</v>
      </c>
      <c r="I158" s="15">
        <f t="shared" si="311"/>
        <v>2000000</v>
      </c>
      <c r="J158" s="15">
        <f t="shared" si="311"/>
        <v>2000000</v>
      </c>
      <c r="K158" s="15">
        <f t="shared" si="311"/>
        <v>0</v>
      </c>
      <c r="L158" s="15">
        <f t="shared" si="311"/>
        <v>2000000</v>
      </c>
      <c r="M158" s="195">
        <f t="shared" si="219"/>
        <v>6000000</v>
      </c>
      <c r="N158" s="195">
        <f t="shared" si="219"/>
        <v>0</v>
      </c>
      <c r="O158" s="15">
        <f t="shared" ref="O158:W158" si="312">O34</f>
        <v>2000000</v>
      </c>
      <c r="P158" s="15">
        <f t="shared" si="312"/>
        <v>0</v>
      </c>
      <c r="Q158" s="15">
        <f t="shared" si="312"/>
        <v>2000000</v>
      </c>
      <c r="R158" s="15">
        <f t="shared" si="312"/>
        <v>2000000</v>
      </c>
      <c r="S158" s="15">
        <f t="shared" si="312"/>
        <v>0</v>
      </c>
      <c r="T158" s="15">
        <f t="shared" si="312"/>
        <v>2000000</v>
      </c>
      <c r="U158" s="15">
        <f t="shared" si="312"/>
        <v>2000000</v>
      </c>
      <c r="V158" s="15">
        <f t="shared" si="312"/>
        <v>0</v>
      </c>
      <c r="W158" s="15">
        <f t="shared" si="312"/>
        <v>2000000</v>
      </c>
      <c r="X158" s="196">
        <f t="shared" si="221"/>
        <v>6000000</v>
      </c>
      <c r="Y158" s="196">
        <f t="shared" si="221"/>
        <v>0</v>
      </c>
      <c r="Z158" s="15">
        <f t="shared" ref="Z158:AH158" si="313">Z34</f>
        <v>2000000</v>
      </c>
      <c r="AA158" s="15">
        <f t="shared" si="313"/>
        <v>0</v>
      </c>
      <c r="AB158" s="15">
        <f t="shared" si="313"/>
        <v>2000000</v>
      </c>
      <c r="AC158" s="15">
        <f t="shared" si="313"/>
        <v>2000000</v>
      </c>
      <c r="AD158" s="15">
        <f t="shared" si="313"/>
        <v>0</v>
      </c>
      <c r="AE158" s="15">
        <f t="shared" si="313"/>
        <v>2000000</v>
      </c>
      <c r="AF158" s="15">
        <f t="shared" si="313"/>
        <v>2000000</v>
      </c>
      <c r="AG158" s="15">
        <f t="shared" si="313"/>
        <v>0</v>
      </c>
      <c r="AH158" s="15">
        <f t="shared" si="313"/>
        <v>2000000</v>
      </c>
      <c r="AI158" s="1"/>
      <c r="AJ158" s="1"/>
      <c r="AK158" s="15">
        <f t="shared" ref="AK158:AS158" si="314">AK34</f>
        <v>2000000</v>
      </c>
      <c r="AL158" s="15">
        <f t="shared" si="314"/>
        <v>0</v>
      </c>
      <c r="AM158" s="15">
        <f t="shared" si="314"/>
        <v>2000000</v>
      </c>
      <c r="AN158" s="15">
        <f t="shared" si="314"/>
        <v>2000000</v>
      </c>
      <c r="AO158" s="15">
        <f t="shared" si="314"/>
        <v>0</v>
      </c>
      <c r="AP158" s="15">
        <f t="shared" si="314"/>
        <v>2000000</v>
      </c>
      <c r="AQ158" s="15">
        <f t="shared" si="314"/>
        <v>2000000</v>
      </c>
      <c r="AR158" s="15">
        <f t="shared" si="314"/>
        <v>0</v>
      </c>
      <c r="AS158" s="15">
        <f t="shared" si="314"/>
        <v>2000000</v>
      </c>
      <c r="AT158" s="1"/>
      <c r="AU158" s="1"/>
      <c r="AV158" s="1">
        <f t="shared" si="224"/>
        <v>24000000</v>
      </c>
      <c r="AW158" s="36">
        <f t="shared" si="224"/>
        <v>0</v>
      </c>
      <c r="AX158" s="197">
        <f t="shared" si="225"/>
        <v>12000000</v>
      </c>
      <c r="AY158" s="1">
        <f t="shared" si="226"/>
        <v>24000000</v>
      </c>
      <c r="AZ158" s="15"/>
      <c r="BA158" s="15"/>
      <c r="BB158" s="15"/>
    </row>
    <row r="159" spans="1:54" s="70" customFormat="1" ht="15.75" customHeight="1" x14ac:dyDescent="0.2">
      <c r="A159" s="70">
        <v>25</v>
      </c>
      <c r="B159" s="70" t="s">
        <v>197</v>
      </c>
      <c r="D159" s="15">
        <f t="shared" ref="D159:L159" si="315">D105+D115</f>
        <v>0</v>
      </c>
      <c r="E159" s="15">
        <f t="shared" si="315"/>
        <v>0</v>
      </c>
      <c r="F159" s="15">
        <f t="shared" si="315"/>
        <v>0</v>
      </c>
      <c r="G159" s="15">
        <f t="shared" si="315"/>
        <v>0</v>
      </c>
      <c r="H159" s="15">
        <f t="shared" si="315"/>
        <v>0</v>
      </c>
      <c r="I159" s="15">
        <f t="shared" si="315"/>
        <v>0</v>
      </c>
      <c r="J159" s="15">
        <f t="shared" si="315"/>
        <v>0</v>
      </c>
      <c r="K159" s="15">
        <f t="shared" si="315"/>
        <v>0</v>
      </c>
      <c r="L159" s="15">
        <f t="shared" si="315"/>
        <v>0</v>
      </c>
      <c r="M159" s="195">
        <f t="shared" si="219"/>
        <v>0</v>
      </c>
      <c r="N159" s="195">
        <f t="shared" si="219"/>
        <v>0</v>
      </c>
      <c r="O159" s="15">
        <f t="shared" ref="O159:W159" si="316">O105+O115</f>
        <v>0</v>
      </c>
      <c r="P159" s="15">
        <f t="shared" si="316"/>
        <v>0</v>
      </c>
      <c r="Q159" s="15">
        <f t="shared" si="316"/>
        <v>0</v>
      </c>
      <c r="R159" s="15">
        <f t="shared" si="316"/>
        <v>0</v>
      </c>
      <c r="S159" s="15">
        <f t="shared" si="316"/>
        <v>0</v>
      </c>
      <c r="T159" s="15">
        <f t="shared" si="316"/>
        <v>0</v>
      </c>
      <c r="U159" s="15">
        <f t="shared" si="316"/>
        <v>0</v>
      </c>
      <c r="V159" s="15">
        <f t="shared" si="316"/>
        <v>0</v>
      </c>
      <c r="W159" s="15">
        <f t="shared" si="316"/>
        <v>0</v>
      </c>
      <c r="X159" s="196">
        <f t="shared" si="221"/>
        <v>0</v>
      </c>
      <c r="Y159" s="196">
        <f t="shared" si="221"/>
        <v>0</v>
      </c>
      <c r="Z159" s="15">
        <f t="shared" ref="Z159:AH159" si="317">Z105+Z115</f>
        <v>36000000</v>
      </c>
      <c r="AA159" s="15">
        <f t="shared" si="317"/>
        <v>0</v>
      </c>
      <c r="AB159" s="15">
        <f t="shared" si="317"/>
        <v>36000000</v>
      </c>
      <c r="AC159" s="15">
        <f t="shared" si="317"/>
        <v>130000000</v>
      </c>
      <c r="AD159" s="15">
        <f t="shared" si="317"/>
        <v>0</v>
      </c>
      <c r="AE159" s="15">
        <f t="shared" si="317"/>
        <v>130000000</v>
      </c>
      <c r="AF159" s="15">
        <f t="shared" si="317"/>
        <v>0</v>
      </c>
      <c r="AG159" s="15">
        <f t="shared" si="317"/>
        <v>0</v>
      </c>
      <c r="AH159" s="15">
        <f t="shared" si="317"/>
        <v>0</v>
      </c>
      <c r="AI159" s="1"/>
      <c r="AJ159" s="1"/>
      <c r="AK159" s="15">
        <f t="shared" ref="AK159:AS159" si="318">AK105+AK115</f>
        <v>0</v>
      </c>
      <c r="AL159" s="15">
        <f t="shared" si="318"/>
        <v>0</v>
      </c>
      <c r="AM159" s="15">
        <f t="shared" si="318"/>
        <v>0</v>
      </c>
      <c r="AN159" s="15">
        <f t="shared" si="318"/>
        <v>0</v>
      </c>
      <c r="AO159" s="15">
        <f t="shared" si="318"/>
        <v>0</v>
      </c>
      <c r="AP159" s="15">
        <f t="shared" si="318"/>
        <v>0</v>
      </c>
      <c r="AQ159" s="15">
        <f t="shared" si="318"/>
        <v>0</v>
      </c>
      <c r="AR159" s="15">
        <f t="shared" si="318"/>
        <v>0</v>
      </c>
      <c r="AS159" s="15">
        <f t="shared" si="318"/>
        <v>0</v>
      </c>
      <c r="AT159" s="1"/>
      <c r="AU159" s="1"/>
      <c r="AV159" s="1">
        <f t="shared" si="224"/>
        <v>166000000</v>
      </c>
      <c r="AW159" s="36">
        <f t="shared" si="224"/>
        <v>0</v>
      </c>
      <c r="AX159" s="197">
        <f t="shared" si="225"/>
        <v>166000000</v>
      </c>
      <c r="AY159" s="1">
        <f t="shared" si="226"/>
        <v>166000000</v>
      </c>
      <c r="AZ159" s="15"/>
      <c r="BA159" s="15"/>
      <c r="BB159" s="15"/>
    </row>
    <row r="160" spans="1:54" s="70" customFormat="1" ht="15.75" customHeight="1" x14ac:dyDescent="0.2">
      <c r="A160" s="70">
        <v>26</v>
      </c>
      <c r="B160" s="70" t="s">
        <v>198</v>
      </c>
      <c r="D160" s="15">
        <f t="shared" ref="D160:L160" si="319">D23</f>
        <v>7635000</v>
      </c>
      <c r="E160" s="15">
        <f t="shared" si="319"/>
        <v>8489422</v>
      </c>
      <c r="F160" s="15">
        <f t="shared" si="319"/>
        <v>-854422</v>
      </c>
      <c r="G160" s="15">
        <f t="shared" si="319"/>
        <v>7635000</v>
      </c>
      <c r="H160" s="15">
        <f t="shared" si="319"/>
        <v>5751705</v>
      </c>
      <c r="I160" s="15">
        <f t="shared" si="319"/>
        <v>1883295</v>
      </c>
      <c r="J160" s="15">
        <f t="shared" si="319"/>
        <v>7635000</v>
      </c>
      <c r="K160" s="15">
        <f t="shared" si="319"/>
        <v>0</v>
      </c>
      <c r="L160" s="15">
        <f t="shared" si="319"/>
        <v>7635000</v>
      </c>
      <c r="M160" s="195">
        <f t="shared" si="219"/>
        <v>22905000</v>
      </c>
      <c r="N160" s="195">
        <f t="shared" si="219"/>
        <v>14241127</v>
      </c>
      <c r="O160" s="15">
        <f t="shared" ref="O160:W160" si="320">O23</f>
        <v>7635000</v>
      </c>
      <c r="P160" s="15">
        <f t="shared" si="320"/>
        <v>0</v>
      </c>
      <c r="Q160" s="15">
        <f t="shared" si="320"/>
        <v>7635000</v>
      </c>
      <c r="R160" s="15">
        <f t="shared" si="320"/>
        <v>7635000</v>
      </c>
      <c r="S160" s="15">
        <f t="shared" si="320"/>
        <v>0</v>
      </c>
      <c r="T160" s="15">
        <f t="shared" si="320"/>
        <v>7635000</v>
      </c>
      <c r="U160" s="15">
        <f t="shared" si="320"/>
        <v>7635000</v>
      </c>
      <c r="V160" s="15">
        <f t="shared" si="320"/>
        <v>0</v>
      </c>
      <c r="W160" s="15">
        <f t="shared" si="320"/>
        <v>7635000</v>
      </c>
      <c r="X160" s="196">
        <f t="shared" si="221"/>
        <v>22905000</v>
      </c>
      <c r="Y160" s="196">
        <f t="shared" si="221"/>
        <v>0</v>
      </c>
      <c r="Z160" s="15">
        <f t="shared" ref="Z160:AH160" si="321">Z23</f>
        <v>7635000</v>
      </c>
      <c r="AA160" s="15">
        <f t="shared" si="321"/>
        <v>0</v>
      </c>
      <c r="AB160" s="15">
        <f t="shared" si="321"/>
        <v>7635000</v>
      </c>
      <c r="AC160" s="15">
        <f t="shared" si="321"/>
        <v>7635000</v>
      </c>
      <c r="AD160" s="15">
        <f t="shared" si="321"/>
        <v>0</v>
      </c>
      <c r="AE160" s="15">
        <f t="shared" si="321"/>
        <v>7635000</v>
      </c>
      <c r="AF160" s="15">
        <f t="shared" si="321"/>
        <v>7635000</v>
      </c>
      <c r="AG160" s="15">
        <f t="shared" si="321"/>
        <v>0</v>
      </c>
      <c r="AH160" s="15">
        <f t="shared" si="321"/>
        <v>7635000</v>
      </c>
      <c r="AI160" s="1"/>
      <c r="AJ160" s="1"/>
      <c r="AK160" s="15">
        <f t="shared" ref="AK160:AS160" si="322">AK23</f>
        <v>7635000</v>
      </c>
      <c r="AL160" s="15">
        <f t="shared" si="322"/>
        <v>0</v>
      </c>
      <c r="AM160" s="15">
        <f t="shared" si="322"/>
        <v>7635000</v>
      </c>
      <c r="AN160" s="15">
        <f t="shared" si="322"/>
        <v>7635000</v>
      </c>
      <c r="AO160" s="15">
        <f t="shared" si="322"/>
        <v>0</v>
      </c>
      <c r="AP160" s="15">
        <f t="shared" si="322"/>
        <v>7635000</v>
      </c>
      <c r="AQ160" s="15">
        <f t="shared" si="322"/>
        <v>7635000</v>
      </c>
      <c r="AR160" s="15">
        <f t="shared" si="322"/>
        <v>0</v>
      </c>
      <c r="AS160" s="15">
        <f t="shared" si="322"/>
        <v>7635000</v>
      </c>
      <c r="AT160" s="1"/>
      <c r="AU160" s="1"/>
      <c r="AV160" s="1">
        <f t="shared" si="224"/>
        <v>91620000</v>
      </c>
      <c r="AW160" s="36">
        <f t="shared" si="224"/>
        <v>14241127</v>
      </c>
      <c r="AX160" s="197">
        <f t="shared" si="225"/>
        <v>60051127</v>
      </c>
      <c r="AY160" s="1">
        <f t="shared" si="226"/>
        <v>77378873</v>
      </c>
      <c r="AZ160" s="15"/>
      <c r="BA160" s="15"/>
      <c r="BB160" s="15"/>
    </row>
    <row r="161" spans="1:54" s="70" customFormat="1" ht="15.75" customHeight="1" x14ac:dyDescent="0.2">
      <c r="A161" s="70">
        <v>27</v>
      </c>
      <c r="B161" s="70" t="s">
        <v>86</v>
      </c>
      <c r="D161" s="15">
        <f t="shared" ref="D161:L161" si="323">D46+D110</f>
        <v>124388500</v>
      </c>
      <c r="E161" s="15">
        <f t="shared" si="323"/>
        <v>10339560</v>
      </c>
      <c r="F161" s="15">
        <f t="shared" si="323"/>
        <v>114048940</v>
      </c>
      <c r="G161" s="15">
        <f t="shared" si="323"/>
        <v>16135486</v>
      </c>
      <c r="H161" s="15">
        <f t="shared" si="323"/>
        <v>37367569</v>
      </c>
      <c r="I161" s="15">
        <f t="shared" si="323"/>
        <v>-21232083</v>
      </c>
      <c r="J161" s="15">
        <f t="shared" si="323"/>
        <v>16135486</v>
      </c>
      <c r="K161" s="15">
        <f t="shared" si="323"/>
        <v>75569840</v>
      </c>
      <c r="L161" s="15">
        <f t="shared" si="323"/>
        <v>-59434354</v>
      </c>
      <c r="M161" s="195">
        <f t="shared" si="219"/>
        <v>156659472</v>
      </c>
      <c r="N161" s="195">
        <f t="shared" si="219"/>
        <v>123276969</v>
      </c>
      <c r="O161" s="15">
        <f t="shared" ref="O161:W161" si="324">O46+O110</f>
        <v>16135486</v>
      </c>
      <c r="P161" s="15">
        <f t="shared" si="324"/>
        <v>14032795</v>
      </c>
      <c r="Q161" s="15">
        <f t="shared" si="324"/>
        <v>2102691</v>
      </c>
      <c r="R161" s="15">
        <f t="shared" si="324"/>
        <v>46135486</v>
      </c>
      <c r="S161" s="15">
        <f t="shared" si="324"/>
        <v>52788117</v>
      </c>
      <c r="T161" s="15">
        <f t="shared" si="324"/>
        <v>-6652631</v>
      </c>
      <c r="U161" s="15">
        <f t="shared" si="324"/>
        <v>16135486</v>
      </c>
      <c r="V161" s="15">
        <f t="shared" si="324"/>
        <v>60769120</v>
      </c>
      <c r="W161" s="15">
        <f t="shared" si="324"/>
        <v>-44633634</v>
      </c>
      <c r="X161" s="196">
        <f t="shared" si="221"/>
        <v>78406458</v>
      </c>
      <c r="Y161" s="196">
        <f t="shared" si="221"/>
        <v>127590032</v>
      </c>
      <c r="Z161" s="15">
        <f t="shared" ref="Z161:AH161" si="325">Z46+Z110</f>
        <v>16135486</v>
      </c>
      <c r="AA161" s="15">
        <f t="shared" si="325"/>
        <v>5751615</v>
      </c>
      <c r="AB161" s="15">
        <f t="shared" si="325"/>
        <v>10383871</v>
      </c>
      <c r="AC161" s="15">
        <f t="shared" si="325"/>
        <v>16135486</v>
      </c>
      <c r="AD161" s="15">
        <f t="shared" si="325"/>
        <v>2115207.9</v>
      </c>
      <c r="AE161" s="15">
        <f t="shared" si="325"/>
        <v>14020278.1</v>
      </c>
      <c r="AF161" s="15">
        <f t="shared" si="325"/>
        <v>16135486</v>
      </c>
      <c r="AG161" s="15">
        <f t="shared" si="325"/>
        <v>117405634</v>
      </c>
      <c r="AH161" s="15">
        <f t="shared" si="325"/>
        <v>-101270148</v>
      </c>
      <c r="AI161" s="1"/>
      <c r="AJ161" s="1"/>
      <c r="AK161" s="15">
        <f t="shared" ref="AK161:AS161" si="326">AK46+AK110</f>
        <v>46135486</v>
      </c>
      <c r="AL161" s="15">
        <f t="shared" si="326"/>
        <v>0</v>
      </c>
      <c r="AM161" s="15">
        <f t="shared" si="326"/>
        <v>46135486</v>
      </c>
      <c r="AN161" s="15">
        <f t="shared" si="326"/>
        <v>16135486</v>
      </c>
      <c r="AO161" s="15">
        <f t="shared" si="326"/>
        <v>0</v>
      </c>
      <c r="AP161" s="15">
        <f t="shared" si="326"/>
        <v>16135486</v>
      </c>
      <c r="AQ161" s="15">
        <f t="shared" si="326"/>
        <v>16135486</v>
      </c>
      <c r="AR161" s="15">
        <f t="shared" si="326"/>
        <v>0</v>
      </c>
      <c r="AS161" s="15">
        <f t="shared" si="326"/>
        <v>16135486</v>
      </c>
      <c r="AT161" s="1"/>
      <c r="AU161" s="1"/>
      <c r="AV161" s="1">
        <f t="shared" si="224"/>
        <v>361878846</v>
      </c>
      <c r="AW161" s="36">
        <f t="shared" si="224"/>
        <v>376139457.89999998</v>
      </c>
      <c r="AX161" s="197">
        <f t="shared" si="225"/>
        <v>502952373.89999998</v>
      </c>
      <c r="AY161" s="1">
        <f t="shared" si="226"/>
        <v>-14260611.900000006</v>
      </c>
      <c r="AZ161" s="15"/>
      <c r="BA161" s="15"/>
      <c r="BB161" s="15"/>
    </row>
    <row r="162" spans="1:54" s="70" customFormat="1" ht="15.75" customHeight="1" x14ac:dyDescent="0.2">
      <c r="A162" s="70">
        <v>28</v>
      </c>
      <c r="B162" s="70" t="s">
        <v>199</v>
      </c>
      <c r="D162" s="15">
        <f t="shared" ref="D162:L162" si="327">D16+D24+D84</f>
        <v>13500000</v>
      </c>
      <c r="E162" s="15">
        <f t="shared" si="327"/>
        <v>0</v>
      </c>
      <c r="F162" s="15">
        <f t="shared" si="327"/>
        <v>13500000</v>
      </c>
      <c r="G162" s="15">
        <f t="shared" si="327"/>
        <v>1000000</v>
      </c>
      <c r="H162" s="15">
        <f t="shared" si="327"/>
        <v>5000000</v>
      </c>
      <c r="I162" s="15">
        <f t="shared" si="327"/>
        <v>-4000000</v>
      </c>
      <c r="J162" s="15">
        <f t="shared" si="327"/>
        <v>1000000</v>
      </c>
      <c r="K162" s="15">
        <f t="shared" si="327"/>
        <v>0</v>
      </c>
      <c r="L162" s="15">
        <f t="shared" si="327"/>
        <v>1000000</v>
      </c>
      <c r="M162" s="195">
        <f t="shared" si="219"/>
        <v>15500000</v>
      </c>
      <c r="N162" s="195">
        <f t="shared" si="219"/>
        <v>5000000</v>
      </c>
      <c r="O162" s="15">
        <f t="shared" ref="O162:W162" si="328">O16+O24+O84</f>
        <v>13500000</v>
      </c>
      <c r="P162" s="15">
        <f t="shared" si="328"/>
        <v>0</v>
      </c>
      <c r="Q162" s="15">
        <f t="shared" si="328"/>
        <v>13500000</v>
      </c>
      <c r="R162" s="15">
        <f t="shared" si="328"/>
        <v>1000000</v>
      </c>
      <c r="S162" s="15">
        <f t="shared" si="328"/>
        <v>0</v>
      </c>
      <c r="T162" s="15">
        <f t="shared" si="328"/>
        <v>1000000</v>
      </c>
      <c r="U162" s="15">
        <f t="shared" si="328"/>
        <v>1000000</v>
      </c>
      <c r="V162" s="15">
        <f t="shared" si="328"/>
        <v>0</v>
      </c>
      <c r="W162" s="15">
        <f t="shared" si="328"/>
        <v>1000000</v>
      </c>
      <c r="X162" s="196">
        <f t="shared" si="221"/>
        <v>15500000</v>
      </c>
      <c r="Y162" s="196">
        <f t="shared" si="221"/>
        <v>0</v>
      </c>
      <c r="Z162" s="15">
        <f t="shared" ref="Z162:AH162" si="329">Z16+Z24+Z84</f>
        <v>13950000</v>
      </c>
      <c r="AA162" s="15">
        <f t="shared" si="329"/>
        <v>0</v>
      </c>
      <c r="AB162" s="15">
        <f t="shared" si="329"/>
        <v>13950000</v>
      </c>
      <c r="AC162" s="15">
        <f t="shared" si="329"/>
        <v>4000000</v>
      </c>
      <c r="AD162" s="15">
        <f t="shared" si="329"/>
        <v>0</v>
      </c>
      <c r="AE162" s="15">
        <f t="shared" si="329"/>
        <v>4000000</v>
      </c>
      <c r="AF162" s="15">
        <f t="shared" si="329"/>
        <v>1000000</v>
      </c>
      <c r="AG162" s="15">
        <f t="shared" si="329"/>
        <v>0</v>
      </c>
      <c r="AH162" s="15">
        <f t="shared" si="329"/>
        <v>1000000</v>
      </c>
      <c r="AI162" s="1"/>
      <c r="AJ162" s="1"/>
      <c r="AK162" s="15">
        <f t="shared" ref="AK162:AS162" si="330">AK16+AK24+AK84</f>
        <v>13500000</v>
      </c>
      <c r="AL162" s="15">
        <f t="shared" si="330"/>
        <v>0</v>
      </c>
      <c r="AM162" s="15">
        <f t="shared" si="330"/>
        <v>13500000</v>
      </c>
      <c r="AN162" s="15">
        <f t="shared" si="330"/>
        <v>4500000</v>
      </c>
      <c r="AO162" s="15">
        <f t="shared" si="330"/>
        <v>0</v>
      </c>
      <c r="AP162" s="15">
        <f t="shared" si="330"/>
        <v>4500000</v>
      </c>
      <c r="AQ162" s="15">
        <f t="shared" si="330"/>
        <v>1000000</v>
      </c>
      <c r="AR162" s="15">
        <f t="shared" si="330"/>
        <v>0</v>
      </c>
      <c r="AS162" s="15">
        <f t="shared" si="330"/>
        <v>1000000</v>
      </c>
      <c r="AT162" s="1"/>
      <c r="AU162" s="1"/>
      <c r="AV162" s="1">
        <f t="shared" si="224"/>
        <v>68950000</v>
      </c>
      <c r="AW162" s="36">
        <f t="shared" si="224"/>
        <v>5000000</v>
      </c>
      <c r="AX162" s="197">
        <f t="shared" si="225"/>
        <v>42950000</v>
      </c>
      <c r="AY162" s="1">
        <f t="shared" si="226"/>
        <v>63950000</v>
      </c>
      <c r="AZ162" s="15"/>
      <c r="BA162" s="15"/>
      <c r="BB162" s="15"/>
    </row>
    <row r="163" spans="1:54" s="70" customFormat="1" ht="15.75" customHeight="1" x14ac:dyDescent="0.2">
      <c r="A163" s="70">
        <v>29</v>
      </c>
      <c r="B163" s="70" t="s">
        <v>200</v>
      </c>
      <c r="D163" s="15">
        <f t="shared" ref="D163:L163" si="331">D19</f>
        <v>0</v>
      </c>
      <c r="E163" s="15">
        <f t="shared" si="331"/>
        <v>0</v>
      </c>
      <c r="F163" s="15">
        <f t="shared" si="331"/>
        <v>0</v>
      </c>
      <c r="G163" s="15">
        <f t="shared" si="331"/>
        <v>126000000</v>
      </c>
      <c r="H163" s="15">
        <f t="shared" si="331"/>
        <v>0</v>
      </c>
      <c r="I163" s="15">
        <f t="shared" si="331"/>
        <v>126000000</v>
      </c>
      <c r="J163" s="15">
        <f t="shared" si="331"/>
        <v>0</v>
      </c>
      <c r="K163" s="15">
        <f t="shared" si="331"/>
        <v>0</v>
      </c>
      <c r="L163" s="15">
        <f t="shared" si="331"/>
        <v>0</v>
      </c>
      <c r="M163" s="195">
        <f t="shared" si="219"/>
        <v>126000000</v>
      </c>
      <c r="N163" s="195">
        <f t="shared" si="219"/>
        <v>0</v>
      </c>
      <c r="O163" s="15">
        <f t="shared" ref="O163:W163" si="332">O19</f>
        <v>0</v>
      </c>
      <c r="P163" s="15">
        <f t="shared" si="332"/>
        <v>0</v>
      </c>
      <c r="Q163" s="15">
        <f t="shared" si="332"/>
        <v>0</v>
      </c>
      <c r="R163" s="15">
        <f t="shared" si="332"/>
        <v>126000000</v>
      </c>
      <c r="S163" s="15">
        <f t="shared" si="332"/>
        <v>0</v>
      </c>
      <c r="T163" s="15">
        <f t="shared" si="332"/>
        <v>126000000</v>
      </c>
      <c r="U163" s="15">
        <f t="shared" si="332"/>
        <v>0</v>
      </c>
      <c r="V163" s="15">
        <f t="shared" si="332"/>
        <v>0</v>
      </c>
      <c r="W163" s="15">
        <f t="shared" si="332"/>
        <v>0</v>
      </c>
      <c r="X163" s="196">
        <f t="shared" si="221"/>
        <v>126000000</v>
      </c>
      <c r="Y163" s="196">
        <f t="shared" si="221"/>
        <v>0</v>
      </c>
      <c r="Z163" s="15">
        <f t="shared" ref="Z163:AH163" si="333">Z19</f>
        <v>0</v>
      </c>
      <c r="AA163" s="15">
        <f t="shared" si="333"/>
        <v>0</v>
      </c>
      <c r="AB163" s="15">
        <f t="shared" si="333"/>
        <v>0</v>
      </c>
      <c r="AC163" s="15">
        <f t="shared" si="333"/>
        <v>126000000</v>
      </c>
      <c r="AD163" s="15">
        <f t="shared" si="333"/>
        <v>0</v>
      </c>
      <c r="AE163" s="15">
        <f t="shared" si="333"/>
        <v>126000000</v>
      </c>
      <c r="AF163" s="15">
        <f t="shared" si="333"/>
        <v>0</v>
      </c>
      <c r="AG163" s="15">
        <f t="shared" si="333"/>
        <v>0</v>
      </c>
      <c r="AH163" s="15">
        <f t="shared" si="333"/>
        <v>0</v>
      </c>
      <c r="AI163" s="1"/>
      <c r="AJ163" s="1"/>
      <c r="AK163" s="15">
        <f t="shared" ref="AK163:AS163" si="334">AK19</f>
        <v>0</v>
      </c>
      <c r="AL163" s="15">
        <f t="shared" si="334"/>
        <v>0</v>
      </c>
      <c r="AM163" s="15">
        <f t="shared" si="334"/>
        <v>0</v>
      </c>
      <c r="AN163" s="15">
        <f t="shared" si="334"/>
        <v>126000000</v>
      </c>
      <c r="AO163" s="15">
        <f t="shared" si="334"/>
        <v>0</v>
      </c>
      <c r="AP163" s="15">
        <f t="shared" si="334"/>
        <v>126000000</v>
      </c>
      <c r="AQ163" s="15">
        <f t="shared" si="334"/>
        <v>0</v>
      </c>
      <c r="AR163" s="15">
        <f t="shared" si="334"/>
        <v>0</v>
      </c>
      <c r="AS163" s="15">
        <f t="shared" si="334"/>
        <v>0</v>
      </c>
      <c r="AT163" s="1"/>
      <c r="AU163" s="1"/>
      <c r="AV163" s="1">
        <f t="shared" si="224"/>
        <v>504000000</v>
      </c>
      <c r="AW163" s="36">
        <f t="shared" si="224"/>
        <v>0</v>
      </c>
      <c r="AX163" s="197">
        <f t="shared" si="225"/>
        <v>252000000</v>
      </c>
      <c r="AY163" s="1">
        <f t="shared" si="226"/>
        <v>504000000</v>
      </c>
      <c r="AZ163" s="15"/>
      <c r="BA163" s="15"/>
      <c r="BB163" s="15"/>
    </row>
    <row r="164" spans="1:54" s="70" customFormat="1" ht="15.75" customHeight="1" x14ac:dyDescent="0.2">
      <c r="A164" s="70">
        <v>30</v>
      </c>
      <c r="B164" s="70" t="s">
        <v>125</v>
      </c>
      <c r="D164" s="15">
        <f t="shared" ref="D164:L164" si="335">D77</f>
        <v>0</v>
      </c>
      <c r="E164" s="15">
        <f t="shared" si="335"/>
        <v>0</v>
      </c>
      <c r="F164" s="15">
        <f t="shared" si="335"/>
        <v>0</v>
      </c>
      <c r="G164" s="15">
        <f t="shared" si="335"/>
        <v>0</v>
      </c>
      <c r="H164" s="15">
        <f t="shared" si="335"/>
        <v>0</v>
      </c>
      <c r="I164" s="15">
        <f t="shared" si="335"/>
        <v>0</v>
      </c>
      <c r="J164" s="15">
        <f t="shared" si="335"/>
        <v>0</v>
      </c>
      <c r="K164" s="15">
        <f t="shared" si="335"/>
        <v>0</v>
      </c>
      <c r="L164" s="15">
        <f t="shared" si="335"/>
        <v>0</v>
      </c>
      <c r="M164" s="195">
        <f t="shared" si="219"/>
        <v>0</v>
      </c>
      <c r="N164" s="195">
        <f t="shared" si="219"/>
        <v>0</v>
      </c>
      <c r="O164" s="15">
        <f t="shared" ref="O164:W164" si="336">O77</f>
        <v>20000000</v>
      </c>
      <c r="P164" s="15">
        <f t="shared" si="336"/>
        <v>0</v>
      </c>
      <c r="Q164" s="15">
        <f t="shared" si="336"/>
        <v>20000000</v>
      </c>
      <c r="R164" s="15">
        <f t="shared" si="336"/>
        <v>0</v>
      </c>
      <c r="S164" s="15">
        <f t="shared" si="336"/>
        <v>0</v>
      </c>
      <c r="T164" s="15">
        <f t="shared" si="336"/>
        <v>0</v>
      </c>
      <c r="U164" s="15">
        <f t="shared" si="336"/>
        <v>0</v>
      </c>
      <c r="V164" s="15">
        <f t="shared" si="336"/>
        <v>0</v>
      </c>
      <c r="W164" s="15">
        <f t="shared" si="336"/>
        <v>0</v>
      </c>
      <c r="X164" s="196">
        <f t="shared" si="221"/>
        <v>20000000</v>
      </c>
      <c r="Y164" s="196">
        <f t="shared" si="221"/>
        <v>0</v>
      </c>
      <c r="Z164" s="15">
        <f t="shared" ref="Z164:AH164" si="337">Z77</f>
        <v>0</v>
      </c>
      <c r="AA164" s="15">
        <f t="shared" si="337"/>
        <v>0</v>
      </c>
      <c r="AB164" s="15">
        <f t="shared" si="337"/>
        <v>0</v>
      </c>
      <c r="AC164" s="15">
        <f t="shared" si="337"/>
        <v>0</v>
      </c>
      <c r="AD164" s="15">
        <f t="shared" si="337"/>
        <v>0</v>
      </c>
      <c r="AE164" s="15">
        <f t="shared" si="337"/>
        <v>0</v>
      </c>
      <c r="AF164" s="15">
        <f t="shared" si="337"/>
        <v>0</v>
      </c>
      <c r="AG164" s="15">
        <f t="shared" si="337"/>
        <v>0</v>
      </c>
      <c r="AH164" s="15">
        <f t="shared" si="337"/>
        <v>0</v>
      </c>
      <c r="AI164" s="1"/>
      <c r="AJ164" s="1"/>
      <c r="AK164" s="15">
        <f t="shared" ref="AK164:AS164" si="338">AK77</f>
        <v>0</v>
      </c>
      <c r="AL164" s="15">
        <f t="shared" si="338"/>
        <v>0</v>
      </c>
      <c r="AM164" s="15">
        <f t="shared" si="338"/>
        <v>0</v>
      </c>
      <c r="AN164" s="15">
        <f t="shared" si="338"/>
        <v>0</v>
      </c>
      <c r="AO164" s="15">
        <f t="shared" si="338"/>
        <v>0</v>
      </c>
      <c r="AP164" s="15">
        <f t="shared" si="338"/>
        <v>0</v>
      </c>
      <c r="AQ164" s="15">
        <f t="shared" si="338"/>
        <v>9925500</v>
      </c>
      <c r="AR164" s="15">
        <f t="shared" si="338"/>
        <v>0</v>
      </c>
      <c r="AS164" s="15">
        <f t="shared" si="338"/>
        <v>9925500</v>
      </c>
      <c r="AT164" s="1"/>
      <c r="AU164" s="1"/>
      <c r="AV164" s="1">
        <f t="shared" si="224"/>
        <v>29925500</v>
      </c>
      <c r="AW164" s="36">
        <f t="shared" si="224"/>
        <v>0</v>
      </c>
      <c r="AX164" s="197">
        <f t="shared" si="225"/>
        <v>9925500</v>
      </c>
      <c r="AY164" s="1">
        <f t="shared" si="226"/>
        <v>29925500</v>
      </c>
      <c r="AZ164" s="15"/>
      <c r="BA164" s="15"/>
      <c r="BB164" s="15"/>
    </row>
    <row r="165" spans="1:54" s="70" customFormat="1" ht="15.75" customHeight="1" x14ac:dyDescent="0.2">
      <c r="A165" s="70">
        <v>31</v>
      </c>
      <c r="B165" s="70" t="s">
        <v>201</v>
      </c>
      <c r="D165" s="15">
        <f t="shared" ref="D165:L165" si="339">D51</f>
        <v>1000000</v>
      </c>
      <c r="E165" s="15">
        <f t="shared" si="339"/>
        <v>1189655</v>
      </c>
      <c r="F165" s="15">
        <f t="shared" si="339"/>
        <v>-189655</v>
      </c>
      <c r="G165" s="15">
        <f t="shared" si="339"/>
        <v>1000000</v>
      </c>
      <c r="H165" s="15">
        <f t="shared" si="339"/>
        <v>110000</v>
      </c>
      <c r="I165" s="15">
        <f t="shared" si="339"/>
        <v>890000</v>
      </c>
      <c r="J165" s="15">
        <f t="shared" si="339"/>
        <v>1000000</v>
      </c>
      <c r="K165" s="15">
        <f t="shared" si="339"/>
        <v>105600</v>
      </c>
      <c r="L165" s="15">
        <f t="shared" si="339"/>
        <v>894400</v>
      </c>
      <c r="M165" s="195">
        <f t="shared" si="219"/>
        <v>3000000</v>
      </c>
      <c r="N165" s="195">
        <f t="shared" si="219"/>
        <v>1405255</v>
      </c>
      <c r="O165" s="15">
        <f t="shared" ref="O165:W165" si="340">O51</f>
        <v>1000000</v>
      </c>
      <c r="P165" s="15">
        <f t="shared" si="340"/>
        <v>217000</v>
      </c>
      <c r="Q165" s="15">
        <f t="shared" si="340"/>
        <v>783000</v>
      </c>
      <c r="R165" s="15">
        <f t="shared" si="340"/>
        <v>1000000</v>
      </c>
      <c r="S165" s="15">
        <f t="shared" si="340"/>
        <v>694100</v>
      </c>
      <c r="T165" s="15">
        <f t="shared" si="340"/>
        <v>305900</v>
      </c>
      <c r="U165" s="15">
        <f t="shared" si="340"/>
        <v>1000000</v>
      </c>
      <c r="V165" s="15">
        <f t="shared" si="340"/>
        <v>380600</v>
      </c>
      <c r="W165" s="15">
        <f t="shared" si="340"/>
        <v>619400</v>
      </c>
      <c r="X165" s="196">
        <f t="shared" si="221"/>
        <v>3000000</v>
      </c>
      <c r="Y165" s="196">
        <f t="shared" si="221"/>
        <v>1291700</v>
      </c>
      <c r="Z165" s="15">
        <f t="shared" ref="Z165:AH165" si="341">Z51</f>
        <v>1000000</v>
      </c>
      <c r="AA165" s="15">
        <f t="shared" si="341"/>
        <v>23040915</v>
      </c>
      <c r="AB165" s="15">
        <f t="shared" si="341"/>
        <v>-22040915</v>
      </c>
      <c r="AC165" s="15">
        <f t="shared" si="341"/>
        <v>1000000</v>
      </c>
      <c r="AD165" s="15">
        <f t="shared" si="341"/>
        <v>2212800</v>
      </c>
      <c r="AE165" s="15">
        <f t="shared" si="341"/>
        <v>-1212800</v>
      </c>
      <c r="AF165" s="15">
        <f t="shared" si="341"/>
        <v>1000000</v>
      </c>
      <c r="AG165" s="15">
        <f t="shared" si="341"/>
        <v>6686000</v>
      </c>
      <c r="AH165" s="15">
        <f t="shared" si="341"/>
        <v>-5686000</v>
      </c>
      <c r="AI165" s="1"/>
      <c r="AJ165" s="1"/>
      <c r="AK165" s="15">
        <f t="shared" ref="AK165:AS165" si="342">AK51</f>
        <v>1000000</v>
      </c>
      <c r="AL165" s="15">
        <f t="shared" si="342"/>
        <v>0</v>
      </c>
      <c r="AM165" s="15">
        <f t="shared" si="342"/>
        <v>1000000</v>
      </c>
      <c r="AN165" s="15">
        <f t="shared" si="342"/>
        <v>1000000</v>
      </c>
      <c r="AO165" s="15">
        <f t="shared" si="342"/>
        <v>0</v>
      </c>
      <c r="AP165" s="15">
        <f t="shared" si="342"/>
        <v>1000000</v>
      </c>
      <c r="AQ165" s="15">
        <f t="shared" si="342"/>
        <v>1000000</v>
      </c>
      <c r="AR165" s="15">
        <f t="shared" si="342"/>
        <v>0</v>
      </c>
      <c r="AS165" s="15">
        <f t="shared" si="342"/>
        <v>1000000</v>
      </c>
      <c r="AT165" s="1"/>
      <c r="AU165" s="1"/>
      <c r="AV165" s="1">
        <f t="shared" si="224"/>
        <v>12000000</v>
      </c>
      <c r="AW165" s="36">
        <f t="shared" si="224"/>
        <v>34636670</v>
      </c>
      <c r="AX165" s="197">
        <f t="shared" si="225"/>
        <v>40636670</v>
      </c>
      <c r="AY165" s="1">
        <f t="shared" si="226"/>
        <v>-22636670</v>
      </c>
      <c r="AZ165" s="15"/>
      <c r="BA165" s="15"/>
      <c r="BB165" s="15"/>
    </row>
    <row r="166" spans="1:54" s="70" customFormat="1" ht="15.75" customHeight="1" x14ac:dyDescent="0.2">
      <c r="A166" s="70">
        <v>32</v>
      </c>
      <c r="B166" s="70" t="s">
        <v>202</v>
      </c>
      <c r="D166" s="15">
        <f t="shared" ref="D166:L166" si="343">D20</f>
        <v>350000000</v>
      </c>
      <c r="E166" s="15">
        <f t="shared" si="343"/>
        <v>0</v>
      </c>
      <c r="F166" s="15">
        <f t="shared" si="343"/>
        <v>350000000</v>
      </c>
      <c r="G166" s="15">
        <f t="shared" si="343"/>
        <v>0</v>
      </c>
      <c r="H166" s="15">
        <f t="shared" si="343"/>
        <v>0</v>
      </c>
      <c r="I166" s="15">
        <f t="shared" si="343"/>
        <v>0</v>
      </c>
      <c r="J166" s="15">
        <f t="shared" si="343"/>
        <v>0</v>
      </c>
      <c r="K166" s="15">
        <f t="shared" si="343"/>
        <v>0</v>
      </c>
      <c r="L166" s="15">
        <f t="shared" si="343"/>
        <v>0</v>
      </c>
      <c r="M166" s="195">
        <f t="shared" si="219"/>
        <v>350000000</v>
      </c>
      <c r="N166" s="195">
        <f t="shared" si="219"/>
        <v>0</v>
      </c>
      <c r="O166" s="15">
        <f t="shared" ref="O166:W166" si="344">O20</f>
        <v>0</v>
      </c>
      <c r="P166" s="15">
        <f t="shared" si="344"/>
        <v>0</v>
      </c>
      <c r="Q166" s="15">
        <f t="shared" si="344"/>
        <v>0</v>
      </c>
      <c r="R166" s="15">
        <f t="shared" si="344"/>
        <v>0</v>
      </c>
      <c r="S166" s="15">
        <f t="shared" si="344"/>
        <v>0</v>
      </c>
      <c r="T166" s="15">
        <f t="shared" si="344"/>
        <v>0</v>
      </c>
      <c r="U166" s="15">
        <f t="shared" si="344"/>
        <v>0</v>
      </c>
      <c r="V166" s="15">
        <f t="shared" si="344"/>
        <v>0</v>
      </c>
      <c r="W166" s="15">
        <f t="shared" si="344"/>
        <v>0</v>
      </c>
      <c r="X166" s="196">
        <f t="shared" si="221"/>
        <v>0</v>
      </c>
      <c r="Y166" s="196">
        <f t="shared" si="221"/>
        <v>0</v>
      </c>
      <c r="Z166" s="15">
        <f t="shared" ref="Z166:AH166" si="345">Z20</f>
        <v>0</v>
      </c>
      <c r="AA166" s="15">
        <f t="shared" si="345"/>
        <v>0</v>
      </c>
      <c r="AB166" s="15">
        <f t="shared" si="345"/>
        <v>0</v>
      </c>
      <c r="AC166" s="15">
        <f t="shared" si="345"/>
        <v>0</v>
      </c>
      <c r="AD166" s="15">
        <f t="shared" si="345"/>
        <v>0</v>
      </c>
      <c r="AE166" s="15">
        <f t="shared" si="345"/>
        <v>0</v>
      </c>
      <c r="AF166" s="15">
        <f t="shared" si="345"/>
        <v>0</v>
      </c>
      <c r="AG166" s="15">
        <f t="shared" si="345"/>
        <v>0</v>
      </c>
      <c r="AH166" s="15">
        <f t="shared" si="345"/>
        <v>0</v>
      </c>
      <c r="AI166" s="1"/>
      <c r="AJ166" s="1"/>
      <c r="AK166" s="15">
        <f t="shared" ref="AK166:AS166" si="346">AK20</f>
        <v>0</v>
      </c>
      <c r="AL166" s="15">
        <f t="shared" si="346"/>
        <v>0</v>
      </c>
      <c r="AM166" s="15">
        <f t="shared" si="346"/>
        <v>0</v>
      </c>
      <c r="AN166" s="15">
        <f t="shared" si="346"/>
        <v>0</v>
      </c>
      <c r="AO166" s="15">
        <f t="shared" si="346"/>
        <v>0</v>
      </c>
      <c r="AP166" s="15">
        <f t="shared" si="346"/>
        <v>0</v>
      </c>
      <c r="AQ166" s="15">
        <f t="shared" si="346"/>
        <v>0</v>
      </c>
      <c r="AR166" s="15">
        <f t="shared" si="346"/>
        <v>0</v>
      </c>
      <c r="AS166" s="15">
        <f t="shared" si="346"/>
        <v>0</v>
      </c>
      <c r="AT166" s="1"/>
      <c r="AU166" s="1"/>
      <c r="AV166" s="1">
        <f t="shared" si="224"/>
        <v>350000000</v>
      </c>
      <c r="AW166" s="36">
        <f t="shared" si="224"/>
        <v>0</v>
      </c>
      <c r="AX166" s="197">
        <f t="shared" si="225"/>
        <v>0</v>
      </c>
      <c r="AY166" s="1">
        <f t="shared" si="226"/>
        <v>350000000</v>
      </c>
      <c r="AZ166" s="15"/>
      <c r="BA166" s="15"/>
      <c r="BB166" s="15"/>
    </row>
    <row r="167" spans="1:54" s="70" customFormat="1" ht="15.75" customHeight="1" x14ac:dyDescent="0.2">
      <c r="A167" s="70">
        <v>33</v>
      </c>
      <c r="B167" s="70" t="s">
        <v>150</v>
      </c>
      <c r="D167" s="15">
        <f t="shared" ref="D167:L167" si="347">D6+D10+D107</f>
        <v>552718923</v>
      </c>
      <c r="E167" s="15">
        <f t="shared" si="347"/>
        <v>518235323</v>
      </c>
      <c r="F167" s="15">
        <f t="shared" si="347"/>
        <v>34483600</v>
      </c>
      <c r="G167" s="15">
        <f t="shared" si="347"/>
        <v>552718923</v>
      </c>
      <c r="H167" s="15">
        <f t="shared" si="347"/>
        <v>493760175</v>
      </c>
      <c r="I167" s="15">
        <f t="shared" si="347"/>
        <v>58958748</v>
      </c>
      <c r="J167" s="15">
        <f t="shared" si="347"/>
        <v>552718923</v>
      </c>
      <c r="K167" s="15">
        <f t="shared" si="347"/>
        <v>378030931</v>
      </c>
      <c r="L167" s="15">
        <f t="shared" si="347"/>
        <v>174687992</v>
      </c>
      <c r="M167" s="195">
        <f t="shared" si="219"/>
        <v>1658156769</v>
      </c>
      <c r="N167" s="195">
        <f t="shared" si="219"/>
        <v>1390026429</v>
      </c>
      <c r="O167" s="15">
        <f t="shared" ref="O167:W167" si="348">O6+O10+O107</f>
        <v>597483661.24000001</v>
      </c>
      <c r="P167" s="15">
        <f t="shared" si="348"/>
        <v>509021692</v>
      </c>
      <c r="Q167" s="15">
        <f t="shared" si="348"/>
        <v>88461969.240000069</v>
      </c>
      <c r="R167" s="15">
        <f t="shared" si="348"/>
        <v>597483661.24000001</v>
      </c>
      <c r="S167" s="15">
        <f t="shared" si="348"/>
        <v>482037482</v>
      </c>
      <c r="T167" s="15">
        <f t="shared" si="348"/>
        <v>115446179.24000007</v>
      </c>
      <c r="U167" s="15">
        <f t="shared" si="348"/>
        <v>597483661.24000001</v>
      </c>
      <c r="V167" s="15">
        <f t="shared" si="348"/>
        <v>481395102</v>
      </c>
      <c r="W167" s="15">
        <f t="shared" si="348"/>
        <v>116088559.24000007</v>
      </c>
      <c r="X167" s="196">
        <f t="shared" si="221"/>
        <v>1792450983.72</v>
      </c>
      <c r="Y167" s="196">
        <f t="shared" si="221"/>
        <v>1472454276</v>
      </c>
      <c r="Z167" s="15">
        <f t="shared" ref="Z167:AH167" si="349">Z6+Z10+Z107</f>
        <v>597483661.24000001</v>
      </c>
      <c r="AA167" s="15">
        <f t="shared" si="349"/>
        <v>478130915.74000001</v>
      </c>
      <c r="AB167" s="15">
        <f t="shared" si="349"/>
        <v>119352745.50000006</v>
      </c>
      <c r="AC167" s="15">
        <f t="shared" si="349"/>
        <v>1192967322.48</v>
      </c>
      <c r="AD167" s="15">
        <f t="shared" si="349"/>
        <v>1137265006.28</v>
      </c>
      <c r="AE167" s="15">
        <f t="shared" si="349"/>
        <v>55702316.200000167</v>
      </c>
      <c r="AF167" s="15">
        <f t="shared" si="349"/>
        <v>597483661.24000001</v>
      </c>
      <c r="AG167" s="15">
        <f t="shared" si="349"/>
        <v>477092968</v>
      </c>
      <c r="AH167" s="15">
        <f t="shared" si="349"/>
        <v>120390693.24000007</v>
      </c>
      <c r="AI167" s="1"/>
      <c r="AJ167" s="1"/>
      <c r="AK167" s="15">
        <f t="shared" ref="AK167:AS167" si="350">AK6+AK10+AK107</f>
        <v>597483661.24000001</v>
      </c>
      <c r="AL167" s="15">
        <f t="shared" si="350"/>
        <v>0</v>
      </c>
      <c r="AM167" s="15">
        <f t="shared" si="350"/>
        <v>597483661.24000001</v>
      </c>
      <c r="AN167" s="15">
        <f t="shared" si="350"/>
        <v>597483661.24000001</v>
      </c>
      <c r="AO167" s="15">
        <f t="shared" si="350"/>
        <v>0</v>
      </c>
      <c r="AP167" s="15">
        <f t="shared" si="350"/>
        <v>597483661.24000001</v>
      </c>
      <c r="AQ167" s="15">
        <f t="shared" si="350"/>
        <v>1192967322.48</v>
      </c>
      <c r="AR167" s="15">
        <f t="shared" si="350"/>
        <v>0</v>
      </c>
      <c r="AS167" s="15">
        <f t="shared" si="350"/>
        <v>1192967322.48</v>
      </c>
      <c r="AT167" s="1"/>
      <c r="AU167" s="1"/>
      <c r="AV167" s="1">
        <f t="shared" si="224"/>
        <v>8226477042.6399994</v>
      </c>
      <c r="AW167" s="36">
        <f t="shared" si="224"/>
        <v>4954969595.0200005</v>
      </c>
      <c r="AX167" s="197">
        <f t="shared" si="225"/>
        <v>9730838884.9399986</v>
      </c>
      <c r="AY167" s="1">
        <f t="shared" si="226"/>
        <v>3271507447.6200013</v>
      </c>
      <c r="AZ167" s="15"/>
      <c r="BA167" s="15"/>
      <c r="BB167" s="15"/>
    </row>
    <row r="168" spans="1:54" s="70" customFormat="1" ht="15.75" customHeight="1" x14ac:dyDescent="0.2">
      <c r="A168" s="70">
        <v>34</v>
      </c>
      <c r="B168" s="70" t="s">
        <v>203</v>
      </c>
      <c r="D168" s="15">
        <f t="shared" ref="D168:L168" si="351">D50</f>
        <v>0</v>
      </c>
      <c r="E168" s="15">
        <f t="shared" si="351"/>
        <v>8804155</v>
      </c>
      <c r="F168" s="15">
        <f t="shared" si="351"/>
        <v>-8804155</v>
      </c>
      <c r="G168" s="15">
        <f t="shared" si="351"/>
        <v>21828000</v>
      </c>
      <c r="H168" s="15">
        <f t="shared" si="351"/>
        <v>8236145</v>
      </c>
      <c r="I168" s="15">
        <f t="shared" si="351"/>
        <v>13591855</v>
      </c>
      <c r="J168" s="15">
        <f t="shared" si="351"/>
        <v>0</v>
      </c>
      <c r="K168" s="15">
        <f t="shared" si="351"/>
        <v>8804155</v>
      </c>
      <c r="L168" s="15">
        <f t="shared" si="351"/>
        <v>-8804155</v>
      </c>
      <c r="M168" s="195">
        <f t="shared" si="219"/>
        <v>21828000</v>
      </c>
      <c r="N168" s="195">
        <f t="shared" si="219"/>
        <v>25844455</v>
      </c>
      <c r="O168" s="15">
        <f t="shared" ref="O168:W168" si="352">O50</f>
        <v>0</v>
      </c>
      <c r="P168" s="15">
        <f t="shared" si="352"/>
        <v>8520150</v>
      </c>
      <c r="Q168" s="15">
        <f t="shared" si="352"/>
        <v>-8520150</v>
      </c>
      <c r="R168" s="15">
        <f t="shared" si="352"/>
        <v>21828000</v>
      </c>
      <c r="S168" s="15">
        <f t="shared" si="352"/>
        <v>8804155</v>
      </c>
      <c r="T168" s="15">
        <f t="shared" si="352"/>
        <v>13023845</v>
      </c>
      <c r="U168" s="15">
        <f t="shared" si="352"/>
        <v>0</v>
      </c>
      <c r="V168" s="15">
        <f t="shared" si="352"/>
        <v>8520150</v>
      </c>
      <c r="W168" s="15">
        <f t="shared" si="352"/>
        <v>-8520150</v>
      </c>
      <c r="X168" s="196">
        <f t="shared" si="221"/>
        <v>21828000</v>
      </c>
      <c r="Y168" s="196">
        <f t="shared" si="221"/>
        <v>25844455</v>
      </c>
      <c r="Z168" s="15">
        <f t="shared" ref="Z168:AH168" si="353">Z50</f>
        <v>0</v>
      </c>
      <c r="AA168" s="15">
        <f t="shared" si="353"/>
        <v>8723330</v>
      </c>
      <c r="AB168" s="15">
        <f t="shared" si="353"/>
        <v>-8723330</v>
      </c>
      <c r="AC168" s="15">
        <f t="shared" si="353"/>
        <v>21828000</v>
      </c>
      <c r="AD168" s="15">
        <f t="shared" si="353"/>
        <v>7355086.96</v>
      </c>
      <c r="AE168" s="15">
        <f t="shared" si="353"/>
        <v>14472913.039999999</v>
      </c>
      <c r="AF168" s="15">
        <f t="shared" si="353"/>
        <v>0</v>
      </c>
      <c r="AG168" s="15">
        <f t="shared" si="353"/>
        <v>8616880.8699999992</v>
      </c>
      <c r="AH168" s="15">
        <f t="shared" si="353"/>
        <v>-8616880.8699999992</v>
      </c>
      <c r="AI168" s="1"/>
      <c r="AJ168" s="1"/>
      <c r="AK168" s="15">
        <f t="shared" ref="AK168:AS168" si="354">AK50</f>
        <v>0</v>
      </c>
      <c r="AL168" s="15">
        <f t="shared" si="354"/>
        <v>0</v>
      </c>
      <c r="AM168" s="15">
        <f t="shared" si="354"/>
        <v>0</v>
      </c>
      <c r="AN168" s="15">
        <f t="shared" si="354"/>
        <v>21828000</v>
      </c>
      <c r="AO168" s="15">
        <f t="shared" si="354"/>
        <v>0</v>
      </c>
      <c r="AP168" s="15">
        <f t="shared" si="354"/>
        <v>21828000</v>
      </c>
      <c r="AQ168" s="15">
        <f t="shared" si="354"/>
        <v>0</v>
      </c>
      <c r="AR168" s="15">
        <f t="shared" si="354"/>
        <v>0</v>
      </c>
      <c r="AS168" s="15">
        <f t="shared" si="354"/>
        <v>0</v>
      </c>
      <c r="AT168" s="1"/>
      <c r="AU168" s="1"/>
      <c r="AV168" s="1">
        <f t="shared" si="224"/>
        <v>87312000</v>
      </c>
      <c r="AW168" s="36">
        <f t="shared" si="224"/>
        <v>76384207.829999998</v>
      </c>
      <c r="AX168" s="197">
        <f t="shared" si="225"/>
        <v>120040207.83</v>
      </c>
      <c r="AY168" s="1">
        <f t="shared" si="226"/>
        <v>10927792.170000002</v>
      </c>
      <c r="AZ168" s="15"/>
      <c r="BA168" s="15"/>
      <c r="BB168" s="15"/>
    </row>
    <row r="169" spans="1:54" s="70" customFormat="1" ht="15.75" customHeight="1" x14ac:dyDescent="0.2">
      <c r="A169" s="70">
        <v>35</v>
      </c>
      <c r="B169" s="70" t="s">
        <v>110</v>
      </c>
      <c r="D169" s="15">
        <f t="shared" ref="D169:L169" si="355">D60</f>
        <v>15165000</v>
      </c>
      <c r="E169" s="15">
        <f t="shared" si="355"/>
        <v>0</v>
      </c>
      <c r="F169" s="15">
        <f t="shared" si="355"/>
        <v>15165000</v>
      </c>
      <c r="G169" s="15">
        <f t="shared" si="355"/>
        <v>5440000</v>
      </c>
      <c r="H169" s="15">
        <f t="shared" si="355"/>
        <v>0</v>
      </c>
      <c r="I169" s="15">
        <f t="shared" si="355"/>
        <v>5440000</v>
      </c>
      <c r="J169" s="15">
        <f t="shared" si="355"/>
        <v>0</v>
      </c>
      <c r="K169" s="15">
        <f t="shared" si="355"/>
        <v>0</v>
      </c>
      <c r="L169" s="15">
        <f t="shared" si="355"/>
        <v>0</v>
      </c>
      <c r="M169" s="195">
        <f t="shared" si="219"/>
        <v>20605000</v>
      </c>
      <c r="N169" s="195">
        <f t="shared" si="219"/>
        <v>0</v>
      </c>
      <c r="O169" s="15">
        <f t="shared" ref="O169:W169" si="356">O60</f>
        <v>15165000</v>
      </c>
      <c r="P169" s="15">
        <f t="shared" si="356"/>
        <v>0</v>
      </c>
      <c r="Q169" s="15">
        <f t="shared" si="356"/>
        <v>15165000</v>
      </c>
      <c r="R169" s="15">
        <f t="shared" si="356"/>
        <v>15165000</v>
      </c>
      <c r="S169" s="15">
        <f t="shared" si="356"/>
        <v>0</v>
      </c>
      <c r="T169" s="15">
        <f t="shared" si="356"/>
        <v>15165000</v>
      </c>
      <c r="U169" s="15">
        <f t="shared" si="356"/>
        <v>15165000</v>
      </c>
      <c r="V169" s="15">
        <f t="shared" si="356"/>
        <v>0</v>
      </c>
      <c r="W169" s="15">
        <f t="shared" si="356"/>
        <v>15165000</v>
      </c>
      <c r="X169" s="196">
        <f t="shared" si="221"/>
        <v>45495000</v>
      </c>
      <c r="Y169" s="196">
        <f t="shared" si="221"/>
        <v>0</v>
      </c>
      <c r="Z169" s="15">
        <f t="shared" ref="Z169:AH169" si="357">Z60</f>
        <v>22050000</v>
      </c>
      <c r="AA169" s="15">
        <f t="shared" si="357"/>
        <v>0</v>
      </c>
      <c r="AB169" s="15">
        <f t="shared" si="357"/>
        <v>22050000</v>
      </c>
      <c r="AC169" s="15">
        <f t="shared" si="357"/>
        <v>350000</v>
      </c>
      <c r="AD169" s="15">
        <f t="shared" si="357"/>
        <v>0</v>
      </c>
      <c r="AE169" s="15">
        <f t="shared" si="357"/>
        <v>350000</v>
      </c>
      <c r="AF169" s="15">
        <f t="shared" si="357"/>
        <v>15165000</v>
      </c>
      <c r="AG169" s="15">
        <f t="shared" si="357"/>
        <v>0</v>
      </c>
      <c r="AH169" s="15">
        <f t="shared" si="357"/>
        <v>15165000</v>
      </c>
      <c r="AI169" s="1"/>
      <c r="AJ169" s="1"/>
      <c r="AK169" s="15">
        <f t="shared" ref="AK169:AS169" si="358">AK60</f>
        <v>350000</v>
      </c>
      <c r="AL169" s="15">
        <f t="shared" si="358"/>
        <v>0</v>
      </c>
      <c r="AM169" s="15">
        <f t="shared" si="358"/>
        <v>350000</v>
      </c>
      <c r="AN169" s="15">
        <f t="shared" si="358"/>
        <v>15165000</v>
      </c>
      <c r="AO169" s="15">
        <f t="shared" si="358"/>
        <v>0</v>
      </c>
      <c r="AP169" s="15">
        <f t="shared" si="358"/>
        <v>15165000</v>
      </c>
      <c r="AQ169" s="15">
        <f t="shared" si="358"/>
        <v>15165000</v>
      </c>
      <c r="AR169" s="15">
        <f t="shared" si="358"/>
        <v>0</v>
      </c>
      <c r="AS169" s="15">
        <f t="shared" si="358"/>
        <v>15165000</v>
      </c>
      <c r="AT169" s="1"/>
      <c r="AU169" s="1"/>
      <c r="AV169" s="1">
        <f t="shared" si="224"/>
        <v>134345000</v>
      </c>
      <c r="AW169" s="36">
        <f t="shared" si="224"/>
        <v>0</v>
      </c>
      <c r="AX169" s="197">
        <f t="shared" si="225"/>
        <v>68245000</v>
      </c>
      <c r="AY169" s="1">
        <f t="shared" si="226"/>
        <v>134345000</v>
      </c>
      <c r="AZ169" s="15"/>
      <c r="BA169" s="15"/>
      <c r="BB169" s="15"/>
    </row>
    <row r="170" spans="1:54" s="70" customFormat="1" ht="15.75" customHeight="1" x14ac:dyDescent="0.2">
      <c r="A170" s="70">
        <v>36</v>
      </c>
      <c r="B170" s="70" t="s">
        <v>204</v>
      </c>
      <c r="D170" s="15">
        <f t="shared" ref="D170:L170" si="359">D52</f>
        <v>0</v>
      </c>
      <c r="E170" s="15">
        <f t="shared" si="359"/>
        <v>1900000</v>
      </c>
      <c r="F170" s="15">
        <f t="shared" si="359"/>
        <v>-1900000</v>
      </c>
      <c r="G170" s="15">
        <f t="shared" si="359"/>
        <v>2500000</v>
      </c>
      <c r="H170" s="15">
        <f t="shared" si="359"/>
        <v>0</v>
      </c>
      <c r="I170" s="15">
        <f t="shared" si="359"/>
        <v>2500000</v>
      </c>
      <c r="J170" s="15">
        <f t="shared" si="359"/>
        <v>0</v>
      </c>
      <c r="K170" s="15">
        <f t="shared" si="359"/>
        <v>0</v>
      </c>
      <c r="L170" s="15">
        <f t="shared" si="359"/>
        <v>0</v>
      </c>
      <c r="M170" s="195">
        <f t="shared" si="219"/>
        <v>2500000</v>
      </c>
      <c r="N170" s="195">
        <f t="shared" si="219"/>
        <v>1900000</v>
      </c>
      <c r="O170" s="15">
        <f t="shared" ref="O170:W170" si="360">O52</f>
        <v>0</v>
      </c>
      <c r="P170" s="15">
        <f t="shared" si="360"/>
        <v>0</v>
      </c>
      <c r="Q170" s="15">
        <f t="shared" si="360"/>
        <v>0</v>
      </c>
      <c r="R170" s="15">
        <f t="shared" si="360"/>
        <v>2500000</v>
      </c>
      <c r="S170" s="15">
        <f t="shared" si="360"/>
        <v>1985000</v>
      </c>
      <c r="T170" s="15">
        <f t="shared" si="360"/>
        <v>515000</v>
      </c>
      <c r="U170" s="15">
        <f t="shared" si="360"/>
        <v>0</v>
      </c>
      <c r="V170" s="15">
        <f t="shared" si="360"/>
        <v>655000</v>
      </c>
      <c r="W170" s="15">
        <f t="shared" si="360"/>
        <v>-655000</v>
      </c>
      <c r="X170" s="196">
        <f t="shared" si="221"/>
        <v>2500000</v>
      </c>
      <c r="Y170" s="196">
        <f t="shared" si="221"/>
        <v>2640000</v>
      </c>
      <c r="Z170" s="15">
        <f t="shared" ref="Z170:AH170" si="361">Z52</f>
        <v>0</v>
      </c>
      <c r="AA170" s="15">
        <f t="shared" si="361"/>
        <v>22116500</v>
      </c>
      <c r="AB170" s="15">
        <f t="shared" si="361"/>
        <v>-22116500</v>
      </c>
      <c r="AC170" s="15">
        <f t="shared" si="361"/>
        <v>2500000</v>
      </c>
      <c r="AD170" s="15">
        <f t="shared" si="361"/>
        <v>0</v>
      </c>
      <c r="AE170" s="15">
        <f t="shared" si="361"/>
        <v>2500000</v>
      </c>
      <c r="AF170" s="15">
        <f t="shared" si="361"/>
        <v>0</v>
      </c>
      <c r="AG170" s="15">
        <f t="shared" si="361"/>
        <v>2000000</v>
      </c>
      <c r="AH170" s="15">
        <f t="shared" si="361"/>
        <v>-2000000</v>
      </c>
      <c r="AI170" s="1"/>
      <c r="AJ170" s="1"/>
      <c r="AK170" s="15">
        <f t="shared" ref="AK170:AS170" si="362">AK52</f>
        <v>0</v>
      </c>
      <c r="AL170" s="15">
        <f t="shared" si="362"/>
        <v>0</v>
      </c>
      <c r="AM170" s="15">
        <f t="shared" si="362"/>
        <v>0</v>
      </c>
      <c r="AN170" s="15">
        <f t="shared" si="362"/>
        <v>2500000</v>
      </c>
      <c r="AO170" s="15">
        <f t="shared" si="362"/>
        <v>0</v>
      </c>
      <c r="AP170" s="15">
        <f t="shared" si="362"/>
        <v>2500000</v>
      </c>
      <c r="AQ170" s="15">
        <f t="shared" si="362"/>
        <v>0</v>
      </c>
      <c r="AR170" s="15">
        <f t="shared" si="362"/>
        <v>0</v>
      </c>
      <c r="AS170" s="15">
        <f t="shared" si="362"/>
        <v>0</v>
      </c>
      <c r="AT170" s="1"/>
      <c r="AU170" s="1"/>
      <c r="AV170" s="1">
        <f t="shared" si="224"/>
        <v>10000000</v>
      </c>
      <c r="AW170" s="36">
        <f t="shared" si="224"/>
        <v>28656500</v>
      </c>
      <c r="AX170" s="197">
        <f t="shared" si="225"/>
        <v>33656500</v>
      </c>
      <c r="AY170" s="1">
        <f t="shared" si="226"/>
        <v>-18656500</v>
      </c>
      <c r="AZ170" s="15"/>
      <c r="BA170" s="15"/>
      <c r="BB170" s="15"/>
    </row>
    <row r="171" spans="1:54" s="70" customFormat="1" ht="15.75" customHeight="1" x14ac:dyDescent="0.2">
      <c r="A171" s="70">
        <v>37</v>
      </c>
      <c r="B171" s="70" t="s">
        <v>70</v>
      </c>
      <c r="D171" s="15">
        <f t="shared" ref="D171:L171" si="363">D36</f>
        <v>8218901</v>
      </c>
      <c r="E171" s="15">
        <f t="shared" si="363"/>
        <v>8143800</v>
      </c>
      <c r="F171" s="15">
        <f t="shared" si="363"/>
        <v>75101</v>
      </c>
      <c r="G171" s="15">
        <f t="shared" si="363"/>
        <v>8218901</v>
      </c>
      <c r="H171" s="15">
        <f t="shared" si="363"/>
        <v>5766190</v>
      </c>
      <c r="I171" s="15">
        <f t="shared" si="363"/>
        <v>2452711</v>
      </c>
      <c r="J171" s="15">
        <f t="shared" si="363"/>
        <v>8218901</v>
      </c>
      <c r="K171" s="15">
        <f t="shared" si="363"/>
        <v>5742540</v>
      </c>
      <c r="L171" s="15">
        <f t="shared" si="363"/>
        <v>2476361</v>
      </c>
      <c r="M171" s="195">
        <f t="shared" si="219"/>
        <v>24656703</v>
      </c>
      <c r="N171" s="195">
        <f t="shared" si="219"/>
        <v>19652530</v>
      </c>
      <c r="O171" s="15">
        <f t="shared" ref="O171:W171" si="364">O36</f>
        <v>8218901</v>
      </c>
      <c r="P171" s="15">
        <f t="shared" si="364"/>
        <v>9275491</v>
      </c>
      <c r="Q171" s="15">
        <f t="shared" si="364"/>
        <v>-1056590</v>
      </c>
      <c r="R171" s="15">
        <f t="shared" si="364"/>
        <v>8218901</v>
      </c>
      <c r="S171" s="15">
        <f t="shared" si="364"/>
        <v>9044041</v>
      </c>
      <c r="T171" s="15">
        <f t="shared" si="364"/>
        <v>-825140</v>
      </c>
      <c r="U171" s="15">
        <f t="shared" si="364"/>
        <v>8218901</v>
      </c>
      <c r="V171" s="15">
        <f t="shared" si="364"/>
        <v>5844244</v>
      </c>
      <c r="W171" s="15">
        <f t="shared" si="364"/>
        <v>2374657</v>
      </c>
      <c r="X171" s="196">
        <f t="shared" si="221"/>
        <v>24656703</v>
      </c>
      <c r="Y171" s="196">
        <f t="shared" si="221"/>
        <v>24163776</v>
      </c>
      <c r="Z171" s="15">
        <f t="shared" ref="Z171:AH171" si="365">Z36</f>
        <v>8218901</v>
      </c>
      <c r="AA171" s="15">
        <f t="shared" si="365"/>
        <v>10646700</v>
      </c>
      <c r="AB171" s="15">
        <f t="shared" si="365"/>
        <v>-2427799</v>
      </c>
      <c r="AC171" s="15">
        <f t="shared" si="365"/>
        <v>8218901</v>
      </c>
      <c r="AD171" s="15">
        <f t="shared" si="365"/>
        <v>10646700</v>
      </c>
      <c r="AE171" s="15">
        <f t="shared" si="365"/>
        <v>-2427799</v>
      </c>
      <c r="AF171" s="15">
        <f t="shared" si="365"/>
        <v>8218901</v>
      </c>
      <c r="AG171" s="15">
        <f t="shared" si="365"/>
        <v>5590150</v>
      </c>
      <c r="AH171" s="15">
        <f t="shared" si="365"/>
        <v>2628751</v>
      </c>
      <c r="AI171" s="1"/>
      <c r="AJ171" s="1"/>
      <c r="AK171" s="15">
        <f t="shared" ref="AK171:AS171" si="366">AK36</f>
        <v>8218901</v>
      </c>
      <c r="AL171" s="15">
        <f t="shared" si="366"/>
        <v>0</v>
      </c>
      <c r="AM171" s="15">
        <f t="shared" si="366"/>
        <v>8218901</v>
      </c>
      <c r="AN171" s="15">
        <f t="shared" si="366"/>
        <v>8218901</v>
      </c>
      <c r="AO171" s="15">
        <f t="shared" si="366"/>
        <v>0</v>
      </c>
      <c r="AP171" s="15">
        <f t="shared" si="366"/>
        <v>8218901</v>
      </c>
      <c r="AQ171" s="15">
        <f t="shared" si="366"/>
        <v>8218901</v>
      </c>
      <c r="AR171" s="15">
        <f t="shared" si="366"/>
        <v>0</v>
      </c>
      <c r="AS171" s="15">
        <f t="shared" si="366"/>
        <v>8218901</v>
      </c>
      <c r="AT171" s="1"/>
      <c r="AU171" s="1"/>
      <c r="AV171" s="1">
        <f t="shared" si="224"/>
        <v>98626812</v>
      </c>
      <c r="AW171" s="36">
        <f t="shared" si="224"/>
        <v>70699856</v>
      </c>
      <c r="AX171" s="197">
        <f t="shared" si="225"/>
        <v>120013262</v>
      </c>
      <c r="AY171" s="1">
        <f t="shared" si="226"/>
        <v>27926956</v>
      </c>
      <c r="AZ171" s="15"/>
      <c r="BA171" s="15"/>
      <c r="BB171" s="15"/>
    </row>
    <row r="172" spans="1:54" s="70" customFormat="1" ht="15.75" customHeight="1" x14ac:dyDescent="0.2">
      <c r="A172" s="70">
        <v>38</v>
      </c>
      <c r="B172" s="70" t="s">
        <v>205</v>
      </c>
      <c r="D172" s="15">
        <f t="shared" ref="D172:L172" si="367">D49</f>
        <v>31949837</v>
      </c>
      <c r="E172" s="15">
        <f t="shared" si="367"/>
        <v>26107535</v>
      </c>
      <c r="F172" s="15">
        <f t="shared" si="367"/>
        <v>5842302</v>
      </c>
      <c r="G172" s="15">
        <f t="shared" si="367"/>
        <v>31949837</v>
      </c>
      <c r="H172" s="15">
        <f t="shared" si="367"/>
        <v>23051273</v>
      </c>
      <c r="I172" s="15">
        <f t="shared" si="367"/>
        <v>8898564</v>
      </c>
      <c r="J172" s="15">
        <f t="shared" si="367"/>
        <v>31949837</v>
      </c>
      <c r="K172" s="15">
        <f t="shared" si="367"/>
        <v>13899632</v>
      </c>
      <c r="L172" s="15">
        <f t="shared" si="367"/>
        <v>18050205</v>
      </c>
      <c r="M172" s="195">
        <f t="shared" si="219"/>
        <v>95849511</v>
      </c>
      <c r="N172" s="195">
        <f t="shared" si="219"/>
        <v>63058440</v>
      </c>
      <c r="O172" s="15">
        <f t="shared" ref="O172:W172" si="368">O49</f>
        <v>31949837</v>
      </c>
      <c r="P172" s="15">
        <f t="shared" si="368"/>
        <v>24507116</v>
      </c>
      <c r="Q172" s="15">
        <f t="shared" si="368"/>
        <v>7442721</v>
      </c>
      <c r="R172" s="15">
        <f t="shared" si="368"/>
        <v>31949837</v>
      </c>
      <c r="S172" s="15">
        <f t="shared" si="368"/>
        <v>19072515</v>
      </c>
      <c r="T172" s="15">
        <f t="shared" si="368"/>
        <v>12877322</v>
      </c>
      <c r="U172" s="15">
        <f t="shared" si="368"/>
        <v>31949837</v>
      </c>
      <c r="V172" s="15">
        <f t="shared" si="368"/>
        <v>20527406</v>
      </c>
      <c r="W172" s="15">
        <f t="shared" si="368"/>
        <v>11422431</v>
      </c>
      <c r="X172" s="196">
        <f t="shared" si="221"/>
        <v>95849511</v>
      </c>
      <c r="Y172" s="196">
        <f t="shared" si="221"/>
        <v>64107037</v>
      </c>
      <c r="Z172" s="15">
        <f t="shared" ref="Z172:AH172" si="369">Z49</f>
        <v>31949837</v>
      </c>
      <c r="AA172" s="15">
        <f t="shared" si="369"/>
        <v>25455537</v>
      </c>
      <c r="AB172" s="15">
        <f t="shared" si="369"/>
        <v>6494300</v>
      </c>
      <c r="AC172" s="15">
        <f t="shared" si="369"/>
        <v>31949837</v>
      </c>
      <c r="AD172" s="15">
        <f t="shared" si="369"/>
        <v>18378442</v>
      </c>
      <c r="AE172" s="15">
        <f t="shared" si="369"/>
        <v>13571395</v>
      </c>
      <c r="AF172" s="15">
        <f t="shared" si="369"/>
        <v>31949837</v>
      </c>
      <c r="AG172" s="15">
        <f t="shared" si="369"/>
        <v>16508873</v>
      </c>
      <c r="AH172" s="15">
        <f t="shared" si="369"/>
        <v>15440964</v>
      </c>
      <c r="AI172" s="1"/>
      <c r="AJ172" s="1"/>
      <c r="AK172" s="15">
        <f t="shared" ref="AK172:AS172" si="370">AK49</f>
        <v>31949837</v>
      </c>
      <c r="AL172" s="15">
        <f t="shared" si="370"/>
        <v>0</v>
      </c>
      <c r="AM172" s="15">
        <f t="shared" si="370"/>
        <v>31949837</v>
      </c>
      <c r="AN172" s="15">
        <f t="shared" si="370"/>
        <v>31949837</v>
      </c>
      <c r="AO172" s="15">
        <f t="shared" si="370"/>
        <v>0</v>
      </c>
      <c r="AP172" s="15">
        <f t="shared" si="370"/>
        <v>31949837</v>
      </c>
      <c r="AQ172" s="15">
        <f t="shared" si="370"/>
        <v>31949837</v>
      </c>
      <c r="AR172" s="15">
        <f t="shared" si="370"/>
        <v>0</v>
      </c>
      <c r="AS172" s="15">
        <f t="shared" si="370"/>
        <v>31949837</v>
      </c>
      <c r="AT172" s="1"/>
      <c r="AU172" s="1"/>
      <c r="AV172" s="1">
        <f t="shared" si="224"/>
        <v>383398044</v>
      </c>
      <c r="AW172" s="36">
        <f t="shared" si="224"/>
        <v>187508329</v>
      </c>
      <c r="AX172" s="197">
        <f t="shared" si="225"/>
        <v>379207351</v>
      </c>
      <c r="AY172" s="1">
        <f t="shared" si="226"/>
        <v>195889715</v>
      </c>
      <c r="AZ172" s="15"/>
      <c r="BA172" s="15"/>
      <c r="BB172" s="15"/>
    </row>
    <row r="173" spans="1:54" s="70" customFormat="1" ht="15.75" customHeight="1" x14ac:dyDescent="0.2">
      <c r="A173" s="70">
        <v>39</v>
      </c>
      <c r="B173" s="70" t="s">
        <v>206</v>
      </c>
      <c r="D173" s="15">
        <f t="shared" ref="D173:L173" si="371">D9</f>
        <v>20069866.827999998</v>
      </c>
      <c r="E173" s="15">
        <f t="shared" si="371"/>
        <v>0</v>
      </c>
      <c r="F173" s="15">
        <f t="shared" si="371"/>
        <v>20069866.827999998</v>
      </c>
      <c r="G173" s="15">
        <f t="shared" si="371"/>
        <v>20069866.827999998</v>
      </c>
      <c r="H173" s="15">
        <f t="shared" si="371"/>
        <v>0</v>
      </c>
      <c r="I173" s="15">
        <f t="shared" si="371"/>
        <v>20069866.827999998</v>
      </c>
      <c r="J173" s="15">
        <f t="shared" si="371"/>
        <v>20069866.827999998</v>
      </c>
      <c r="K173" s="15">
        <f t="shared" si="371"/>
        <v>0</v>
      </c>
      <c r="L173" s="15">
        <f t="shared" si="371"/>
        <v>20069866.827999998</v>
      </c>
      <c r="M173" s="195">
        <f t="shared" si="219"/>
        <v>60209600.483999997</v>
      </c>
      <c r="N173" s="195">
        <f t="shared" si="219"/>
        <v>0</v>
      </c>
      <c r="O173" s="15">
        <f t="shared" ref="O173:W173" si="372">O9</f>
        <v>22375250.847360004</v>
      </c>
      <c r="P173" s="15">
        <f t="shared" si="372"/>
        <v>19673289</v>
      </c>
      <c r="Q173" s="15">
        <f t="shared" si="372"/>
        <v>2701961.8473600037</v>
      </c>
      <c r="R173" s="15">
        <f t="shared" si="372"/>
        <v>22375250.847360004</v>
      </c>
      <c r="S173" s="15">
        <f t="shared" si="372"/>
        <v>18365404</v>
      </c>
      <c r="T173" s="15">
        <f t="shared" si="372"/>
        <v>4009846.8473600037</v>
      </c>
      <c r="U173" s="15">
        <f t="shared" si="372"/>
        <v>22375250.847360004</v>
      </c>
      <c r="V173" s="15">
        <f t="shared" si="372"/>
        <v>18385924</v>
      </c>
      <c r="W173" s="15">
        <f t="shared" si="372"/>
        <v>3989326.8473600037</v>
      </c>
      <c r="X173" s="196">
        <f t="shared" si="221"/>
        <v>67125752.542080015</v>
      </c>
      <c r="Y173" s="196">
        <f t="shared" si="221"/>
        <v>56424617</v>
      </c>
      <c r="Z173" s="15">
        <f t="shared" ref="Z173:AH173" si="373">Z9</f>
        <v>22375250.847360004</v>
      </c>
      <c r="AA173" s="15">
        <f t="shared" si="373"/>
        <v>18125665.370000001</v>
      </c>
      <c r="AB173" s="15">
        <f t="shared" si="373"/>
        <v>4249585.4773600027</v>
      </c>
      <c r="AC173" s="15">
        <f t="shared" si="373"/>
        <v>22375250.847360004</v>
      </c>
      <c r="AD173" s="15">
        <f t="shared" si="373"/>
        <v>18355931.719999999</v>
      </c>
      <c r="AE173" s="15">
        <f t="shared" si="373"/>
        <v>4019319.1273600049</v>
      </c>
      <c r="AF173" s="15">
        <f t="shared" si="373"/>
        <v>22375250.847360004</v>
      </c>
      <c r="AG173" s="15">
        <f t="shared" si="373"/>
        <v>17807818</v>
      </c>
      <c r="AH173" s="15">
        <f t="shared" si="373"/>
        <v>4567432.8473600037</v>
      </c>
      <c r="AI173" s="1"/>
      <c r="AJ173" s="1"/>
      <c r="AK173" s="15">
        <f t="shared" ref="AK173:AS173" si="374">AK9</f>
        <v>22375250.847360004</v>
      </c>
      <c r="AL173" s="15">
        <f t="shared" si="374"/>
        <v>0</v>
      </c>
      <c r="AM173" s="15">
        <f t="shared" si="374"/>
        <v>22375250.847360004</v>
      </c>
      <c r="AN173" s="15">
        <f t="shared" si="374"/>
        <v>22375250.847360004</v>
      </c>
      <c r="AO173" s="15">
        <f t="shared" si="374"/>
        <v>0</v>
      </c>
      <c r="AP173" s="15">
        <f t="shared" si="374"/>
        <v>22375250.847360004</v>
      </c>
      <c r="AQ173" s="15">
        <f t="shared" si="374"/>
        <v>22375250.847360004</v>
      </c>
      <c r="AR173" s="15">
        <f t="shared" si="374"/>
        <v>0</v>
      </c>
      <c r="AS173" s="15">
        <f t="shared" si="374"/>
        <v>22375250.847360004</v>
      </c>
      <c r="AT173" s="1"/>
      <c r="AU173" s="1"/>
      <c r="AV173" s="1">
        <f t="shared" si="224"/>
        <v>261586858.1102401</v>
      </c>
      <c r="AW173" s="36">
        <f t="shared" si="224"/>
        <v>110714032.09</v>
      </c>
      <c r="AX173" s="197">
        <f t="shared" si="225"/>
        <v>244965537.17416009</v>
      </c>
      <c r="AY173" s="1">
        <f t="shared" si="226"/>
        <v>150872826.02024001</v>
      </c>
      <c r="AZ173" s="15"/>
      <c r="BA173" s="15"/>
      <c r="BB173" s="15"/>
    </row>
    <row r="174" spans="1:54" s="70" customFormat="1" ht="15.75" customHeight="1" x14ac:dyDescent="0.2">
      <c r="A174" s="70">
        <v>40</v>
      </c>
      <c r="B174" s="70" t="s">
        <v>207</v>
      </c>
      <c r="D174" s="15">
        <f t="shared" ref="D174:L174" si="375">D113</f>
        <v>0</v>
      </c>
      <c r="E174" s="15">
        <f t="shared" si="375"/>
        <v>8682328</v>
      </c>
      <c r="F174" s="15">
        <f t="shared" si="375"/>
        <v>-8682328</v>
      </c>
      <c r="G174" s="15">
        <f t="shared" si="375"/>
        <v>0</v>
      </c>
      <c r="H174" s="15">
        <f t="shared" si="375"/>
        <v>6110443</v>
      </c>
      <c r="I174" s="15">
        <f t="shared" si="375"/>
        <v>-6110443</v>
      </c>
      <c r="J174" s="15">
        <f t="shared" si="375"/>
        <v>6900000</v>
      </c>
      <c r="K174" s="15">
        <f t="shared" si="375"/>
        <v>6531875</v>
      </c>
      <c r="L174" s="15">
        <f t="shared" si="375"/>
        <v>368125</v>
      </c>
      <c r="M174" s="195">
        <f t="shared" si="219"/>
        <v>6900000</v>
      </c>
      <c r="N174" s="195">
        <f t="shared" si="219"/>
        <v>21324646</v>
      </c>
      <c r="O174" s="15">
        <f t="shared" ref="O174:W174" si="376">O113</f>
        <v>6900000</v>
      </c>
      <c r="P174" s="15">
        <f t="shared" si="376"/>
        <v>2755000</v>
      </c>
      <c r="Q174" s="15">
        <f t="shared" si="376"/>
        <v>4145000</v>
      </c>
      <c r="R174" s="15">
        <f t="shared" si="376"/>
        <v>6900000</v>
      </c>
      <c r="S174" s="15">
        <f t="shared" si="376"/>
        <v>5134121</v>
      </c>
      <c r="T174" s="15">
        <f t="shared" si="376"/>
        <v>1765879</v>
      </c>
      <c r="U174" s="15">
        <f t="shared" si="376"/>
        <v>6900000</v>
      </c>
      <c r="V174" s="15">
        <f t="shared" si="376"/>
        <v>0</v>
      </c>
      <c r="W174" s="15">
        <f t="shared" si="376"/>
        <v>6900000</v>
      </c>
      <c r="X174" s="196">
        <f t="shared" si="221"/>
        <v>20700000</v>
      </c>
      <c r="Y174" s="196">
        <f t="shared" si="221"/>
        <v>7889121</v>
      </c>
      <c r="Z174" s="15">
        <f t="shared" ref="Z174:AH174" si="377">Z113</f>
        <v>6900000</v>
      </c>
      <c r="AA174" s="15">
        <f t="shared" si="377"/>
        <v>0</v>
      </c>
      <c r="AB174" s="15">
        <f t="shared" si="377"/>
        <v>6900000</v>
      </c>
      <c r="AC174" s="15">
        <f t="shared" si="377"/>
        <v>0</v>
      </c>
      <c r="AD174" s="15">
        <f t="shared" si="377"/>
        <v>0</v>
      </c>
      <c r="AE174" s="15">
        <f t="shared" si="377"/>
        <v>0</v>
      </c>
      <c r="AF174" s="15">
        <f t="shared" si="377"/>
        <v>6900000</v>
      </c>
      <c r="AG174" s="15">
        <f t="shared" si="377"/>
        <v>0</v>
      </c>
      <c r="AH174" s="15">
        <f t="shared" si="377"/>
        <v>6900000</v>
      </c>
      <c r="AI174" s="1"/>
      <c r="AJ174" s="1"/>
      <c r="AK174" s="15">
        <f t="shared" ref="AK174:AS174" si="378">AK113</f>
        <v>6900000</v>
      </c>
      <c r="AL174" s="15">
        <f t="shared" si="378"/>
        <v>0</v>
      </c>
      <c r="AM174" s="15">
        <f t="shared" si="378"/>
        <v>6900000</v>
      </c>
      <c r="AN174" s="15">
        <f t="shared" si="378"/>
        <v>6900000</v>
      </c>
      <c r="AO174" s="15">
        <f t="shared" si="378"/>
        <v>0</v>
      </c>
      <c r="AP174" s="15">
        <f t="shared" si="378"/>
        <v>6900000</v>
      </c>
      <c r="AQ174" s="15">
        <f t="shared" si="378"/>
        <v>6900000</v>
      </c>
      <c r="AR174" s="15">
        <f t="shared" si="378"/>
        <v>0</v>
      </c>
      <c r="AS174" s="15">
        <f t="shared" si="378"/>
        <v>6900000</v>
      </c>
      <c r="AT174" s="1"/>
      <c r="AU174" s="1"/>
      <c r="AV174" s="1">
        <f t="shared" si="224"/>
        <v>62100000</v>
      </c>
      <c r="AW174" s="36">
        <f t="shared" si="224"/>
        <v>29213767</v>
      </c>
      <c r="AX174" s="197">
        <f t="shared" si="225"/>
        <v>63713767</v>
      </c>
      <c r="AY174" s="1">
        <f t="shared" si="226"/>
        <v>32886233</v>
      </c>
      <c r="AZ174" s="15"/>
      <c r="BA174" s="15"/>
      <c r="BB174" s="15"/>
    </row>
    <row r="175" spans="1:54" s="70" customFormat="1" ht="15.75" customHeight="1" x14ac:dyDescent="0.2">
      <c r="A175" s="70">
        <v>41</v>
      </c>
      <c r="B175" s="70" t="s">
        <v>208</v>
      </c>
      <c r="D175" s="15">
        <f t="shared" ref="D175:L175" si="379">D33+D54+D55</f>
        <v>62711882</v>
      </c>
      <c r="E175" s="15">
        <f t="shared" si="379"/>
        <v>21203716</v>
      </c>
      <c r="F175" s="15">
        <f t="shared" si="379"/>
        <v>41508166</v>
      </c>
      <c r="G175" s="15">
        <f t="shared" si="379"/>
        <v>2711882</v>
      </c>
      <c r="H175" s="15">
        <f t="shared" si="379"/>
        <v>6873767</v>
      </c>
      <c r="I175" s="15">
        <f t="shared" si="379"/>
        <v>-4161885</v>
      </c>
      <c r="J175" s="15">
        <f t="shared" si="379"/>
        <v>10211882</v>
      </c>
      <c r="K175" s="15">
        <f t="shared" si="379"/>
        <v>3399983</v>
      </c>
      <c r="L175" s="15">
        <f t="shared" si="379"/>
        <v>6811899</v>
      </c>
      <c r="M175" s="195">
        <f t="shared" si="219"/>
        <v>75635646</v>
      </c>
      <c r="N175" s="195">
        <f t="shared" si="219"/>
        <v>31477466</v>
      </c>
      <c r="O175" s="15">
        <f t="shared" ref="O175:W175" si="380">O33+O54+O55</f>
        <v>2711882</v>
      </c>
      <c r="P175" s="15">
        <f t="shared" si="380"/>
        <v>10574419</v>
      </c>
      <c r="Q175" s="15">
        <f t="shared" si="380"/>
        <v>-7862537</v>
      </c>
      <c r="R175" s="15">
        <f t="shared" si="380"/>
        <v>2711882</v>
      </c>
      <c r="S175" s="15">
        <f t="shared" si="380"/>
        <v>12882810</v>
      </c>
      <c r="T175" s="15">
        <f t="shared" si="380"/>
        <v>-10170928</v>
      </c>
      <c r="U175" s="15">
        <f t="shared" si="380"/>
        <v>4711882</v>
      </c>
      <c r="V175" s="15">
        <f t="shared" si="380"/>
        <v>8639718</v>
      </c>
      <c r="W175" s="15">
        <f t="shared" si="380"/>
        <v>-3927836</v>
      </c>
      <c r="X175" s="196">
        <f t="shared" si="221"/>
        <v>10135646</v>
      </c>
      <c r="Y175" s="196">
        <f t="shared" si="221"/>
        <v>32096947</v>
      </c>
      <c r="Z175" s="15">
        <f t="shared" ref="Z175:AH175" si="381">Z33+Z54+Z55</f>
        <v>2711882</v>
      </c>
      <c r="AA175" s="15">
        <f t="shared" si="381"/>
        <v>4845672</v>
      </c>
      <c r="AB175" s="15">
        <f t="shared" si="381"/>
        <v>-2133790</v>
      </c>
      <c r="AC175" s="15">
        <f t="shared" si="381"/>
        <v>3211882</v>
      </c>
      <c r="AD175" s="15">
        <f t="shared" si="381"/>
        <v>5289099.32</v>
      </c>
      <c r="AE175" s="15">
        <f t="shared" si="381"/>
        <v>-2077217.3200000003</v>
      </c>
      <c r="AF175" s="15">
        <f t="shared" si="381"/>
        <v>2711882</v>
      </c>
      <c r="AG175" s="15">
        <f t="shared" si="381"/>
        <v>5144614.2</v>
      </c>
      <c r="AH175" s="15">
        <f t="shared" si="381"/>
        <v>-2432732.2000000002</v>
      </c>
      <c r="AI175" s="1"/>
      <c r="AJ175" s="1"/>
      <c r="AK175" s="15">
        <f t="shared" ref="AK175:AS175" si="382">AK33+AK54+AK55</f>
        <v>2711882</v>
      </c>
      <c r="AL175" s="15">
        <f t="shared" si="382"/>
        <v>0</v>
      </c>
      <c r="AM175" s="15">
        <f t="shared" si="382"/>
        <v>2711882</v>
      </c>
      <c r="AN175" s="15">
        <f t="shared" si="382"/>
        <v>2711882</v>
      </c>
      <c r="AO175" s="15">
        <f t="shared" si="382"/>
        <v>0</v>
      </c>
      <c r="AP175" s="15">
        <f t="shared" si="382"/>
        <v>2711882</v>
      </c>
      <c r="AQ175" s="15">
        <f t="shared" si="382"/>
        <v>2711882</v>
      </c>
      <c r="AR175" s="15">
        <f t="shared" si="382"/>
        <v>0</v>
      </c>
      <c r="AS175" s="15">
        <f t="shared" si="382"/>
        <v>2711882</v>
      </c>
      <c r="AT175" s="1"/>
      <c r="AU175" s="1"/>
      <c r="AV175" s="1">
        <f t="shared" si="224"/>
        <v>102542584</v>
      </c>
      <c r="AW175" s="36">
        <f t="shared" si="224"/>
        <v>78853798.519999996</v>
      </c>
      <c r="AX175" s="197">
        <f t="shared" si="225"/>
        <v>95625090.519999996</v>
      </c>
      <c r="AY175" s="1">
        <f t="shared" si="226"/>
        <v>23688785.48</v>
      </c>
      <c r="AZ175" s="15"/>
      <c r="BA175" s="15"/>
      <c r="BB175" s="15"/>
    </row>
    <row r="176" spans="1:54" s="70" customFormat="1" ht="15.75" customHeight="1" x14ac:dyDescent="0.2">
      <c r="A176" s="70">
        <v>42</v>
      </c>
      <c r="B176" s="70" t="s">
        <v>209</v>
      </c>
      <c r="D176" s="15">
        <f t="shared" ref="D176:L176" si="383">D40</f>
        <v>71400000</v>
      </c>
      <c r="E176" s="15">
        <f t="shared" si="383"/>
        <v>0</v>
      </c>
      <c r="F176" s="15">
        <f t="shared" si="383"/>
        <v>71400000</v>
      </c>
      <c r="G176" s="15">
        <f t="shared" si="383"/>
        <v>0</v>
      </c>
      <c r="H176" s="15">
        <f t="shared" si="383"/>
        <v>0</v>
      </c>
      <c r="I176" s="15">
        <f t="shared" si="383"/>
        <v>0</v>
      </c>
      <c r="J176" s="15">
        <f t="shared" si="383"/>
        <v>35700000</v>
      </c>
      <c r="K176" s="15">
        <f t="shared" si="383"/>
        <v>0</v>
      </c>
      <c r="L176" s="15">
        <f t="shared" si="383"/>
        <v>35700000</v>
      </c>
      <c r="M176" s="195">
        <f t="shared" si="219"/>
        <v>107100000</v>
      </c>
      <c r="N176" s="195">
        <f t="shared" si="219"/>
        <v>0</v>
      </c>
      <c r="O176" s="15">
        <f t="shared" ref="O176:W176" si="384">O40</f>
        <v>0</v>
      </c>
      <c r="P176" s="15">
        <f t="shared" si="384"/>
        <v>0</v>
      </c>
      <c r="Q176" s="15">
        <f t="shared" si="384"/>
        <v>0</v>
      </c>
      <c r="R176" s="15">
        <f t="shared" si="384"/>
        <v>0</v>
      </c>
      <c r="S176" s="15">
        <f t="shared" si="384"/>
        <v>0</v>
      </c>
      <c r="T176" s="15">
        <f t="shared" si="384"/>
        <v>0</v>
      </c>
      <c r="U176" s="15">
        <f t="shared" si="384"/>
        <v>0</v>
      </c>
      <c r="V176" s="15">
        <f t="shared" si="384"/>
        <v>0</v>
      </c>
      <c r="W176" s="15">
        <f t="shared" si="384"/>
        <v>0</v>
      </c>
      <c r="X176" s="196">
        <f t="shared" si="221"/>
        <v>0</v>
      </c>
      <c r="Y176" s="196">
        <f t="shared" si="221"/>
        <v>0</v>
      </c>
      <c r="Z176" s="15">
        <f t="shared" ref="Z176:AH176" si="385">Z40</f>
        <v>0</v>
      </c>
      <c r="AA176" s="15">
        <f t="shared" si="385"/>
        <v>920000</v>
      </c>
      <c r="AB176" s="15">
        <f t="shared" si="385"/>
        <v>-920000</v>
      </c>
      <c r="AC176" s="15">
        <f t="shared" si="385"/>
        <v>0</v>
      </c>
      <c r="AD176" s="15">
        <f t="shared" si="385"/>
        <v>0</v>
      </c>
      <c r="AE176" s="15">
        <f t="shared" si="385"/>
        <v>0</v>
      </c>
      <c r="AF176" s="15">
        <f t="shared" si="385"/>
        <v>0</v>
      </c>
      <c r="AG176" s="15">
        <f t="shared" si="385"/>
        <v>0</v>
      </c>
      <c r="AH176" s="15">
        <f t="shared" si="385"/>
        <v>0</v>
      </c>
      <c r="AI176" s="1"/>
      <c r="AJ176" s="1"/>
      <c r="AK176" s="15">
        <f t="shared" ref="AK176:AS176" si="386">AK40</f>
        <v>0</v>
      </c>
      <c r="AL176" s="15">
        <f t="shared" si="386"/>
        <v>0</v>
      </c>
      <c r="AM176" s="15">
        <f t="shared" si="386"/>
        <v>0</v>
      </c>
      <c r="AN176" s="15">
        <f t="shared" si="386"/>
        <v>0</v>
      </c>
      <c r="AO176" s="15">
        <f t="shared" si="386"/>
        <v>0</v>
      </c>
      <c r="AP176" s="15">
        <f t="shared" si="386"/>
        <v>0</v>
      </c>
      <c r="AQ176" s="15">
        <f t="shared" si="386"/>
        <v>0</v>
      </c>
      <c r="AR176" s="15">
        <f t="shared" si="386"/>
        <v>0</v>
      </c>
      <c r="AS176" s="15">
        <f t="shared" si="386"/>
        <v>0</v>
      </c>
      <c r="AT176" s="1"/>
      <c r="AU176" s="1"/>
      <c r="AV176" s="1">
        <f t="shared" si="224"/>
        <v>107100000</v>
      </c>
      <c r="AW176" s="36">
        <f t="shared" si="224"/>
        <v>920000</v>
      </c>
      <c r="AX176" s="197">
        <f t="shared" si="225"/>
        <v>920000</v>
      </c>
      <c r="AY176" s="1">
        <f t="shared" si="226"/>
        <v>106180000</v>
      </c>
      <c r="AZ176" s="15"/>
      <c r="BA176" s="15"/>
      <c r="BB176" s="15"/>
    </row>
    <row r="177" spans="1:54" s="70" customFormat="1" ht="15.75" customHeight="1" x14ac:dyDescent="0.2">
      <c r="A177" s="70">
        <v>43</v>
      </c>
      <c r="B177" s="70" t="s">
        <v>210</v>
      </c>
      <c r="D177" s="15">
        <f t="shared" ref="D177:L177" si="387">D120+D121</f>
        <v>157610566.66666666</v>
      </c>
      <c r="E177" s="15">
        <f t="shared" si="387"/>
        <v>157610567</v>
      </c>
      <c r="F177" s="15">
        <f t="shared" si="387"/>
        <v>-0.33333333395421505</v>
      </c>
      <c r="G177" s="15">
        <f t="shared" si="387"/>
        <v>159139316.66666666</v>
      </c>
      <c r="H177" s="15">
        <f t="shared" si="387"/>
        <v>159139317</v>
      </c>
      <c r="I177" s="15">
        <f t="shared" si="387"/>
        <v>-0.33333333395421505</v>
      </c>
      <c r="J177" s="15">
        <f t="shared" si="387"/>
        <v>170008066.66666666</v>
      </c>
      <c r="K177" s="15">
        <f t="shared" si="387"/>
        <v>170008067</v>
      </c>
      <c r="L177" s="15">
        <f t="shared" si="387"/>
        <v>-0.3333333358168602</v>
      </c>
      <c r="M177" s="195">
        <f t="shared" si="219"/>
        <v>486757950</v>
      </c>
      <c r="N177" s="195">
        <f t="shared" si="219"/>
        <v>486757951</v>
      </c>
      <c r="O177" s="15">
        <f t="shared" ref="O177:W177" si="388">O120+O121</f>
        <v>170008066.66666666</v>
      </c>
      <c r="P177" s="15">
        <f t="shared" si="388"/>
        <v>170008067</v>
      </c>
      <c r="Q177" s="15">
        <f t="shared" si="388"/>
        <v>-0.3333333358168602</v>
      </c>
      <c r="R177" s="15">
        <f t="shared" si="388"/>
        <v>170008066.66666666</v>
      </c>
      <c r="S177" s="15">
        <f t="shared" si="388"/>
        <v>170008067</v>
      </c>
      <c r="T177" s="15">
        <f t="shared" si="388"/>
        <v>-0.3333333358168602</v>
      </c>
      <c r="U177" s="15">
        <f t="shared" si="388"/>
        <v>172558066.66666666</v>
      </c>
      <c r="V177" s="15">
        <f t="shared" si="388"/>
        <v>172558067</v>
      </c>
      <c r="W177" s="15">
        <f t="shared" si="388"/>
        <v>-0.3333333358168602</v>
      </c>
      <c r="X177" s="196">
        <f t="shared" si="221"/>
        <v>512574200</v>
      </c>
      <c r="Y177" s="196">
        <f t="shared" si="221"/>
        <v>512574201</v>
      </c>
      <c r="Z177" s="15">
        <f t="shared" ref="Z177:AH177" si="389">Z120+Z121</f>
        <v>172558066.66666666</v>
      </c>
      <c r="AA177" s="15">
        <f t="shared" si="389"/>
        <v>0</v>
      </c>
      <c r="AB177" s="15">
        <f t="shared" si="389"/>
        <v>172558066.66666666</v>
      </c>
      <c r="AC177" s="15">
        <f t="shared" si="389"/>
        <v>172558066.66666666</v>
      </c>
      <c r="AD177" s="15">
        <f t="shared" si="389"/>
        <v>0</v>
      </c>
      <c r="AE177" s="15">
        <f t="shared" si="389"/>
        <v>172558066.66666666</v>
      </c>
      <c r="AF177" s="15">
        <f t="shared" si="389"/>
        <v>172558066.66666666</v>
      </c>
      <c r="AG177" s="15">
        <f t="shared" si="389"/>
        <v>0</v>
      </c>
      <c r="AH177" s="15">
        <f t="shared" si="389"/>
        <v>172558066.66666666</v>
      </c>
      <c r="AI177" s="1"/>
      <c r="AJ177" s="1"/>
      <c r="AK177" s="15">
        <f t="shared" ref="AK177:AS177" si="390">AK120+AK121</f>
        <v>172558066.66666666</v>
      </c>
      <c r="AL177" s="15">
        <f t="shared" si="390"/>
        <v>0</v>
      </c>
      <c r="AM177" s="15">
        <f t="shared" si="390"/>
        <v>172558066.66666666</v>
      </c>
      <c r="AN177" s="15">
        <f t="shared" si="390"/>
        <v>172558066.66666666</v>
      </c>
      <c r="AO177" s="15">
        <f t="shared" si="390"/>
        <v>0</v>
      </c>
      <c r="AP177" s="15">
        <f t="shared" si="390"/>
        <v>172558066.66666666</v>
      </c>
      <c r="AQ177" s="15">
        <f t="shared" si="390"/>
        <v>172558066.66666666</v>
      </c>
      <c r="AR177" s="15">
        <f t="shared" si="390"/>
        <v>0</v>
      </c>
      <c r="AS177" s="15">
        <f t="shared" si="390"/>
        <v>172558066.66666666</v>
      </c>
      <c r="AT177" s="1"/>
      <c r="AU177" s="1"/>
      <c r="AV177" s="1">
        <f t="shared" si="224"/>
        <v>2034680550.0000002</v>
      </c>
      <c r="AW177" s="36">
        <f t="shared" si="224"/>
        <v>999332152</v>
      </c>
      <c r="AX177" s="197">
        <f t="shared" si="225"/>
        <v>2034680552.0000002</v>
      </c>
      <c r="AY177" s="1">
        <f t="shared" si="226"/>
        <v>1035348397.9999996</v>
      </c>
      <c r="AZ177" s="15"/>
      <c r="BA177" s="15"/>
      <c r="BB177" s="15"/>
    </row>
    <row r="178" spans="1:54" s="21" customFormat="1" x14ac:dyDescent="0.2">
      <c r="B178" s="93" t="s">
        <v>211</v>
      </c>
      <c r="C178" s="93"/>
      <c r="D178" s="93">
        <f t="shared" ref="D178:AH178" si="391">SUM(D136:D177)</f>
        <v>2249395611.0946665</v>
      </c>
      <c r="E178" s="93">
        <f t="shared" si="391"/>
        <v>1520755584</v>
      </c>
      <c r="F178" s="93">
        <f t="shared" si="391"/>
        <v>728640027.0946666</v>
      </c>
      <c r="G178" s="93">
        <f t="shared" si="391"/>
        <v>1743416687.0946667</v>
      </c>
      <c r="H178" s="93">
        <f t="shared" si="391"/>
        <v>1211179587</v>
      </c>
      <c r="I178" s="93">
        <f t="shared" si="391"/>
        <v>532237100.09466666</v>
      </c>
      <c r="J178" s="93">
        <f t="shared" si="391"/>
        <v>1479786403.0946667</v>
      </c>
      <c r="K178" s="93">
        <f t="shared" si="391"/>
        <v>921925167</v>
      </c>
      <c r="L178" s="93">
        <f t="shared" si="391"/>
        <v>557861236.0946666</v>
      </c>
      <c r="M178" s="198">
        <f t="shared" si="391"/>
        <v>5472598701.2840004</v>
      </c>
      <c r="N178" s="198">
        <f t="shared" si="391"/>
        <v>3653860338</v>
      </c>
      <c r="O178" s="93">
        <f t="shared" si="391"/>
        <v>1762167762.2660265</v>
      </c>
      <c r="P178" s="93">
        <f t="shared" si="391"/>
        <v>1021777103</v>
      </c>
      <c r="Q178" s="93">
        <f t="shared" si="391"/>
        <v>740390659.26602674</v>
      </c>
      <c r="R178" s="93">
        <f t="shared" si="391"/>
        <v>1701994796.2660265</v>
      </c>
      <c r="S178" s="93">
        <f t="shared" si="391"/>
        <v>994561570</v>
      </c>
      <c r="T178" s="93">
        <f t="shared" si="391"/>
        <v>707433226.26602674</v>
      </c>
      <c r="U178" s="93">
        <f t="shared" si="391"/>
        <v>1596165762.2660265</v>
      </c>
      <c r="V178" s="93">
        <f t="shared" si="391"/>
        <v>1103710319</v>
      </c>
      <c r="W178" s="93">
        <f t="shared" si="391"/>
        <v>492455443.26602679</v>
      </c>
      <c r="X178" s="199">
        <f t="shared" si="391"/>
        <v>5060328320.7980804</v>
      </c>
      <c r="Y178" s="199">
        <f t="shared" si="391"/>
        <v>3120048992</v>
      </c>
      <c r="Z178" s="93">
        <f t="shared" si="391"/>
        <v>1731467762.2660265</v>
      </c>
      <c r="AA178" s="93">
        <f t="shared" si="391"/>
        <v>952147306.83000004</v>
      </c>
      <c r="AB178" s="93">
        <f t="shared" si="391"/>
        <v>779320455.43602669</v>
      </c>
      <c r="AC178" s="93">
        <f t="shared" si="391"/>
        <v>2737986482.5060267</v>
      </c>
      <c r="AD178" s="93">
        <f t="shared" si="391"/>
        <v>1354651834.7</v>
      </c>
      <c r="AE178" s="93">
        <f t="shared" si="391"/>
        <v>1383334647.8060272</v>
      </c>
      <c r="AF178" s="93">
        <f t="shared" si="391"/>
        <v>1458308762.2660267</v>
      </c>
      <c r="AG178" s="93">
        <f t="shared" si="391"/>
        <v>1199753988.78</v>
      </c>
      <c r="AH178" s="93">
        <f t="shared" si="391"/>
        <v>258554773.48602673</v>
      </c>
      <c r="AI178" s="93"/>
      <c r="AJ178" s="93"/>
      <c r="AK178" s="93">
        <f t="shared" ref="AK178:AS178" si="392">SUM(AK136:AK177)</f>
        <v>1693637762.2660265</v>
      </c>
      <c r="AL178" s="93">
        <f t="shared" si="392"/>
        <v>0</v>
      </c>
      <c r="AM178" s="93">
        <f t="shared" si="392"/>
        <v>1693637762.2660265</v>
      </c>
      <c r="AN178" s="93">
        <f t="shared" si="392"/>
        <v>1704818796.2660265</v>
      </c>
      <c r="AO178" s="93">
        <f t="shared" si="392"/>
        <v>0</v>
      </c>
      <c r="AP178" s="93">
        <f t="shared" si="392"/>
        <v>1704818796.2660265</v>
      </c>
      <c r="AQ178" s="93">
        <f t="shared" si="392"/>
        <v>2176001923.5060267</v>
      </c>
      <c r="AR178" s="93">
        <f t="shared" si="392"/>
        <v>0</v>
      </c>
      <c r="AS178" s="93">
        <f t="shared" si="392"/>
        <v>2176001923.5060267</v>
      </c>
      <c r="AT178" s="93"/>
      <c r="AU178" s="93"/>
      <c r="AV178" s="93">
        <f>SUM(AV136:AV177)</f>
        <v>22035148511.158241</v>
      </c>
      <c r="AW178" s="93">
        <f>SUM(AW136:AW177)</f>
        <v>10280462460.310001</v>
      </c>
      <c r="AX178" s="94">
        <f>SUM(AX136:AX177)</f>
        <v>21782683949.386162</v>
      </c>
      <c r="AY178" s="93">
        <f>SUM(AY136:AY177)</f>
        <v>11754686050.848242</v>
      </c>
    </row>
    <row r="179" spans="1:54" x14ac:dyDescent="0.2">
      <c r="B179" s="70" t="s">
        <v>212</v>
      </c>
      <c r="D179" s="15">
        <f t="shared" ref="D179:L179" si="393">D125+D126+D127</f>
        <v>177062500</v>
      </c>
      <c r="E179" s="15">
        <f t="shared" si="393"/>
        <v>177152500</v>
      </c>
      <c r="F179" s="15">
        <f t="shared" si="393"/>
        <v>-90000</v>
      </c>
      <c r="G179" s="15">
        <f t="shared" si="393"/>
        <v>177062500</v>
      </c>
      <c r="H179" s="15">
        <f t="shared" si="393"/>
        <v>177106000</v>
      </c>
      <c r="I179" s="15">
        <f t="shared" si="393"/>
        <v>-43500</v>
      </c>
      <c r="J179" s="15">
        <f t="shared" si="393"/>
        <v>177062500</v>
      </c>
      <c r="K179" s="15">
        <f t="shared" si="393"/>
        <v>177308500</v>
      </c>
      <c r="L179" s="15">
        <f t="shared" si="393"/>
        <v>-246000</v>
      </c>
      <c r="M179" s="195">
        <f>D179+G179+J179</f>
        <v>531187500</v>
      </c>
      <c r="N179" s="195">
        <f>E179+H179+K179</f>
        <v>531567000</v>
      </c>
      <c r="O179" s="15">
        <f t="shared" ref="O179:W179" si="394">O125+O126+O127</f>
        <v>177062500</v>
      </c>
      <c r="P179" s="15">
        <f t="shared" si="394"/>
        <v>177062500</v>
      </c>
      <c r="Q179" s="15">
        <f t="shared" si="394"/>
        <v>0</v>
      </c>
      <c r="R179" s="15">
        <f t="shared" si="394"/>
        <v>177062500</v>
      </c>
      <c r="S179" s="15">
        <f t="shared" si="394"/>
        <v>177062500</v>
      </c>
      <c r="T179" s="15">
        <f t="shared" si="394"/>
        <v>0</v>
      </c>
      <c r="U179" s="15">
        <f t="shared" si="394"/>
        <v>177062500</v>
      </c>
      <c r="V179" s="15">
        <f t="shared" si="394"/>
        <v>177062500</v>
      </c>
      <c r="W179" s="15">
        <f t="shared" si="394"/>
        <v>0</v>
      </c>
      <c r="X179" s="196">
        <f>O179+R179+U179</f>
        <v>531187500</v>
      </c>
      <c r="Y179" s="196">
        <f>P179+S179+V179</f>
        <v>531187500</v>
      </c>
      <c r="Z179" s="15">
        <f t="shared" ref="Z179:AH179" si="395">Z125+Z126+Z127</f>
        <v>177062500</v>
      </c>
      <c r="AA179" s="15">
        <f t="shared" si="395"/>
        <v>0</v>
      </c>
      <c r="AB179" s="15">
        <f t="shared" si="395"/>
        <v>177062500</v>
      </c>
      <c r="AC179" s="15">
        <f t="shared" si="395"/>
        <v>177062500</v>
      </c>
      <c r="AD179" s="15">
        <f t="shared" si="395"/>
        <v>0</v>
      </c>
      <c r="AE179" s="15">
        <f t="shared" si="395"/>
        <v>177062500</v>
      </c>
      <c r="AF179" s="15">
        <f t="shared" si="395"/>
        <v>177062500</v>
      </c>
      <c r="AG179" s="15">
        <f t="shared" si="395"/>
        <v>0</v>
      </c>
      <c r="AH179" s="15">
        <f t="shared" si="395"/>
        <v>177062500</v>
      </c>
      <c r="AK179" s="15">
        <f t="shared" ref="AK179:AS179" si="396">AK125+AK126+AK127</f>
        <v>177062500</v>
      </c>
      <c r="AL179" s="15">
        <f t="shared" si="396"/>
        <v>0</v>
      </c>
      <c r="AM179" s="15">
        <f t="shared" si="396"/>
        <v>177062500</v>
      </c>
      <c r="AN179" s="15">
        <f t="shared" si="396"/>
        <v>177062500</v>
      </c>
      <c r="AO179" s="15">
        <f t="shared" si="396"/>
        <v>0</v>
      </c>
      <c r="AP179" s="15">
        <f t="shared" si="396"/>
        <v>177062500</v>
      </c>
      <c r="AQ179" s="15">
        <f t="shared" si="396"/>
        <v>177062500</v>
      </c>
      <c r="AR179" s="15">
        <f t="shared" si="396"/>
        <v>0</v>
      </c>
      <c r="AS179" s="15">
        <f t="shared" si="396"/>
        <v>177062500</v>
      </c>
      <c r="AV179" s="1">
        <f>AQ179+AN179+AK179+AF179+AC179+Z179+U179+R179+O179+J179+G179+D179</f>
        <v>2124750000</v>
      </c>
      <c r="AW179" s="36">
        <f>AR179+AO179+AL179+AG179+AD179+AA179+V179+S179+P179+K179+H179+E179</f>
        <v>1062754500</v>
      </c>
      <c r="AX179" s="197">
        <f>(AV179-(M179+X179))+AW179</f>
        <v>2125129500</v>
      </c>
      <c r="AY179" s="1">
        <f>AS179+AP179+AM179+AH179+AE179+AB179+W179+T179+Q179+L179+I179+F179</f>
        <v>1061995500</v>
      </c>
    </row>
    <row r="180" spans="1:54" ht="15.75" customHeight="1" x14ac:dyDescent="0.2">
      <c r="B180" s="70"/>
      <c r="D180" s="15"/>
      <c r="E180" s="15"/>
      <c r="F180" s="15"/>
      <c r="G180" s="15"/>
      <c r="H180" s="15"/>
      <c r="I180" s="15"/>
      <c r="J180" s="15"/>
      <c r="K180" s="15"/>
      <c r="L180" s="15"/>
      <c r="M180" s="200"/>
      <c r="N180" s="200"/>
      <c r="O180" s="15"/>
      <c r="P180" s="15"/>
      <c r="Q180" s="15"/>
      <c r="R180" s="15"/>
      <c r="S180" s="15"/>
      <c r="T180" s="15"/>
      <c r="U180" s="15"/>
      <c r="V180" s="15"/>
      <c r="W180" s="15"/>
      <c r="X180" s="196">
        <f>O180+R180+U180</f>
        <v>0</v>
      </c>
      <c r="Y180" s="196">
        <f>P180+S180+V180</f>
        <v>0</v>
      </c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201"/>
      <c r="AX180" s="95">
        <f>(AV180-M180)+N180</f>
        <v>0</v>
      </c>
      <c r="AY180" s="15"/>
    </row>
    <row r="181" spans="1:54" s="2" customFormat="1" x14ac:dyDescent="0.2">
      <c r="B181" s="96" t="s">
        <v>24</v>
      </c>
      <c r="D181" s="21">
        <f t="shared" ref="D181:AH181" si="397">D178-D179</f>
        <v>2072333111.0946665</v>
      </c>
      <c r="E181" s="21">
        <f t="shared" si="397"/>
        <v>1343603084</v>
      </c>
      <c r="F181" s="21">
        <f t="shared" si="397"/>
        <v>728730027.0946666</v>
      </c>
      <c r="G181" s="21">
        <f t="shared" si="397"/>
        <v>1566354187.0946667</v>
      </c>
      <c r="H181" s="21">
        <f t="shared" si="397"/>
        <v>1034073587</v>
      </c>
      <c r="I181" s="21">
        <f t="shared" si="397"/>
        <v>532280600.09466666</v>
      </c>
      <c r="J181" s="21">
        <f t="shared" si="397"/>
        <v>1302723903.0946667</v>
      </c>
      <c r="K181" s="21">
        <f t="shared" si="397"/>
        <v>744616667</v>
      </c>
      <c r="L181" s="21">
        <f t="shared" si="397"/>
        <v>558107236.0946666</v>
      </c>
      <c r="M181" s="198">
        <f t="shared" si="397"/>
        <v>4941411201.2840004</v>
      </c>
      <c r="N181" s="198">
        <f t="shared" si="397"/>
        <v>3122293338</v>
      </c>
      <c r="O181" s="21">
        <f t="shared" si="397"/>
        <v>1585105262.2660265</v>
      </c>
      <c r="P181" s="21">
        <f t="shared" si="397"/>
        <v>844714603</v>
      </c>
      <c r="Q181" s="21">
        <f t="shared" si="397"/>
        <v>740390659.26602674</v>
      </c>
      <c r="R181" s="21">
        <f t="shared" si="397"/>
        <v>1524932296.2660265</v>
      </c>
      <c r="S181" s="21">
        <f t="shared" si="397"/>
        <v>817499070</v>
      </c>
      <c r="T181" s="21">
        <f t="shared" si="397"/>
        <v>707433226.26602674</v>
      </c>
      <c r="U181" s="21">
        <f t="shared" si="397"/>
        <v>1419103262.2660265</v>
      </c>
      <c r="V181" s="21">
        <f t="shared" si="397"/>
        <v>926647819</v>
      </c>
      <c r="W181" s="21">
        <f t="shared" si="397"/>
        <v>492455443.26602679</v>
      </c>
      <c r="X181" s="199">
        <f t="shared" si="397"/>
        <v>4529140820.7980804</v>
      </c>
      <c r="Y181" s="199">
        <f t="shared" si="397"/>
        <v>2588861492</v>
      </c>
      <c r="Z181" s="21">
        <f t="shared" si="397"/>
        <v>1554405262.2660265</v>
      </c>
      <c r="AA181" s="21">
        <f t="shared" si="397"/>
        <v>952147306.83000004</v>
      </c>
      <c r="AB181" s="21">
        <f t="shared" si="397"/>
        <v>602257955.43602669</v>
      </c>
      <c r="AC181" s="21">
        <f t="shared" si="397"/>
        <v>2560923982.5060267</v>
      </c>
      <c r="AD181" s="21">
        <f t="shared" si="397"/>
        <v>1354651834.7</v>
      </c>
      <c r="AE181" s="21">
        <f t="shared" si="397"/>
        <v>1206272147.8060272</v>
      </c>
      <c r="AF181" s="21">
        <f t="shared" si="397"/>
        <v>1281246262.2660267</v>
      </c>
      <c r="AG181" s="21">
        <f t="shared" si="397"/>
        <v>1199753988.78</v>
      </c>
      <c r="AH181" s="21">
        <f t="shared" si="397"/>
        <v>81492273.486026734</v>
      </c>
      <c r="AI181" s="21"/>
      <c r="AJ181" s="21"/>
      <c r="AK181" s="21">
        <f t="shared" ref="AK181:AS181" si="398">AK178-AK179</f>
        <v>1516575262.2660265</v>
      </c>
      <c r="AL181" s="21">
        <f t="shared" si="398"/>
        <v>0</v>
      </c>
      <c r="AM181" s="21">
        <f t="shared" si="398"/>
        <v>1516575262.2660265</v>
      </c>
      <c r="AN181" s="21">
        <f t="shared" si="398"/>
        <v>1527756296.2660265</v>
      </c>
      <c r="AO181" s="21">
        <f t="shared" si="398"/>
        <v>0</v>
      </c>
      <c r="AP181" s="21">
        <f t="shared" si="398"/>
        <v>1527756296.2660265</v>
      </c>
      <c r="AQ181" s="21">
        <f t="shared" si="398"/>
        <v>1998939423.5060267</v>
      </c>
      <c r="AR181" s="21">
        <f t="shared" si="398"/>
        <v>0</v>
      </c>
      <c r="AS181" s="21">
        <f t="shared" si="398"/>
        <v>1998939423.5060267</v>
      </c>
      <c r="AT181" s="21"/>
      <c r="AU181" s="21"/>
      <c r="AV181" s="21">
        <f>AV178-AV179</f>
        <v>19910398511.158241</v>
      </c>
      <c r="AW181" s="21">
        <f>AW178-AW179</f>
        <v>9217707960.3100014</v>
      </c>
      <c r="AX181" s="202">
        <f>AX178-AX179</f>
        <v>19657554449.386162</v>
      </c>
      <c r="AY181" s="21">
        <f>AY178-AY179</f>
        <v>10692690550.848242</v>
      </c>
      <c r="AZ181" s="21"/>
      <c r="BA181" s="21"/>
      <c r="BB181" s="21"/>
    </row>
    <row r="183" spans="1:54" x14ac:dyDescent="0.2">
      <c r="O183" s="1">
        <f t="shared" ref="O183:AU183" si="399">O181-O130</f>
        <v>0</v>
      </c>
      <c r="P183" s="1">
        <f t="shared" si="399"/>
        <v>0</v>
      </c>
      <c r="Q183" s="1">
        <f t="shared" si="399"/>
        <v>0</v>
      </c>
      <c r="R183" s="1">
        <f t="shared" si="399"/>
        <v>0</v>
      </c>
      <c r="S183" s="1">
        <f t="shared" si="399"/>
        <v>0</v>
      </c>
      <c r="T183" s="1">
        <f t="shared" si="399"/>
        <v>0</v>
      </c>
      <c r="U183" s="1">
        <f t="shared" si="399"/>
        <v>0</v>
      </c>
      <c r="V183" s="1">
        <f t="shared" si="399"/>
        <v>0</v>
      </c>
      <c r="W183" s="1">
        <f t="shared" si="399"/>
        <v>0</v>
      </c>
      <c r="X183" s="1">
        <f t="shared" si="399"/>
        <v>0</v>
      </c>
      <c r="Y183" s="1">
        <f t="shared" si="399"/>
        <v>0</v>
      </c>
      <c r="Z183" s="1">
        <f t="shared" si="399"/>
        <v>0</v>
      </c>
      <c r="AA183" s="1">
        <f t="shared" si="399"/>
        <v>0</v>
      </c>
      <c r="AB183" s="1">
        <f t="shared" si="399"/>
        <v>0</v>
      </c>
      <c r="AC183" s="1">
        <f t="shared" si="399"/>
        <v>0</v>
      </c>
      <c r="AD183" s="1">
        <f t="shared" si="399"/>
        <v>0</v>
      </c>
      <c r="AE183" s="1">
        <f t="shared" si="399"/>
        <v>0</v>
      </c>
      <c r="AF183" s="1">
        <f t="shared" si="399"/>
        <v>0</v>
      </c>
      <c r="AG183" s="1">
        <f t="shared" si="399"/>
        <v>0</v>
      </c>
      <c r="AH183" s="1">
        <f t="shared" si="399"/>
        <v>0</v>
      </c>
      <c r="AI183" s="1">
        <f t="shared" si="399"/>
        <v>-5373670507.0380802</v>
      </c>
      <c r="AJ183" s="1">
        <f t="shared" si="399"/>
        <v>-3506553130.3099995</v>
      </c>
      <c r="AK183" s="1">
        <f t="shared" si="399"/>
        <v>0</v>
      </c>
      <c r="AL183" s="1">
        <f t="shared" si="399"/>
        <v>0</v>
      </c>
      <c r="AM183" s="1">
        <f t="shared" si="399"/>
        <v>0</v>
      </c>
      <c r="AN183" s="1">
        <f t="shared" si="399"/>
        <v>0</v>
      </c>
      <c r="AO183" s="1">
        <f t="shared" si="399"/>
        <v>0</v>
      </c>
      <c r="AP183" s="1">
        <f t="shared" si="399"/>
        <v>0</v>
      </c>
      <c r="AQ183" s="1">
        <f t="shared" si="399"/>
        <v>0</v>
      </c>
      <c r="AR183" s="1">
        <f t="shared" si="399"/>
        <v>0</v>
      </c>
      <c r="AS183" s="1">
        <f t="shared" si="399"/>
        <v>0</v>
      </c>
      <c r="AT183" s="1">
        <f t="shared" si="399"/>
        <v>0</v>
      </c>
      <c r="AU183" s="1">
        <f t="shared" si="399"/>
        <v>0</v>
      </c>
      <c r="AV183" s="1">
        <f>AV181-AV130</f>
        <v>0</v>
      </c>
      <c r="AW183" s="1">
        <f>AW181-AW130</f>
        <v>0</v>
      </c>
      <c r="AX183" s="1">
        <f>AX181-AX130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scale="15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rowBreaks count="1" manualBreakCount="1">
    <brk id="7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3"/>
  <sheetViews>
    <sheetView zoomScale="89" zoomScaleNormal="89" zoomScaleSheetLayoutView="70" workbookViewId="0">
      <pane xSplit="3" ySplit="5" topLeftCell="AN100" activePane="bottomRight" state="frozen"/>
      <selection pane="topRight" activeCell="N1" sqref="N1"/>
      <selection pane="bottomLeft" activeCell="A108" sqref="A108"/>
      <selection pane="bottomRight" activeCell="AN111" sqref="AN111"/>
    </sheetView>
  </sheetViews>
  <sheetFormatPr defaultColWidth="11.5703125" defaultRowHeight="12.75" x14ac:dyDescent="0.2"/>
  <cols>
    <col min="1" max="1" width="3.85546875" customWidth="1"/>
    <col min="2" max="2" width="17" customWidth="1"/>
    <col min="3" max="3" width="27.28515625" customWidth="1"/>
    <col min="4" max="4" width="14.85546875" style="1" customWidth="1"/>
    <col min="5" max="5" width="14.42578125" style="1" customWidth="1"/>
    <col min="6" max="6" width="15.140625" style="1" customWidth="1"/>
    <col min="7" max="7" width="15.28515625" style="1" customWidth="1"/>
    <col min="8" max="9" width="15.7109375" style="1" customWidth="1"/>
    <col min="10" max="10" width="14.140625" style="1" customWidth="1"/>
    <col min="11" max="11" width="14.42578125" style="1" customWidth="1"/>
    <col min="12" max="12" width="14.5703125" style="1" customWidth="1"/>
    <col min="13" max="14" width="16.42578125" style="1" customWidth="1"/>
    <col min="15" max="16" width="15.7109375" style="1" customWidth="1"/>
    <col min="17" max="17" width="18.140625" style="1" customWidth="1"/>
    <col min="18" max="19" width="15.7109375" style="1" customWidth="1"/>
    <col min="20" max="20" width="15.42578125" style="1" customWidth="1"/>
    <col min="21" max="21" width="15.7109375" style="1" customWidth="1"/>
    <col min="22" max="22" width="16.28515625" style="1" customWidth="1"/>
    <col min="23" max="23" width="15.7109375" style="1" customWidth="1"/>
    <col min="24" max="25" width="16.42578125" style="1" customWidth="1"/>
    <col min="26" max="26" width="13.85546875" style="1" bestFit="1" customWidth="1"/>
    <col min="27" max="27" width="12.7109375" style="1" bestFit="1" customWidth="1"/>
    <col min="28" max="28" width="14" style="1" bestFit="1" customWidth="1"/>
    <col min="29" max="30" width="13.85546875" style="1" bestFit="1" customWidth="1"/>
    <col min="31" max="31" width="14" style="1" bestFit="1" customWidth="1"/>
    <col min="32" max="32" width="13.85546875" style="1" customWidth="1"/>
    <col min="33" max="33" width="12.7109375" style="1" bestFit="1" customWidth="1"/>
    <col min="34" max="34" width="11.5703125" style="1" hidden="1" customWidth="1"/>
    <col min="35" max="37" width="13.85546875" style="1" bestFit="1" customWidth="1"/>
    <col min="38" max="38" width="11.5703125" style="1" customWidth="1"/>
    <col min="39" max="40" width="13.85546875" style="1" bestFit="1" customWidth="1"/>
    <col min="41" max="41" width="11.5703125" style="1" customWidth="1"/>
    <col min="42" max="43" width="13.85546875" style="1" bestFit="1" customWidth="1"/>
    <col min="44" max="44" width="11.5703125" style="1" customWidth="1"/>
    <col min="45" max="45" width="13.85546875" style="1" bestFit="1" customWidth="1"/>
    <col min="46" max="47" width="11.5703125" style="1" customWidth="1"/>
    <col min="48" max="48" width="16.28515625" style="1" customWidth="1"/>
    <col min="49" max="49" width="17.28515625" style="36" customWidth="1"/>
    <col min="50" max="50" width="17.28515625" style="1" customWidth="1"/>
    <col min="51" max="54" width="0" style="1" hidden="1" customWidth="1"/>
  </cols>
  <sheetData>
    <row r="1" spans="1:54" x14ac:dyDescent="0.2">
      <c r="A1" s="2" t="s">
        <v>0</v>
      </c>
      <c r="B1" s="2"/>
      <c r="E1" s="80"/>
      <c r="F1" s="95"/>
      <c r="G1" s="95"/>
      <c r="H1" s="80"/>
      <c r="I1" s="95"/>
      <c r="J1" s="95"/>
      <c r="K1" s="80"/>
      <c r="L1" s="95"/>
    </row>
    <row r="2" spans="1:54" x14ac:dyDescent="0.2">
      <c r="A2" s="2" t="s">
        <v>213</v>
      </c>
      <c r="B2" s="2"/>
      <c r="E2" s="80"/>
      <c r="F2" s="95"/>
      <c r="G2" s="95"/>
      <c r="H2" s="80"/>
      <c r="I2" s="95"/>
      <c r="J2" s="95"/>
      <c r="K2" s="80"/>
      <c r="L2" s="95"/>
    </row>
    <row r="3" spans="1:54" x14ac:dyDescent="0.2">
      <c r="E3" s="203"/>
      <c r="F3" s="97"/>
      <c r="G3" s="97"/>
      <c r="H3" s="203"/>
      <c r="I3" s="97"/>
      <c r="J3" s="97"/>
      <c r="K3" s="203"/>
      <c r="L3" s="97"/>
    </row>
    <row r="4" spans="1:54" s="8" customFormat="1" x14ac:dyDescent="0.2">
      <c r="A4" s="3" t="s">
        <v>2</v>
      </c>
      <c r="B4" s="4" t="s">
        <v>3</v>
      </c>
      <c r="C4" s="5" t="s">
        <v>4</v>
      </c>
      <c r="D4" s="6" t="s">
        <v>5</v>
      </c>
      <c r="E4" s="6"/>
      <c r="F4" s="6"/>
      <c r="G4" s="6" t="s">
        <v>6</v>
      </c>
      <c r="H4" s="6"/>
      <c r="I4" s="6"/>
      <c r="J4" s="6" t="s">
        <v>7</v>
      </c>
      <c r="K4" s="6"/>
      <c r="L4" s="6"/>
      <c r="M4" s="173" t="s">
        <v>8</v>
      </c>
      <c r="N4" s="173" t="s">
        <v>300</v>
      </c>
      <c r="O4" s="7" t="s">
        <v>9</v>
      </c>
      <c r="P4" s="7"/>
      <c r="Q4" s="7"/>
      <c r="R4" s="7" t="s">
        <v>10</v>
      </c>
      <c r="S4" s="7"/>
      <c r="T4" s="7"/>
      <c r="U4" s="7" t="s">
        <v>11</v>
      </c>
      <c r="V4" s="7"/>
      <c r="W4" s="7"/>
      <c r="X4" s="173" t="s">
        <v>300</v>
      </c>
      <c r="Y4" s="173" t="s">
        <v>300</v>
      </c>
      <c r="Z4" s="7" t="s">
        <v>12</v>
      </c>
      <c r="AA4" s="7"/>
      <c r="AB4" s="7"/>
      <c r="AC4" s="7" t="s">
        <v>13</v>
      </c>
      <c r="AD4" s="7"/>
      <c r="AE4" s="7"/>
      <c r="AF4" s="7" t="s">
        <v>14</v>
      </c>
      <c r="AG4" s="7"/>
      <c r="AH4" s="7"/>
      <c r="AI4" s="173" t="s">
        <v>8</v>
      </c>
      <c r="AJ4" s="173" t="s">
        <v>300</v>
      </c>
      <c r="AK4" s="7" t="s">
        <v>15</v>
      </c>
      <c r="AL4" s="7"/>
      <c r="AM4" s="7"/>
      <c r="AN4" s="7" t="s">
        <v>16</v>
      </c>
      <c r="AO4" s="7"/>
      <c r="AP4" s="7"/>
      <c r="AQ4" s="7" t="s">
        <v>17</v>
      </c>
      <c r="AR4" s="7"/>
      <c r="AS4" s="7"/>
      <c r="AT4" s="173" t="s">
        <v>8</v>
      </c>
      <c r="AU4" s="173" t="s">
        <v>300</v>
      </c>
      <c r="AV4" s="7" t="s">
        <v>18</v>
      </c>
      <c r="AW4" s="7" t="s">
        <v>300</v>
      </c>
      <c r="AX4" s="7" t="s">
        <v>301</v>
      </c>
      <c r="AY4" s="7" t="s">
        <v>19</v>
      </c>
      <c r="AZ4" s="7" t="s">
        <v>19</v>
      </c>
      <c r="BA4" s="7" t="s">
        <v>19</v>
      </c>
      <c r="BB4" s="7" t="s">
        <v>19</v>
      </c>
    </row>
    <row r="5" spans="1:54" s="8" customFormat="1" x14ac:dyDescent="0.2">
      <c r="A5" s="3"/>
      <c r="B5" s="4"/>
      <c r="C5" s="5"/>
      <c r="D5" s="7" t="s">
        <v>20</v>
      </c>
      <c r="E5" s="7" t="s">
        <v>302</v>
      </c>
      <c r="F5" s="7" t="s">
        <v>303</v>
      </c>
      <c r="G5" s="7" t="s">
        <v>20</v>
      </c>
      <c r="H5" s="7" t="s">
        <v>302</v>
      </c>
      <c r="I5" s="7" t="s">
        <v>303</v>
      </c>
      <c r="J5" s="7" t="s">
        <v>20</v>
      </c>
      <c r="K5" s="7" t="s">
        <v>302</v>
      </c>
      <c r="L5" s="7" t="s">
        <v>303</v>
      </c>
      <c r="M5" s="173" t="s">
        <v>304</v>
      </c>
      <c r="N5" s="173" t="s">
        <v>304</v>
      </c>
      <c r="O5" s="7" t="s">
        <v>20</v>
      </c>
      <c r="P5" s="7" t="s">
        <v>302</v>
      </c>
      <c r="Q5" s="7" t="s">
        <v>303</v>
      </c>
      <c r="R5" s="7" t="s">
        <v>20</v>
      </c>
      <c r="S5" s="7" t="s">
        <v>302</v>
      </c>
      <c r="T5" s="7" t="s">
        <v>303</v>
      </c>
      <c r="U5" s="7" t="s">
        <v>20</v>
      </c>
      <c r="V5" s="7" t="s">
        <v>302</v>
      </c>
      <c r="W5" s="7" t="s">
        <v>303</v>
      </c>
      <c r="X5" s="173" t="s">
        <v>305</v>
      </c>
      <c r="Y5" s="173" t="s">
        <v>305</v>
      </c>
      <c r="Z5" s="7" t="s">
        <v>20</v>
      </c>
      <c r="AA5" s="7" t="s">
        <v>302</v>
      </c>
      <c r="AB5" s="7" t="s">
        <v>303</v>
      </c>
      <c r="AC5" s="7" t="s">
        <v>20</v>
      </c>
      <c r="AD5" s="7" t="s">
        <v>302</v>
      </c>
      <c r="AE5" s="7" t="s">
        <v>303</v>
      </c>
      <c r="AF5" s="7" t="s">
        <v>20</v>
      </c>
      <c r="AG5" s="7" t="s">
        <v>302</v>
      </c>
      <c r="AH5" s="7" t="s">
        <v>303</v>
      </c>
      <c r="AI5" s="173" t="s">
        <v>306</v>
      </c>
      <c r="AJ5" s="173" t="s">
        <v>306</v>
      </c>
      <c r="AK5" s="7" t="s">
        <v>20</v>
      </c>
      <c r="AL5" s="7" t="s">
        <v>302</v>
      </c>
      <c r="AM5" s="7" t="s">
        <v>303</v>
      </c>
      <c r="AN5" s="7" t="s">
        <v>20</v>
      </c>
      <c r="AO5" s="7" t="s">
        <v>302</v>
      </c>
      <c r="AP5" s="7" t="s">
        <v>303</v>
      </c>
      <c r="AQ5" s="7" t="s">
        <v>20</v>
      </c>
      <c r="AR5" s="7" t="s">
        <v>302</v>
      </c>
      <c r="AS5" s="7" t="s">
        <v>303</v>
      </c>
      <c r="AT5" s="173" t="s">
        <v>307</v>
      </c>
      <c r="AU5" s="173" t="s">
        <v>307</v>
      </c>
      <c r="AV5" s="7" t="s">
        <v>308</v>
      </c>
      <c r="AW5" s="9">
        <v>2012</v>
      </c>
      <c r="AX5" s="9">
        <v>2012</v>
      </c>
      <c r="AY5" s="9">
        <v>2013</v>
      </c>
      <c r="AZ5" s="9">
        <v>2014</v>
      </c>
      <c r="BA5" s="9">
        <v>2015</v>
      </c>
      <c r="BB5" s="9">
        <v>2016</v>
      </c>
    </row>
    <row r="6" spans="1:54" ht="18.399999999999999" customHeight="1" x14ac:dyDescent="0.2">
      <c r="A6" s="10">
        <v>1</v>
      </c>
      <c r="B6" s="11" t="s">
        <v>21</v>
      </c>
      <c r="C6" s="12" t="s">
        <v>22</v>
      </c>
      <c r="D6" s="15">
        <f>379800000-D10</f>
        <v>378800000</v>
      </c>
      <c r="E6" s="1">
        <v>367479938</v>
      </c>
      <c r="F6" s="14">
        <f>D6-E6</f>
        <v>11320062</v>
      </c>
      <c r="G6" s="15">
        <f>379800000-G10</f>
        <v>378800000</v>
      </c>
      <c r="H6" s="1">
        <v>373827266</v>
      </c>
      <c r="I6" s="14">
        <f>G6-H6</f>
        <v>4972734</v>
      </c>
      <c r="J6" s="15">
        <f>379800000-J10</f>
        <v>378800000</v>
      </c>
      <c r="K6" s="1">
        <v>401211167</v>
      </c>
      <c r="L6" s="14">
        <f>J6-K6</f>
        <v>-22411167</v>
      </c>
      <c r="M6" s="174">
        <f t="shared" ref="M6:N10" si="0">D6+G6+J6</f>
        <v>1136400000</v>
      </c>
      <c r="N6" s="174">
        <f t="shared" si="0"/>
        <v>1142518371</v>
      </c>
      <c r="O6" s="15">
        <f>(J6*1.12)-O10</f>
        <v>423256000.00000006</v>
      </c>
      <c r="P6" s="13">
        <v>387312571</v>
      </c>
      <c r="Q6" s="14">
        <f>O6-P6</f>
        <v>35943429.00000006</v>
      </c>
      <c r="R6" s="15">
        <f>O6</f>
        <v>423256000.00000006</v>
      </c>
      <c r="S6" s="13">
        <v>430618301</v>
      </c>
      <c r="T6" s="14">
        <f>R6-S6</f>
        <v>-7362300.9999999404</v>
      </c>
      <c r="U6" s="15">
        <f>R6</f>
        <v>423256000.00000006</v>
      </c>
      <c r="V6" s="175">
        <f>511366381-V107</f>
        <v>424889339</v>
      </c>
      <c r="W6" s="14">
        <f>U6-V6</f>
        <v>-1633338.9999999404</v>
      </c>
      <c r="X6" s="174">
        <f t="shared" ref="X6:Y10" si="1">O6+R6+U6</f>
        <v>1269768000.0000002</v>
      </c>
      <c r="Y6" s="174">
        <f t="shared" si="1"/>
        <v>1242820211</v>
      </c>
      <c r="Z6" s="15">
        <v>423009480.94010341</v>
      </c>
      <c r="AA6" s="13">
        <v>524433461</v>
      </c>
      <c r="AB6" s="14">
        <f>Z6-AA6</f>
        <v>-101423980.05989659</v>
      </c>
      <c r="AC6" s="15">
        <f>Z6*2</f>
        <v>846018961.88020682</v>
      </c>
      <c r="AD6" s="13">
        <v>1196878109</v>
      </c>
      <c r="AE6" s="14">
        <f>AC6-AD6</f>
        <v>-350859147.11979318</v>
      </c>
      <c r="AF6" s="15">
        <f>Z6</f>
        <v>423009480.94010341</v>
      </c>
      <c r="AG6" s="13">
        <v>526082318</v>
      </c>
      <c r="AH6" s="14">
        <f>AF6-AG6</f>
        <v>-103072837.05989659</v>
      </c>
      <c r="AI6" s="174">
        <f>AF6+AC6+Z6</f>
        <v>1692037923.7604136</v>
      </c>
      <c r="AJ6" s="174">
        <f>AA6+AD6+AG6</f>
        <v>2247393888</v>
      </c>
      <c r="AK6" s="15">
        <f>AF6</f>
        <v>423009480.94010341</v>
      </c>
      <c r="AL6" s="13"/>
      <c r="AM6" s="14">
        <f>AK6-AL6</f>
        <v>423009480.94010341</v>
      </c>
      <c r="AN6" s="15">
        <f>AK6</f>
        <v>423009480.94010341</v>
      </c>
      <c r="AO6" s="13"/>
      <c r="AP6" s="14">
        <f>AN6-AO6</f>
        <v>423009480.94010341</v>
      </c>
      <c r="AQ6" s="15">
        <f>AN6*2</f>
        <v>846018961.88020682</v>
      </c>
      <c r="AR6" s="13"/>
      <c r="AS6" s="14">
        <f>AQ6-AR6</f>
        <v>846018961.88020682</v>
      </c>
      <c r="AT6" s="174"/>
      <c r="AU6" s="174">
        <f>AL6+AO6+AR6</f>
        <v>0</v>
      </c>
      <c r="AV6" s="14">
        <f>AQ6+AN6+AK6++AF6+AC6+Z6+U6+R6+O6+J6+G6+D6</f>
        <v>5790243847.5208273</v>
      </c>
      <c r="AW6" s="14">
        <f>AR6+AO6+AL6+AG6+AD6+AA6+V6+S6+P6+K6+H6+E6</f>
        <v>4632732470</v>
      </c>
      <c r="AX6" s="178">
        <f>(AV6-M6-X6-AI6-AT6)+N6+Y6+AJ6+AU6</f>
        <v>6324770393.7604141</v>
      </c>
      <c r="AY6" s="16">
        <f>AW6*1.1</f>
        <v>5096005717</v>
      </c>
      <c r="AZ6" s="16">
        <f t="shared" ref="AZ6:BB10" si="2">AY6*1.1</f>
        <v>5605606288.7000008</v>
      </c>
      <c r="BA6" s="16">
        <f t="shared" si="2"/>
        <v>6166166917.5700016</v>
      </c>
      <c r="BB6" s="16">
        <f t="shared" si="2"/>
        <v>6782783609.3270025</v>
      </c>
    </row>
    <row r="7" spans="1:54" ht="18.399999999999999" customHeight="1" x14ac:dyDescent="0.2">
      <c r="A7" s="10">
        <v>2</v>
      </c>
      <c r="B7" s="11" t="s">
        <v>26</v>
      </c>
      <c r="C7" s="12" t="s">
        <v>27</v>
      </c>
      <c r="D7" s="37"/>
      <c r="E7" s="13">
        <v>689759</v>
      </c>
      <c r="F7" s="14"/>
      <c r="G7" s="37"/>
      <c r="H7" s="13">
        <v>702943</v>
      </c>
      <c r="I7" s="14"/>
      <c r="J7" s="37"/>
      <c r="K7" s="13">
        <v>661978</v>
      </c>
      <c r="L7" s="14"/>
      <c r="M7" s="174">
        <f t="shared" si="0"/>
        <v>0</v>
      </c>
      <c r="N7" s="174">
        <f t="shared" si="0"/>
        <v>2054680</v>
      </c>
      <c r="O7" s="37"/>
      <c r="P7" s="13">
        <v>724361</v>
      </c>
      <c r="Q7" s="14"/>
      <c r="R7" s="37"/>
      <c r="S7" s="13">
        <v>834321</v>
      </c>
      <c r="T7" s="14"/>
      <c r="U7" s="37"/>
      <c r="V7" s="175">
        <v>830255</v>
      </c>
      <c r="W7" s="14"/>
      <c r="X7" s="174">
        <f t="shared" si="1"/>
        <v>0</v>
      </c>
      <c r="Y7" s="174">
        <f t="shared" si="1"/>
        <v>2388937</v>
      </c>
      <c r="Z7" s="37"/>
      <c r="AA7" s="13"/>
      <c r="AB7" s="14"/>
      <c r="AC7" s="37"/>
      <c r="AD7" s="13"/>
      <c r="AE7" s="14"/>
      <c r="AF7" s="37"/>
      <c r="AG7" s="13"/>
      <c r="AH7" s="14"/>
      <c r="AI7" s="174">
        <f t="shared" ref="AI7:AI55" si="3">AF7+AC7+Z7</f>
        <v>0</v>
      </c>
      <c r="AJ7" s="174">
        <f>AA7+AD7+AG7</f>
        <v>0</v>
      </c>
      <c r="AK7" s="37"/>
      <c r="AL7" s="13"/>
      <c r="AM7" s="14"/>
      <c r="AN7" s="37"/>
      <c r="AO7" s="13"/>
      <c r="AP7" s="14"/>
      <c r="AQ7" s="37"/>
      <c r="AR7" s="13"/>
      <c r="AS7" s="14"/>
      <c r="AT7" s="174"/>
      <c r="AU7" s="174">
        <f>AL7+AO7+AR7</f>
        <v>0</v>
      </c>
      <c r="AV7" s="14">
        <f>AQ7+AN7+AK7++AF7+AC7+Z7+U7+R7+O7+J7+G7+D7</f>
        <v>0</v>
      </c>
      <c r="AW7" s="14">
        <f>AR7+AO7+AL7+AG7+AD7+AA7+V7+S7+P7+K7+H7+E7</f>
        <v>4443617</v>
      </c>
      <c r="AX7" s="178">
        <f>(AV7-M7-X7-AI7-AT7)+N7+Y7+AJ7+AU7</f>
        <v>4443617</v>
      </c>
      <c r="AY7" s="16">
        <f>AW7*1.1</f>
        <v>4887978.7</v>
      </c>
      <c r="AZ7" s="16">
        <f t="shared" si="2"/>
        <v>5376776.5700000003</v>
      </c>
      <c r="BA7" s="16">
        <f t="shared" si="2"/>
        <v>5914454.2270000009</v>
      </c>
      <c r="BB7" s="16">
        <f t="shared" si="2"/>
        <v>6505899.6497000018</v>
      </c>
    </row>
    <row r="8" spans="1:54" ht="18.399999999999999" customHeight="1" x14ac:dyDescent="0.2">
      <c r="A8" s="10">
        <v>3</v>
      </c>
      <c r="B8" s="11" t="s">
        <v>28</v>
      </c>
      <c r="C8" s="12" t="s">
        <v>29</v>
      </c>
      <c r="D8" s="37"/>
      <c r="E8" s="13">
        <v>23866911</v>
      </c>
      <c r="F8" s="14"/>
      <c r="G8" s="37"/>
      <c r="H8" s="13">
        <v>24245397</v>
      </c>
      <c r="I8" s="14"/>
      <c r="J8" s="37"/>
      <c r="K8" s="13">
        <v>61912561</v>
      </c>
      <c r="L8" s="14"/>
      <c r="M8" s="174">
        <f t="shared" si="0"/>
        <v>0</v>
      </c>
      <c r="N8" s="174">
        <f t="shared" si="0"/>
        <v>110024869</v>
      </c>
      <c r="O8" s="37"/>
      <c r="P8" s="13">
        <v>4293721</v>
      </c>
      <c r="Q8" s="14"/>
      <c r="R8" s="37"/>
      <c r="S8" s="13">
        <v>4838321</v>
      </c>
      <c r="T8" s="14"/>
      <c r="U8" s="37"/>
      <c r="V8" s="175">
        <v>4818781</v>
      </c>
      <c r="W8" s="14"/>
      <c r="X8" s="174">
        <f t="shared" si="1"/>
        <v>0</v>
      </c>
      <c r="Y8" s="174">
        <f t="shared" si="1"/>
        <v>13950823</v>
      </c>
      <c r="Z8" s="37"/>
      <c r="AA8" s="13"/>
      <c r="AB8" s="14"/>
      <c r="AC8" s="37"/>
      <c r="AD8" s="13"/>
      <c r="AE8" s="14"/>
      <c r="AF8" s="37"/>
      <c r="AG8" s="13"/>
      <c r="AH8" s="14"/>
      <c r="AI8" s="174">
        <f t="shared" si="3"/>
        <v>0</v>
      </c>
      <c r="AJ8" s="174">
        <f>AA8+AD8+AG8</f>
        <v>0</v>
      </c>
      <c r="AK8" s="37"/>
      <c r="AL8" s="13"/>
      <c r="AM8" s="14"/>
      <c r="AN8" s="37"/>
      <c r="AO8" s="13"/>
      <c r="AP8" s="14"/>
      <c r="AQ8" s="37"/>
      <c r="AR8" s="13"/>
      <c r="AS8" s="14"/>
      <c r="AT8" s="174"/>
      <c r="AU8" s="174">
        <f>AL8+AO8+AR8</f>
        <v>0</v>
      </c>
      <c r="AV8" s="14">
        <f>AQ8+AN8+AK8++AF8+AC8+Z8+U8+R8+O8+J8+G8+D8</f>
        <v>0</v>
      </c>
      <c r="AW8" s="14">
        <f>AR8+AO8+AL8+AG8+AD8+AA8+V8+S8+P8+K8+H8+E8</f>
        <v>123975692</v>
      </c>
      <c r="AX8" s="178">
        <f>(AV8-M8-X8-AI8-AT8)+N8+Y8+AJ8+AU8</f>
        <v>123975692</v>
      </c>
      <c r="AY8" s="16">
        <f>AW8*1.1</f>
        <v>136373261.20000002</v>
      </c>
      <c r="AZ8" s="16">
        <f t="shared" si="2"/>
        <v>150010587.32000002</v>
      </c>
      <c r="BA8" s="16">
        <f t="shared" si="2"/>
        <v>165011646.05200005</v>
      </c>
      <c r="BB8" s="16">
        <f t="shared" si="2"/>
        <v>181512810.65720007</v>
      </c>
    </row>
    <row r="9" spans="1:54" ht="18.399999999999999" customHeight="1" x14ac:dyDescent="0.2">
      <c r="A9" s="10">
        <v>4</v>
      </c>
      <c r="B9" s="11" t="s">
        <v>30</v>
      </c>
      <c r="C9" s="12" t="s">
        <v>31</v>
      </c>
      <c r="D9" s="14">
        <f>D6*0.0515</f>
        <v>19508200</v>
      </c>
      <c r="E9" s="13"/>
      <c r="F9" s="14">
        <f>D9-E9</f>
        <v>19508200</v>
      </c>
      <c r="G9" s="14">
        <f>G6*0.0515</f>
        <v>19508200</v>
      </c>
      <c r="H9" s="13"/>
      <c r="I9" s="14">
        <f>G9-H9</f>
        <v>19508200</v>
      </c>
      <c r="J9" s="14">
        <f>J6*0.0515</f>
        <v>19508200</v>
      </c>
      <c r="K9" s="13"/>
      <c r="L9" s="14">
        <f>J9-K9</f>
        <v>19508200</v>
      </c>
      <c r="M9" s="174">
        <f t="shared" si="0"/>
        <v>58524600</v>
      </c>
      <c r="N9" s="174">
        <f t="shared" si="0"/>
        <v>0</v>
      </c>
      <c r="O9" s="14">
        <f>O6*0.0515</f>
        <v>21797684.000000004</v>
      </c>
      <c r="P9" s="13">
        <v>20566563</v>
      </c>
      <c r="Q9" s="14">
        <f>O9-P9</f>
        <v>1231121.0000000037</v>
      </c>
      <c r="R9" s="14">
        <f>R6*0.0515</f>
        <v>21797684.000000004</v>
      </c>
      <c r="S9" s="13">
        <v>23178114</v>
      </c>
      <c r="T9" s="14">
        <f>R9-S9</f>
        <v>-1380429.9999999963</v>
      </c>
      <c r="U9" s="14">
        <f>U6*0.0515</f>
        <v>21797684.000000004</v>
      </c>
      <c r="V9" s="175">
        <v>23081557</v>
      </c>
      <c r="W9" s="14">
        <f>U9-V9</f>
        <v>-1283872.9999999963</v>
      </c>
      <c r="X9" s="174">
        <f t="shared" si="1"/>
        <v>65393052.000000015</v>
      </c>
      <c r="Y9" s="174">
        <f t="shared" si="1"/>
        <v>66826234</v>
      </c>
      <c r="Z9" s="14">
        <f>Z6*0.0515</f>
        <v>21784988.268415324</v>
      </c>
      <c r="AA9" s="13"/>
      <c r="AB9" s="14">
        <f>Z9-AA9</f>
        <v>21784988.268415324</v>
      </c>
      <c r="AC9" s="14">
        <f>Z9</f>
        <v>21784988.268415324</v>
      </c>
      <c r="AD9" s="13">
        <v>23586197</v>
      </c>
      <c r="AE9" s="14">
        <f>AC9-AD9</f>
        <v>-1801208.7315846756</v>
      </c>
      <c r="AF9" s="14">
        <f>AF6*0.0515</f>
        <v>21784988.268415324</v>
      </c>
      <c r="AG9" s="13">
        <v>23586198</v>
      </c>
      <c r="AH9" s="14">
        <f>AF9-AG9</f>
        <v>-1801209.7315846756</v>
      </c>
      <c r="AI9" s="174">
        <f t="shared" si="3"/>
        <v>65354964.805245973</v>
      </c>
      <c r="AJ9" s="174">
        <f>AA9+AD9+AG9</f>
        <v>47172395</v>
      </c>
      <c r="AK9" s="14">
        <f>AK6*0.0515</f>
        <v>21784988.268415324</v>
      </c>
      <c r="AL9" s="13"/>
      <c r="AM9" s="14">
        <f>AK9-AL9</f>
        <v>21784988.268415324</v>
      </c>
      <c r="AN9" s="14">
        <f>AN6*0.0515</f>
        <v>21784988.268415324</v>
      </c>
      <c r="AO9" s="13"/>
      <c r="AP9" s="14">
        <f>AN9-AO9</f>
        <v>21784988.268415324</v>
      </c>
      <c r="AQ9" s="14">
        <f>AN9</f>
        <v>21784988.268415324</v>
      </c>
      <c r="AR9" s="13"/>
      <c r="AS9" s="14">
        <f>AQ9-AR9</f>
        <v>21784988.268415324</v>
      </c>
      <c r="AT9" s="174"/>
      <c r="AU9" s="174">
        <f>AL9+AO9+AR9</f>
        <v>0</v>
      </c>
      <c r="AV9" s="14">
        <f>AQ9+AN9+AK9++AF9+AC9+Z9+U9+R9+O9+J9+G9+D9</f>
        <v>254627581.61049196</v>
      </c>
      <c r="AW9" s="14">
        <f>AR9+AO9+AL9+AG9+AD9+AA9+V9+S9+P9+K9+H9+E9</f>
        <v>113998629</v>
      </c>
      <c r="AX9" s="178">
        <f>(AV9-M9-X9-AI9-AT9)+N9+Y9+AJ9+AU9</f>
        <v>179353593.80524597</v>
      </c>
      <c r="AY9" s="16">
        <f>AW9*1.1</f>
        <v>125398491.90000001</v>
      </c>
      <c r="AZ9" s="16">
        <f t="shared" si="2"/>
        <v>137938341.09</v>
      </c>
      <c r="BA9" s="16">
        <f t="shared" si="2"/>
        <v>151732175.19900003</v>
      </c>
      <c r="BB9" s="16">
        <f t="shared" si="2"/>
        <v>166905392.71890005</v>
      </c>
    </row>
    <row r="10" spans="1:54" s="36" customFormat="1" ht="18.399999999999999" customHeight="1" x14ac:dyDescent="0.2">
      <c r="A10" s="10">
        <v>5</v>
      </c>
      <c r="B10" s="11" t="s">
        <v>21</v>
      </c>
      <c r="C10" s="39" t="s">
        <v>32</v>
      </c>
      <c r="D10" s="14">
        <v>1000000</v>
      </c>
      <c r="E10" s="13"/>
      <c r="F10" s="14">
        <f>D10-E10</f>
        <v>1000000</v>
      </c>
      <c r="G10" s="14">
        <v>1000000</v>
      </c>
      <c r="H10" s="13"/>
      <c r="I10" s="14">
        <f>G10-H10</f>
        <v>1000000</v>
      </c>
      <c r="J10" s="14">
        <v>1000000</v>
      </c>
      <c r="K10" s="13"/>
      <c r="L10" s="14">
        <f>J10-K10</f>
        <v>1000000</v>
      </c>
      <c r="M10" s="174">
        <f t="shared" si="0"/>
        <v>3000000</v>
      </c>
      <c r="N10" s="174">
        <f t="shared" si="0"/>
        <v>0</v>
      </c>
      <c r="O10" s="14">
        <v>1000000</v>
      </c>
      <c r="P10" s="13"/>
      <c r="Q10" s="14">
        <f>O10-P10</f>
        <v>1000000</v>
      </c>
      <c r="R10" s="14">
        <v>1000000</v>
      </c>
      <c r="S10" s="13"/>
      <c r="T10" s="14">
        <f>R10-S10</f>
        <v>1000000</v>
      </c>
      <c r="U10" s="14">
        <v>1000000</v>
      </c>
      <c r="V10" s="13"/>
      <c r="W10" s="14">
        <f>U10-V10</f>
        <v>1000000</v>
      </c>
      <c r="X10" s="174">
        <f t="shared" si="1"/>
        <v>3000000</v>
      </c>
      <c r="Y10" s="174">
        <f t="shared" si="1"/>
        <v>0</v>
      </c>
      <c r="Z10" s="14">
        <v>1000000</v>
      </c>
      <c r="AA10" s="13"/>
      <c r="AB10" s="14">
        <f>Z10-AA10</f>
        <v>1000000</v>
      </c>
      <c r="AC10" s="14">
        <v>1000000</v>
      </c>
      <c r="AD10" s="13"/>
      <c r="AE10" s="14">
        <f>AC10-AD10</f>
        <v>1000000</v>
      </c>
      <c r="AF10" s="14">
        <v>1000000</v>
      </c>
      <c r="AG10" s="13"/>
      <c r="AH10" s="14">
        <f>AF10-AG10</f>
        <v>1000000</v>
      </c>
      <c r="AI10" s="174">
        <f t="shared" si="3"/>
        <v>3000000</v>
      </c>
      <c r="AJ10" s="174">
        <f>AA10+AD10+AG10</f>
        <v>0</v>
      </c>
      <c r="AK10" s="14">
        <v>1000000</v>
      </c>
      <c r="AL10" s="13"/>
      <c r="AM10" s="14">
        <f>AK10-AL10</f>
        <v>1000000</v>
      </c>
      <c r="AN10" s="14">
        <v>1000000</v>
      </c>
      <c r="AO10" s="13"/>
      <c r="AP10" s="14">
        <f>AN10-AO10</f>
        <v>1000000</v>
      </c>
      <c r="AQ10" s="14">
        <v>1000000</v>
      </c>
      <c r="AR10" s="13"/>
      <c r="AS10" s="14">
        <f>AQ10-AR10</f>
        <v>1000000</v>
      </c>
      <c r="AT10" s="174"/>
      <c r="AU10" s="174">
        <f>AL10+AO10+AR10</f>
        <v>0</v>
      </c>
      <c r="AV10" s="14">
        <f>AQ10+AN10+AK10++AF10+AC10+Z10+U10+R10+O10+J10+G10+D10</f>
        <v>12000000</v>
      </c>
      <c r="AW10" s="14">
        <f>AR10+AO10+AL10+AG10+AD10+AA10+V10+S10+P10+K10+H10+E10</f>
        <v>0</v>
      </c>
      <c r="AX10" s="178">
        <f>(AV10-M10-X10-AI10-AT10)+N10+Y10+AJ10+AU10</f>
        <v>3000000</v>
      </c>
      <c r="AY10" s="16">
        <f>AW10*1.1</f>
        <v>0</v>
      </c>
      <c r="AZ10" s="16">
        <f t="shared" si="2"/>
        <v>0</v>
      </c>
      <c r="BA10" s="16">
        <f t="shared" si="2"/>
        <v>0</v>
      </c>
      <c r="BB10" s="16">
        <f t="shared" si="2"/>
        <v>0</v>
      </c>
    </row>
    <row r="11" spans="1:54" s="21" customFormat="1" ht="18.399999999999999" customHeight="1" x14ac:dyDescent="0.2">
      <c r="A11" s="17"/>
      <c r="B11" s="18"/>
      <c r="C11" s="19" t="s">
        <v>23</v>
      </c>
      <c r="D11" s="20">
        <f t="shared" ref="D11:BB11" si="4">SUM(D6:D10)</f>
        <v>399308200</v>
      </c>
      <c r="E11" s="20">
        <f t="shared" si="4"/>
        <v>392036608</v>
      </c>
      <c r="F11" s="20">
        <f t="shared" si="4"/>
        <v>31828262</v>
      </c>
      <c r="G11" s="20">
        <f t="shared" si="4"/>
        <v>399308200</v>
      </c>
      <c r="H11" s="20">
        <f t="shared" si="4"/>
        <v>398775606</v>
      </c>
      <c r="I11" s="20">
        <f t="shared" si="4"/>
        <v>25480934</v>
      </c>
      <c r="J11" s="20">
        <f t="shared" si="4"/>
        <v>399308200</v>
      </c>
      <c r="K11" s="20">
        <f t="shared" si="4"/>
        <v>463785706</v>
      </c>
      <c r="L11" s="20">
        <f t="shared" si="4"/>
        <v>-1902967</v>
      </c>
      <c r="M11" s="20">
        <f t="shared" si="4"/>
        <v>1197924600</v>
      </c>
      <c r="N11" s="20">
        <f t="shared" si="4"/>
        <v>1254597920</v>
      </c>
      <c r="O11" s="20">
        <f t="shared" si="4"/>
        <v>446053684.00000006</v>
      </c>
      <c r="P11" s="20">
        <f t="shared" si="4"/>
        <v>412897216</v>
      </c>
      <c r="Q11" s="20">
        <f t="shared" si="4"/>
        <v>38174550.00000006</v>
      </c>
      <c r="R11" s="20">
        <f t="shared" si="4"/>
        <v>446053684.00000006</v>
      </c>
      <c r="S11" s="20">
        <f t="shared" si="4"/>
        <v>459469057</v>
      </c>
      <c r="T11" s="20">
        <f t="shared" si="4"/>
        <v>-7742730.9999999367</v>
      </c>
      <c r="U11" s="20">
        <f t="shared" si="4"/>
        <v>446053684.00000006</v>
      </c>
      <c r="V11" s="20">
        <f t="shared" si="4"/>
        <v>453619932</v>
      </c>
      <c r="W11" s="20">
        <f t="shared" si="4"/>
        <v>-1917211.9999999367</v>
      </c>
      <c r="X11" s="20">
        <f t="shared" si="4"/>
        <v>1338161052.0000002</v>
      </c>
      <c r="Y11" s="20">
        <f t="shared" si="4"/>
        <v>1325986205</v>
      </c>
      <c r="Z11" s="20">
        <f t="shared" si="4"/>
        <v>445794469.20851874</v>
      </c>
      <c r="AA11" s="20">
        <f t="shared" si="4"/>
        <v>524433461</v>
      </c>
      <c r="AB11" s="20">
        <f t="shared" si="4"/>
        <v>-78638991.791481256</v>
      </c>
      <c r="AC11" s="20">
        <f t="shared" si="4"/>
        <v>868803950.14862216</v>
      </c>
      <c r="AD11" s="20">
        <f t="shared" si="4"/>
        <v>1220464306</v>
      </c>
      <c r="AE11" s="20">
        <f t="shared" si="4"/>
        <v>-351660355.85137784</v>
      </c>
      <c r="AF11" s="20">
        <f t="shared" si="4"/>
        <v>445794469.20851874</v>
      </c>
      <c r="AG11" s="20">
        <f t="shared" si="4"/>
        <v>549668516</v>
      </c>
      <c r="AH11" s="20">
        <f t="shared" si="4"/>
        <v>-103874046.79148126</v>
      </c>
      <c r="AI11" s="20">
        <f t="shared" si="4"/>
        <v>1760392888.5656595</v>
      </c>
      <c r="AJ11" s="20">
        <f t="shared" si="4"/>
        <v>2294566283</v>
      </c>
      <c r="AK11" s="20">
        <f t="shared" si="4"/>
        <v>445794469.20851874</v>
      </c>
      <c r="AL11" s="20">
        <f t="shared" si="4"/>
        <v>0</v>
      </c>
      <c r="AM11" s="20">
        <f t="shared" si="4"/>
        <v>445794469.20851874</v>
      </c>
      <c r="AN11" s="20">
        <f t="shared" si="4"/>
        <v>445794469.20851874</v>
      </c>
      <c r="AO11" s="20">
        <f t="shared" si="4"/>
        <v>0</v>
      </c>
      <c r="AP11" s="20">
        <f t="shared" si="4"/>
        <v>445794469.20851874</v>
      </c>
      <c r="AQ11" s="20">
        <f t="shared" si="4"/>
        <v>868803950.14862216</v>
      </c>
      <c r="AR11" s="20">
        <f t="shared" si="4"/>
        <v>0</v>
      </c>
      <c r="AS11" s="20">
        <f t="shared" si="4"/>
        <v>868803950.14862216</v>
      </c>
      <c r="AT11" s="20">
        <f t="shared" si="4"/>
        <v>0</v>
      </c>
      <c r="AU11" s="20">
        <f t="shared" si="4"/>
        <v>0</v>
      </c>
      <c r="AV11" s="20">
        <f t="shared" si="4"/>
        <v>6056871429.131319</v>
      </c>
      <c r="AW11" s="20">
        <f t="shared" si="4"/>
        <v>4875150408</v>
      </c>
      <c r="AX11" s="20">
        <f t="shared" si="4"/>
        <v>6635543296.5656605</v>
      </c>
      <c r="AY11" s="20">
        <f t="shared" si="4"/>
        <v>5362665448.7999992</v>
      </c>
      <c r="AZ11" s="20">
        <f t="shared" si="4"/>
        <v>5898931993.6800003</v>
      </c>
      <c r="BA11" s="20">
        <f t="shared" si="4"/>
        <v>6488825193.0480022</v>
      </c>
      <c r="BB11" s="20">
        <f t="shared" si="4"/>
        <v>7137707712.3528023</v>
      </c>
    </row>
    <row r="12" spans="1:54" s="36" customFormat="1" ht="18.399999999999999" customHeight="1" x14ac:dyDescent="0.2">
      <c r="A12" s="40">
        <v>1</v>
      </c>
      <c r="B12" s="27" t="s">
        <v>33</v>
      </c>
      <c r="C12" s="41" t="s">
        <v>34</v>
      </c>
      <c r="D12" s="14">
        <f>0.05*D6</f>
        <v>18940000</v>
      </c>
      <c r="E12" s="13">
        <f>174636+2573954+205562+121900+479874+1875000</f>
        <v>5430926</v>
      </c>
      <c r="F12" s="14">
        <f t="shared" ref="F12:F21" si="5">D12-E12</f>
        <v>13509074</v>
      </c>
      <c r="G12" s="14">
        <f>0.05*G6</f>
        <v>18940000</v>
      </c>
      <c r="H12" s="13">
        <f>13834350-2448000</f>
        <v>11386350</v>
      </c>
      <c r="I12" s="14">
        <f t="shared" ref="I12:I21" si="6">G12-H12</f>
        <v>7553650</v>
      </c>
      <c r="J12" s="14">
        <f>0.05*J6</f>
        <v>18940000</v>
      </c>
      <c r="K12" s="13">
        <f>20555660-1340000</f>
        <v>19215660</v>
      </c>
      <c r="L12" s="14">
        <f t="shared" ref="L12:L21" si="7">J12-K12</f>
        <v>-275660</v>
      </c>
      <c r="M12" s="174">
        <f t="shared" ref="M12:N21" si="8">D12+G12+J12</f>
        <v>56820000</v>
      </c>
      <c r="N12" s="174">
        <f t="shared" si="8"/>
        <v>36032936</v>
      </c>
      <c r="O12" s="14">
        <f>0.05*O6</f>
        <v>21162800.000000004</v>
      </c>
      <c r="P12" s="13">
        <v>20674048</v>
      </c>
      <c r="Q12" s="14">
        <f t="shared" ref="Q12:Q21" si="9">O12-P12</f>
        <v>488752.00000000373</v>
      </c>
      <c r="R12" s="14">
        <f>0.05*R6</f>
        <v>21162800.000000004</v>
      </c>
      <c r="S12" s="13">
        <v>33226290</v>
      </c>
      <c r="T12" s="14">
        <f t="shared" ref="T12:T21" si="10">R12-S12</f>
        <v>-12063489.999999996</v>
      </c>
      <c r="U12" s="14">
        <f>0.05*U6</f>
        <v>21162800.000000004</v>
      </c>
      <c r="V12" s="175">
        <f>21573819-670000</f>
        <v>20903819</v>
      </c>
      <c r="W12" s="14">
        <f t="shared" ref="W12:W21" si="11">U12-V12</f>
        <v>258981.00000000373</v>
      </c>
      <c r="X12" s="174">
        <f t="shared" ref="X12:Y21" si="12">O12+R12+U12</f>
        <v>63488400.000000015</v>
      </c>
      <c r="Y12" s="174">
        <f t="shared" si="12"/>
        <v>74804157</v>
      </c>
      <c r="Z12" s="13">
        <f>0.05*Z6</f>
        <v>21150474.047005173</v>
      </c>
      <c r="AA12" s="13">
        <v>128357981</v>
      </c>
      <c r="AB12" s="14">
        <f t="shared" ref="AB12:AB21" si="13">Z12-AA12</f>
        <v>-107207506.95299482</v>
      </c>
      <c r="AC12" s="13">
        <f>Z12</f>
        <v>21150474.047005173</v>
      </c>
      <c r="AD12" s="13">
        <v>248261611</v>
      </c>
      <c r="AE12" s="14">
        <f t="shared" ref="AE12:AE21" si="14">AC12-AD12</f>
        <v>-227111136.95299482</v>
      </c>
      <c r="AF12" s="14">
        <f>0.05*AF6</f>
        <v>21150474.047005173</v>
      </c>
      <c r="AG12" s="13">
        <v>9379456</v>
      </c>
      <c r="AH12" s="14">
        <f t="shared" ref="AH12:AH21" si="15">AF12-AG12</f>
        <v>11771018.047005173</v>
      </c>
      <c r="AI12" s="174">
        <f t="shared" si="3"/>
        <v>63451422.141015515</v>
      </c>
      <c r="AJ12" s="174">
        <f t="shared" ref="AJ12:AJ21" si="16">AA12+AD12+AG12</f>
        <v>385999048</v>
      </c>
      <c r="AK12" s="14">
        <f>0.05*AK6</f>
        <v>21150474.047005173</v>
      </c>
      <c r="AL12" s="13"/>
      <c r="AM12" s="14">
        <f t="shared" ref="AM12:AM21" si="17">AK12-AL12</f>
        <v>21150474.047005173</v>
      </c>
      <c r="AN12" s="14">
        <f>0.05*AN6</f>
        <v>21150474.047005173</v>
      </c>
      <c r="AO12" s="13"/>
      <c r="AP12" s="14">
        <f t="shared" ref="AP12:AP21" si="18">AN12-AO12</f>
        <v>21150474.047005173</v>
      </c>
      <c r="AQ12" s="13">
        <f>AN12</f>
        <v>21150474.047005173</v>
      </c>
      <c r="AR12" s="13"/>
      <c r="AS12" s="14">
        <f t="shared" ref="AS12:AS21" si="19">AQ12-AR12</f>
        <v>21150474.047005173</v>
      </c>
      <c r="AT12" s="174"/>
      <c r="AU12" s="174">
        <f t="shared" ref="AU12:AU21" si="20">AL12+AO12+AR12</f>
        <v>0</v>
      </c>
      <c r="AV12" s="14">
        <f t="shared" ref="AV12:AV21" si="21">AQ12+AN12+AK12++AF12+AC12+Z12+U12+R12+O12+J12+G12+D12</f>
        <v>247211244.28203106</v>
      </c>
      <c r="AW12" s="14">
        <f t="shared" ref="AW12:AW21" si="22">AR12+AO12+AL12+AG12+AD12+AA12+V12+S12+P12+K12+H12+E12</f>
        <v>496836141</v>
      </c>
      <c r="AX12" s="178">
        <f t="shared" ref="AX12:AX21" si="23">(AV12-M12-X12-AI12-AT12)+N12+Y12+AJ12+AU12</f>
        <v>560287563.14101553</v>
      </c>
      <c r="AY12" s="16">
        <f t="shared" ref="AY12:AY21" si="24">AW12*1.1</f>
        <v>546519755.10000002</v>
      </c>
      <c r="AZ12" s="16">
        <f t="shared" ref="AZ12:BB21" si="25">AY12*1.1</f>
        <v>601171730.61000013</v>
      </c>
      <c r="BA12" s="16">
        <f t="shared" si="25"/>
        <v>661288903.67100024</v>
      </c>
      <c r="BB12" s="16">
        <f t="shared" si="25"/>
        <v>727417794.03810036</v>
      </c>
    </row>
    <row r="13" spans="1:54" s="36" customFormat="1" ht="18.399999999999999" customHeight="1" x14ac:dyDescent="0.2">
      <c r="A13" s="40">
        <v>2</v>
      </c>
      <c r="B13" s="27" t="s">
        <v>33</v>
      </c>
      <c r="C13" s="29" t="s">
        <v>35</v>
      </c>
      <c r="D13" s="14"/>
      <c r="E13" s="13"/>
      <c r="F13" s="14">
        <f t="shared" si="5"/>
        <v>0</v>
      </c>
      <c r="G13" s="14"/>
      <c r="H13" s="13"/>
      <c r="I13" s="14">
        <f t="shared" si="6"/>
        <v>0</v>
      </c>
      <c r="J13" s="14"/>
      <c r="K13" s="13"/>
      <c r="L13" s="14">
        <f t="shared" si="7"/>
        <v>0</v>
      </c>
      <c r="M13" s="174">
        <f t="shared" si="8"/>
        <v>0</v>
      </c>
      <c r="N13" s="174">
        <f t="shared" si="8"/>
        <v>0</v>
      </c>
      <c r="O13" s="14"/>
      <c r="P13" s="13"/>
      <c r="Q13" s="14">
        <f t="shared" si="9"/>
        <v>0</v>
      </c>
      <c r="R13" s="14"/>
      <c r="S13" s="13"/>
      <c r="T13" s="14">
        <f t="shared" si="10"/>
        <v>0</v>
      </c>
      <c r="U13" s="14">
        <v>31000000</v>
      </c>
      <c r="V13" s="13"/>
      <c r="W13" s="14">
        <f t="shared" si="11"/>
        <v>31000000</v>
      </c>
      <c r="X13" s="174">
        <f t="shared" si="12"/>
        <v>31000000</v>
      </c>
      <c r="Y13" s="174">
        <f t="shared" si="12"/>
        <v>0</v>
      </c>
      <c r="Z13" s="14"/>
      <c r="AA13" s="13"/>
      <c r="AB13" s="14">
        <f t="shared" si="13"/>
        <v>0</v>
      </c>
      <c r="AC13" s="14"/>
      <c r="AD13" s="13"/>
      <c r="AE13" s="14">
        <f t="shared" si="14"/>
        <v>0</v>
      </c>
      <c r="AF13" s="14"/>
      <c r="AG13" s="13"/>
      <c r="AH13" s="14">
        <f t="shared" si="15"/>
        <v>0</v>
      </c>
      <c r="AI13" s="174">
        <f t="shared" si="3"/>
        <v>0</v>
      </c>
      <c r="AJ13" s="174">
        <f t="shared" si="16"/>
        <v>0</v>
      </c>
      <c r="AK13" s="14"/>
      <c r="AL13" s="13"/>
      <c r="AM13" s="14">
        <f t="shared" si="17"/>
        <v>0</v>
      </c>
      <c r="AN13" s="14"/>
      <c r="AO13" s="13"/>
      <c r="AP13" s="14">
        <f t="shared" si="18"/>
        <v>0</v>
      </c>
      <c r="AQ13" s="14"/>
      <c r="AR13" s="13"/>
      <c r="AS13" s="14">
        <f t="shared" si="19"/>
        <v>0</v>
      </c>
      <c r="AT13" s="174"/>
      <c r="AU13" s="174">
        <f t="shared" si="20"/>
        <v>0</v>
      </c>
      <c r="AV13" s="14">
        <f t="shared" si="21"/>
        <v>31000000</v>
      </c>
      <c r="AW13" s="14">
        <f t="shared" si="22"/>
        <v>0</v>
      </c>
      <c r="AX13" s="178">
        <f t="shared" si="23"/>
        <v>0</v>
      </c>
      <c r="AY13" s="16">
        <f t="shared" si="24"/>
        <v>0</v>
      </c>
      <c r="AZ13" s="16">
        <f t="shared" si="25"/>
        <v>0</v>
      </c>
      <c r="BA13" s="16">
        <f t="shared" si="25"/>
        <v>0</v>
      </c>
      <c r="BB13" s="16">
        <f t="shared" si="25"/>
        <v>0</v>
      </c>
    </row>
    <row r="14" spans="1:54" s="36" customFormat="1" ht="18.399999999999999" customHeight="1" x14ac:dyDescent="0.2">
      <c r="A14" s="40">
        <v>3</v>
      </c>
      <c r="B14" s="42" t="s">
        <v>36</v>
      </c>
      <c r="C14" s="43" t="s">
        <v>37</v>
      </c>
      <c r="D14" s="14">
        <v>45000000</v>
      </c>
      <c r="E14" s="13"/>
      <c r="F14" s="14">
        <f t="shared" si="5"/>
        <v>45000000</v>
      </c>
      <c r="G14" s="14"/>
      <c r="H14" s="13"/>
      <c r="I14" s="14">
        <f t="shared" si="6"/>
        <v>0</v>
      </c>
      <c r="J14" s="14"/>
      <c r="K14" s="13"/>
      <c r="L14" s="14">
        <f t="shared" si="7"/>
        <v>0</v>
      </c>
      <c r="M14" s="174">
        <f t="shared" si="8"/>
        <v>45000000</v>
      </c>
      <c r="N14" s="174">
        <f t="shared" si="8"/>
        <v>0</v>
      </c>
      <c r="O14" s="14"/>
      <c r="P14" s="13"/>
      <c r="Q14" s="14">
        <f t="shared" si="9"/>
        <v>0</v>
      </c>
      <c r="R14" s="14"/>
      <c r="S14" s="13"/>
      <c r="T14" s="14">
        <f t="shared" si="10"/>
        <v>0</v>
      </c>
      <c r="U14" s="14"/>
      <c r="V14" s="13"/>
      <c r="W14" s="14">
        <f t="shared" si="11"/>
        <v>0</v>
      </c>
      <c r="X14" s="174">
        <f t="shared" si="12"/>
        <v>0</v>
      </c>
      <c r="Y14" s="174">
        <f t="shared" si="12"/>
        <v>0</v>
      </c>
      <c r="Z14" s="14"/>
      <c r="AA14" s="13"/>
      <c r="AB14" s="14">
        <f t="shared" si="13"/>
        <v>0</v>
      </c>
      <c r="AC14" s="14"/>
      <c r="AD14" s="13"/>
      <c r="AE14" s="14">
        <f t="shared" si="14"/>
        <v>0</v>
      </c>
      <c r="AF14" s="14"/>
      <c r="AG14" s="13"/>
      <c r="AH14" s="14">
        <f t="shared" si="15"/>
        <v>0</v>
      </c>
      <c r="AI14" s="174">
        <f t="shared" si="3"/>
        <v>0</v>
      </c>
      <c r="AJ14" s="174">
        <f t="shared" si="16"/>
        <v>0</v>
      </c>
      <c r="AK14" s="14"/>
      <c r="AL14" s="13"/>
      <c r="AM14" s="14">
        <f t="shared" si="17"/>
        <v>0</v>
      </c>
      <c r="AN14" s="14"/>
      <c r="AO14" s="13"/>
      <c r="AP14" s="14">
        <f t="shared" si="18"/>
        <v>0</v>
      </c>
      <c r="AQ14" s="14"/>
      <c r="AR14" s="13"/>
      <c r="AS14" s="14">
        <f t="shared" si="19"/>
        <v>0</v>
      </c>
      <c r="AT14" s="174"/>
      <c r="AU14" s="174">
        <f t="shared" si="20"/>
        <v>0</v>
      </c>
      <c r="AV14" s="14">
        <f t="shared" si="21"/>
        <v>45000000</v>
      </c>
      <c r="AW14" s="14">
        <f t="shared" si="22"/>
        <v>0</v>
      </c>
      <c r="AX14" s="178">
        <f t="shared" si="23"/>
        <v>0</v>
      </c>
      <c r="AY14" s="16">
        <f t="shared" si="24"/>
        <v>0</v>
      </c>
      <c r="AZ14" s="16">
        <f t="shared" si="25"/>
        <v>0</v>
      </c>
      <c r="BA14" s="16">
        <f t="shared" si="25"/>
        <v>0</v>
      </c>
      <c r="BB14" s="16">
        <f t="shared" si="25"/>
        <v>0</v>
      </c>
    </row>
    <row r="15" spans="1:54" s="36" customFormat="1" ht="18.399999999999999" customHeight="1" x14ac:dyDescent="0.2">
      <c r="A15" s="40">
        <v>4</v>
      </c>
      <c r="B15" s="42" t="s">
        <v>36</v>
      </c>
      <c r="C15" s="44" t="s">
        <v>38</v>
      </c>
      <c r="D15" s="14">
        <v>1000000</v>
      </c>
      <c r="E15" s="13"/>
      <c r="F15" s="14">
        <f t="shared" si="5"/>
        <v>1000000</v>
      </c>
      <c r="G15" s="14">
        <v>1000000</v>
      </c>
      <c r="H15" s="13"/>
      <c r="I15" s="14">
        <f t="shared" si="6"/>
        <v>1000000</v>
      </c>
      <c r="J15" s="14">
        <v>1000000</v>
      </c>
      <c r="K15" s="13"/>
      <c r="L15" s="14">
        <f t="shared" si="7"/>
        <v>1000000</v>
      </c>
      <c r="M15" s="174">
        <f t="shared" si="8"/>
        <v>3000000</v>
      </c>
      <c r="N15" s="174">
        <f t="shared" si="8"/>
        <v>0</v>
      </c>
      <c r="O15" s="14">
        <v>1000000</v>
      </c>
      <c r="P15" s="13"/>
      <c r="Q15" s="14">
        <f t="shared" si="9"/>
        <v>1000000</v>
      </c>
      <c r="R15" s="14">
        <v>1000000</v>
      </c>
      <c r="S15" s="13"/>
      <c r="T15" s="14">
        <f t="shared" si="10"/>
        <v>1000000</v>
      </c>
      <c r="U15" s="14">
        <v>1000000</v>
      </c>
      <c r="V15" s="13"/>
      <c r="W15" s="14">
        <f t="shared" si="11"/>
        <v>1000000</v>
      </c>
      <c r="X15" s="174">
        <f t="shared" si="12"/>
        <v>3000000</v>
      </c>
      <c r="Y15" s="174">
        <f t="shared" si="12"/>
        <v>0</v>
      </c>
      <c r="Z15" s="14">
        <v>1000000</v>
      </c>
      <c r="AA15" s="13"/>
      <c r="AB15" s="14">
        <f t="shared" si="13"/>
        <v>1000000</v>
      </c>
      <c r="AC15" s="14">
        <v>1000000</v>
      </c>
      <c r="AD15" s="13"/>
      <c r="AE15" s="14">
        <f t="shared" si="14"/>
        <v>1000000</v>
      </c>
      <c r="AF15" s="14">
        <v>1000000</v>
      </c>
      <c r="AG15" s="13"/>
      <c r="AH15" s="14">
        <f t="shared" si="15"/>
        <v>1000000</v>
      </c>
      <c r="AI15" s="174">
        <f t="shared" si="3"/>
        <v>3000000</v>
      </c>
      <c r="AJ15" s="174">
        <f t="shared" si="16"/>
        <v>0</v>
      </c>
      <c r="AK15" s="14">
        <v>1000000</v>
      </c>
      <c r="AL15" s="13"/>
      <c r="AM15" s="14">
        <f t="shared" si="17"/>
        <v>1000000</v>
      </c>
      <c r="AN15" s="14">
        <v>1000000</v>
      </c>
      <c r="AO15" s="13"/>
      <c r="AP15" s="14">
        <f t="shared" si="18"/>
        <v>1000000</v>
      </c>
      <c r="AQ15" s="14">
        <v>1000000</v>
      </c>
      <c r="AR15" s="13"/>
      <c r="AS15" s="14">
        <f t="shared" si="19"/>
        <v>1000000</v>
      </c>
      <c r="AT15" s="174"/>
      <c r="AU15" s="174">
        <f t="shared" si="20"/>
        <v>0</v>
      </c>
      <c r="AV15" s="14">
        <f t="shared" si="21"/>
        <v>12000000</v>
      </c>
      <c r="AW15" s="14">
        <f t="shared" si="22"/>
        <v>0</v>
      </c>
      <c r="AX15" s="178">
        <f t="shared" si="23"/>
        <v>3000000</v>
      </c>
      <c r="AY15" s="16">
        <f t="shared" si="24"/>
        <v>0</v>
      </c>
      <c r="AZ15" s="16">
        <f t="shared" si="25"/>
        <v>0</v>
      </c>
      <c r="BA15" s="16">
        <f t="shared" si="25"/>
        <v>0</v>
      </c>
      <c r="BB15" s="16">
        <f t="shared" si="25"/>
        <v>0</v>
      </c>
    </row>
    <row r="16" spans="1:54" s="36" customFormat="1" ht="18.399999999999999" customHeight="1" x14ac:dyDescent="0.2">
      <c r="A16" s="40">
        <v>5</v>
      </c>
      <c r="B16" s="42" t="s">
        <v>39</v>
      </c>
      <c r="C16" s="44" t="s">
        <v>40</v>
      </c>
      <c r="D16" s="14">
        <v>1000000</v>
      </c>
      <c r="E16" s="13"/>
      <c r="F16" s="14">
        <f t="shared" si="5"/>
        <v>1000000</v>
      </c>
      <c r="G16" s="14"/>
      <c r="H16" s="13"/>
      <c r="I16" s="14">
        <f t="shared" si="6"/>
        <v>0</v>
      </c>
      <c r="J16" s="14">
        <v>1000000</v>
      </c>
      <c r="K16" s="13"/>
      <c r="L16" s="14">
        <f t="shared" si="7"/>
        <v>1000000</v>
      </c>
      <c r="M16" s="174">
        <f t="shared" si="8"/>
        <v>2000000</v>
      </c>
      <c r="N16" s="174">
        <f t="shared" si="8"/>
        <v>0</v>
      </c>
      <c r="O16" s="14"/>
      <c r="P16" s="13"/>
      <c r="Q16" s="14">
        <f t="shared" si="9"/>
        <v>0</v>
      </c>
      <c r="R16" s="14">
        <v>1000000</v>
      </c>
      <c r="S16" s="13"/>
      <c r="T16" s="14">
        <f t="shared" si="10"/>
        <v>1000000</v>
      </c>
      <c r="U16" s="14"/>
      <c r="V16" s="13"/>
      <c r="W16" s="14">
        <f t="shared" si="11"/>
        <v>0</v>
      </c>
      <c r="X16" s="174">
        <f t="shared" si="12"/>
        <v>1000000</v>
      </c>
      <c r="Y16" s="174">
        <f t="shared" si="12"/>
        <v>0</v>
      </c>
      <c r="Z16" s="14">
        <v>1000000</v>
      </c>
      <c r="AA16" s="13"/>
      <c r="AB16" s="14">
        <f t="shared" si="13"/>
        <v>1000000</v>
      </c>
      <c r="AC16" s="14"/>
      <c r="AD16" s="13"/>
      <c r="AE16" s="14">
        <f t="shared" si="14"/>
        <v>0</v>
      </c>
      <c r="AF16" s="14">
        <v>1000000</v>
      </c>
      <c r="AG16" s="13"/>
      <c r="AH16" s="14">
        <f t="shared" si="15"/>
        <v>1000000</v>
      </c>
      <c r="AI16" s="174">
        <f t="shared" si="3"/>
        <v>2000000</v>
      </c>
      <c r="AJ16" s="174">
        <f t="shared" si="16"/>
        <v>0</v>
      </c>
      <c r="AK16" s="14"/>
      <c r="AL16" s="13"/>
      <c r="AM16" s="14">
        <f t="shared" si="17"/>
        <v>0</v>
      </c>
      <c r="AN16" s="14">
        <v>1000000</v>
      </c>
      <c r="AO16" s="13"/>
      <c r="AP16" s="14">
        <f t="shared" si="18"/>
        <v>1000000</v>
      </c>
      <c r="AQ16" s="14"/>
      <c r="AR16" s="13"/>
      <c r="AS16" s="14">
        <f t="shared" si="19"/>
        <v>0</v>
      </c>
      <c r="AT16" s="174"/>
      <c r="AU16" s="174">
        <f t="shared" si="20"/>
        <v>0</v>
      </c>
      <c r="AV16" s="14">
        <f t="shared" si="21"/>
        <v>6000000</v>
      </c>
      <c r="AW16" s="14">
        <f t="shared" si="22"/>
        <v>0</v>
      </c>
      <c r="AX16" s="178">
        <f t="shared" si="23"/>
        <v>1000000</v>
      </c>
      <c r="AY16" s="16">
        <f t="shared" si="24"/>
        <v>0</v>
      </c>
      <c r="AZ16" s="16">
        <f t="shared" si="25"/>
        <v>0</v>
      </c>
      <c r="BA16" s="16">
        <f t="shared" si="25"/>
        <v>0</v>
      </c>
      <c r="BB16" s="16">
        <f t="shared" si="25"/>
        <v>0</v>
      </c>
    </row>
    <row r="17" spans="1:54" s="36" customFormat="1" ht="18.399999999999999" customHeight="1" x14ac:dyDescent="0.2">
      <c r="A17" s="40">
        <v>6</v>
      </c>
      <c r="B17" s="42" t="s">
        <v>36</v>
      </c>
      <c r="C17" s="29" t="s">
        <v>41</v>
      </c>
      <c r="D17" s="14"/>
      <c r="E17" s="13"/>
      <c r="F17" s="14">
        <f t="shared" si="5"/>
        <v>0</v>
      </c>
      <c r="G17" s="14"/>
      <c r="H17" s="13"/>
      <c r="I17" s="14">
        <f t="shared" si="6"/>
        <v>0</v>
      </c>
      <c r="J17" s="14"/>
      <c r="K17" s="13"/>
      <c r="L17" s="14">
        <f t="shared" si="7"/>
        <v>0</v>
      </c>
      <c r="M17" s="174">
        <f t="shared" si="8"/>
        <v>0</v>
      </c>
      <c r="N17" s="174">
        <f t="shared" si="8"/>
        <v>0</v>
      </c>
      <c r="O17" s="14"/>
      <c r="P17" s="13"/>
      <c r="Q17" s="14">
        <f t="shared" si="9"/>
        <v>0</v>
      </c>
      <c r="R17" s="14"/>
      <c r="S17" s="13"/>
      <c r="T17" s="14">
        <f t="shared" si="10"/>
        <v>0</v>
      </c>
      <c r="U17" s="14"/>
      <c r="V17" s="13"/>
      <c r="W17" s="14">
        <f t="shared" si="11"/>
        <v>0</v>
      </c>
      <c r="X17" s="174">
        <f t="shared" si="12"/>
        <v>0</v>
      </c>
      <c r="Y17" s="174">
        <f t="shared" si="12"/>
        <v>0</v>
      </c>
      <c r="Z17" s="14"/>
      <c r="AA17" s="13"/>
      <c r="AB17" s="14">
        <f t="shared" si="13"/>
        <v>0</v>
      </c>
      <c r="AC17" s="14">
        <f>38*200000</f>
        <v>7600000</v>
      </c>
      <c r="AD17" s="13"/>
      <c r="AE17" s="14">
        <f t="shared" si="14"/>
        <v>7600000</v>
      </c>
      <c r="AF17" s="14"/>
      <c r="AG17" s="13"/>
      <c r="AH17" s="14">
        <f t="shared" si="15"/>
        <v>0</v>
      </c>
      <c r="AI17" s="174">
        <f t="shared" si="3"/>
        <v>7600000</v>
      </c>
      <c r="AJ17" s="174">
        <f t="shared" si="16"/>
        <v>0</v>
      </c>
      <c r="AK17" s="14"/>
      <c r="AL17" s="13"/>
      <c r="AM17" s="14">
        <f t="shared" si="17"/>
        <v>0</v>
      </c>
      <c r="AN17" s="14"/>
      <c r="AO17" s="13"/>
      <c r="AP17" s="14">
        <f t="shared" si="18"/>
        <v>0</v>
      </c>
      <c r="AQ17" s="14"/>
      <c r="AR17" s="13"/>
      <c r="AS17" s="14">
        <f t="shared" si="19"/>
        <v>0</v>
      </c>
      <c r="AT17" s="174"/>
      <c r="AU17" s="174">
        <f t="shared" si="20"/>
        <v>0</v>
      </c>
      <c r="AV17" s="14">
        <f t="shared" si="21"/>
        <v>7600000</v>
      </c>
      <c r="AW17" s="14">
        <f t="shared" si="22"/>
        <v>0</v>
      </c>
      <c r="AX17" s="178">
        <f t="shared" si="23"/>
        <v>0</v>
      </c>
      <c r="AY17" s="16">
        <f t="shared" si="24"/>
        <v>0</v>
      </c>
      <c r="AZ17" s="16">
        <f t="shared" si="25"/>
        <v>0</v>
      </c>
      <c r="BA17" s="16">
        <f t="shared" si="25"/>
        <v>0</v>
      </c>
      <c r="BB17" s="16">
        <f t="shared" si="25"/>
        <v>0</v>
      </c>
    </row>
    <row r="18" spans="1:54" s="36" customFormat="1" ht="18.399999999999999" customHeight="1" x14ac:dyDescent="0.2">
      <c r="A18" s="40">
        <v>7</v>
      </c>
      <c r="B18" s="42" t="s">
        <v>36</v>
      </c>
      <c r="C18" s="29" t="s">
        <v>42</v>
      </c>
      <c r="D18" s="14"/>
      <c r="E18" s="13"/>
      <c r="F18" s="14">
        <f t="shared" si="5"/>
        <v>0</v>
      </c>
      <c r="G18" s="14"/>
      <c r="H18" s="13"/>
      <c r="I18" s="14">
        <f t="shared" si="6"/>
        <v>0</v>
      </c>
      <c r="J18" s="14"/>
      <c r="K18" s="13"/>
      <c r="L18" s="14">
        <f t="shared" si="7"/>
        <v>0</v>
      </c>
      <c r="M18" s="174">
        <f t="shared" si="8"/>
        <v>0</v>
      </c>
      <c r="N18" s="174">
        <f t="shared" si="8"/>
        <v>0</v>
      </c>
      <c r="O18" s="14"/>
      <c r="P18" s="13"/>
      <c r="Q18" s="14">
        <f t="shared" si="9"/>
        <v>0</v>
      </c>
      <c r="R18" s="14"/>
      <c r="S18" s="13"/>
      <c r="T18" s="14">
        <f t="shared" si="10"/>
        <v>0</v>
      </c>
      <c r="U18" s="14"/>
      <c r="V18" s="13"/>
      <c r="W18" s="14">
        <f t="shared" si="11"/>
        <v>0</v>
      </c>
      <c r="X18" s="174">
        <f t="shared" si="12"/>
        <v>0</v>
      </c>
      <c r="Y18" s="174">
        <f t="shared" si="12"/>
        <v>0</v>
      </c>
      <c r="Z18" s="14"/>
      <c r="AA18" s="13"/>
      <c r="AB18" s="14">
        <f t="shared" si="13"/>
        <v>0</v>
      </c>
      <c r="AC18" s="14">
        <f>38*300000</f>
        <v>11400000</v>
      </c>
      <c r="AD18" s="13"/>
      <c r="AE18" s="14">
        <f t="shared" si="14"/>
        <v>11400000</v>
      </c>
      <c r="AF18" s="14"/>
      <c r="AG18" s="13"/>
      <c r="AH18" s="14">
        <f t="shared" si="15"/>
        <v>0</v>
      </c>
      <c r="AI18" s="174">
        <f t="shared" si="3"/>
        <v>11400000</v>
      </c>
      <c r="AJ18" s="174">
        <f t="shared" si="16"/>
        <v>0</v>
      </c>
      <c r="AK18" s="14"/>
      <c r="AL18" s="13"/>
      <c r="AM18" s="14">
        <f t="shared" si="17"/>
        <v>0</v>
      </c>
      <c r="AN18" s="14"/>
      <c r="AO18" s="13"/>
      <c r="AP18" s="14">
        <f t="shared" si="18"/>
        <v>0</v>
      </c>
      <c r="AQ18" s="14"/>
      <c r="AR18" s="13"/>
      <c r="AS18" s="14">
        <f t="shared" si="19"/>
        <v>0</v>
      </c>
      <c r="AT18" s="174"/>
      <c r="AU18" s="174">
        <f t="shared" si="20"/>
        <v>0</v>
      </c>
      <c r="AV18" s="14">
        <f t="shared" si="21"/>
        <v>11400000</v>
      </c>
      <c r="AW18" s="14">
        <f t="shared" si="22"/>
        <v>0</v>
      </c>
      <c r="AX18" s="178">
        <f t="shared" si="23"/>
        <v>0</v>
      </c>
      <c r="AY18" s="16">
        <f t="shared" si="24"/>
        <v>0</v>
      </c>
      <c r="AZ18" s="16">
        <f t="shared" si="25"/>
        <v>0</v>
      </c>
      <c r="BA18" s="16">
        <f t="shared" si="25"/>
        <v>0</v>
      </c>
      <c r="BB18" s="16">
        <f t="shared" si="25"/>
        <v>0</v>
      </c>
    </row>
    <row r="19" spans="1:54" s="36" customFormat="1" ht="18.399999999999999" customHeight="1" x14ac:dyDescent="0.2">
      <c r="A19" s="40">
        <v>8</v>
      </c>
      <c r="B19" s="42" t="s">
        <v>43</v>
      </c>
      <c r="C19" s="41" t="s">
        <v>44</v>
      </c>
      <c r="D19" s="14"/>
      <c r="E19" s="13"/>
      <c r="F19" s="14">
        <f t="shared" si="5"/>
        <v>0</v>
      </c>
      <c r="G19" s="1">
        <f>47200000</f>
        <v>47200000</v>
      </c>
      <c r="H19" s="13"/>
      <c r="I19" s="14">
        <f t="shared" si="6"/>
        <v>47200000</v>
      </c>
      <c r="J19" s="14"/>
      <c r="K19" s="13"/>
      <c r="L19" s="14">
        <f t="shared" si="7"/>
        <v>0</v>
      </c>
      <c r="M19" s="174">
        <f t="shared" si="8"/>
        <v>47200000</v>
      </c>
      <c r="N19" s="174">
        <f t="shared" si="8"/>
        <v>0</v>
      </c>
      <c r="O19" s="14"/>
      <c r="P19" s="13"/>
      <c r="Q19" s="14">
        <f t="shared" si="9"/>
        <v>0</v>
      </c>
      <c r="R19" s="1">
        <f>47200000</f>
        <v>47200000</v>
      </c>
      <c r="S19" s="13"/>
      <c r="T19" s="14">
        <f t="shared" si="10"/>
        <v>47200000</v>
      </c>
      <c r="U19" s="14"/>
      <c r="V19" s="13"/>
      <c r="W19" s="14">
        <f t="shared" si="11"/>
        <v>0</v>
      </c>
      <c r="X19" s="174">
        <f t="shared" si="12"/>
        <v>47200000</v>
      </c>
      <c r="Y19" s="174">
        <f t="shared" si="12"/>
        <v>0</v>
      </c>
      <c r="Z19" s="14"/>
      <c r="AA19" s="13"/>
      <c r="AB19" s="14">
        <f t="shared" si="13"/>
        <v>0</v>
      </c>
      <c r="AC19" s="1">
        <f>47200000</f>
        <v>47200000</v>
      </c>
      <c r="AD19" s="13"/>
      <c r="AE19" s="14">
        <f t="shared" si="14"/>
        <v>47200000</v>
      </c>
      <c r="AF19" s="14"/>
      <c r="AG19" s="13"/>
      <c r="AH19" s="14">
        <f t="shared" si="15"/>
        <v>0</v>
      </c>
      <c r="AI19" s="174">
        <f t="shared" si="3"/>
        <v>47200000</v>
      </c>
      <c r="AJ19" s="174">
        <f t="shared" si="16"/>
        <v>0</v>
      </c>
      <c r="AK19" s="14"/>
      <c r="AL19" s="13"/>
      <c r="AM19" s="14">
        <f t="shared" si="17"/>
        <v>0</v>
      </c>
      <c r="AN19" s="1">
        <f>47200000</f>
        <v>47200000</v>
      </c>
      <c r="AO19" s="13"/>
      <c r="AP19" s="14">
        <f t="shared" si="18"/>
        <v>47200000</v>
      </c>
      <c r="AQ19" s="14"/>
      <c r="AR19" s="13"/>
      <c r="AS19" s="14">
        <f t="shared" si="19"/>
        <v>0</v>
      </c>
      <c r="AT19" s="174"/>
      <c r="AU19" s="174">
        <f t="shared" si="20"/>
        <v>0</v>
      </c>
      <c r="AV19" s="14">
        <f t="shared" si="21"/>
        <v>188800000</v>
      </c>
      <c r="AW19" s="14">
        <f t="shared" si="22"/>
        <v>0</v>
      </c>
      <c r="AX19" s="178">
        <f t="shared" si="23"/>
        <v>47200000</v>
      </c>
      <c r="AY19" s="16">
        <f t="shared" si="24"/>
        <v>0</v>
      </c>
      <c r="AZ19" s="16">
        <f t="shared" si="25"/>
        <v>0</v>
      </c>
      <c r="BA19" s="16">
        <f t="shared" si="25"/>
        <v>0</v>
      </c>
      <c r="BB19" s="16">
        <f t="shared" si="25"/>
        <v>0</v>
      </c>
    </row>
    <row r="20" spans="1:54" s="36" customFormat="1" ht="18.399999999999999" customHeight="1" x14ac:dyDescent="0.2">
      <c r="A20" s="40">
        <v>9</v>
      </c>
      <c r="B20" s="98" t="s">
        <v>45</v>
      </c>
      <c r="C20" s="41" t="s">
        <v>46</v>
      </c>
      <c r="D20" s="14"/>
      <c r="E20" s="13"/>
      <c r="F20" s="14">
        <f t="shared" si="5"/>
        <v>0</v>
      </c>
      <c r="G20" s="14"/>
      <c r="H20" s="13"/>
      <c r="I20" s="14">
        <f t="shared" si="6"/>
        <v>0</v>
      </c>
      <c r="J20" s="14"/>
      <c r="K20" s="13"/>
      <c r="L20" s="14">
        <f t="shared" si="7"/>
        <v>0</v>
      </c>
      <c r="M20" s="174">
        <f t="shared" si="8"/>
        <v>0</v>
      </c>
      <c r="N20" s="174">
        <f t="shared" si="8"/>
        <v>0</v>
      </c>
      <c r="O20" s="14"/>
      <c r="P20" s="13"/>
      <c r="Q20" s="14">
        <f t="shared" si="9"/>
        <v>0</v>
      </c>
      <c r="R20" s="14"/>
      <c r="S20" s="13"/>
      <c r="T20" s="14">
        <f t="shared" si="10"/>
        <v>0</v>
      </c>
      <c r="U20" s="14"/>
      <c r="V20" s="13"/>
      <c r="W20" s="14">
        <f t="shared" si="11"/>
        <v>0</v>
      </c>
      <c r="X20" s="174">
        <f t="shared" si="12"/>
        <v>0</v>
      </c>
      <c r="Y20" s="174">
        <f t="shared" si="12"/>
        <v>0</v>
      </c>
      <c r="Z20" s="14"/>
      <c r="AA20" s="13"/>
      <c r="AB20" s="14">
        <f t="shared" si="13"/>
        <v>0</v>
      </c>
      <c r="AC20" s="14"/>
      <c r="AD20" s="13"/>
      <c r="AE20" s="14">
        <f t="shared" si="14"/>
        <v>0</v>
      </c>
      <c r="AF20" s="14"/>
      <c r="AG20" s="13"/>
      <c r="AH20" s="14">
        <f t="shared" si="15"/>
        <v>0</v>
      </c>
      <c r="AI20" s="174">
        <f t="shared" si="3"/>
        <v>0</v>
      </c>
      <c r="AJ20" s="174">
        <f t="shared" si="16"/>
        <v>0</v>
      </c>
      <c r="AK20" s="14"/>
      <c r="AL20" s="13"/>
      <c r="AM20" s="14">
        <f t="shared" si="17"/>
        <v>0</v>
      </c>
      <c r="AN20" s="14"/>
      <c r="AO20" s="13"/>
      <c r="AP20" s="14">
        <f t="shared" si="18"/>
        <v>0</v>
      </c>
      <c r="AQ20" s="14"/>
      <c r="AR20" s="13"/>
      <c r="AS20" s="14">
        <f t="shared" si="19"/>
        <v>0</v>
      </c>
      <c r="AT20" s="174"/>
      <c r="AU20" s="174">
        <f t="shared" si="20"/>
        <v>0</v>
      </c>
      <c r="AV20" s="14">
        <f t="shared" si="21"/>
        <v>0</v>
      </c>
      <c r="AW20" s="14">
        <f t="shared" si="22"/>
        <v>0</v>
      </c>
      <c r="AX20" s="178">
        <f t="shared" si="23"/>
        <v>0</v>
      </c>
      <c r="AY20" s="16">
        <f t="shared" si="24"/>
        <v>0</v>
      </c>
      <c r="AZ20" s="16">
        <f t="shared" si="25"/>
        <v>0</v>
      </c>
      <c r="BA20" s="16">
        <f t="shared" si="25"/>
        <v>0</v>
      </c>
      <c r="BB20" s="16">
        <f t="shared" si="25"/>
        <v>0</v>
      </c>
    </row>
    <row r="21" spans="1:54" s="36" customFormat="1" ht="18.399999999999999" customHeight="1" x14ac:dyDescent="0.2">
      <c r="A21" s="40">
        <v>10</v>
      </c>
      <c r="B21" s="98" t="s">
        <v>47</v>
      </c>
      <c r="C21" s="41" t="s">
        <v>48</v>
      </c>
      <c r="D21" s="14"/>
      <c r="E21" s="13"/>
      <c r="F21" s="14">
        <f t="shared" si="5"/>
        <v>0</v>
      </c>
      <c r="G21" s="14"/>
      <c r="H21" s="13"/>
      <c r="I21" s="14">
        <f t="shared" si="6"/>
        <v>0</v>
      </c>
      <c r="J21" s="14"/>
      <c r="K21" s="13"/>
      <c r="L21" s="14">
        <f t="shared" si="7"/>
        <v>0</v>
      </c>
      <c r="M21" s="174">
        <f t="shared" si="8"/>
        <v>0</v>
      </c>
      <c r="N21" s="174">
        <f t="shared" si="8"/>
        <v>0</v>
      </c>
      <c r="O21" s="14"/>
      <c r="P21" s="13"/>
      <c r="Q21" s="14">
        <f t="shared" si="9"/>
        <v>0</v>
      </c>
      <c r="R21" s="14">
        <f>5*10000000</f>
        <v>50000000</v>
      </c>
      <c r="S21" s="13"/>
      <c r="T21" s="14">
        <f t="shared" si="10"/>
        <v>50000000</v>
      </c>
      <c r="U21" s="14"/>
      <c r="V21" s="13"/>
      <c r="W21" s="14">
        <f t="shared" si="11"/>
        <v>0</v>
      </c>
      <c r="X21" s="174">
        <f t="shared" si="12"/>
        <v>50000000</v>
      </c>
      <c r="Y21" s="174">
        <f t="shared" si="12"/>
        <v>0</v>
      </c>
      <c r="Z21" s="14"/>
      <c r="AA21" s="13"/>
      <c r="AB21" s="14">
        <f t="shared" si="13"/>
        <v>0</v>
      </c>
      <c r="AC21" s="14"/>
      <c r="AD21" s="13"/>
      <c r="AE21" s="14">
        <f t="shared" si="14"/>
        <v>0</v>
      </c>
      <c r="AF21" s="14"/>
      <c r="AG21" s="13"/>
      <c r="AH21" s="14">
        <f t="shared" si="15"/>
        <v>0</v>
      </c>
      <c r="AI21" s="174">
        <f t="shared" si="3"/>
        <v>0</v>
      </c>
      <c r="AJ21" s="174">
        <f t="shared" si="16"/>
        <v>0</v>
      </c>
      <c r="AK21" s="14"/>
      <c r="AL21" s="13"/>
      <c r="AM21" s="14">
        <f t="shared" si="17"/>
        <v>0</v>
      </c>
      <c r="AN21" s="14">
        <f>5*10000000</f>
        <v>50000000</v>
      </c>
      <c r="AO21" s="13"/>
      <c r="AP21" s="14">
        <f t="shared" si="18"/>
        <v>50000000</v>
      </c>
      <c r="AQ21" s="14"/>
      <c r="AR21" s="13"/>
      <c r="AS21" s="14">
        <f t="shared" si="19"/>
        <v>0</v>
      </c>
      <c r="AT21" s="174"/>
      <c r="AU21" s="174">
        <f t="shared" si="20"/>
        <v>0</v>
      </c>
      <c r="AV21" s="14">
        <f t="shared" si="21"/>
        <v>100000000</v>
      </c>
      <c r="AW21" s="14">
        <f t="shared" si="22"/>
        <v>0</v>
      </c>
      <c r="AX21" s="178">
        <f t="shared" si="23"/>
        <v>50000000</v>
      </c>
      <c r="AY21" s="16">
        <f t="shared" si="24"/>
        <v>0</v>
      </c>
      <c r="AZ21" s="16">
        <f t="shared" si="25"/>
        <v>0</v>
      </c>
      <c r="BA21" s="16">
        <f t="shared" si="25"/>
        <v>0</v>
      </c>
      <c r="BB21" s="16">
        <f t="shared" si="25"/>
        <v>0</v>
      </c>
    </row>
    <row r="22" spans="1:54" s="21" customFormat="1" ht="18.399999999999999" customHeight="1" x14ac:dyDescent="0.2">
      <c r="A22" s="17"/>
      <c r="B22" s="99"/>
      <c r="C22" s="19" t="s">
        <v>49</v>
      </c>
      <c r="D22" s="46">
        <f t="shared" ref="D22:BB22" si="26">SUM(D12:D21)</f>
        <v>65940000</v>
      </c>
      <c r="E22" s="46">
        <f t="shared" si="26"/>
        <v>5430926</v>
      </c>
      <c r="F22" s="46">
        <f t="shared" si="26"/>
        <v>60509074</v>
      </c>
      <c r="G22" s="46">
        <f t="shared" si="26"/>
        <v>67140000</v>
      </c>
      <c r="H22" s="46">
        <f t="shared" si="26"/>
        <v>11386350</v>
      </c>
      <c r="I22" s="46">
        <f t="shared" si="26"/>
        <v>55753650</v>
      </c>
      <c r="J22" s="46">
        <f t="shared" si="26"/>
        <v>20940000</v>
      </c>
      <c r="K22" s="46">
        <f t="shared" si="26"/>
        <v>19215660</v>
      </c>
      <c r="L22" s="46">
        <f t="shared" si="26"/>
        <v>1724340</v>
      </c>
      <c r="M22" s="46">
        <f t="shared" si="26"/>
        <v>154020000</v>
      </c>
      <c r="N22" s="46">
        <f t="shared" si="26"/>
        <v>36032936</v>
      </c>
      <c r="O22" s="46">
        <f t="shared" si="26"/>
        <v>22162800.000000004</v>
      </c>
      <c r="P22" s="46">
        <f t="shared" si="26"/>
        <v>20674048</v>
      </c>
      <c r="Q22" s="46">
        <f t="shared" si="26"/>
        <v>1488752.0000000037</v>
      </c>
      <c r="R22" s="46">
        <f t="shared" si="26"/>
        <v>120362800</v>
      </c>
      <c r="S22" s="46">
        <f t="shared" si="26"/>
        <v>33226290</v>
      </c>
      <c r="T22" s="46">
        <f t="shared" si="26"/>
        <v>87136510</v>
      </c>
      <c r="U22" s="46">
        <f t="shared" si="26"/>
        <v>53162800</v>
      </c>
      <c r="V22" s="46">
        <f t="shared" si="26"/>
        <v>20903819</v>
      </c>
      <c r="W22" s="46">
        <f t="shared" si="26"/>
        <v>32258981.000000004</v>
      </c>
      <c r="X22" s="46">
        <f t="shared" si="26"/>
        <v>195688400</v>
      </c>
      <c r="Y22" s="46">
        <f t="shared" si="26"/>
        <v>74804157</v>
      </c>
      <c r="Z22" s="46">
        <f t="shared" si="26"/>
        <v>23150474.047005173</v>
      </c>
      <c r="AA22" s="46">
        <f t="shared" si="26"/>
        <v>128357981</v>
      </c>
      <c r="AB22" s="46">
        <f t="shared" si="26"/>
        <v>-105207506.95299482</v>
      </c>
      <c r="AC22" s="46">
        <f t="shared" si="26"/>
        <v>88350474.047005177</v>
      </c>
      <c r="AD22" s="46">
        <f t="shared" si="26"/>
        <v>248261611</v>
      </c>
      <c r="AE22" s="46">
        <f t="shared" si="26"/>
        <v>-159911136.95299482</v>
      </c>
      <c r="AF22" s="46">
        <f t="shared" si="26"/>
        <v>23150474.047005173</v>
      </c>
      <c r="AG22" s="46">
        <f t="shared" si="26"/>
        <v>9379456</v>
      </c>
      <c r="AH22" s="46">
        <f t="shared" si="26"/>
        <v>13771018.047005173</v>
      </c>
      <c r="AI22" s="46">
        <f t="shared" si="26"/>
        <v>134651422.14101553</v>
      </c>
      <c r="AJ22" s="46">
        <f t="shared" si="26"/>
        <v>385999048</v>
      </c>
      <c r="AK22" s="46">
        <f t="shared" si="26"/>
        <v>22150474.047005173</v>
      </c>
      <c r="AL22" s="46">
        <f t="shared" si="26"/>
        <v>0</v>
      </c>
      <c r="AM22" s="46">
        <f t="shared" si="26"/>
        <v>22150474.047005173</v>
      </c>
      <c r="AN22" s="46">
        <f t="shared" si="26"/>
        <v>120350474.04700518</v>
      </c>
      <c r="AO22" s="46">
        <f t="shared" si="26"/>
        <v>0</v>
      </c>
      <c r="AP22" s="46">
        <f t="shared" si="26"/>
        <v>120350474.04700518</v>
      </c>
      <c r="AQ22" s="46">
        <f t="shared" si="26"/>
        <v>22150474.047005173</v>
      </c>
      <c r="AR22" s="46">
        <f t="shared" si="26"/>
        <v>0</v>
      </c>
      <c r="AS22" s="46">
        <f t="shared" si="26"/>
        <v>22150474.047005173</v>
      </c>
      <c r="AT22" s="46">
        <f t="shared" si="26"/>
        <v>0</v>
      </c>
      <c r="AU22" s="46">
        <f t="shared" si="26"/>
        <v>0</v>
      </c>
      <c r="AV22" s="46">
        <f t="shared" si="26"/>
        <v>649011244.28203106</v>
      </c>
      <c r="AW22" s="46">
        <f t="shared" si="26"/>
        <v>496836141</v>
      </c>
      <c r="AX22" s="46">
        <f t="shared" si="26"/>
        <v>661487563.14101553</v>
      </c>
      <c r="AY22" s="46">
        <f t="shared" si="26"/>
        <v>546519755.10000002</v>
      </c>
      <c r="AZ22" s="46">
        <f t="shared" si="26"/>
        <v>601171730.61000013</v>
      </c>
      <c r="BA22" s="46">
        <f t="shared" si="26"/>
        <v>661288903.67100024</v>
      </c>
      <c r="BB22" s="46">
        <f t="shared" si="26"/>
        <v>727417794.03810036</v>
      </c>
    </row>
    <row r="23" spans="1:54" ht="18.399999999999999" customHeight="1" x14ac:dyDescent="0.25">
      <c r="A23" s="10">
        <v>1</v>
      </c>
      <c r="B23" s="11" t="s">
        <v>50</v>
      </c>
      <c r="C23" s="47" t="s">
        <v>51</v>
      </c>
      <c r="D23" s="48">
        <v>27511545</v>
      </c>
      <c r="E23" s="48">
        <v>15955589</v>
      </c>
      <c r="F23" s="48">
        <f t="shared" ref="F23:F31" si="27">D23-E23</f>
        <v>11555956</v>
      </c>
      <c r="G23" s="48">
        <v>27511545</v>
      </c>
      <c r="H23" s="48">
        <v>31090303</v>
      </c>
      <c r="I23" s="48">
        <f t="shared" ref="I23:I31" si="28">G23-H23</f>
        <v>-3578758</v>
      </c>
      <c r="J23" s="48">
        <v>27511545</v>
      </c>
      <c r="K23" s="48">
        <v>7084992</v>
      </c>
      <c r="L23" s="48">
        <f t="shared" ref="L23:L31" si="29">J23-K23</f>
        <v>20426553</v>
      </c>
      <c r="M23" s="48">
        <f t="shared" ref="M23:N31" si="30">D23+G23+J23</f>
        <v>82534635</v>
      </c>
      <c r="N23" s="48">
        <f t="shared" si="30"/>
        <v>54130884</v>
      </c>
      <c r="O23" s="48">
        <v>27511545</v>
      </c>
      <c r="P23" s="48">
        <v>20163317</v>
      </c>
      <c r="Q23" s="48">
        <f t="shared" ref="Q23:Q31" si="31">O23-P23</f>
        <v>7348228</v>
      </c>
      <c r="R23" s="48">
        <v>27511545</v>
      </c>
      <c r="S23" s="48">
        <v>20971907</v>
      </c>
      <c r="T23" s="48">
        <f t="shared" ref="T23:T31" si="32">R23-S23</f>
        <v>6539638</v>
      </c>
      <c r="U23" s="48">
        <v>27511545</v>
      </c>
      <c r="V23" s="175">
        <f>762763+15637195</f>
        <v>16399958</v>
      </c>
      <c r="W23" s="48">
        <f t="shared" ref="W23:W31" si="33">U23-V23</f>
        <v>11111587</v>
      </c>
      <c r="X23" s="174">
        <f t="shared" ref="X23:Y31" si="34">O23+R23+U23</f>
        <v>82534635</v>
      </c>
      <c r="Y23" s="174">
        <f t="shared" si="34"/>
        <v>57535182</v>
      </c>
      <c r="Z23" s="48">
        <v>27511545</v>
      </c>
      <c r="AA23" s="48">
        <v>16035517</v>
      </c>
      <c r="AB23" s="48">
        <f t="shared" ref="AB23:AB31" si="35">Z23-AA23</f>
        <v>11476028</v>
      </c>
      <c r="AC23" s="48">
        <f>27511545*2</f>
        <v>55023090</v>
      </c>
      <c r="AD23" s="176">
        <v>22671755</v>
      </c>
      <c r="AE23" s="48">
        <f t="shared" ref="AE23:AE31" si="36">AC23-AD23</f>
        <v>32351335</v>
      </c>
      <c r="AF23" s="48">
        <v>27511545</v>
      </c>
      <c r="AG23" s="177">
        <v>17688727</v>
      </c>
      <c r="AH23" s="48">
        <f t="shared" ref="AH23:AH31" si="37">AF23-AG23</f>
        <v>9822818</v>
      </c>
      <c r="AI23" s="174">
        <f t="shared" si="3"/>
        <v>110046180</v>
      </c>
      <c r="AJ23" s="179">
        <f t="shared" ref="AJ23:AJ31" si="38">AA23+AD23+AG23</f>
        <v>56395999</v>
      </c>
      <c r="AK23" s="48">
        <v>27511545</v>
      </c>
      <c r="AL23" s="48"/>
      <c r="AM23" s="48">
        <f t="shared" ref="AM23:AM31" si="39">AK23-AL23</f>
        <v>27511545</v>
      </c>
      <c r="AN23" s="48">
        <v>27511545</v>
      </c>
      <c r="AO23" s="48"/>
      <c r="AP23" s="48">
        <f t="shared" ref="AP23:AP31" si="40">AN23-AO23</f>
        <v>27511545</v>
      </c>
      <c r="AQ23" s="48">
        <f>27511545*2</f>
        <v>55023090</v>
      </c>
      <c r="AR23" s="48"/>
      <c r="AS23" s="48">
        <f t="shared" ref="AS23:AS31" si="41">AQ23-AR23</f>
        <v>55023090</v>
      </c>
      <c r="AT23" s="179"/>
      <c r="AU23" s="179">
        <f t="shared" ref="AU23:AU31" si="42">AL23+AO23+AR23</f>
        <v>0</v>
      </c>
      <c r="AV23" s="48">
        <f>AQ23+AN23+AK23+AF23+AC23+Z23+U23+R23+O23+J23+G23+D23</f>
        <v>385161630</v>
      </c>
      <c r="AW23" s="48">
        <f>AR23+AO23+AL23+AG23+AD23+AA23+V23+S23+P23+K23+H23+E23</f>
        <v>168062065</v>
      </c>
      <c r="AX23" s="180">
        <f t="shared" ref="AX23:AX31" si="43">(AV23-M23-X23-AI23-AT23)+N23+Y23+AJ23+AU23</f>
        <v>278108245</v>
      </c>
      <c r="AY23" s="204">
        <f t="shared" ref="AY23:AY31" si="44">AW23*1.1</f>
        <v>184868271.50000003</v>
      </c>
      <c r="AZ23" s="204">
        <f t="shared" ref="AZ23:BB31" si="45">AY23*1.1</f>
        <v>203355098.65000004</v>
      </c>
      <c r="BA23" s="204">
        <f t="shared" si="45"/>
        <v>223690608.51500005</v>
      </c>
      <c r="BB23" s="204">
        <f t="shared" si="45"/>
        <v>246059669.36650008</v>
      </c>
    </row>
    <row r="24" spans="1:54" ht="18.399999999999999" customHeight="1" x14ac:dyDescent="0.2">
      <c r="A24" s="10">
        <v>1</v>
      </c>
      <c r="B24" s="42" t="s">
        <v>39</v>
      </c>
      <c r="C24" s="41" t="s">
        <v>52</v>
      </c>
      <c r="D24" s="14"/>
      <c r="E24" s="13"/>
      <c r="F24" s="14">
        <f t="shared" si="27"/>
        <v>0</v>
      </c>
      <c r="G24" s="14"/>
      <c r="H24" s="13"/>
      <c r="I24" s="14">
        <f t="shared" si="28"/>
        <v>0</v>
      </c>
      <c r="J24" s="14"/>
      <c r="K24" s="13"/>
      <c r="L24" s="14">
        <f t="shared" si="29"/>
        <v>0</v>
      </c>
      <c r="M24" s="174">
        <f t="shared" si="30"/>
        <v>0</v>
      </c>
      <c r="N24" s="174">
        <f t="shared" si="30"/>
        <v>0</v>
      </c>
      <c r="O24" s="14"/>
      <c r="P24" s="13"/>
      <c r="Q24" s="14">
        <f t="shared" si="31"/>
        <v>0</v>
      </c>
      <c r="R24" s="14"/>
      <c r="S24" s="13"/>
      <c r="T24" s="14">
        <f t="shared" si="32"/>
        <v>0</v>
      </c>
      <c r="U24" s="14"/>
      <c r="V24" s="13"/>
      <c r="W24" s="14">
        <f t="shared" si="33"/>
        <v>0</v>
      </c>
      <c r="X24" s="174">
        <f t="shared" si="34"/>
        <v>0</v>
      </c>
      <c r="Y24" s="174">
        <f t="shared" si="34"/>
        <v>0</v>
      </c>
      <c r="Z24" s="14"/>
      <c r="AA24" s="13"/>
      <c r="AB24" s="14">
        <f t="shared" si="35"/>
        <v>0</v>
      </c>
      <c r="AC24" s="14"/>
      <c r="AD24" s="13"/>
      <c r="AE24" s="14">
        <f t="shared" si="36"/>
        <v>0</v>
      </c>
      <c r="AF24" s="14"/>
      <c r="AG24" s="13"/>
      <c r="AH24" s="14">
        <f t="shared" si="37"/>
        <v>0</v>
      </c>
      <c r="AI24" s="174">
        <f t="shared" si="3"/>
        <v>0</v>
      </c>
      <c r="AJ24" s="174">
        <f t="shared" si="38"/>
        <v>0</v>
      </c>
      <c r="AK24" s="14"/>
      <c r="AL24" s="13"/>
      <c r="AM24" s="14">
        <f t="shared" si="39"/>
        <v>0</v>
      </c>
      <c r="AN24" s="14"/>
      <c r="AO24" s="13"/>
      <c r="AP24" s="14">
        <f t="shared" si="40"/>
        <v>0</v>
      </c>
      <c r="AQ24" s="14"/>
      <c r="AR24" s="13"/>
      <c r="AS24" s="14">
        <f t="shared" si="41"/>
        <v>0</v>
      </c>
      <c r="AT24" s="174"/>
      <c r="AU24" s="174">
        <f t="shared" si="42"/>
        <v>0</v>
      </c>
      <c r="AV24" s="14">
        <f t="shared" ref="AV24:AV31" si="46">AQ24+AN24+AK24++AF24+AC24+Z24+U24+R24+O24+J24+G24+D24</f>
        <v>0</v>
      </c>
      <c r="AW24" s="14">
        <f t="shared" ref="AW24:AW31" si="47">AR24+AO24+AL24+AG24+AD24+AA24+V24+S24+P24+K24+H24+E24</f>
        <v>0</v>
      </c>
      <c r="AX24" s="178">
        <f t="shared" si="43"/>
        <v>0</v>
      </c>
      <c r="AY24" s="16">
        <f t="shared" si="44"/>
        <v>0</v>
      </c>
      <c r="AZ24" s="16">
        <f t="shared" si="45"/>
        <v>0</v>
      </c>
      <c r="BA24" s="16">
        <f t="shared" si="45"/>
        <v>0</v>
      </c>
      <c r="BB24" s="16">
        <f t="shared" si="45"/>
        <v>0</v>
      </c>
    </row>
    <row r="25" spans="1:54" ht="18.399999999999999" customHeight="1" x14ac:dyDescent="0.2">
      <c r="A25" s="10">
        <v>2</v>
      </c>
      <c r="B25" s="42" t="s">
        <v>53</v>
      </c>
      <c r="C25" s="41" t="s">
        <v>54</v>
      </c>
      <c r="D25" s="14">
        <v>0</v>
      </c>
      <c r="E25" s="13"/>
      <c r="F25" s="14">
        <f t="shared" si="27"/>
        <v>0</v>
      </c>
      <c r="G25" s="14"/>
      <c r="H25" s="13"/>
      <c r="I25" s="14">
        <f t="shared" si="28"/>
        <v>0</v>
      </c>
      <c r="J25" s="14"/>
      <c r="K25" s="13"/>
      <c r="L25" s="14">
        <f t="shared" si="29"/>
        <v>0</v>
      </c>
      <c r="M25" s="174">
        <f t="shared" si="30"/>
        <v>0</v>
      </c>
      <c r="N25" s="174">
        <f t="shared" si="30"/>
        <v>0</v>
      </c>
      <c r="O25" s="14">
        <v>0</v>
      </c>
      <c r="P25" s="13"/>
      <c r="Q25" s="14">
        <f t="shared" si="31"/>
        <v>0</v>
      </c>
      <c r="R25" s="14"/>
      <c r="S25" s="13"/>
      <c r="T25" s="14">
        <f t="shared" si="32"/>
        <v>0</v>
      </c>
      <c r="U25" s="14"/>
      <c r="V25" s="13"/>
      <c r="W25" s="14">
        <f t="shared" si="33"/>
        <v>0</v>
      </c>
      <c r="X25" s="174">
        <f t="shared" si="34"/>
        <v>0</v>
      </c>
      <c r="Y25" s="174">
        <f t="shared" si="34"/>
        <v>0</v>
      </c>
      <c r="Z25" s="14">
        <v>0</v>
      </c>
      <c r="AA25" s="13"/>
      <c r="AB25" s="14">
        <f t="shared" si="35"/>
        <v>0</v>
      </c>
      <c r="AC25" s="14"/>
      <c r="AD25" s="13"/>
      <c r="AE25" s="14">
        <f t="shared" si="36"/>
        <v>0</v>
      </c>
      <c r="AF25" s="14"/>
      <c r="AG25" s="13"/>
      <c r="AH25" s="14">
        <f t="shared" si="37"/>
        <v>0</v>
      </c>
      <c r="AI25" s="174">
        <f t="shared" si="3"/>
        <v>0</v>
      </c>
      <c r="AJ25" s="174">
        <f t="shared" si="38"/>
        <v>0</v>
      </c>
      <c r="AK25" s="14">
        <v>0</v>
      </c>
      <c r="AL25" s="13"/>
      <c r="AM25" s="14">
        <f t="shared" si="39"/>
        <v>0</v>
      </c>
      <c r="AN25" s="14"/>
      <c r="AO25" s="13"/>
      <c r="AP25" s="14">
        <f t="shared" si="40"/>
        <v>0</v>
      </c>
      <c r="AQ25" s="14">
        <v>0</v>
      </c>
      <c r="AR25" s="13"/>
      <c r="AS25" s="14">
        <f t="shared" si="41"/>
        <v>0</v>
      </c>
      <c r="AT25" s="174"/>
      <c r="AU25" s="174">
        <f t="shared" si="42"/>
        <v>0</v>
      </c>
      <c r="AV25" s="14">
        <f t="shared" si="46"/>
        <v>0</v>
      </c>
      <c r="AW25" s="14">
        <f t="shared" si="47"/>
        <v>0</v>
      </c>
      <c r="AX25" s="178">
        <f t="shared" si="43"/>
        <v>0</v>
      </c>
      <c r="AY25" s="16">
        <f t="shared" si="44"/>
        <v>0</v>
      </c>
      <c r="AZ25" s="16">
        <f t="shared" si="45"/>
        <v>0</v>
      </c>
      <c r="BA25" s="16">
        <f t="shared" si="45"/>
        <v>0</v>
      </c>
      <c r="BB25" s="16">
        <f t="shared" si="45"/>
        <v>0</v>
      </c>
    </row>
    <row r="26" spans="1:54" ht="18.399999999999999" customHeight="1" x14ac:dyDescent="0.2">
      <c r="A26" s="10">
        <v>3</v>
      </c>
      <c r="B26" s="42" t="s">
        <v>55</v>
      </c>
      <c r="C26" s="41" t="s">
        <v>56</v>
      </c>
      <c r="D26" s="14">
        <v>2600000</v>
      </c>
      <c r="E26" s="13"/>
      <c r="F26" s="14">
        <f t="shared" si="27"/>
        <v>2600000</v>
      </c>
      <c r="G26" s="14"/>
      <c r="H26" s="13"/>
      <c r="I26" s="14">
        <f t="shared" si="28"/>
        <v>0</v>
      </c>
      <c r="J26" s="14"/>
      <c r="K26" s="13"/>
      <c r="L26" s="14">
        <f t="shared" si="29"/>
        <v>0</v>
      </c>
      <c r="M26" s="174">
        <f t="shared" si="30"/>
        <v>2600000</v>
      </c>
      <c r="N26" s="174">
        <f t="shared" si="30"/>
        <v>0</v>
      </c>
      <c r="O26" s="14"/>
      <c r="P26" s="13"/>
      <c r="Q26" s="14">
        <f t="shared" si="31"/>
        <v>0</v>
      </c>
      <c r="R26" s="14"/>
      <c r="S26" s="13"/>
      <c r="T26" s="14">
        <f t="shared" si="32"/>
        <v>0</v>
      </c>
      <c r="U26" s="14"/>
      <c r="V26" s="13"/>
      <c r="W26" s="14">
        <f t="shared" si="33"/>
        <v>0</v>
      </c>
      <c r="X26" s="174">
        <f t="shared" si="34"/>
        <v>0</v>
      </c>
      <c r="Y26" s="174">
        <f t="shared" si="34"/>
        <v>0</v>
      </c>
      <c r="Z26" s="14"/>
      <c r="AA26" s="13"/>
      <c r="AB26" s="14">
        <f t="shared" si="35"/>
        <v>0</v>
      </c>
      <c r="AC26" s="14"/>
      <c r="AD26" s="13"/>
      <c r="AE26" s="14">
        <f t="shared" si="36"/>
        <v>0</v>
      </c>
      <c r="AF26" s="14"/>
      <c r="AG26" s="13"/>
      <c r="AH26" s="14">
        <f t="shared" si="37"/>
        <v>0</v>
      </c>
      <c r="AI26" s="174">
        <f t="shared" si="3"/>
        <v>0</v>
      </c>
      <c r="AJ26" s="174">
        <f t="shared" si="38"/>
        <v>0</v>
      </c>
      <c r="AK26" s="14"/>
      <c r="AL26" s="13"/>
      <c r="AM26" s="14">
        <f t="shared" si="39"/>
        <v>0</v>
      </c>
      <c r="AN26" s="14"/>
      <c r="AO26" s="13"/>
      <c r="AP26" s="14">
        <f t="shared" si="40"/>
        <v>0</v>
      </c>
      <c r="AQ26" s="14"/>
      <c r="AR26" s="13"/>
      <c r="AS26" s="14">
        <f t="shared" si="41"/>
        <v>0</v>
      </c>
      <c r="AT26" s="174"/>
      <c r="AU26" s="174">
        <f t="shared" si="42"/>
        <v>0</v>
      </c>
      <c r="AV26" s="14">
        <f t="shared" si="46"/>
        <v>2600000</v>
      </c>
      <c r="AW26" s="14">
        <f t="shared" si="47"/>
        <v>0</v>
      </c>
      <c r="AX26" s="178">
        <f t="shared" si="43"/>
        <v>0</v>
      </c>
      <c r="AY26" s="16">
        <f t="shared" si="44"/>
        <v>0</v>
      </c>
      <c r="AZ26" s="16">
        <f t="shared" si="45"/>
        <v>0</v>
      </c>
      <c r="BA26" s="16">
        <f t="shared" si="45"/>
        <v>0</v>
      </c>
      <c r="BB26" s="16">
        <f t="shared" si="45"/>
        <v>0</v>
      </c>
    </row>
    <row r="27" spans="1:54" ht="18.399999999999999" customHeight="1" x14ac:dyDescent="0.2">
      <c r="A27" s="10">
        <v>4</v>
      </c>
      <c r="B27" s="11" t="s">
        <v>57</v>
      </c>
      <c r="C27" s="41" t="s">
        <v>58</v>
      </c>
      <c r="D27" s="14"/>
      <c r="E27" s="13"/>
      <c r="F27" s="14">
        <f t="shared" si="27"/>
        <v>0</v>
      </c>
      <c r="G27" s="14"/>
      <c r="H27" s="13"/>
      <c r="I27" s="14">
        <f t="shared" si="28"/>
        <v>0</v>
      </c>
      <c r="J27" s="14">
        <v>300000</v>
      </c>
      <c r="K27" s="13"/>
      <c r="L27" s="14">
        <f t="shared" si="29"/>
        <v>300000</v>
      </c>
      <c r="M27" s="174">
        <f t="shared" si="30"/>
        <v>300000</v>
      </c>
      <c r="N27" s="174">
        <f t="shared" si="30"/>
        <v>0</v>
      </c>
      <c r="O27" s="14"/>
      <c r="P27" s="13"/>
      <c r="Q27" s="14">
        <f t="shared" si="31"/>
        <v>0</v>
      </c>
      <c r="R27" s="14"/>
      <c r="S27" s="13"/>
      <c r="T27" s="14">
        <f t="shared" si="32"/>
        <v>0</v>
      </c>
      <c r="U27" s="14"/>
      <c r="V27" s="13"/>
      <c r="W27" s="14">
        <f t="shared" si="33"/>
        <v>0</v>
      </c>
      <c r="X27" s="174">
        <f t="shared" si="34"/>
        <v>0</v>
      </c>
      <c r="Y27" s="174">
        <f t="shared" si="34"/>
        <v>0</v>
      </c>
      <c r="Z27" s="14"/>
      <c r="AA27" s="13"/>
      <c r="AB27" s="14">
        <f t="shared" si="35"/>
        <v>0</v>
      </c>
      <c r="AC27" s="14"/>
      <c r="AD27" s="13"/>
      <c r="AE27" s="14">
        <f t="shared" si="36"/>
        <v>0</v>
      </c>
      <c r="AF27" s="14"/>
      <c r="AG27" s="13"/>
      <c r="AH27" s="14">
        <f t="shared" si="37"/>
        <v>0</v>
      </c>
      <c r="AI27" s="174">
        <f t="shared" si="3"/>
        <v>0</v>
      </c>
      <c r="AJ27" s="174">
        <f t="shared" si="38"/>
        <v>0</v>
      </c>
      <c r="AK27" s="14"/>
      <c r="AL27" s="13"/>
      <c r="AM27" s="14">
        <f t="shared" si="39"/>
        <v>0</v>
      </c>
      <c r="AN27" s="14"/>
      <c r="AO27" s="13"/>
      <c r="AP27" s="14">
        <f t="shared" si="40"/>
        <v>0</v>
      </c>
      <c r="AQ27" s="14"/>
      <c r="AR27" s="13"/>
      <c r="AS27" s="14">
        <f t="shared" si="41"/>
        <v>0</v>
      </c>
      <c r="AT27" s="174"/>
      <c r="AU27" s="174">
        <f t="shared" si="42"/>
        <v>0</v>
      </c>
      <c r="AV27" s="14">
        <f t="shared" si="46"/>
        <v>300000</v>
      </c>
      <c r="AW27" s="14">
        <f t="shared" si="47"/>
        <v>0</v>
      </c>
      <c r="AX27" s="178">
        <f t="shared" si="43"/>
        <v>0</v>
      </c>
      <c r="AY27" s="16">
        <f t="shared" si="44"/>
        <v>0</v>
      </c>
      <c r="AZ27" s="16">
        <f t="shared" si="45"/>
        <v>0</v>
      </c>
      <c r="BA27" s="16">
        <f t="shared" si="45"/>
        <v>0</v>
      </c>
      <c r="BB27" s="16">
        <f t="shared" si="45"/>
        <v>0</v>
      </c>
    </row>
    <row r="28" spans="1:54" ht="18.399999999999999" customHeight="1" x14ac:dyDescent="0.2">
      <c r="A28" s="10">
        <v>5</v>
      </c>
      <c r="B28" s="11" t="s">
        <v>57</v>
      </c>
      <c r="C28" s="41" t="s">
        <v>59</v>
      </c>
      <c r="D28" s="14"/>
      <c r="E28" s="13"/>
      <c r="F28" s="14">
        <f t="shared" si="27"/>
        <v>0</v>
      </c>
      <c r="G28" s="14"/>
      <c r="H28" s="13"/>
      <c r="I28" s="14">
        <f t="shared" si="28"/>
        <v>0</v>
      </c>
      <c r="J28" s="14">
        <v>300000</v>
      </c>
      <c r="K28" s="13"/>
      <c r="L28" s="14">
        <f t="shared" si="29"/>
        <v>300000</v>
      </c>
      <c r="M28" s="174">
        <f t="shared" si="30"/>
        <v>300000</v>
      </c>
      <c r="N28" s="174">
        <f t="shared" si="30"/>
        <v>0</v>
      </c>
      <c r="O28" s="14"/>
      <c r="P28" s="13"/>
      <c r="Q28" s="14">
        <f t="shared" si="31"/>
        <v>0</v>
      </c>
      <c r="R28" s="14"/>
      <c r="S28" s="13"/>
      <c r="T28" s="14">
        <f t="shared" si="32"/>
        <v>0</v>
      </c>
      <c r="U28" s="14"/>
      <c r="V28" s="13"/>
      <c r="W28" s="14">
        <f t="shared" si="33"/>
        <v>0</v>
      </c>
      <c r="X28" s="174">
        <f t="shared" si="34"/>
        <v>0</v>
      </c>
      <c r="Y28" s="174">
        <f t="shared" si="34"/>
        <v>0</v>
      </c>
      <c r="Z28" s="14"/>
      <c r="AA28" s="13"/>
      <c r="AB28" s="14">
        <f t="shared" si="35"/>
        <v>0</v>
      </c>
      <c r="AC28" s="14"/>
      <c r="AD28" s="13"/>
      <c r="AE28" s="14">
        <f t="shared" si="36"/>
        <v>0</v>
      </c>
      <c r="AF28" s="14"/>
      <c r="AG28" s="13"/>
      <c r="AH28" s="14">
        <f t="shared" si="37"/>
        <v>0</v>
      </c>
      <c r="AI28" s="174">
        <f t="shared" si="3"/>
        <v>0</v>
      </c>
      <c r="AJ28" s="174">
        <f t="shared" si="38"/>
        <v>0</v>
      </c>
      <c r="AK28" s="14"/>
      <c r="AL28" s="13"/>
      <c r="AM28" s="14">
        <f t="shared" si="39"/>
        <v>0</v>
      </c>
      <c r="AN28" s="14"/>
      <c r="AO28" s="13"/>
      <c r="AP28" s="14">
        <f t="shared" si="40"/>
        <v>0</v>
      </c>
      <c r="AQ28" s="14"/>
      <c r="AR28" s="13"/>
      <c r="AS28" s="14">
        <f t="shared" si="41"/>
        <v>0</v>
      </c>
      <c r="AT28" s="174"/>
      <c r="AU28" s="174">
        <f t="shared" si="42"/>
        <v>0</v>
      </c>
      <c r="AV28" s="14">
        <f t="shared" si="46"/>
        <v>300000</v>
      </c>
      <c r="AW28" s="14">
        <f t="shared" si="47"/>
        <v>0</v>
      </c>
      <c r="AX28" s="178">
        <f t="shared" si="43"/>
        <v>0</v>
      </c>
      <c r="AY28" s="16">
        <f t="shared" si="44"/>
        <v>0</v>
      </c>
      <c r="AZ28" s="16">
        <f t="shared" si="45"/>
        <v>0</v>
      </c>
      <c r="BA28" s="16">
        <f t="shared" si="45"/>
        <v>0</v>
      </c>
      <c r="BB28" s="16">
        <f t="shared" si="45"/>
        <v>0</v>
      </c>
    </row>
    <row r="29" spans="1:54" ht="18.399999999999999" customHeight="1" x14ac:dyDescent="0.2">
      <c r="A29" s="10">
        <v>6</v>
      </c>
      <c r="B29" s="11" t="s">
        <v>57</v>
      </c>
      <c r="C29" s="41" t="s">
        <v>60</v>
      </c>
      <c r="D29" s="1">
        <f>10*10000</f>
        <v>100000</v>
      </c>
      <c r="E29" s="13"/>
      <c r="F29" s="14">
        <f t="shared" si="27"/>
        <v>100000</v>
      </c>
      <c r="G29" s="1">
        <f>10*10000</f>
        <v>100000</v>
      </c>
      <c r="H29" s="13"/>
      <c r="I29" s="14">
        <f t="shared" si="28"/>
        <v>100000</v>
      </c>
      <c r="J29" s="1">
        <f>10*10000</f>
        <v>100000</v>
      </c>
      <c r="K29" s="13"/>
      <c r="L29" s="14">
        <f t="shared" si="29"/>
        <v>100000</v>
      </c>
      <c r="M29" s="174">
        <f t="shared" si="30"/>
        <v>300000</v>
      </c>
      <c r="N29" s="174">
        <f t="shared" si="30"/>
        <v>0</v>
      </c>
      <c r="O29" s="14"/>
      <c r="P29" s="13"/>
      <c r="Q29" s="14">
        <f t="shared" si="31"/>
        <v>0</v>
      </c>
      <c r="R29" s="1">
        <f>10*10000</f>
        <v>100000</v>
      </c>
      <c r="S29" s="13"/>
      <c r="T29" s="14">
        <f t="shared" si="32"/>
        <v>100000</v>
      </c>
      <c r="U29" s="1">
        <f>10*10000</f>
        <v>100000</v>
      </c>
      <c r="V29" s="13"/>
      <c r="W29" s="14">
        <f t="shared" si="33"/>
        <v>100000</v>
      </c>
      <c r="X29" s="174">
        <f t="shared" si="34"/>
        <v>200000</v>
      </c>
      <c r="Y29" s="174">
        <f t="shared" si="34"/>
        <v>0</v>
      </c>
      <c r="Z29" s="1">
        <f>10*10000</f>
        <v>100000</v>
      </c>
      <c r="AA29" s="13"/>
      <c r="AB29" s="14">
        <f t="shared" si="35"/>
        <v>100000</v>
      </c>
      <c r="AC29" s="14"/>
      <c r="AD29" s="13"/>
      <c r="AE29" s="14">
        <f t="shared" si="36"/>
        <v>0</v>
      </c>
      <c r="AF29" s="1">
        <f>10*10000</f>
        <v>100000</v>
      </c>
      <c r="AG29" s="13"/>
      <c r="AH29" s="14">
        <f t="shared" si="37"/>
        <v>100000</v>
      </c>
      <c r="AI29" s="174">
        <f t="shared" si="3"/>
        <v>200000</v>
      </c>
      <c r="AJ29" s="174">
        <f t="shared" si="38"/>
        <v>0</v>
      </c>
      <c r="AK29" s="1">
        <f>10*10000</f>
        <v>100000</v>
      </c>
      <c r="AL29" s="13"/>
      <c r="AM29" s="14">
        <f t="shared" si="39"/>
        <v>100000</v>
      </c>
      <c r="AN29" s="1">
        <f>10*10000</f>
        <v>100000</v>
      </c>
      <c r="AO29" s="13"/>
      <c r="AP29" s="14">
        <f t="shared" si="40"/>
        <v>100000</v>
      </c>
      <c r="AQ29" s="1">
        <f>10*10000</f>
        <v>100000</v>
      </c>
      <c r="AR29" s="13"/>
      <c r="AS29" s="14">
        <f t="shared" si="41"/>
        <v>100000</v>
      </c>
      <c r="AT29" s="174"/>
      <c r="AU29" s="174">
        <f t="shared" si="42"/>
        <v>0</v>
      </c>
      <c r="AV29" s="14">
        <f t="shared" si="46"/>
        <v>1000000</v>
      </c>
      <c r="AW29" s="14">
        <f t="shared" si="47"/>
        <v>0</v>
      </c>
      <c r="AX29" s="178">
        <f t="shared" si="43"/>
        <v>300000</v>
      </c>
      <c r="AY29" s="16">
        <f t="shared" si="44"/>
        <v>0</v>
      </c>
      <c r="AZ29" s="16">
        <f t="shared" si="45"/>
        <v>0</v>
      </c>
      <c r="BA29" s="16">
        <f t="shared" si="45"/>
        <v>0</v>
      </c>
      <c r="BB29" s="16">
        <f t="shared" si="45"/>
        <v>0</v>
      </c>
    </row>
    <row r="30" spans="1:54" ht="18.399999999999999" customHeight="1" x14ac:dyDescent="0.2">
      <c r="A30" s="10">
        <v>7</v>
      </c>
      <c r="B30" s="11" t="s">
        <v>36</v>
      </c>
      <c r="C30" s="41" t="s">
        <v>61</v>
      </c>
      <c r="D30" s="30"/>
      <c r="E30" s="13"/>
      <c r="F30" s="14">
        <f t="shared" si="27"/>
        <v>0</v>
      </c>
      <c r="G30" s="14"/>
      <c r="H30" s="13"/>
      <c r="I30" s="14">
        <f t="shared" si="28"/>
        <v>0</v>
      </c>
      <c r="J30" s="14"/>
      <c r="K30" s="13"/>
      <c r="L30" s="14">
        <f t="shared" si="29"/>
        <v>0</v>
      </c>
      <c r="M30" s="174">
        <f t="shared" si="30"/>
        <v>0</v>
      </c>
      <c r="N30" s="174">
        <f t="shared" si="30"/>
        <v>0</v>
      </c>
      <c r="O30" s="14"/>
      <c r="P30" s="13"/>
      <c r="Q30" s="14">
        <f t="shared" si="31"/>
        <v>0</v>
      </c>
      <c r="R30" s="14"/>
      <c r="S30" s="13"/>
      <c r="T30" s="14">
        <f t="shared" si="32"/>
        <v>0</v>
      </c>
      <c r="U30" s="14"/>
      <c r="V30" s="13"/>
      <c r="W30" s="14">
        <f t="shared" si="33"/>
        <v>0</v>
      </c>
      <c r="X30" s="174">
        <f t="shared" si="34"/>
        <v>0</v>
      </c>
      <c r="Y30" s="174">
        <f t="shared" si="34"/>
        <v>0</v>
      </c>
      <c r="Z30" s="14"/>
      <c r="AA30" s="13"/>
      <c r="AB30" s="14">
        <f t="shared" si="35"/>
        <v>0</v>
      </c>
      <c r="AC30" s="14">
        <v>1600000</v>
      </c>
      <c r="AD30" s="13"/>
      <c r="AE30" s="14">
        <f t="shared" si="36"/>
        <v>1600000</v>
      </c>
      <c r="AF30" s="14"/>
      <c r="AG30" s="13"/>
      <c r="AH30" s="14">
        <f t="shared" si="37"/>
        <v>0</v>
      </c>
      <c r="AI30" s="174">
        <f t="shared" si="3"/>
        <v>1600000</v>
      </c>
      <c r="AJ30" s="174">
        <f t="shared" si="38"/>
        <v>0</v>
      </c>
      <c r="AK30" s="14"/>
      <c r="AL30" s="13"/>
      <c r="AM30" s="14">
        <f t="shared" si="39"/>
        <v>0</v>
      </c>
      <c r="AN30" s="14"/>
      <c r="AO30" s="13"/>
      <c r="AP30" s="14">
        <f t="shared" si="40"/>
        <v>0</v>
      </c>
      <c r="AQ30" s="14"/>
      <c r="AR30" s="13"/>
      <c r="AS30" s="14">
        <f t="shared" si="41"/>
        <v>0</v>
      </c>
      <c r="AT30" s="174"/>
      <c r="AU30" s="174">
        <f t="shared" si="42"/>
        <v>0</v>
      </c>
      <c r="AV30" s="14">
        <f t="shared" si="46"/>
        <v>1600000</v>
      </c>
      <c r="AW30" s="14">
        <f t="shared" si="47"/>
        <v>0</v>
      </c>
      <c r="AX30" s="178">
        <f t="shared" si="43"/>
        <v>0</v>
      </c>
      <c r="AY30" s="16">
        <f t="shared" si="44"/>
        <v>0</v>
      </c>
      <c r="AZ30" s="16">
        <f t="shared" si="45"/>
        <v>0</v>
      </c>
      <c r="BA30" s="16">
        <f t="shared" si="45"/>
        <v>0</v>
      </c>
      <c r="BB30" s="16">
        <f t="shared" si="45"/>
        <v>0</v>
      </c>
    </row>
    <row r="31" spans="1:54" s="57" customFormat="1" ht="37.9" customHeight="1" x14ac:dyDescent="0.2">
      <c r="A31" s="49">
        <v>8</v>
      </c>
      <c r="B31" s="50" t="s">
        <v>36</v>
      </c>
      <c r="C31" s="51" t="s">
        <v>214</v>
      </c>
      <c r="D31" s="52">
        <v>29610664</v>
      </c>
      <c r="E31" s="181">
        <v>10000</v>
      </c>
      <c r="F31" s="55">
        <f t="shared" si="27"/>
        <v>29600664</v>
      </c>
      <c r="G31" s="54">
        <v>1000000</v>
      </c>
      <c r="H31" s="181"/>
      <c r="I31" s="55">
        <f t="shared" si="28"/>
        <v>1000000</v>
      </c>
      <c r="J31" s="54"/>
      <c r="K31" s="181"/>
      <c r="L31" s="55">
        <f t="shared" si="29"/>
        <v>0</v>
      </c>
      <c r="M31" s="174">
        <f t="shared" si="30"/>
        <v>30610664</v>
      </c>
      <c r="N31" s="174">
        <f t="shared" si="30"/>
        <v>10000</v>
      </c>
      <c r="O31" s="52">
        <v>29610664</v>
      </c>
      <c r="P31" s="13"/>
      <c r="Q31" s="55">
        <f t="shared" si="31"/>
        <v>29610664</v>
      </c>
      <c r="R31" s="54">
        <v>1000000</v>
      </c>
      <c r="S31" s="181"/>
      <c r="T31" s="55">
        <f t="shared" si="32"/>
        <v>1000000</v>
      </c>
      <c r="U31" s="54">
        <v>1000000</v>
      </c>
      <c r="V31" s="181"/>
      <c r="W31" s="55">
        <f t="shared" si="33"/>
        <v>1000000</v>
      </c>
      <c r="X31" s="174">
        <f t="shared" si="34"/>
        <v>31610664</v>
      </c>
      <c r="Y31" s="174">
        <f t="shared" si="34"/>
        <v>0</v>
      </c>
      <c r="Z31" s="52">
        <v>29610664</v>
      </c>
      <c r="AA31" s="181"/>
      <c r="AB31" s="55">
        <f t="shared" si="35"/>
        <v>29610664</v>
      </c>
      <c r="AC31" s="54">
        <v>1000000</v>
      </c>
      <c r="AD31" s="181"/>
      <c r="AE31" s="55">
        <f t="shared" si="36"/>
        <v>1000000</v>
      </c>
      <c r="AF31" s="55"/>
      <c r="AG31" s="181"/>
      <c r="AH31" s="55">
        <f t="shared" si="37"/>
        <v>0</v>
      </c>
      <c r="AI31" s="174">
        <f t="shared" si="3"/>
        <v>30610664</v>
      </c>
      <c r="AJ31" s="174">
        <f t="shared" si="38"/>
        <v>0</v>
      </c>
      <c r="AK31" s="52">
        <f>29610664+1000000</f>
        <v>30610664</v>
      </c>
      <c r="AL31" s="181"/>
      <c r="AM31" s="55">
        <f t="shared" si="39"/>
        <v>30610664</v>
      </c>
      <c r="AN31" s="55"/>
      <c r="AO31" s="181"/>
      <c r="AP31" s="55">
        <f t="shared" si="40"/>
        <v>0</v>
      </c>
      <c r="AQ31" s="54"/>
      <c r="AR31" s="181"/>
      <c r="AS31" s="55">
        <f t="shared" si="41"/>
        <v>0</v>
      </c>
      <c r="AT31" s="174"/>
      <c r="AU31" s="174">
        <f t="shared" si="42"/>
        <v>0</v>
      </c>
      <c r="AV31" s="55">
        <f t="shared" si="46"/>
        <v>123442656</v>
      </c>
      <c r="AW31" s="14">
        <f t="shared" si="47"/>
        <v>10000</v>
      </c>
      <c r="AX31" s="178">
        <f t="shared" si="43"/>
        <v>30620664</v>
      </c>
      <c r="AY31" s="205">
        <f t="shared" si="44"/>
        <v>11000</v>
      </c>
      <c r="AZ31" s="205">
        <f t="shared" si="45"/>
        <v>12100.000000000002</v>
      </c>
      <c r="BA31" s="205">
        <f t="shared" si="45"/>
        <v>13310.000000000004</v>
      </c>
      <c r="BB31" s="205">
        <f t="shared" si="45"/>
        <v>14641.000000000005</v>
      </c>
    </row>
    <row r="32" spans="1:54" s="2" customFormat="1" ht="18.399999999999999" customHeight="1" x14ac:dyDescent="0.2">
      <c r="A32" s="58"/>
      <c r="B32" s="27"/>
      <c r="C32" s="47" t="s">
        <v>63</v>
      </c>
      <c r="D32" s="59">
        <f t="shared" ref="D32:BB32" si="48">SUM(D24:D31)</f>
        <v>32310664</v>
      </c>
      <c r="E32" s="59">
        <f t="shared" si="48"/>
        <v>10000</v>
      </c>
      <c r="F32" s="59">
        <f t="shared" si="48"/>
        <v>32300664</v>
      </c>
      <c r="G32" s="59">
        <f t="shared" si="48"/>
        <v>1100000</v>
      </c>
      <c r="H32" s="59">
        <f t="shared" si="48"/>
        <v>0</v>
      </c>
      <c r="I32" s="59">
        <f t="shared" si="48"/>
        <v>1100000</v>
      </c>
      <c r="J32" s="59">
        <f t="shared" si="48"/>
        <v>700000</v>
      </c>
      <c r="K32" s="59">
        <f t="shared" si="48"/>
        <v>0</v>
      </c>
      <c r="L32" s="59">
        <f t="shared" si="48"/>
        <v>700000</v>
      </c>
      <c r="M32" s="59">
        <f t="shared" si="48"/>
        <v>34110664</v>
      </c>
      <c r="N32" s="59">
        <f t="shared" si="48"/>
        <v>10000</v>
      </c>
      <c r="O32" s="59">
        <f t="shared" si="48"/>
        <v>29610664</v>
      </c>
      <c r="P32" s="59">
        <f t="shared" si="48"/>
        <v>0</v>
      </c>
      <c r="Q32" s="59">
        <f t="shared" si="48"/>
        <v>29610664</v>
      </c>
      <c r="R32" s="59">
        <f t="shared" si="48"/>
        <v>1100000</v>
      </c>
      <c r="S32" s="59">
        <f t="shared" si="48"/>
        <v>0</v>
      </c>
      <c r="T32" s="59">
        <f t="shared" si="48"/>
        <v>1100000</v>
      </c>
      <c r="U32" s="59">
        <f t="shared" si="48"/>
        <v>1100000</v>
      </c>
      <c r="V32" s="59">
        <f t="shared" si="48"/>
        <v>0</v>
      </c>
      <c r="W32" s="59">
        <f t="shared" si="48"/>
        <v>1100000</v>
      </c>
      <c r="X32" s="59">
        <f t="shared" si="48"/>
        <v>31810664</v>
      </c>
      <c r="Y32" s="59">
        <f t="shared" si="48"/>
        <v>0</v>
      </c>
      <c r="Z32" s="59">
        <f t="shared" si="48"/>
        <v>29710664</v>
      </c>
      <c r="AA32" s="59">
        <f t="shared" si="48"/>
        <v>0</v>
      </c>
      <c r="AB32" s="59">
        <f t="shared" si="48"/>
        <v>29710664</v>
      </c>
      <c r="AC32" s="59">
        <f t="shared" si="48"/>
        <v>2600000</v>
      </c>
      <c r="AD32" s="59">
        <f t="shared" si="48"/>
        <v>0</v>
      </c>
      <c r="AE32" s="59">
        <f t="shared" si="48"/>
        <v>2600000</v>
      </c>
      <c r="AF32" s="59">
        <f t="shared" si="48"/>
        <v>100000</v>
      </c>
      <c r="AG32" s="59">
        <f t="shared" si="48"/>
        <v>0</v>
      </c>
      <c r="AH32" s="59">
        <f t="shared" si="48"/>
        <v>100000</v>
      </c>
      <c r="AI32" s="59">
        <f t="shared" si="48"/>
        <v>32410664</v>
      </c>
      <c r="AJ32" s="59">
        <f t="shared" si="48"/>
        <v>0</v>
      </c>
      <c r="AK32" s="59">
        <f t="shared" si="48"/>
        <v>30710664</v>
      </c>
      <c r="AL32" s="59">
        <f t="shared" si="48"/>
        <v>0</v>
      </c>
      <c r="AM32" s="59">
        <f t="shared" si="48"/>
        <v>30710664</v>
      </c>
      <c r="AN32" s="59">
        <f t="shared" si="48"/>
        <v>100000</v>
      </c>
      <c r="AO32" s="59">
        <f t="shared" si="48"/>
        <v>0</v>
      </c>
      <c r="AP32" s="59">
        <f t="shared" si="48"/>
        <v>100000</v>
      </c>
      <c r="AQ32" s="59">
        <f t="shared" si="48"/>
        <v>100000</v>
      </c>
      <c r="AR32" s="59">
        <f t="shared" si="48"/>
        <v>0</v>
      </c>
      <c r="AS32" s="59">
        <f t="shared" si="48"/>
        <v>100000</v>
      </c>
      <c r="AT32" s="59">
        <f t="shared" si="48"/>
        <v>0</v>
      </c>
      <c r="AU32" s="59">
        <f t="shared" si="48"/>
        <v>0</v>
      </c>
      <c r="AV32" s="59">
        <f t="shared" si="48"/>
        <v>129242656</v>
      </c>
      <c r="AW32" s="59">
        <f t="shared" si="48"/>
        <v>10000</v>
      </c>
      <c r="AX32" s="59">
        <f t="shared" si="48"/>
        <v>30920664</v>
      </c>
      <c r="AY32" s="59">
        <f t="shared" si="48"/>
        <v>11000</v>
      </c>
      <c r="AZ32" s="59">
        <f t="shared" si="48"/>
        <v>12100.000000000002</v>
      </c>
      <c r="BA32" s="59">
        <f t="shared" si="48"/>
        <v>13310.000000000004</v>
      </c>
      <c r="BB32" s="59">
        <f t="shared" si="48"/>
        <v>14641.000000000005</v>
      </c>
    </row>
    <row r="33" spans="1:54" ht="18.399999999999999" customHeight="1" x14ac:dyDescent="0.2">
      <c r="A33" s="10">
        <v>1</v>
      </c>
      <c r="B33" s="11" t="s">
        <v>64</v>
      </c>
      <c r="C33" s="29" t="s">
        <v>65</v>
      </c>
      <c r="D33" s="14">
        <v>3307502</v>
      </c>
      <c r="E33" s="13">
        <f>2326000+1414286+6568864</f>
        <v>10309150</v>
      </c>
      <c r="F33" s="14">
        <f t="shared" ref="F33:F43" si="49">D33-E33</f>
        <v>-7001648</v>
      </c>
      <c r="G33" s="14">
        <v>3307502</v>
      </c>
      <c r="H33" s="13">
        <f>851182+1649550+4900000+671000+885518</f>
        <v>8957250</v>
      </c>
      <c r="I33" s="14">
        <f t="shared" ref="I33:I43" si="50">G33-H33</f>
        <v>-5649748</v>
      </c>
      <c r="J33" s="14">
        <v>3307502</v>
      </c>
      <c r="K33" s="13">
        <f>1942000+1697909+508000+900000+1159174+14238100</f>
        <v>20445183</v>
      </c>
      <c r="L33" s="14">
        <f t="shared" ref="L33:L43" si="51">J33-K33</f>
        <v>-17137681</v>
      </c>
      <c r="M33" s="174">
        <f t="shared" ref="M33:N43" si="52">D33+G33+J33</f>
        <v>9922506</v>
      </c>
      <c r="N33" s="174">
        <f t="shared" si="52"/>
        <v>39711583</v>
      </c>
      <c r="O33" s="14">
        <v>3307502</v>
      </c>
      <c r="P33" s="13">
        <v>3664228</v>
      </c>
      <c r="Q33" s="14">
        <f t="shared" ref="Q33:Q43" si="53">O33-P33</f>
        <v>-356726</v>
      </c>
      <c r="R33" s="14">
        <v>3307502</v>
      </c>
      <c r="S33" s="13"/>
      <c r="T33" s="14">
        <f t="shared" ref="T33:T43" si="54">R33-S33</f>
        <v>3307502</v>
      </c>
      <c r="U33" s="14">
        <v>3307502</v>
      </c>
      <c r="V33" s="175">
        <f>152000</f>
        <v>152000</v>
      </c>
      <c r="W33" s="14">
        <f t="shared" ref="W33:W43" si="55">U33-V33</f>
        <v>3155502</v>
      </c>
      <c r="X33" s="174">
        <f t="shared" ref="X33:Y43" si="56">O33+R33+U33</f>
        <v>9922506</v>
      </c>
      <c r="Y33" s="174">
        <f t="shared" si="56"/>
        <v>3816228</v>
      </c>
      <c r="Z33" s="14">
        <v>3307502</v>
      </c>
      <c r="AA33" s="13">
        <v>6815174</v>
      </c>
      <c r="AB33" s="14">
        <f t="shared" ref="AB33:AB43" si="57">Z33-AA33</f>
        <v>-3507672</v>
      </c>
      <c r="AC33" s="14">
        <v>3307502</v>
      </c>
      <c r="AD33" s="13">
        <v>1535860</v>
      </c>
      <c r="AE33" s="14">
        <f t="shared" ref="AE33:AE43" si="58">AC33-AD33</f>
        <v>1771642</v>
      </c>
      <c r="AF33" s="14">
        <v>3307502</v>
      </c>
      <c r="AG33" s="13">
        <v>3095020.74</v>
      </c>
      <c r="AH33" s="14">
        <f t="shared" ref="AH33:AH43" si="59">AF33-AG33</f>
        <v>212481.25999999978</v>
      </c>
      <c r="AI33" s="174">
        <f t="shared" si="3"/>
        <v>9922506</v>
      </c>
      <c r="AJ33" s="174">
        <f t="shared" ref="AJ33:AJ43" si="60">AA33+AD33+AG33</f>
        <v>11446054.74</v>
      </c>
      <c r="AK33" s="14">
        <v>3307502</v>
      </c>
      <c r="AL33" s="13"/>
      <c r="AM33" s="14">
        <f t="shared" ref="AM33:AM43" si="61">AK33-AL33</f>
        <v>3307502</v>
      </c>
      <c r="AN33" s="14">
        <v>3307502</v>
      </c>
      <c r="AO33" s="13"/>
      <c r="AP33" s="14">
        <f t="shared" ref="AP33:AP43" si="62">AN33-AO33</f>
        <v>3307502</v>
      </c>
      <c r="AQ33" s="14">
        <v>3307502</v>
      </c>
      <c r="AR33" s="13"/>
      <c r="AS33" s="14">
        <f t="shared" ref="AS33:AS43" si="63">AQ33-AR33</f>
        <v>3307502</v>
      </c>
      <c r="AT33" s="174"/>
      <c r="AU33" s="174">
        <f t="shared" ref="AU33:AU43" si="64">AL33+AO33+AR33</f>
        <v>0</v>
      </c>
      <c r="AV33" s="14">
        <f t="shared" ref="AV33:AV43" si="65">AQ33+AN33+AK33++AF33+AC33+Z33+U33+R33+O33+J33+G33+D33</f>
        <v>39690024</v>
      </c>
      <c r="AW33" s="14">
        <f t="shared" ref="AW33:AW43" si="66">AR33+AO33+AL33+AG33+AD33+AA33+V33+S33+P33+K33+H33+E33</f>
        <v>54973865.740000002</v>
      </c>
      <c r="AX33" s="178">
        <f t="shared" ref="AX33:AX43" si="67">(AV33-M33-X33-AI33-AT33)+N33+Y33+AJ33+AU33</f>
        <v>64896371.740000002</v>
      </c>
      <c r="AY33" s="16">
        <f t="shared" ref="AY33:AY43" si="68">AW33*1.1</f>
        <v>60471252.31400001</v>
      </c>
      <c r="AZ33" s="16">
        <f t="shared" ref="AZ33:BB43" si="69">AY33*1.1</f>
        <v>66518377.545400016</v>
      </c>
      <c r="BA33" s="16">
        <f t="shared" si="69"/>
        <v>73170215.29994002</v>
      </c>
      <c r="BB33" s="16">
        <f t="shared" si="69"/>
        <v>80487236.829934031</v>
      </c>
    </row>
    <row r="34" spans="1:54" ht="18.399999999999999" customHeight="1" x14ac:dyDescent="0.2">
      <c r="A34" s="10">
        <v>2</v>
      </c>
      <c r="B34" s="11" t="s">
        <v>66</v>
      </c>
      <c r="C34" s="29" t="s">
        <v>215</v>
      </c>
      <c r="D34" s="14">
        <f>(0.7*62004800)</f>
        <v>43403360</v>
      </c>
      <c r="E34" s="13"/>
      <c r="F34" s="14">
        <f t="shared" si="49"/>
        <v>43403360</v>
      </c>
      <c r="G34" s="14"/>
      <c r="H34" s="13"/>
      <c r="I34" s="14">
        <f t="shared" si="50"/>
        <v>0</v>
      </c>
      <c r="J34" s="14"/>
      <c r="K34" s="13"/>
      <c r="L34" s="14">
        <f t="shared" si="51"/>
        <v>0</v>
      </c>
      <c r="M34" s="174">
        <f t="shared" si="52"/>
        <v>43403360</v>
      </c>
      <c r="N34" s="174">
        <f t="shared" si="52"/>
        <v>0</v>
      </c>
      <c r="O34" s="14"/>
      <c r="P34" s="13"/>
      <c r="Q34" s="14">
        <f t="shared" si="53"/>
        <v>0</v>
      </c>
      <c r="R34" s="14"/>
      <c r="S34" s="13"/>
      <c r="T34" s="14">
        <f t="shared" si="54"/>
        <v>0</v>
      </c>
      <c r="U34" s="14"/>
      <c r="V34" s="13"/>
      <c r="W34" s="14">
        <f t="shared" si="55"/>
        <v>0</v>
      </c>
      <c r="X34" s="174">
        <f t="shared" si="56"/>
        <v>0</v>
      </c>
      <c r="Y34" s="174">
        <f t="shared" si="56"/>
        <v>0</v>
      </c>
      <c r="Z34" s="14"/>
      <c r="AA34" s="13"/>
      <c r="AB34" s="14">
        <f t="shared" si="57"/>
        <v>0</v>
      </c>
      <c r="AC34" s="14"/>
      <c r="AD34" s="13"/>
      <c r="AE34" s="14">
        <f t="shared" si="58"/>
        <v>0</v>
      </c>
      <c r="AF34" s="14"/>
      <c r="AG34" s="13"/>
      <c r="AH34" s="14">
        <f t="shared" si="59"/>
        <v>0</v>
      </c>
      <c r="AI34" s="174">
        <f t="shared" si="3"/>
        <v>0</v>
      </c>
      <c r="AJ34" s="174">
        <f t="shared" si="60"/>
        <v>0</v>
      </c>
      <c r="AK34" s="14"/>
      <c r="AL34" s="13"/>
      <c r="AM34" s="14">
        <f t="shared" si="61"/>
        <v>0</v>
      </c>
      <c r="AN34" s="14"/>
      <c r="AO34" s="13"/>
      <c r="AP34" s="14">
        <f t="shared" si="62"/>
        <v>0</v>
      </c>
      <c r="AQ34" s="14"/>
      <c r="AR34" s="13"/>
      <c r="AS34" s="14">
        <f t="shared" si="63"/>
        <v>0</v>
      </c>
      <c r="AT34" s="174"/>
      <c r="AU34" s="174">
        <f t="shared" si="64"/>
        <v>0</v>
      </c>
      <c r="AV34" s="14">
        <f t="shared" si="65"/>
        <v>43403360</v>
      </c>
      <c r="AW34" s="14">
        <f t="shared" si="66"/>
        <v>0</v>
      </c>
      <c r="AX34" s="178">
        <f t="shared" si="67"/>
        <v>0</v>
      </c>
      <c r="AY34" s="16">
        <f t="shared" si="68"/>
        <v>0</v>
      </c>
      <c r="AZ34" s="16">
        <f t="shared" si="69"/>
        <v>0</v>
      </c>
      <c r="BA34" s="16">
        <f t="shared" si="69"/>
        <v>0</v>
      </c>
      <c r="BB34" s="16">
        <f t="shared" si="69"/>
        <v>0</v>
      </c>
    </row>
    <row r="35" spans="1:54" ht="18.399999999999999" customHeight="1" x14ac:dyDescent="0.2">
      <c r="A35" s="10">
        <v>3</v>
      </c>
      <c r="B35" s="11" t="s">
        <v>55</v>
      </c>
      <c r="C35" s="29" t="s">
        <v>68</v>
      </c>
      <c r="D35" s="14">
        <v>5073514</v>
      </c>
      <c r="E35" s="13">
        <v>3298500</v>
      </c>
      <c r="F35" s="14">
        <f t="shared" si="49"/>
        <v>1775014</v>
      </c>
      <c r="G35" s="14">
        <v>5073514</v>
      </c>
      <c r="H35" s="13">
        <v>3890100</v>
      </c>
      <c r="I35" s="14">
        <f t="shared" si="50"/>
        <v>1183414</v>
      </c>
      <c r="J35" s="14">
        <v>5073514</v>
      </c>
      <c r="K35" s="13">
        <v>3403500</v>
      </c>
      <c r="L35" s="14">
        <f t="shared" si="51"/>
        <v>1670014</v>
      </c>
      <c r="M35" s="174">
        <f t="shared" si="52"/>
        <v>15220542</v>
      </c>
      <c r="N35" s="174">
        <f t="shared" si="52"/>
        <v>10592100</v>
      </c>
      <c r="O35" s="14">
        <v>5073514</v>
      </c>
      <c r="P35" s="13">
        <v>3265050</v>
      </c>
      <c r="Q35" s="14">
        <f t="shared" si="53"/>
        <v>1808464</v>
      </c>
      <c r="R35" s="14">
        <v>5073514</v>
      </c>
      <c r="S35" s="13">
        <v>5497710</v>
      </c>
      <c r="T35" s="14">
        <f t="shared" si="54"/>
        <v>-424196</v>
      </c>
      <c r="U35" s="14">
        <v>5073514</v>
      </c>
      <c r="V35" s="175">
        <f>5357530</f>
        <v>5357530</v>
      </c>
      <c r="W35" s="14">
        <f t="shared" si="55"/>
        <v>-284016</v>
      </c>
      <c r="X35" s="174">
        <f t="shared" si="56"/>
        <v>15220542</v>
      </c>
      <c r="Y35" s="174">
        <f t="shared" si="56"/>
        <v>14120290</v>
      </c>
      <c r="Z35" s="14">
        <v>5073514</v>
      </c>
      <c r="AA35" s="13">
        <v>4207493</v>
      </c>
      <c r="AB35" s="14">
        <f t="shared" si="57"/>
        <v>866021</v>
      </c>
      <c r="AC35" s="14">
        <v>5073514</v>
      </c>
      <c r="AD35" s="13">
        <v>4199571</v>
      </c>
      <c r="AE35" s="14">
        <f t="shared" si="58"/>
        <v>873943</v>
      </c>
      <c r="AF35" s="14">
        <v>5073514</v>
      </c>
      <c r="AG35" s="13">
        <v>3781065</v>
      </c>
      <c r="AH35" s="14">
        <f t="shared" si="59"/>
        <v>1292449</v>
      </c>
      <c r="AI35" s="174">
        <f t="shared" si="3"/>
        <v>15220542</v>
      </c>
      <c r="AJ35" s="174">
        <f t="shared" si="60"/>
        <v>12188129</v>
      </c>
      <c r="AK35" s="14">
        <v>5073514</v>
      </c>
      <c r="AL35" s="13"/>
      <c r="AM35" s="14">
        <f t="shared" si="61"/>
        <v>5073514</v>
      </c>
      <c r="AN35" s="14">
        <v>5073514</v>
      </c>
      <c r="AO35" s="13"/>
      <c r="AP35" s="14">
        <f t="shared" si="62"/>
        <v>5073514</v>
      </c>
      <c r="AQ35" s="14">
        <v>5073514</v>
      </c>
      <c r="AR35" s="13"/>
      <c r="AS35" s="14">
        <f t="shared" si="63"/>
        <v>5073514</v>
      </c>
      <c r="AT35" s="174"/>
      <c r="AU35" s="174">
        <f t="shared" si="64"/>
        <v>0</v>
      </c>
      <c r="AV35" s="14">
        <f t="shared" si="65"/>
        <v>60882168</v>
      </c>
      <c r="AW35" s="14">
        <f t="shared" si="66"/>
        <v>36900519</v>
      </c>
      <c r="AX35" s="178">
        <f t="shared" si="67"/>
        <v>52121061</v>
      </c>
      <c r="AY35" s="16">
        <f t="shared" si="68"/>
        <v>40590570.900000006</v>
      </c>
      <c r="AZ35" s="16">
        <f t="shared" si="69"/>
        <v>44649627.99000001</v>
      </c>
      <c r="BA35" s="16">
        <f t="shared" si="69"/>
        <v>49114590.789000012</v>
      </c>
      <c r="BB35" s="16">
        <f t="shared" si="69"/>
        <v>54026049.867900014</v>
      </c>
    </row>
    <row r="36" spans="1:54" ht="18.399999999999999" customHeight="1" x14ac:dyDescent="0.2">
      <c r="A36" s="10">
        <v>4</v>
      </c>
      <c r="B36" s="11" t="s">
        <v>69</v>
      </c>
      <c r="C36" s="29" t="s">
        <v>70</v>
      </c>
      <c r="D36" s="14">
        <v>2000000</v>
      </c>
      <c r="E36" s="13">
        <v>500000</v>
      </c>
      <c r="F36" s="14">
        <f t="shared" si="49"/>
        <v>1500000</v>
      </c>
      <c r="G36" s="14">
        <v>12366822</v>
      </c>
      <c r="H36" s="13">
        <v>92050000</v>
      </c>
      <c r="I36" s="14">
        <f t="shared" si="50"/>
        <v>-79683178</v>
      </c>
      <c r="J36" s="14">
        <v>2000000</v>
      </c>
      <c r="K36" s="13">
        <v>555000</v>
      </c>
      <c r="L36" s="14">
        <f t="shared" si="51"/>
        <v>1445000</v>
      </c>
      <c r="M36" s="174">
        <f t="shared" si="52"/>
        <v>16366822</v>
      </c>
      <c r="N36" s="174">
        <f t="shared" si="52"/>
        <v>93105000</v>
      </c>
      <c r="O36" s="14">
        <v>12366822</v>
      </c>
      <c r="P36" s="13">
        <v>500000</v>
      </c>
      <c r="Q36" s="14">
        <f t="shared" si="53"/>
        <v>11866822</v>
      </c>
      <c r="R36" s="14">
        <v>2000000</v>
      </c>
      <c r="S36" s="13">
        <v>7035000</v>
      </c>
      <c r="T36" s="14">
        <f t="shared" si="54"/>
        <v>-5035000</v>
      </c>
      <c r="U36" s="14">
        <v>12366822</v>
      </c>
      <c r="V36" s="175">
        <f>8937200</f>
        <v>8937200</v>
      </c>
      <c r="W36" s="14">
        <f t="shared" si="55"/>
        <v>3429622</v>
      </c>
      <c r="X36" s="174">
        <f t="shared" si="56"/>
        <v>26733644</v>
      </c>
      <c r="Y36" s="174">
        <f t="shared" si="56"/>
        <v>16472200</v>
      </c>
      <c r="Z36" s="14">
        <v>2000000</v>
      </c>
      <c r="AA36" s="13">
        <v>6450500</v>
      </c>
      <c r="AB36" s="14">
        <f t="shared" si="57"/>
        <v>-4450500</v>
      </c>
      <c r="AC36" s="14">
        <v>12366822</v>
      </c>
      <c r="AD36" s="13"/>
      <c r="AE36" s="14">
        <f t="shared" si="58"/>
        <v>12366822</v>
      </c>
      <c r="AF36" s="14">
        <v>2000000</v>
      </c>
      <c r="AG36" s="13">
        <v>2501000</v>
      </c>
      <c r="AH36" s="14">
        <f t="shared" si="59"/>
        <v>-501000</v>
      </c>
      <c r="AI36" s="174">
        <f t="shared" si="3"/>
        <v>16366822</v>
      </c>
      <c r="AJ36" s="174">
        <f t="shared" si="60"/>
        <v>8951500</v>
      </c>
      <c r="AK36" s="14">
        <v>12366822</v>
      </c>
      <c r="AL36" s="13"/>
      <c r="AM36" s="14">
        <f t="shared" si="61"/>
        <v>12366822</v>
      </c>
      <c r="AN36" s="14">
        <v>2000000</v>
      </c>
      <c r="AO36" s="13"/>
      <c r="AP36" s="14">
        <f t="shared" si="62"/>
        <v>2000000</v>
      </c>
      <c r="AQ36" s="14">
        <v>12366822</v>
      </c>
      <c r="AR36" s="13"/>
      <c r="AS36" s="14">
        <f t="shared" si="63"/>
        <v>12366822</v>
      </c>
      <c r="AT36" s="174"/>
      <c r="AU36" s="174">
        <f t="shared" si="64"/>
        <v>0</v>
      </c>
      <c r="AV36" s="14">
        <f t="shared" si="65"/>
        <v>86200932</v>
      </c>
      <c r="AW36" s="14">
        <f t="shared" si="66"/>
        <v>118528700</v>
      </c>
      <c r="AX36" s="178">
        <f t="shared" si="67"/>
        <v>145262344</v>
      </c>
      <c r="AY36" s="16">
        <f t="shared" si="68"/>
        <v>130381570.00000001</v>
      </c>
      <c r="AZ36" s="16">
        <f t="shared" si="69"/>
        <v>143419727.00000003</v>
      </c>
      <c r="BA36" s="16">
        <f t="shared" si="69"/>
        <v>157761699.70000005</v>
      </c>
      <c r="BB36" s="16">
        <f t="shared" si="69"/>
        <v>173537869.67000008</v>
      </c>
    </row>
    <row r="37" spans="1:54" ht="18.399999999999999" customHeight="1" x14ac:dyDescent="0.2">
      <c r="A37" s="10">
        <v>5</v>
      </c>
      <c r="B37" s="11" t="s">
        <v>71</v>
      </c>
      <c r="C37" s="29" t="s">
        <v>72</v>
      </c>
      <c r="D37" s="14">
        <v>1596166</v>
      </c>
      <c r="E37" s="13">
        <v>2865535</v>
      </c>
      <c r="F37" s="14">
        <f t="shared" si="49"/>
        <v>-1269369</v>
      </c>
      <c r="G37" s="14">
        <v>1596166</v>
      </c>
      <c r="H37" s="13">
        <v>859392</v>
      </c>
      <c r="I37" s="14">
        <f t="shared" si="50"/>
        <v>736774</v>
      </c>
      <c r="J37" s="14">
        <v>1596166</v>
      </c>
      <c r="K37" s="13">
        <f>2324787</f>
        <v>2324787</v>
      </c>
      <c r="L37" s="14">
        <f t="shared" si="51"/>
        <v>-728621</v>
      </c>
      <c r="M37" s="174">
        <f t="shared" si="52"/>
        <v>4788498</v>
      </c>
      <c r="N37" s="174">
        <f t="shared" si="52"/>
        <v>6049714</v>
      </c>
      <c r="O37" s="14">
        <v>1596166</v>
      </c>
      <c r="P37" s="13">
        <v>1546830</v>
      </c>
      <c r="Q37" s="14">
        <f t="shared" si="53"/>
        <v>49336</v>
      </c>
      <c r="R37" s="14">
        <v>1596166</v>
      </c>
      <c r="S37" s="13">
        <v>1696293</v>
      </c>
      <c r="T37" s="14">
        <f t="shared" si="54"/>
        <v>-100127</v>
      </c>
      <c r="U37" s="14">
        <v>1596166</v>
      </c>
      <c r="V37" s="175">
        <f>2538627</f>
        <v>2538627</v>
      </c>
      <c r="W37" s="14">
        <f t="shared" si="55"/>
        <v>-942461</v>
      </c>
      <c r="X37" s="174">
        <f t="shared" si="56"/>
        <v>4788498</v>
      </c>
      <c r="Y37" s="174">
        <f t="shared" si="56"/>
        <v>5781750</v>
      </c>
      <c r="Z37" s="14">
        <v>1596166</v>
      </c>
      <c r="AA37" s="13">
        <v>2048422</v>
      </c>
      <c r="AB37" s="14">
        <f t="shared" si="57"/>
        <v>-452256</v>
      </c>
      <c r="AC37" s="14">
        <v>1596166</v>
      </c>
      <c r="AD37" s="13">
        <v>1992007</v>
      </c>
      <c r="AE37" s="14">
        <f t="shared" si="58"/>
        <v>-395841</v>
      </c>
      <c r="AF37" s="14">
        <v>1596166</v>
      </c>
      <c r="AG37" s="13">
        <v>1262440</v>
      </c>
      <c r="AH37" s="14">
        <f t="shared" si="59"/>
        <v>333726</v>
      </c>
      <c r="AI37" s="174">
        <f t="shared" si="3"/>
        <v>4788498</v>
      </c>
      <c r="AJ37" s="174">
        <f t="shared" si="60"/>
        <v>5302869</v>
      </c>
      <c r="AK37" s="14">
        <v>1596166</v>
      </c>
      <c r="AL37" s="13"/>
      <c r="AM37" s="14">
        <f t="shared" si="61"/>
        <v>1596166</v>
      </c>
      <c r="AN37" s="14">
        <v>1596166</v>
      </c>
      <c r="AO37" s="13"/>
      <c r="AP37" s="14">
        <f t="shared" si="62"/>
        <v>1596166</v>
      </c>
      <c r="AQ37" s="14">
        <v>1596166</v>
      </c>
      <c r="AR37" s="13"/>
      <c r="AS37" s="14">
        <f t="shared" si="63"/>
        <v>1596166</v>
      </c>
      <c r="AT37" s="174"/>
      <c r="AU37" s="174">
        <f t="shared" si="64"/>
        <v>0</v>
      </c>
      <c r="AV37" s="14">
        <f t="shared" si="65"/>
        <v>19153992</v>
      </c>
      <c r="AW37" s="14">
        <f t="shared" si="66"/>
        <v>17134333</v>
      </c>
      <c r="AX37" s="178">
        <f t="shared" si="67"/>
        <v>21922831</v>
      </c>
      <c r="AY37" s="16">
        <f t="shared" si="68"/>
        <v>18847766.300000001</v>
      </c>
      <c r="AZ37" s="16">
        <f t="shared" si="69"/>
        <v>20732542.930000003</v>
      </c>
      <c r="BA37" s="16">
        <f t="shared" si="69"/>
        <v>22805797.223000005</v>
      </c>
      <c r="BB37" s="16">
        <f t="shared" si="69"/>
        <v>25086376.945300009</v>
      </c>
    </row>
    <row r="38" spans="1:54" ht="18.399999999999999" customHeight="1" x14ac:dyDescent="0.2">
      <c r="A38" s="10">
        <v>6</v>
      </c>
      <c r="B38" s="11" t="s">
        <v>73</v>
      </c>
      <c r="C38" s="29" t="s">
        <v>74</v>
      </c>
      <c r="D38" s="14">
        <v>1688027</v>
      </c>
      <c r="E38" s="13">
        <v>1032691</v>
      </c>
      <c r="F38" s="14">
        <f t="shared" si="49"/>
        <v>655336</v>
      </c>
      <c r="G38" s="14">
        <v>1688027</v>
      </c>
      <c r="H38" s="13">
        <v>673817</v>
      </c>
      <c r="I38" s="14">
        <f t="shared" si="50"/>
        <v>1014210</v>
      </c>
      <c r="J38" s="14">
        <v>1688027</v>
      </c>
      <c r="K38" s="13">
        <v>1031484</v>
      </c>
      <c r="L38" s="14">
        <f t="shared" si="51"/>
        <v>656543</v>
      </c>
      <c r="M38" s="174">
        <f t="shared" si="52"/>
        <v>5064081</v>
      </c>
      <c r="N38" s="174">
        <f t="shared" si="52"/>
        <v>2737992</v>
      </c>
      <c r="O38" s="14">
        <v>1688027</v>
      </c>
      <c r="P38" s="13">
        <v>713600</v>
      </c>
      <c r="Q38" s="14">
        <f t="shared" si="53"/>
        <v>974427</v>
      </c>
      <c r="R38" s="14">
        <v>1688027</v>
      </c>
      <c r="S38" s="13">
        <v>1065874</v>
      </c>
      <c r="T38" s="14">
        <f t="shared" si="54"/>
        <v>622153</v>
      </c>
      <c r="U38" s="14">
        <v>1688027</v>
      </c>
      <c r="V38" s="13"/>
      <c r="W38" s="14">
        <f t="shared" si="55"/>
        <v>1688027</v>
      </c>
      <c r="X38" s="174">
        <f t="shared" si="56"/>
        <v>5064081</v>
      </c>
      <c r="Y38" s="174">
        <f t="shared" si="56"/>
        <v>1779474</v>
      </c>
      <c r="Z38" s="14">
        <v>1688027</v>
      </c>
      <c r="AA38" s="13"/>
      <c r="AB38" s="14">
        <f t="shared" si="57"/>
        <v>1688027</v>
      </c>
      <c r="AC38" s="14">
        <v>1688027</v>
      </c>
      <c r="AD38" s="13"/>
      <c r="AE38" s="14">
        <f t="shared" si="58"/>
        <v>1688027</v>
      </c>
      <c r="AF38" s="14">
        <v>1688027</v>
      </c>
      <c r="AG38" s="13">
        <v>2833000</v>
      </c>
      <c r="AH38" s="14">
        <f t="shared" si="59"/>
        <v>-1144973</v>
      </c>
      <c r="AI38" s="174">
        <f t="shared" si="3"/>
        <v>5064081</v>
      </c>
      <c r="AJ38" s="174">
        <f t="shared" si="60"/>
        <v>2833000</v>
      </c>
      <c r="AK38" s="14">
        <v>1688027</v>
      </c>
      <c r="AL38" s="13"/>
      <c r="AM38" s="14">
        <f t="shared" si="61"/>
        <v>1688027</v>
      </c>
      <c r="AN38" s="14">
        <v>1688027</v>
      </c>
      <c r="AO38" s="13"/>
      <c r="AP38" s="14">
        <f t="shared" si="62"/>
        <v>1688027</v>
      </c>
      <c r="AQ38" s="14">
        <v>1688027</v>
      </c>
      <c r="AR38" s="13"/>
      <c r="AS38" s="14">
        <f t="shared" si="63"/>
        <v>1688027</v>
      </c>
      <c r="AT38" s="174"/>
      <c r="AU38" s="174">
        <f t="shared" si="64"/>
        <v>0</v>
      </c>
      <c r="AV38" s="14">
        <f t="shared" si="65"/>
        <v>20256324</v>
      </c>
      <c r="AW38" s="14">
        <f t="shared" si="66"/>
        <v>7350466</v>
      </c>
      <c r="AX38" s="178">
        <f t="shared" si="67"/>
        <v>12414547</v>
      </c>
      <c r="AY38" s="16">
        <f t="shared" si="68"/>
        <v>8085512.6000000006</v>
      </c>
      <c r="AZ38" s="16">
        <f t="shared" si="69"/>
        <v>8894063.8600000013</v>
      </c>
      <c r="BA38" s="16">
        <f t="shared" si="69"/>
        <v>9783470.2460000031</v>
      </c>
      <c r="BB38" s="16">
        <f t="shared" si="69"/>
        <v>10761817.270600004</v>
      </c>
    </row>
    <row r="39" spans="1:54" ht="18.399999999999999" customHeight="1" x14ac:dyDescent="0.2">
      <c r="A39" s="10">
        <v>7</v>
      </c>
      <c r="B39" s="11" t="s">
        <v>75</v>
      </c>
      <c r="C39" s="29" t="s">
        <v>76</v>
      </c>
      <c r="D39" s="14">
        <v>1935495</v>
      </c>
      <c r="E39" s="13"/>
      <c r="F39" s="14">
        <f t="shared" si="49"/>
        <v>1935495</v>
      </c>
      <c r="G39" s="14">
        <v>1935495</v>
      </c>
      <c r="H39" s="13"/>
      <c r="I39" s="14">
        <f t="shared" si="50"/>
        <v>1935495</v>
      </c>
      <c r="J39" s="14">
        <v>1935495</v>
      </c>
      <c r="K39" s="13"/>
      <c r="L39" s="14">
        <f t="shared" si="51"/>
        <v>1935495</v>
      </c>
      <c r="M39" s="174">
        <f t="shared" si="52"/>
        <v>5806485</v>
      </c>
      <c r="N39" s="174">
        <f t="shared" si="52"/>
        <v>0</v>
      </c>
      <c r="O39" s="14">
        <v>1935495</v>
      </c>
      <c r="P39" s="13"/>
      <c r="Q39" s="14">
        <f t="shared" si="53"/>
        <v>1935495</v>
      </c>
      <c r="R39" s="14">
        <v>1935495</v>
      </c>
      <c r="S39" s="13">
        <v>625000</v>
      </c>
      <c r="T39" s="14">
        <f t="shared" si="54"/>
        <v>1310495</v>
      </c>
      <c r="U39" s="14">
        <v>1935495</v>
      </c>
      <c r="V39" s="13"/>
      <c r="W39" s="14">
        <f t="shared" si="55"/>
        <v>1935495</v>
      </c>
      <c r="X39" s="174">
        <f t="shared" si="56"/>
        <v>5806485</v>
      </c>
      <c r="Y39" s="174">
        <f t="shared" si="56"/>
        <v>625000</v>
      </c>
      <c r="Z39" s="14">
        <v>1935495</v>
      </c>
      <c r="AA39" s="13">
        <v>934210</v>
      </c>
      <c r="AB39" s="14">
        <f t="shared" si="57"/>
        <v>1001285</v>
      </c>
      <c r="AC39" s="14">
        <v>1935495</v>
      </c>
      <c r="AD39" s="13">
        <v>719825</v>
      </c>
      <c r="AE39" s="14">
        <f t="shared" si="58"/>
        <v>1215670</v>
      </c>
      <c r="AF39" s="14">
        <v>1935495</v>
      </c>
      <c r="AG39" s="13">
        <v>953175</v>
      </c>
      <c r="AH39" s="14">
        <f t="shared" si="59"/>
        <v>982320</v>
      </c>
      <c r="AI39" s="174">
        <f t="shared" si="3"/>
        <v>5806485</v>
      </c>
      <c r="AJ39" s="174">
        <f>AA39+AD39+AG39</f>
        <v>2607210</v>
      </c>
      <c r="AK39" s="14">
        <v>1935495</v>
      </c>
      <c r="AL39" s="13"/>
      <c r="AM39" s="14">
        <f t="shared" si="61"/>
        <v>1935495</v>
      </c>
      <c r="AN39" s="14">
        <v>1935495</v>
      </c>
      <c r="AO39" s="13"/>
      <c r="AP39" s="14">
        <f t="shared" si="62"/>
        <v>1935495</v>
      </c>
      <c r="AQ39" s="14">
        <v>1935495</v>
      </c>
      <c r="AR39" s="13"/>
      <c r="AS39" s="14">
        <f t="shared" si="63"/>
        <v>1935495</v>
      </c>
      <c r="AT39" s="174"/>
      <c r="AU39" s="174">
        <f t="shared" si="64"/>
        <v>0</v>
      </c>
      <c r="AV39" s="14">
        <f t="shared" si="65"/>
        <v>23225940</v>
      </c>
      <c r="AW39" s="14">
        <f t="shared" si="66"/>
        <v>3232210</v>
      </c>
      <c r="AX39" s="178">
        <f t="shared" si="67"/>
        <v>9038695</v>
      </c>
      <c r="AY39" s="16">
        <f t="shared" si="68"/>
        <v>3555431.0000000005</v>
      </c>
      <c r="AZ39" s="16">
        <f t="shared" si="69"/>
        <v>3910974.100000001</v>
      </c>
      <c r="BA39" s="16">
        <f t="shared" si="69"/>
        <v>4302071.5100000016</v>
      </c>
      <c r="BB39" s="16">
        <f t="shared" si="69"/>
        <v>4732278.6610000022</v>
      </c>
    </row>
    <row r="40" spans="1:54" ht="18.399999999999999" customHeight="1" x14ac:dyDescent="0.2">
      <c r="A40" s="10">
        <v>8</v>
      </c>
      <c r="B40" s="11" t="s">
        <v>77</v>
      </c>
      <c r="C40" s="29" t="s">
        <v>78</v>
      </c>
      <c r="D40" s="14">
        <f>700000*38*2</f>
        <v>53200000</v>
      </c>
      <c r="E40" s="13"/>
      <c r="F40" s="14">
        <f t="shared" si="49"/>
        <v>53200000</v>
      </c>
      <c r="G40" s="14"/>
      <c r="H40" s="13"/>
      <c r="I40" s="14">
        <f t="shared" si="50"/>
        <v>0</v>
      </c>
      <c r="J40" s="14">
        <f>700000*38</f>
        <v>26600000</v>
      </c>
      <c r="K40" s="13"/>
      <c r="L40" s="14">
        <f t="shared" si="51"/>
        <v>26600000</v>
      </c>
      <c r="M40" s="174">
        <f t="shared" si="52"/>
        <v>79800000</v>
      </c>
      <c r="N40" s="174">
        <f t="shared" si="52"/>
        <v>0</v>
      </c>
      <c r="O40" s="14"/>
      <c r="P40" s="13"/>
      <c r="Q40" s="14">
        <f t="shared" si="53"/>
        <v>0</v>
      </c>
      <c r="R40" s="14"/>
      <c r="S40" s="13"/>
      <c r="T40" s="14">
        <f t="shared" si="54"/>
        <v>0</v>
      </c>
      <c r="U40" s="14"/>
      <c r="V40" s="13"/>
      <c r="W40" s="14">
        <f t="shared" si="55"/>
        <v>0</v>
      </c>
      <c r="X40" s="174">
        <f t="shared" si="56"/>
        <v>0</v>
      </c>
      <c r="Y40" s="174">
        <f t="shared" si="56"/>
        <v>0</v>
      </c>
      <c r="Z40" s="14"/>
      <c r="AA40" s="13"/>
      <c r="AB40" s="14">
        <f t="shared" si="57"/>
        <v>0</v>
      </c>
      <c r="AC40" s="14"/>
      <c r="AD40" s="13"/>
      <c r="AE40" s="14">
        <f t="shared" si="58"/>
        <v>0</v>
      </c>
      <c r="AF40" s="14"/>
      <c r="AG40" s="13"/>
      <c r="AH40" s="14">
        <f t="shared" si="59"/>
        <v>0</v>
      </c>
      <c r="AI40" s="174">
        <f t="shared" si="3"/>
        <v>0</v>
      </c>
      <c r="AJ40" s="174">
        <f t="shared" si="60"/>
        <v>0</v>
      </c>
      <c r="AK40" s="14"/>
      <c r="AL40" s="13"/>
      <c r="AM40" s="14">
        <f t="shared" si="61"/>
        <v>0</v>
      </c>
      <c r="AN40" s="14"/>
      <c r="AO40" s="13"/>
      <c r="AP40" s="14">
        <f t="shared" si="62"/>
        <v>0</v>
      </c>
      <c r="AQ40" s="14"/>
      <c r="AR40" s="13"/>
      <c r="AS40" s="14">
        <f t="shared" si="63"/>
        <v>0</v>
      </c>
      <c r="AT40" s="174"/>
      <c r="AU40" s="174">
        <f t="shared" si="64"/>
        <v>0</v>
      </c>
      <c r="AV40" s="14">
        <f t="shared" si="65"/>
        <v>79800000</v>
      </c>
      <c r="AW40" s="14">
        <f t="shared" si="66"/>
        <v>0</v>
      </c>
      <c r="AX40" s="178">
        <f t="shared" si="67"/>
        <v>0</v>
      </c>
      <c r="AY40" s="16">
        <f t="shared" si="68"/>
        <v>0</v>
      </c>
      <c r="AZ40" s="16">
        <f t="shared" si="69"/>
        <v>0</v>
      </c>
      <c r="BA40" s="16">
        <f t="shared" si="69"/>
        <v>0</v>
      </c>
      <c r="BB40" s="16">
        <f t="shared" si="69"/>
        <v>0</v>
      </c>
    </row>
    <row r="41" spans="1:54" ht="18.399999999999999" customHeight="1" x14ac:dyDescent="0.2">
      <c r="A41" s="10">
        <v>9</v>
      </c>
      <c r="B41" s="11" t="s">
        <v>79</v>
      </c>
      <c r="C41" s="41" t="s">
        <v>80</v>
      </c>
      <c r="D41" s="14"/>
      <c r="E41" s="13"/>
      <c r="F41" s="14">
        <f t="shared" si="49"/>
        <v>0</v>
      </c>
      <c r="G41" s="14"/>
      <c r="H41" s="13"/>
      <c r="I41" s="14">
        <f t="shared" si="50"/>
        <v>0</v>
      </c>
      <c r="J41" s="14"/>
      <c r="K41" s="13"/>
      <c r="L41" s="14">
        <f t="shared" si="51"/>
        <v>0</v>
      </c>
      <c r="M41" s="174">
        <f t="shared" si="52"/>
        <v>0</v>
      </c>
      <c r="N41" s="174">
        <f t="shared" si="52"/>
        <v>0</v>
      </c>
      <c r="O41" s="14">
        <v>16000000</v>
      </c>
      <c r="P41" s="13"/>
      <c r="Q41" s="14">
        <f t="shared" si="53"/>
        <v>16000000</v>
      </c>
      <c r="R41" s="14"/>
      <c r="S41" s="13"/>
      <c r="T41" s="14">
        <f t="shared" si="54"/>
        <v>0</v>
      </c>
      <c r="U41" s="14"/>
      <c r="V41" s="13"/>
      <c r="W41" s="14">
        <f t="shared" si="55"/>
        <v>0</v>
      </c>
      <c r="X41" s="174">
        <f t="shared" si="56"/>
        <v>16000000</v>
      </c>
      <c r="Y41" s="174">
        <f t="shared" si="56"/>
        <v>0</v>
      </c>
      <c r="Z41" s="14"/>
      <c r="AA41" s="13"/>
      <c r="AB41" s="14">
        <f t="shared" si="57"/>
        <v>0</v>
      </c>
      <c r="AC41" s="14"/>
      <c r="AD41" s="13"/>
      <c r="AE41" s="14">
        <f t="shared" si="58"/>
        <v>0</v>
      </c>
      <c r="AF41" s="14"/>
      <c r="AG41" s="13"/>
      <c r="AH41" s="14">
        <f t="shared" si="59"/>
        <v>0</v>
      </c>
      <c r="AI41" s="174">
        <f t="shared" si="3"/>
        <v>0</v>
      </c>
      <c r="AJ41" s="174">
        <f t="shared" si="60"/>
        <v>0</v>
      </c>
      <c r="AK41" s="14"/>
      <c r="AL41" s="13"/>
      <c r="AM41" s="14">
        <f t="shared" si="61"/>
        <v>0</v>
      </c>
      <c r="AN41" s="14"/>
      <c r="AO41" s="13"/>
      <c r="AP41" s="14">
        <f t="shared" si="62"/>
        <v>0</v>
      </c>
      <c r="AQ41" s="14"/>
      <c r="AR41" s="13"/>
      <c r="AS41" s="14">
        <f t="shared" si="63"/>
        <v>0</v>
      </c>
      <c r="AT41" s="174"/>
      <c r="AU41" s="174">
        <f t="shared" si="64"/>
        <v>0</v>
      </c>
      <c r="AV41" s="14">
        <f t="shared" si="65"/>
        <v>16000000</v>
      </c>
      <c r="AW41" s="14">
        <f t="shared" si="66"/>
        <v>0</v>
      </c>
      <c r="AX41" s="178">
        <f t="shared" si="67"/>
        <v>0</v>
      </c>
      <c r="AY41" s="16">
        <f t="shared" si="68"/>
        <v>0</v>
      </c>
      <c r="AZ41" s="16">
        <f t="shared" si="69"/>
        <v>0</v>
      </c>
      <c r="BA41" s="16">
        <f t="shared" si="69"/>
        <v>0</v>
      </c>
      <c r="BB41" s="16">
        <f t="shared" si="69"/>
        <v>0</v>
      </c>
    </row>
    <row r="42" spans="1:54" ht="18.399999999999999" customHeight="1" x14ac:dyDescent="0.2">
      <c r="A42" s="10">
        <v>10</v>
      </c>
      <c r="B42" s="11" t="s">
        <v>79</v>
      </c>
      <c r="C42" s="41" t="s">
        <v>216</v>
      </c>
      <c r="D42" s="60">
        <v>16000000</v>
      </c>
      <c r="E42" s="13"/>
      <c r="F42" s="14">
        <f t="shared" si="49"/>
        <v>16000000</v>
      </c>
      <c r="G42" s="14"/>
      <c r="H42" s="13"/>
      <c r="I42" s="14">
        <f t="shared" si="50"/>
        <v>0</v>
      </c>
      <c r="J42" s="14"/>
      <c r="K42" s="13"/>
      <c r="L42" s="14">
        <f t="shared" si="51"/>
        <v>0</v>
      </c>
      <c r="M42" s="174">
        <f t="shared" si="52"/>
        <v>16000000</v>
      </c>
      <c r="N42" s="174">
        <f t="shared" si="52"/>
        <v>0</v>
      </c>
      <c r="O42" s="14"/>
      <c r="P42" s="13"/>
      <c r="Q42" s="14">
        <f t="shared" si="53"/>
        <v>0</v>
      </c>
      <c r="R42" s="14"/>
      <c r="S42" s="13"/>
      <c r="T42" s="14">
        <f t="shared" si="54"/>
        <v>0</v>
      </c>
      <c r="U42" s="14"/>
      <c r="V42" s="13"/>
      <c r="W42" s="14">
        <f t="shared" si="55"/>
        <v>0</v>
      </c>
      <c r="X42" s="174">
        <f t="shared" si="56"/>
        <v>0</v>
      </c>
      <c r="Y42" s="174">
        <f t="shared" si="56"/>
        <v>0</v>
      </c>
      <c r="Z42" s="14"/>
      <c r="AA42" s="13"/>
      <c r="AB42" s="14">
        <f t="shared" si="57"/>
        <v>0</v>
      </c>
      <c r="AC42" s="14"/>
      <c r="AD42" s="13"/>
      <c r="AE42" s="14">
        <f t="shared" si="58"/>
        <v>0</v>
      </c>
      <c r="AF42" s="14"/>
      <c r="AG42" s="13"/>
      <c r="AH42" s="14">
        <f t="shared" si="59"/>
        <v>0</v>
      </c>
      <c r="AI42" s="174">
        <f t="shared" si="3"/>
        <v>0</v>
      </c>
      <c r="AJ42" s="174">
        <f t="shared" si="60"/>
        <v>0</v>
      </c>
      <c r="AK42" s="14"/>
      <c r="AL42" s="13"/>
      <c r="AM42" s="14">
        <f t="shared" si="61"/>
        <v>0</v>
      </c>
      <c r="AN42" s="14"/>
      <c r="AO42" s="13"/>
      <c r="AP42" s="14">
        <f t="shared" si="62"/>
        <v>0</v>
      </c>
      <c r="AQ42" s="14"/>
      <c r="AR42" s="13"/>
      <c r="AS42" s="14">
        <f t="shared" si="63"/>
        <v>0</v>
      </c>
      <c r="AT42" s="174"/>
      <c r="AU42" s="174">
        <f t="shared" si="64"/>
        <v>0</v>
      </c>
      <c r="AV42" s="14">
        <f t="shared" si="65"/>
        <v>16000000</v>
      </c>
      <c r="AW42" s="14">
        <f t="shared" si="66"/>
        <v>0</v>
      </c>
      <c r="AX42" s="178">
        <f t="shared" si="67"/>
        <v>0</v>
      </c>
      <c r="AY42" s="16">
        <f t="shared" si="68"/>
        <v>0</v>
      </c>
      <c r="AZ42" s="16">
        <f t="shared" si="69"/>
        <v>0</v>
      </c>
      <c r="BA42" s="16">
        <f t="shared" si="69"/>
        <v>0</v>
      </c>
      <c r="BB42" s="16">
        <f t="shared" si="69"/>
        <v>0</v>
      </c>
    </row>
    <row r="43" spans="1:54" s="62" customFormat="1" ht="18.399999999999999" customHeight="1" x14ac:dyDescent="0.2">
      <c r="A43" s="10">
        <v>11</v>
      </c>
      <c r="B43" s="11" t="s">
        <v>79</v>
      </c>
      <c r="C43" s="41" t="s">
        <v>82</v>
      </c>
      <c r="D43" s="60">
        <v>22000000</v>
      </c>
      <c r="E43" s="13"/>
      <c r="F43" s="14">
        <f t="shared" si="49"/>
        <v>22000000</v>
      </c>
      <c r="G43" s="14"/>
      <c r="H43" s="13"/>
      <c r="I43" s="14">
        <f t="shared" si="50"/>
        <v>0</v>
      </c>
      <c r="J43" s="14"/>
      <c r="K43" s="13"/>
      <c r="L43" s="14">
        <f t="shared" si="51"/>
        <v>0</v>
      </c>
      <c r="M43" s="174">
        <f t="shared" si="52"/>
        <v>22000000</v>
      </c>
      <c r="N43" s="174">
        <f t="shared" si="52"/>
        <v>0</v>
      </c>
      <c r="O43" s="14"/>
      <c r="P43" s="13"/>
      <c r="Q43" s="14">
        <f t="shared" si="53"/>
        <v>0</v>
      </c>
      <c r="R43" s="14"/>
      <c r="S43" s="13"/>
      <c r="T43" s="14">
        <f t="shared" si="54"/>
        <v>0</v>
      </c>
      <c r="U43" s="14"/>
      <c r="V43" s="13"/>
      <c r="W43" s="14">
        <f t="shared" si="55"/>
        <v>0</v>
      </c>
      <c r="X43" s="174">
        <f t="shared" si="56"/>
        <v>0</v>
      </c>
      <c r="Y43" s="174">
        <f t="shared" si="56"/>
        <v>0</v>
      </c>
      <c r="Z43" s="14"/>
      <c r="AA43" s="13"/>
      <c r="AB43" s="14">
        <f t="shared" si="57"/>
        <v>0</v>
      </c>
      <c r="AC43" s="14"/>
      <c r="AD43" s="13"/>
      <c r="AE43" s="14">
        <f t="shared" si="58"/>
        <v>0</v>
      </c>
      <c r="AF43" s="14"/>
      <c r="AG43" s="13"/>
      <c r="AH43" s="14">
        <f t="shared" si="59"/>
        <v>0</v>
      </c>
      <c r="AI43" s="174">
        <f t="shared" si="3"/>
        <v>0</v>
      </c>
      <c r="AJ43" s="174">
        <f t="shared" si="60"/>
        <v>0</v>
      </c>
      <c r="AK43" s="14"/>
      <c r="AL43" s="13"/>
      <c r="AM43" s="14">
        <f t="shared" si="61"/>
        <v>0</v>
      </c>
      <c r="AN43" s="14"/>
      <c r="AO43" s="13"/>
      <c r="AP43" s="14">
        <f t="shared" si="62"/>
        <v>0</v>
      </c>
      <c r="AQ43" s="14"/>
      <c r="AR43" s="13"/>
      <c r="AS43" s="14">
        <f t="shared" si="63"/>
        <v>0</v>
      </c>
      <c r="AT43" s="174"/>
      <c r="AU43" s="174">
        <f t="shared" si="64"/>
        <v>0</v>
      </c>
      <c r="AV43" s="14">
        <f t="shared" si="65"/>
        <v>22000000</v>
      </c>
      <c r="AW43" s="14">
        <f t="shared" si="66"/>
        <v>0</v>
      </c>
      <c r="AX43" s="178">
        <f t="shared" si="67"/>
        <v>0</v>
      </c>
      <c r="AY43" s="16">
        <f t="shared" si="68"/>
        <v>0</v>
      </c>
      <c r="AZ43" s="16">
        <f t="shared" si="69"/>
        <v>0</v>
      </c>
      <c r="BA43" s="16">
        <f t="shared" si="69"/>
        <v>0</v>
      </c>
      <c r="BB43" s="16">
        <f t="shared" si="69"/>
        <v>0</v>
      </c>
    </row>
    <row r="44" spans="1:54" s="2" customFormat="1" ht="18.399999999999999" customHeight="1" x14ac:dyDescent="0.2">
      <c r="A44" s="58"/>
      <c r="B44" s="11"/>
      <c r="C44" s="47" t="s">
        <v>83</v>
      </c>
      <c r="D44" s="19">
        <f t="shared" ref="D44:BB44" si="70">SUM(D33:D43)</f>
        <v>150204064</v>
      </c>
      <c r="E44" s="19">
        <f t="shared" si="70"/>
        <v>18005876</v>
      </c>
      <c r="F44" s="19">
        <f t="shared" si="70"/>
        <v>132198188</v>
      </c>
      <c r="G44" s="19">
        <f t="shared" si="70"/>
        <v>25967526</v>
      </c>
      <c r="H44" s="19">
        <f t="shared" si="70"/>
        <v>106430559</v>
      </c>
      <c r="I44" s="19">
        <f t="shared" si="70"/>
        <v>-80463033</v>
      </c>
      <c r="J44" s="19">
        <f t="shared" si="70"/>
        <v>42200704</v>
      </c>
      <c r="K44" s="19">
        <f t="shared" si="70"/>
        <v>27759954</v>
      </c>
      <c r="L44" s="19">
        <f t="shared" si="70"/>
        <v>14440750</v>
      </c>
      <c r="M44" s="19">
        <f t="shared" si="70"/>
        <v>218372294</v>
      </c>
      <c r="N44" s="19">
        <f t="shared" si="70"/>
        <v>152196389</v>
      </c>
      <c r="O44" s="19">
        <f t="shared" si="70"/>
        <v>41967526</v>
      </c>
      <c r="P44" s="19">
        <f t="shared" si="70"/>
        <v>9689708</v>
      </c>
      <c r="Q44" s="19">
        <f t="shared" si="70"/>
        <v>32277818</v>
      </c>
      <c r="R44" s="19">
        <f t="shared" si="70"/>
        <v>15600704</v>
      </c>
      <c r="S44" s="19">
        <f t="shared" si="70"/>
        <v>15919877</v>
      </c>
      <c r="T44" s="19">
        <f t="shared" si="70"/>
        <v>-319173</v>
      </c>
      <c r="U44" s="19">
        <f t="shared" si="70"/>
        <v>25967526</v>
      </c>
      <c r="V44" s="19">
        <f t="shared" si="70"/>
        <v>16985357</v>
      </c>
      <c r="W44" s="19">
        <f t="shared" si="70"/>
        <v>8982169</v>
      </c>
      <c r="X44" s="19">
        <f t="shared" si="70"/>
        <v>83535756</v>
      </c>
      <c r="Y44" s="19">
        <f t="shared" si="70"/>
        <v>42594942</v>
      </c>
      <c r="Z44" s="19">
        <f t="shared" si="70"/>
        <v>15600704</v>
      </c>
      <c r="AA44" s="19">
        <f t="shared" si="70"/>
        <v>20455799</v>
      </c>
      <c r="AB44" s="19">
        <f t="shared" si="70"/>
        <v>-4855095</v>
      </c>
      <c r="AC44" s="19">
        <f t="shared" si="70"/>
        <v>25967526</v>
      </c>
      <c r="AD44" s="19">
        <f t="shared" si="70"/>
        <v>8447263</v>
      </c>
      <c r="AE44" s="19">
        <f t="shared" si="70"/>
        <v>17520263</v>
      </c>
      <c r="AF44" s="19">
        <f t="shared" si="70"/>
        <v>15600704</v>
      </c>
      <c r="AG44" s="19">
        <f t="shared" si="70"/>
        <v>14425700.74</v>
      </c>
      <c r="AH44" s="19">
        <f t="shared" si="70"/>
        <v>1175003.2599999998</v>
      </c>
      <c r="AI44" s="19">
        <f t="shared" si="70"/>
        <v>57168934</v>
      </c>
      <c r="AJ44" s="19">
        <f t="shared" si="70"/>
        <v>43328762.740000002</v>
      </c>
      <c r="AK44" s="19">
        <f t="shared" si="70"/>
        <v>25967526</v>
      </c>
      <c r="AL44" s="19">
        <f t="shared" si="70"/>
        <v>0</v>
      </c>
      <c r="AM44" s="19">
        <f t="shared" si="70"/>
        <v>25967526</v>
      </c>
      <c r="AN44" s="19">
        <f t="shared" si="70"/>
        <v>15600704</v>
      </c>
      <c r="AO44" s="19">
        <f t="shared" si="70"/>
        <v>0</v>
      </c>
      <c r="AP44" s="19">
        <f t="shared" si="70"/>
        <v>15600704</v>
      </c>
      <c r="AQ44" s="19">
        <f t="shared" si="70"/>
        <v>25967526</v>
      </c>
      <c r="AR44" s="19">
        <f t="shared" si="70"/>
        <v>0</v>
      </c>
      <c r="AS44" s="19">
        <f t="shared" si="70"/>
        <v>25967526</v>
      </c>
      <c r="AT44" s="19">
        <f t="shared" si="70"/>
        <v>0</v>
      </c>
      <c r="AU44" s="19">
        <f t="shared" si="70"/>
        <v>0</v>
      </c>
      <c r="AV44" s="19">
        <f t="shared" si="70"/>
        <v>426612740</v>
      </c>
      <c r="AW44" s="19">
        <f t="shared" si="70"/>
        <v>238120093.74000001</v>
      </c>
      <c r="AX44" s="19">
        <f t="shared" si="70"/>
        <v>305655849.74000001</v>
      </c>
      <c r="AY44" s="19">
        <f t="shared" si="70"/>
        <v>261932103.11400005</v>
      </c>
      <c r="AZ44" s="19">
        <f t="shared" si="70"/>
        <v>288125313.42540008</v>
      </c>
      <c r="BA44" s="19">
        <f t="shared" si="70"/>
        <v>316937844.76794004</v>
      </c>
      <c r="BB44" s="19">
        <f t="shared" si="70"/>
        <v>348631629.24473411</v>
      </c>
    </row>
    <row r="45" spans="1:54" s="2" customFormat="1" ht="18.399999999999999" customHeight="1" x14ac:dyDescent="0.2">
      <c r="A45" s="10">
        <v>12</v>
      </c>
      <c r="B45" s="11" t="s">
        <v>53</v>
      </c>
      <c r="C45" s="29" t="s">
        <v>84</v>
      </c>
      <c r="D45" s="14"/>
      <c r="E45" s="13"/>
      <c r="F45" s="14">
        <f>D45-E45</f>
        <v>0</v>
      </c>
      <c r="G45" s="14"/>
      <c r="H45" s="13"/>
      <c r="I45" s="14">
        <f>G45-H45</f>
        <v>0</v>
      </c>
      <c r="J45" s="14"/>
      <c r="K45" s="13"/>
      <c r="L45" s="14">
        <f t="shared" ref="L45:L55" si="71">J45-K45</f>
        <v>0</v>
      </c>
      <c r="M45" s="174">
        <f t="shared" ref="M45:N55" si="72">D45+G45+J45</f>
        <v>0</v>
      </c>
      <c r="N45" s="174">
        <f t="shared" si="72"/>
        <v>0</v>
      </c>
      <c r="O45" s="14">
        <v>0</v>
      </c>
      <c r="P45" s="13"/>
      <c r="Q45" s="14">
        <f>O45-P45</f>
        <v>0</v>
      </c>
      <c r="R45" s="14"/>
      <c r="S45" s="13"/>
      <c r="T45" s="14">
        <f>R45-S45</f>
        <v>0</v>
      </c>
      <c r="U45" s="14"/>
      <c r="V45" s="13"/>
      <c r="W45" s="14">
        <f>U45-V45</f>
        <v>0</v>
      </c>
      <c r="X45" s="174">
        <f t="shared" ref="X45:Y55" si="73">O45+R45+U45</f>
        <v>0</v>
      </c>
      <c r="Y45" s="174">
        <f t="shared" si="73"/>
        <v>0</v>
      </c>
      <c r="Z45" s="14"/>
      <c r="AA45" s="13">
        <v>6941008</v>
      </c>
      <c r="AB45" s="14">
        <f>Z45-AA45</f>
        <v>-6941008</v>
      </c>
      <c r="AC45" s="14"/>
      <c r="AD45" s="13"/>
      <c r="AE45" s="14">
        <f t="shared" ref="AE45:AE55" si="74">AC45-AD45</f>
        <v>0</v>
      </c>
      <c r="AF45" s="14"/>
      <c r="AG45" s="13">
        <v>29710148</v>
      </c>
      <c r="AH45" s="14">
        <f>AF45-AG45</f>
        <v>-29710148</v>
      </c>
      <c r="AI45" s="174">
        <f t="shared" si="3"/>
        <v>0</v>
      </c>
      <c r="AJ45" s="174">
        <f t="shared" ref="AJ45:AJ55" si="75">AA45+AD45+AG45</f>
        <v>36651156</v>
      </c>
      <c r="AK45" s="14"/>
      <c r="AL45" s="13"/>
      <c r="AM45" s="14">
        <f>AK45-AL45</f>
        <v>0</v>
      </c>
      <c r="AN45" s="14"/>
      <c r="AO45" s="13"/>
      <c r="AP45" s="14">
        <f>AN45-AO45</f>
        <v>0</v>
      </c>
      <c r="AQ45" s="14"/>
      <c r="AR45" s="13"/>
      <c r="AS45" s="14">
        <f>AQ45-AR45</f>
        <v>0</v>
      </c>
      <c r="AT45" s="174"/>
      <c r="AU45" s="174">
        <f t="shared" ref="AU45:AU55" si="76">AL45+AO45+AR45</f>
        <v>0</v>
      </c>
      <c r="AV45" s="14">
        <f t="shared" ref="AV45:AV55" si="77">AQ45+AN45+AK45++AF45+AC45+Z45+U45+R45+O45+J45+G45+D45</f>
        <v>0</v>
      </c>
      <c r="AW45" s="14">
        <f t="shared" ref="AW45:AW55" si="78">AR45+AO45+AL45+AG45+AD45+AA45+V45+S45+P45+K45+H45+E45</f>
        <v>36651156</v>
      </c>
      <c r="AX45" s="178">
        <f t="shared" ref="AX45:AX55" si="79">(AV45-M45-X45-AI45-AT45)+N45+Y45+AJ45+AU45</f>
        <v>36651156</v>
      </c>
      <c r="AY45" s="16">
        <f t="shared" ref="AY45:AY55" si="80">AW45*1.1</f>
        <v>40316271.600000001</v>
      </c>
      <c r="AZ45" s="16">
        <f t="shared" ref="AZ45:BB55" si="81">AY45*1.1</f>
        <v>44347898.760000005</v>
      </c>
      <c r="BA45" s="16">
        <f t="shared" si="81"/>
        <v>48782688.636000007</v>
      </c>
      <c r="BB45" s="16">
        <f t="shared" si="81"/>
        <v>53660957.499600016</v>
      </c>
    </row>
    <row r="46" spans="1:54" s="2" customFormat="1" ht="18.399999999999999" customHeight="1" x14ac:dyDescent="0.2">
      <c r="A46" s="10">
        <v>13</v>
      </c>
      <c r="B46" s="11" t="s">
        <v>85</v>
      </c>
      <c r="C46" s="29" t="s">
        <v>86</v>
      </c>
      <c r="D46" s="14"/>
      <c r="E46" s="13"/>
      <c r="F46" s="14"/>
      <c r="G46" s="14"/>
      <c r="H46" s="13"/>
      <c r="I46" s="14"/>
      <c r="J46" s="14">
        <v>30000000</v>
      </c>
      <c r="K46" s="13"/>
      <c r="L46" s="14">
        <f t="shared" si="71"/>
        <v>30000000</v>
      </c>
      <c r="M46" s="174">
        <f t="shared" si="72"/>
        <v>30000000</v>
      </c>
      <c r="N46" s="174">
        <f t="shared" si="72"/>
        <v>0</v>
      </c>
      <c r="O46" s="14"/>
      <c r="P46" s="13"/>
      <c r="Q46" s="14"/>
      <c r="R46" s="14"/>
      <c r="S46" s="13"/>
      <c r="T46" s="14"/>
      <c r="U46" s="14"/>
      <c r="V46" s="13"/>
      <c r="W46" s="14"/>
      <c r="X46" s="174">
        <f t="shared" si="73"/>
        <v>0</v>
      </c>
      <c r="Y46" s="174">
        <f t="shared" si="73"/>
        <v>0</v>
      </c>
      <c r="Z46" s="14"/>
      <c r="AA46" s="13"/>
      <c r="AB46" s="14"/>
      <c r="AC46" s="14">
        <v>30000000</v>
      </c>
      <c r="AD46" s="13"/>
      <c r="AE46" s="14">
        <f t="shared" si="74"/>
        <v>30000000</v>
      </c>
      <c r="AF46" s="14"/>
      <c r="AG46" s="13"/>
      <c r="AH46" s="14"/>
      <c r="AI46" s="174">
        <f t="shared" si="3"/>
        <v>30000000</v>
      </c>
      <c r="AJ46" s="174">
        <f t="shared" si="75"/>
        <v>0</v>
      </c>
      <c r="AK46" s="14"/>
      <c r="AL46" s="13"/>
      <c r="AM46" s="14"/>
      <c r="AN46" s="14"/>
      <c r="AO46" s="13"/>
      <c r="AP46" s="14"/>
      <c r="AQ46" s="14"/>
      <c r="AR46" s="13"/>
      <c r="AS46" s="14"/>
      <c r="AT46" s="174"/>
      <c r="AU46" s="174">
        <f t="shared" si="76"/>
        <v>0</v>
      </c>
      <c r="AV46" s="14">
        <f t="shared" si="77"/>
        <v>60000000</v>
      </c>
      <c r="AW46" s="14">
        <f t="shared" si="78"/>
        <v>0</v>
      </c>
      <c r="AX46" s="178">
        <f t="shared" si="79"/>
        <v>0</v>
      </c>
      <c r="AY46" s="16">
        <f t="shared" si="80"/>
        <v>0</v>
      </c>
      <c r="AZ46" s="16">
        <f t="shared" si="81"/>
        <v>0</v>
      </c>
      <c r="BA46" s="16">
        <f t="shared" si="81"/>
        <v>0</v>
      </c>
      <c r="BB46" s="16">
        <f t="shared" si="81"/>
        <v>0</v>
      </c>
    </row>
    <row r="47" spans="1:54" ht="18.399999999999999" customHeight="1" x14ac:dyDescent="0.2">
      <c r="A47" s="10">
        <v>14</v>
      </c>
      <c r="B47" s="11" t="s">
        <v>87</v>
      </c>
      <c r="C47" s="63" t="s">
        <v>88</v>
      </c>
      <c r="D47" s="14">
        <f>110000000</f>
        <v>110000000</v>
      </c>
      <c r="E47" s="13">
        <v>107282000</v>
      </c>
      <c r="F47" s="14">
        <f t="shared" ref="F47:F55" si="82">D47-E47</f>
        <v>2718000</v>
      </c>
      <c r="G47" s="14">
        <v>110000000</v>
      </c>
      <c r="H47" s="13">
        <v>107282000</v>
      </c>
      <c r="I47" s="14">
        <f t="shared" ref="I47:I55" si="83">G47-H47</f>
        <v>2718000</v>
      </c>
      <c r="J47" s="14">
        <v>110000000</v>
      </c>
      <c r="K47" s="13">
        <v>107282000</v>
      </c>
      <c r="L47" s="14">
        <f t="shared" si="71"/>
        <v>2718000</v>
      </c>
      <c r="M47" s="174">
        <f t="shared" si="72"/>
        <v>330000000</v>
      </c>
      <c r="N47" s="174">
        <f t="shared" si="72"/>
        <v>321846000</v>
      </c>
      <c r="O47" s="14">
        <v>110000000</v>
      </c>
      <c r="P47" s="13">
        <v>107282000</v>
      </c>
      <c r="Q47" s="14">
        <f t="shared" ref="Q47:Q55" si="84">O47-P47</f>
        <v>2718000</v>
      </c>
      <c r="R47" s="14">
        <v>110000000</v>
      </c>
      <c r="S47" s="13">
        <v>107282000</v>
      </c>
      <c r="T47" s="14">
        <f t="shared" ref="T47:T55" si="85">R47-S47</f>
        <v>2718000</v>
      </c>
      <c r="U47" s="14">
        <v>110000000</v>
      </c>
      <c r="V47" s="175">
        <v>107282000</v>
      </c>
      <c r="W47" s="14">
        <f t="shared" ref="W47:W55" si="86">U47-V47</f>
        <v>2718000</v>
      </c>
      <c r="X47" s="174">
        <f t="shared" si="73"/>
        <v>330000000</v>
      </c>
      <c r="Y47" s="174">
        <f t="shared" si="73"/>
        <v>321846000</v>
      </c>
      <c r="Z47" s="14">
        <v>110000000</v>
      </c>
      <c r="AA47" s="13">
        <v>107282000</v>
      </c>
      <c r="AB47" s="14">
        <f t="shared" ref="AB47:AB55" si="87">Z47-AA47</f>
        <v>2718000</v>
      </c>
      <c r="AC47" s="14">
        <v>110000000</v>
      </c>
      <c r="AD47" s="13">
        <v>107282000</v>
      </c>
      <c r="AE47" s="13">
        <v>107282000</v>
      </c>
      <c r="AF47" s="13">
        <v>107282000</v>
      </c>
      <c r="AG47" s="13">
        <v>107282000</v>
      </c>
      <c r="AH47" s="14">
        <f t="shared" ref="AH47:AH55" si="88">AF47-AG47</f>
        <v>0</v>
      </c>
      <c r="AI47" s="174">
        <f t="shared" si="3"/>
        <v>327282000</v>
      </c>
      <c r="AJ47" s="174">
        <f t="shared" si="75"/>
        <v>321846000</v>
      </c>
      <c r="AK47" s="14">
        <v>110000000</v>
      </c>
      <c r="AL47" s="13"/>
      <c r="AM47" s="14">
        <f t="shared" ref="AM47:AM55" si="89">AK47-AL47</f>
        <v>110000000</v>
      </c>
      <c r="AN47" s="14">
        <v>110000000</v>
      </c>
      <c r="AO47" s="13"/>
      <c r="AP47" s="14">
        <f t="shared" ref="AP47:AP55" si="90">AN47-AO47</f>
        <v>110000000</v>
      </c>
      <c r="AQ47" s="14">
        <v>110000000</v>
      </c>
      <c r="AR47" s="13"/>
      <c r="AS47" s="14">
        <f t="shared" ref="AS47:AS55" si="91">AQ47-AR47</f>
        <v>110000000</v>
      </c>
      <c r="AT47" s="174"/>
      <c r="AU47" s="174">
        <f t="shared" si="76"/>
        <v>0</v>
      </c>
      <c r="AV47" s="14">
        <f t="shared" si="77"/>
        <v>1317282000</v>
      </c>
      <c r="AW47" s="14">
        <f t="shared" si="78"/>
        <v>965538000</v>
      </c>
      <c r="AX47" s="178">
        <f t="shared" si="79"/>
        <v>1295538000</v>
      </c>
      <c r="AY47" s="16">
        <f t="shared" si="80"/>
        <v>1062091800.0000001</v>
      </c>
      <c r="AZ47" s="16">
        <f t="shared" si="81"/>
        <v>1168300980.0000002</v>
      </c>
      <c r="BA47" s="16">
        <f t="shared" si="81"/>
        <v>1285131078.0000005</v>
      </c>
      <c r="BB47" s="16">
        <f t="shared" si="81"/>
        <v>1413644185.8000007</v>
      </c>
    </row>
    <row r="48" spans="1:54" ht="18.399999999999999" customHeight="1" x14ac:dyDescent="0.2">
      <c r="A48" s="10">
        <v>15</v>
      </c>
      <c r="B48" s="11" t="s">
        <v>89</v>
      </c>
      <c r="C48" s="29" t="s">
        <v>90</v>
      </c>
      <c r="D48" s="14">
        <v>7425748</v>
      </c>
      <c r="E48" s="13">
        <f>11910462</f>
        <v>11910462</v>
      </c>
      <c r="F48" s="14">
        <f t="shared" si="82"/>
        <v>-4484714</v>
      </c>
      <c r="G48" s="14">
        <v>7425748</v>
      </c>
      <c r="H48" s="13">
        <v>5951894</v>
      </c>
      <c r="I48" s="14">
        <f t="shared" si="83"/>
        <v>1473854</v>
      </c>
      <c r="J48" s="14">
        <v>7425748</v>
      </c>
      <c r="K48" s="13">
        <v>29117</v>
      </c>
      <c r="L48" s="14">
        <f t="shared" si="71"/>
        <v>7396631</v>
      </c>
      <c r="M48" s="174">
        <f t="shared" si="72"/>
        <v>22277244</v>
      </c>
      <c r="N48" s="174">
        <f t="shared" si="72"/>
        <v>17891473</v>
      </c>
      <c r="O48" s="14">
        <v>7425748</v>
      </c>
      <c r="P48" s="13">
        <v>6428881</v>
      </c>
      <c r="Q48" s="14">
        <f t="shared" si="84"/>
        <v>996867</v>
      </c>
      <c r="R48" s="14">
        <v>7425748</v>
      </c>
      <c r="S48" s="13">
        <v>5848012</v>
      </c>
      <c r="T48" s="14">
        <f t="shared" si="85"/>
        <v>1577736</v>
      </c>
      <c r="U48" s="14">
        <v>7425748</v>
      </c>
      <c r="V48" s="175">
        <f>34208</f>
        <v>34208</v>
      </c>
      <c r="W48" s="14">
        <f t="shared" si="86"/>
        <v>7391540</v>
      </c>
      <c r="X48" s="174">
        <f t="shared" si="73"/>
        <v>22277244</v>
      </c>
      <c r="Y48" s="174">
        <f t="shared" si="73"/>
        <v>12311101</v>
      </c>
      <c r="Z48" s="14">
        <v>7425748</v>
      </c>
      <c r="AA48" s="13">
        <v>8571535</v>
      </c>
      <c r="AB48" s="14">
        <f t="shared" si="87"/>
        <v>-1145787</v>
      </c>
      <c r="AC48" s="14">
        <v>7425748</v>
      </c>
      <c r="AD48" s="13">
        <v>7705164</v>
      </c>
      <c r="AE48" s="14">
        <f t="shared" si="74"/>
        <v>-279416</v>
      </c>
      <c r="AF48" s="14">
        <v>7425748</v>
      </c>
      <c r="AG48" s="13">
        <v>8998640</v>
      </c>
      <c r="AH48" s="14">
        <f t="shared" si="88"/>
        <v>-1572892</v>
      </c>
      <c r="AI48" s="174">
        <f t="shared" si="3"/>
        <v>22277244</v>
      </c>
      <c r="AJ48" s="174">
        <f t="shared" si="75"/>
        <v>25275339</v>
      </c>
      <c r="AK48" s="14">
        <v>7425748</v>
      </c>
      <c r="AL48" s="13"/>
      <c r="AM48" s="14">
        <f t="shared" si="89"/>
        <v>7425748</v>
      </c>
      <c r="AN48" s="14">
        <v>7425748</v>
      </c>
      <c r="AO48" s="13"/>
      <c r="AP48" s="14">
        <f t="shared" si="90"/>
        <v>7425748</v>
      </c>
      <c r="AQ48" s="14">
        <v>7425748</v>
      </c>
      <c r="AR48" s="13"/>
      <c r="AS48" s="14">
        <f t="shared" si="91"/>
        <v>7425748</v>
      </c>
      <c r="AT48" s="174"/>
      <c r="AU48" s="174">
        <f t="shared" si="76"/>
        <v>0</v>
      </c>
      <c r="AV48" s="14">
        <f t="shared" si="77"/>
        <v>89108976</v>
      </c>
      <c r="AW48" s="14">
        <f t="shared" si="78"/>
        <v>55477913</v>
      </c>
      <c r="AX48" s="178">
        <f t="shared" si="79"/>
        <v>77755157</v>
      </c>
      <c r="AY48" s="16">
        <f t="shared" si="80"/>
        <v>61025704.300000004</v>
      </c>
      <c r="AZ48" s="16">
        <f t="shared" si="81"/>
        <v>67128274.730000004</v>
      </c>
      <c r="BA48" s="16">
        <f t="shared" si="81"/>
        <v>73841102.203000009</v>
      </c>
      <c r="BB48" s="16">
        <f t="shared" si="81"/>
        <v>81225212.423300013</v>
      </c>
    </row>
    <row r="49" spans="1:54" ht="18.399999999999999" customHeight="1" x14ac:dyDescent="0.2">
      <c r="A49" s="10">
        <v>16</v>
      </c>
      <c r="B49" s="11" t="s">
        <v>91</v>
      </c>
      <c r="C49" s="29" t="s">
        <v>92</v>
      </c>
      <c r="D49" s="14">
        <v>33891169</v>
      </c>
      <c r="E49" s="13">
        <v>34572194</v>
      </c>
      <c r="F49" s="14">
        <f t="shared" si="82"/>
        <v>-681025</v>
      </c>
      <c r="G49" s="14">
        <v>33891169</v>
      </c>
      <c r="H49" s="13">
        <v>24988357</v>
      </c>
      <c r="I49" s="14">
        <f t="shared" si="83"/>
        <v>8902812</v>
      </c>
      <c r="J49" s="14">
        <v>33891169</v>
      </c>
      <c r="K49" s="13">
        <v>40485128</v>
      </c>
      <c r="L49" s="14">
        <f t="shared" si="71"/>
        <v>-6593959</v>
      </c>
      <c r="M49" s="174">
        <f t="shared" si="72"/>
        <v>101673507</v>
      </c>
      <c r="N49" s="174">
        <f t="shared" si="72"/>
        <v>100045679</v>
      </c>
      <c r="O49" s="14">
        <v>33891169</v>
      </c>
      <c r="P49" s="13">
        <v>32975070</v>
      </c>
      <c r="Q49" s="14">
        <f t="shared" si="84"/>
        <v>916099</v>
      </c>
      <c r="R49" s="14">
        <v>33891169</v>
      </c>
      <c r="S49" s="13">
        <v>34175164</v>
      </c>
      <c r="T49" s="14">
        <f t="shared" si="85"/>
        <v>-283995</v>
      </c>
      <c r="U49" s="14">
        <v>33891169</v>
      </c>
      <c r="V49" s="175">
        <f>19262225</f>
        <v>19262225</v>
      </c>
      <c r="W49" s="14">
        <f t="shared" si="86"/>
        <v>14628944</v>
      </c>
      <c r="X49" s="174">
        <f t="shared" si="73"/>
        <v>101673507</v>
      </c>
      <c r="Y49" s="174">
        <f t="shared" si="73"/>
        <v>86412459</v>
      </c>
      <c r="Z49" s="14">
        <v>33891169</v>
      </c>
      <c r="AA49" s="13">
        <v>35656595</v>
      </c>
      <c r="AB49" s="14">
        <f t="shared" si="87"/>
        <v>-1765426</v>
      </c>
      <c r="AC49" s="14">
        <v>33891169</v>
      </c>
      <c r="AD49" s="13">
        <v>33368582</v>
      </c>
      <c r="AE49" s="14">
        <f t="shared" si="74"/>
        <v>522587</v>
      </c>
      <c r="AF49" s="14">
        <v>33891169</v>
      </c>
      <c r="AG49" s="13">
        <v>39742225</v>
      </c>
      <c r="AH49" s="14">
        <f t="shared" si="88"/>
        <v>-5851056</v>
      </c>
      <c r="AI49" s="174">
        <f t="shared" si="3"/>
        <v>101673507</v>
      </c>
      <c r="AJ49" s="174">
        <f t="shared" si="75"/>
        <v>108767402</v>
      </c>
      <c r="AK49" s="14">
        <v>33891169</v>
      </c>
      <c r="AL49" s="13"/>
      <c r="AM49" s="14">
        <f t="shared" si="89"/>
        <v>33891169</v>
      </c>
      <c r="AN49" s="14">
        <v>33891169</v>
      </c>
      <c r="AO49" s="13"/>
      <c r="AP49" s="14">
        <f t="shared" si="90"/>
        <v>33891169</v>
      </c>
      <c r="AQ49" s="14">
        <v>33891169</v>
      </c>
      <c r="AR49" s="13"/>
      <c r="AS49" s="14">
        <f t="shared" si="91"/>
        <v>33891169</v>
      </c>
      <c r="AT49" s="174"/>
      <c r="AU49" s="174">
        <f t="shared" si="76"/>
        <v>0</v>
      </c>
      <c r="AV49" s="14">
        <f t="shared" si="77"/>
        <v>406694028</v>
      </c>
      <c r="AW49" s="14">
        <f t="shared" si="78"/>
        <v>295225540</v>
      </c>
      <c r="AX49" s="178">
        <f t="shared" si="79"/>
        <v>396899047</v>
      </c>
      <c r="AY49" s="16">
        <f t="shared" si="80"/>
        <v>324748094</v>
      </c>
      <c r="AZ49" s="16">
        <f t="shared" si="81"/>
        <v>357222903.40000004</v>
      </c>
      <c r="BA49" s="16">
        <f t="shared" si="81"/>
        <v>392945193.74000007</v>
      </c>
      <c r="BB49" s="16">
        <f t="shared" si="81"/>
        <v>432239713.11400008</v>
      </c>
    </row>
    <row r="50" spans="1:54" ht="18.399999999999999" customHeight="1" x14ac:dyDescent="0.2">
      <c r="A50" s="10">
        <v>17</v>
      </c>
      <c r="B50" s="11" t="s">
        <v>93</v>
      </c>
      <c r="C50" s="29" t="s">
        <v>94</v>
      </c>
      <c r="D50" s="14"/>
      <c r="E50" s="13">
        <v>24983274</v>
      </c>
      <c r="F50" s="14">
        <f t="shared" si="82"/>
        <v>-24983274</v>
      </c>
      <c r="G50" s="14">
        <v>88005600</v>
      </c>
      <c r="H50" s="13">
        <v>23371450</v>
      </c>
      <c r="I50" s="14">
        <f t="shared" si="83"/>
        <v>64634150</v>
      </c>
      <c r="J50" s="14"/>
      <c r="K50" s="13">
        <v>24983274</v>
      </c>
      <c r="L50" s="14">
        <f t="shared" si="71"/>
        <v>-24983274</v>
      </c>
      <c r="M50" s="174">
        <f t="shared" si="72"/>
        <v>88005600</v>
      </c>
      <c r="N50" s="174">
        <f t="shared" si="72"/>
        <v>73337998</v>
      </c>
      <c r="O50" s="14"/>
      <c r="P50" s="13">
        <v>24177362</v>
      </c>
      <c r="Q50" s="14">
        <f t="shared" si="84"/>
        <v>-24177362</v>
      </c>
      <c r="R50" s="14">
        <v>88005600</v>
      </c>
      <c r="S50" s="13">
        <v>24983274</v>
      </c>
      <c r="T50" s="14">
        <f t="shared" si="85"/>
        <v>63022326</v>
      </c>
      <c r="U50" s="14"/>
      <c r="V50" s="175">
        <f>24177362</f>
        <v>24177362</v>
      </c>
      <c r="W50" s="14">
        <f t="shared" si="86"/>
        <v>-24177362</v>
      </c>
      <c r="X50" s="174">
        <f t="shared" si="73"/>
        <v>88005600</v>
      </c>
      <c r="Y50" s="174">
        <f t="shared" si="73"/>
        <v>73337998</v>
      </c>
      <c r="Z50" s="14"/>
      <c r="AA50" s="13">
        <v>24711717</v>
      </c>
      <c r="AB50" s="14">
        <f t="shared" si="87"/>
        <v>-24711717</v>
      </c>
      <c r="AC50" s="14">
        <v>88005600</v>
      </c>
      <c r="AD50" s="13">
        <v>24711717.390000001</v>
      </c>
      <c r="AE50" s="14">
        <f t="shared" si="74"/>
        <v>63293882.609999999</v>
      </c>
      <c r="AF50" s="14"/>
      <c r="AG50" s="13">
        <v>23914565.219999999</v>
      </c>
      <c r="AH50" s="14">
        <f t="shared" si="88"/>
        <v>-23914565.219999999</v>
      </c>
      <c r="AI50" s="174">
        <f t="shared" si="3"/>
        <v>88005600</v>
      </c>
      <c r="AJ50" s="174">
        <f t="shared" si="75"/>
        <v>73337999.609999999</v>
      </c>
      <c r="AK50" s="14"/>
      <c r="AL50" s="13"/>
      <c r="AM50" s="14">
        <f t="shared" si="89"/>
        <v>0</v>
      </c>
      <c r="AN50" s="14">
        <v>88005600</v>
      </c>
      <c r="AO50" s="13"/>
      <c r="AP50" s="14">
        <f t="shared" si="90"/>
        <v>88005600</v>
      </c>
      <c r="AQ50" s="14"/>
      <c r="AR50" s="13"/>
      <c r="AS50" s="14">
        <f t="shared" si="91"/>
        <v>0</v>
      </c>
      <c r="AT50" s="174"/>
      <c r="AU50" s="174">
        <f t="shared" si="76"/>
        <v>0</v>
      </c>
      <c r="AV50" s="14">
        <f t="shared" si="77"/>
        <v>352022400</v>
      </c>
      <c r="AW50" s="14">
        <f t="shared" si="78"/>
        <v>220013995.61000001</v>
      </c>
      <c r="AX50" s="178">
        <f t="shared" si="79"/>
        <v>308019595.61000001</v>
      </c>
      <c r="AY50" s="16">
        <f t="shared" si="80"/>
        <v>242015395.17100003</v>
      </c>
      <c r="AZ50" s="16">
        <f t="shared" si="81"/>
        <v>266216934.68810007</v>
      </c>
      <c r="BA50" s="16">
        <f t="shared" si="81"/>
        <v>292838628.15691012</v>
      </c>
      <c r="BB50" s="16">
        <f t="shared" si="81"/>
        <v>322122490.97260118</v>
      </c>
    </row>
    <row r="51" spans="1:54" s="57" customFormat="1" ht="27.6" customHeight="1" x14ac:dyDescent="0.2">
      <c r="A51" s="100">
        <v>18</v>
      </c>
      <c r="B51" s="50" t="s">
        <v>95</v>
      </c>
      <c r="C51" s="101" t="s">
        <v>96</v>
      </c>
      <c r="D51" s="55">
        <f>150500000+141574</f>
        <v>150641574</v>
      </c>
      <c r="E51" s="181">
        <v>150000</v>
      </c>
      <c r="F51" s="55">
        <f t="shared" si="82"/>
        <v>150491574</v>
      </c>
      <c r="G51" s="55">
        <v>141574</v>
      </c>
      <c r="H51" s="181">
        <v>150000</v>
      </c>
      <c r="I51" s="55">
        <f t="shared" si="83"/>
        <v>-8426</v>
      </c>
      <c r="J51" s="55">
        <v>141574</v>
      </c>
      <c r="K51" s="181">
        <v>150000</v>
      </c>
      <c r="L51" s="55">
        <f t="shared" si="71"/>
        <v>-8426</v>
      </c>
      <c r="M51" s="174">
        <f t="shared" si="72"/>
        <v>150924722</v>
      </c>
      <c r="N51" s="174">
        <f t="shared" si="72"/>
        <v>450000</v>
      </c>
      <c r="O51" s="55">
        <v>141574</v>
      </c>
      <c r="P51" s="13">
        <v>150000</v>
      </c>
      <c r="Q51" s="55">
        <f t="shared" si="84"/>
        <v>-8426</v>
      </c>
      <c r="R51" s="55">
        <v>141574</v>
      </c>
      <c r="S51" s="181">
        <v>150000</v>
      </c>
      <c r="T51" s="55">
        <f t="shared" si="85"/>
        <v>-8426</v>
      </c>
      <c r="U51" s="55">
        <v>141574</v>
      </c>
      <c r="V51" s="206">
        <f>1170000</f>
        <v>1170000</v>
      </c>
      <c r="W51" s="55">
        <f t="shared" si="86"/>
        <v>-1028426</v>
      </c>
      <c r="X51" s="174">
        <f t="shared" si="73"/>
        <v>424722</v>
      </c>
      <c r="Y51" s="174">
        <f t="shared" si="73"/>
        <v>1470000</v>
      </c>
      <c r="Z51" s="55">
        <v>141574</v>
      </c>
      <c r="AA51" s="181"/>
      <c r="AB51" s="55">
        <f t="shared" si="87"/>
        <v>141574</v>
      </c>
      <c r="AC51" s="55">
        <v>141574</v>
      </c>
      <c r="AD51" s="181"/>
      <c r="AE51" s="55">
        <f t="shared" si="74"/>
        <v>141574</v>
      </c>
      <c r="AF51" s="55">
        <v>141574</v>
      </c>
      <c r="AG51" s="181">
        <v>63631500</v>
      </c>
      <c r="AH51" s="55">
        <f t="shared" si="88"/>
        <v>-63489926</v>
      </c>
      <c r="AI51" s="174">
        <f t="shared" si="3"/>
        <v>424722</v>
      </c>
      <c r="AJ51" s="174">
        <f t="shared" si="75"/>
        <v>63631500</v>
      </c>
      <c r="AK51" s="55">
        <v>141574</v>
      </c>
      <c r="AL51" s="181"/>
      <c r="AM51" s="55">
        <f t="shared" si="89"/>
        <v>141574</v>
      </c>
      <c r="AN51" s="55">
        <v>141574</v>
      </c>
      <c r="AO51" s="181"/>
      <c r="AP51" s="55">
        <f t="shared" si="90"/>
        <v>141574</v>
      </c>
      <c r="AQ51" s="55">
        <v>141574</v>
      </c>
      <c r="AR51" s="181"/>
      <c r="AS51" s="55">
        <f t="shared" si="91"/>
        <v>141574</v>
      </c>
      <c r="AT51" s="174"/>
      <c r="AU51" s="174">
        <f t="shared" si="76"/>
        <v>0</v>
      </c>
      <c r="AV51" s="53">
        <f t="shared" si="77"/>
        <v>152198888</v>
      </c>
      <c r="AW51" s="14">
        <f t="shared" si="78"/>
        <v>65551500</v>
      </c>
      <c r="AX51" s="178">
        <f t="shared" si="79"/>
        <v>65976222</v>
      </c>
      <c r="AY51" s="183">
        <f t="shared" si="80"/>
        <v>72106650</v>
      </c>
      <c r="AZ51" s="183">
        <f t="shared" si="81"/>
        <v>79317315</v>
      </c>
      <c r="BA51" s="183">
        <f t="shared" si="81"/>
        <v>87249046.5</v>
      </c>
      <c r="BB51" s="183">
        <f t="shared" si="81"/>
        <v>95973951.150000006</v>
      </c>
    </row>
    <row r="52" spans="1:54" ht="18.399999999999999" customHeight="1" x14ac:dyDescent="0.2">
      <c r="A52" s="10">
        <v>19</v>
      </c>
      <c r="B52" s="11" t="s">
        <v>97</v>
      </c>
      <c r="C52" s="29" t="s">
        <v>98</v>
      </c>
      <c r="D52" s="14"/>
      <c r="E52" s="13"/>
      <c r="F52" s="14">
        <f t="shared" si="82"/>
        <v>0</v>
      </c>
      <c r="G52" s="1">
        <f>1500000</f>
        <v>1500000</v>
      </c>
      <c r="H52" s="13"/>
      <c r="I52" s="14">
        <f t="shared" si="83"/>
        <v>1500000</v>
      </c>
      <c r="J52" s="14"/>
      <c r="K52" s="13">
        <v>409091</v>
      </c>
      <c r="L52" s="14">
        <f t="shared" si="71"/>
        <v>-409091</v>
      </c>
      <c r="M52" s="174">
        <f t="shared" si="72"/>
        <v>1500000</v>
      </c>
      <c r="N52" s="174">
        <f t="shared" si="72"/>
        <v>409091</v>
      </c>
      <c r="O52" s="14"/>
      <c r="P52" s="13"/>
      <c r="Q52" s="14">
        <f t="shared" si="84"/>
        <v>0</v>
      </c>
      <c r="R52" s="1">
        <f>1500000</f>
        <v>1500000</v>
      </c>
      <c r="S52" s="13"/>
      <c r="T52" s="14">
        <f t="shared" si="85"/>
        <v>1500000</v>
      </c>
      <c r="U52" s="14"/>
      <c r="V52" s="13"/>
      <c r="W52" s="14">
        <f t="shared" si="86"/>
        <v>0</v>
      </c>
      <c r="X52" s="174">
        <f t="shared" si="73"/>
        <v>1500000</v>
      </c>
      <c r="Y52" s="174">
        <f t="shared" si="73"/>
        <v>0</v>
      </c>
      <c r="Z52" s="14"/>
      <c r="AA52" s="13"/>
      <c r="AB52" s="14">
        <f t="shared" si="87"/>
        <v>0</v>
      </c>
      <c r="AC52" s="1">
        <f>1500000</f>
        <v>1500000</v>
      </c>
      <c r="AD52" s="13"/>
      <c r="AE52" s="14">
        <f t="shared" si="74"/>
        <v>1500000</v>
      </c>
      <c r="AF52" s="14"/>
      <c r="AG52" s="13">
        <v>409091</v>
      </c>
      <c r="AH52" s="14">
        <f t="shared" si="88"/>
        <v>-409091</v>
      </c>
      <c r="AI52" s="174">
        <f t="shared" si="3"/>
        <v>1500000</v>
      </c>
      <c r="AJ52" s="174">
        <f t="shared" si="75"/>
        <v>409091</v>
      </c>
      <c r="AK52" s="14"/>
      <c r="AL52" s="13"/>
      <c r="AM52" s="14">
        <f t="shared" si="89"/>
        <v>0</v>
      </c>
      <c r="AN52" s="1">
        <f>1500000</f>
        <v>1500000</v>
      </c>
      <c r="AO52" s="13"/>
      <c r="AP52" s="14">
        <f t="shared" si="90"/>
        <v>1500000</v>
      </c>
      <c r="AQ52" s="14"/>
      <c r="AR52" s="13"/>
      <c r="AS52" s="14">
        <f t="shared" si="91"/>
        <v>0</v>
      </c>
      <c r="AT52" s="174"/>
      <c r="AU52" s="174">
        <f t="shared" si="76"/>
        <v>0</v>
      </c>
      <c r="AV52" s="14">
        <f t="shared" si="77"/>
        <v>6000000</v>
      </c>
      <c r="AW52" s="14">
        <f t="shared" si="78"/>
        <v>818182</v>
      </c>
      <c r="AX52" s="178">
        <f t="shared" si="79"/>
        <v>2318182</v>
      </c>
      <c r="AY52" s="16">
        <f t="shared" si="80"/>
        <v>900000.20000000007</v>
      </c>
      <c r="AZ52" s="16">
        <f t="shared" si="81"/>
        <v>990000.2200000002</v>
      </c>
      <c r="BA52" s="16">
        <f t="shared" si="81"/>
        <v>1089000.2420000003</v>
      </c>
      <c r="BB52" s="16">
        <f t="shared" si="81"/>
        <v>1197900.2662000004</v>
      </c>
    </row>
    <row r="53" spans="1:54" ht="18.399999999999999" customHeight="1" x14ac:dyDescent="0.2">
      <c r="A53" s="10">
        <v>20</v>
      </c>
      <c r="B53" s="11" t="s">
        <v>99</v>
      </c>
      <c r="C53" s="29" t="s">
        <v>100</v>
      </c>
      <c r="D53" s="14">
        <f>6962154</f>
        <v>6962154</v>
      </c>
      <c r="E53" s="13">
        <v>13011291</v>
      </c>
      <c r="F53" s="14">
        <f t="shared" si="82"/>
        <v>-6049137</v>
      </c>
      <c r="G53" s="14">
        <f>6962154</f>
        <v>6962154</v>
      </c>
      <c r="H53" s="13">
        <v>7051223</v>
      </c>
      <c r="I53" s="14">
        <f t="shared" si="83"/>
        <v>-89069</v>
      </c>
      <c r="J53" s="14">
        <f>6962154</f>
        <v>6962154</v>
      </c>
      <c r="K53" s="13">
        <v>14677381</v>
      </c>
      <c r="L53" s="14">
        <f t="shared" si="71"/>
        <v>-7715227</v>
      </c>
      <c r="M53" s="174">
        <f t="shared" si="72"/>
        <v>20886462</v>
      </c>
      <c r="N53" s="174">
        <f t="shared" si="72"/>
        <v>34739895</v>
      </c>
      <c r="O53" s="14">
        <f>6962154</f>
        <v>6962154</v>
      </c>
      <c r="P53" s="13">
        <v>6674489</v>
      </c>
      <c r="Q53" s="14">
        <f t="shared" si="84"/>
        <v>287665</v>
      </c>
      <c r="R53" s="14">
        <f>6962154</f>
        <v>6962154</v>
      </c>
      <c r="S53" s="13">
        <v>10194374</v>
      </c>
      <c r="T53" s="14">
        <f t="shared" si="85"/>
        <v>-3232220</v>
      </c>
      <c r="U53" s="14">
        <f>6962154</f>
        <v>6962154</v>
      </c>
      <c r="V53" s="175">
        <f>3060289</f>
        <v>3060289</v>
      </c>
      <c r="W53" s="14">
        <f t="shared" si="86"/>
        <v>3901865</v>
      </c>
      <c r="X53" s="174">
        <f t="shared" si="73"/>
        <v>20886462</v>
      </c>
      <c r="Y53" s="174">
        <f t="shared" si="73"/>
        <v>19929152</v>
      </c>
      <c r="Z53" s="14">
        <f>6962154</f>
        <v>6962154</v>
      </c>
      <c r="AA53" s="13">
        <v>5543736</v>
      </c>
      <c r="AB53" s="14">
        <f t="shared" si="87"/>
        <v>1418418</v>
      </c>
      <c r="AC53" s="14">
        <f>6962154*2</f>
        <v>13924308</v>
      </c>
      <c r="AD53" s="13">
        <v>13115407</v>
      </c>
      <c r="AE53" s="14">
        <f t="shared" si="74"/>
        <v>808901</v>
      </c>
      <c r="AF53" s="14">
        <f>6962154</f>
        <v>6962154</v>
      </c>
      <c r="AG53" s="13">
        <v>3485847.83</v>
      </c>
      <c r="AH53" s="14">
        <f t="shared" si="88"/>
        <v>3476306.17</v>
      </c>
      <c r="AI53" s="174">
        <f t="shared" si="3"/>
        <v>27848616</v>
      </c>
      <c r="AJ53" s="174">
        <f t="shared" si="75"/>
        <v>22144990.829999998</v>
      </c>
      <c r="AK53" s="14">
        <f>6962154</f>
        <v>6962154</v>
      </c>
      <c r="AL53" s="13"/>
      <c r="AM53" s="14">
        <f t="shared" si="89"/>
        <v>6962154</v>
      </c>
      <c r="AN53" s="14">
        <f>6962154</f>
        <v>6962154</v>
      </c>
      <c r="AO53" s="13"/>
      <c r="AP53" s="14">
        <f t="shared" si="90"/>
        <v>6962154</v>
      </c>
      <c r="AQ53" s="14">
        <f>6962154*2</f>
        <v>13924308</v>
      </c>
      <c r="AR53" s="13"/>
      <c r="AS53" s="14">
        <f t="shared" si="91"/>
        <v>13924308</v>
      </c>
      <c r="AT53" s="174"/>
      <c r="AU53" s="174">
        <f t="shared" si="76"/>
        <v>0</v>
      </c>
      <c r="AV53" s="14">
        <f t="shared" si="77"/>
        <v>97470156</v>
      </c>
      <c r="AW53" s="14">
        <f t="shared" si="78"/>
        <v>76814037.829999998</v>
      </c>
      <c r="AX53" s="178">
        <f t="shared" si="79"/>
        <v>104662653.83</v>
      </c>
      <c r="AY53" s="16">
        <f t="shared" si="80"/>
        <v>84495441.613000005</v>
      </c>
      <c r="AZ53" s="16">
        <f t="shared" si="81"/>
        <v>92944985.774300009</v>
      </c>
      <c r="BA53" s="16">
        <f t="shared" si="81"/>
        <v>102239484.35173002</v>
      </c>
      <c r="BB53" s="16">
        <f t="shared" si="81"/>
        <v>112463432.78690302</v>
      </c>
    </row>
    <row r="54" spans="1:54" ht="18.399999999999999" customHeight="1" x14ac:dyDescent="0.2">
      <c r="A54" s="10">
        <v>21</v>
      </c>
      <c r="B54" s="11" t="s">
        <v>64</v>
      </c>
      <c r="C54" s="29" t="s">
        <v>101</v>
      </c>
      <c r="D54" s="14"/>
      <c r="E54" s="13">
        <f>24158+246395+1430860</f>
        <v>1701413</v>
      </c>
      <c r="F54" s="14">
        <f t="shared" si="82"/>
        <v>-1701413</v>
      </c>
      <c r="G54" s="14"/>
      <c r="H54" s="13">
        <f>22599+230498+1338546</f>
        <v>1591643</v>
      </c>
      <c r="I54" s="14">
        <f t="shared" si="83"/>
        <v>-1591643</v>
      </c>
      <c r="J54" s="14"/>
      <c r="K54" s="13">
        <f>1430860+23378+238446</f>
        <v>1692684</v>
      </c>
      <c r="L54" s="14">
        <f t="shared" si="71"/>
        <v>-1692684</v>
      </c>
      <c r="M54" s="174">
        <f t="shared" si="72"/>
        <v>0</v>
      </c>
      <c r="N54" s="174">
        <f t="shared" si="72"/>
        <v>4985740</v>
      </c>
      <c r="O54" s="14"/>
      <c r="P54" s="13">
        <f>2623978+3465388</f>
        <v>6089366</v>
      </c>
      <c r="Q54" s="14">
        <f t="shared" si="84"/>
        <v>-6089366</v>
      </c>
      <c r="R54" s="14"/>
      <c r="S54" s="13">
        <f>2711445+3980901</f>
        <v>6692346</v>
      </c>
      <c r="T54" s="14">
        <f t="shared" si="85"/>
        <v>-6692346</v>
      </c>
      <c r="U54" s="14"/>
      <c r="V54" s="175">
        <f>1549940+1170000+1353900+581999+359489</f>
        <v>5015328</v>
      </c>
      <c r="W54" s="14">
        <f t="shared" si="86"/>
        <v>-5015328</v>
      </c>
      <c r="X54" s="174">
        <f t="shared" si="73"/>
        <v>0</v>
      </c>
      <c r="Y54" s="174">
        <f t="shared" si="73"/>
        <v>17797040</v>
      </c>
      <c r="Z54" s="1">
        <v>716051.22516943375</v>
      </c>
      <c r="AA54" s="13"/>
      <c r="AB54" s="14">
        <f t="shared" si="87"/>
        <v>716051.22516943375</v>
      </c>
      <c r="AC54" s="14"/>
      <c r="AD54" s="13"/>
      <c r="AE54" s="14">
        <f t="shared" si="74"/>
        <v>0</v>
      </c>
      <c r="AF54" s="14"/>
      <c r="AG54" s="13"/>
      <c r="AH54" s="14">
        <f t="shared" si="88"/>
        <v>0</v>
      </c>
      <c r="AI54" s="174">
        <f t="shared" si="3"/>
        <v>716051.22516943375</v>
      </c>
      <c r="AJ54" s="174">
        <f t="shared" si="75"/>
        <v>0</v>
      </c>
      <c r="AK54" s="14"/>
      <c r="AL54" s="13"/>
      <c r="AM54" s="14">
        <f t="shared" si="89"/>
        <v>0</v>
      </c>
      <c r="AN54" s="14"/>
      <c r="AO54" s="13"/>
      <c r="AP54" s="14">
        <f t="shared" si="90"/>
        <v>0</v>
      </c>
      <c r="AQ54" s="14"/>
      <c r="AR54" s="13"/>
      <c r="AS54" s="14">
        <f t="shared" si="91"/>
        <v>0</v>
      </c>
      <c r="AT54" s="174"/>
      <c r="AU54" s="174">
        <f t="shared" si="76"/>
        <v>0</v>
      </c>
      <c r="AV54" s="14">
        <f t="shared" si="77"/>
        <v>716051.22516943375</v>
      </c>
      <c r="AW54" s="14">
        <f t="shared" si="78"/>
        <v>22782780</v>
      </c>
      <c r="AX54" s="178">
        <f t="shared" si="79"/>
        <v>22782780</v>
      </c>
      <c r="AY54" s="16">
        <f t="shared" si="80"/>
        <v>25061058.000000004</v>
      </c>
      <c r="AZ54" s="16">
        <f t="shared" si="81"/>
        <v>27567163.800000004</v>
      </c>
      <c r="BA54" s="16">
        <f t="shared" si="81"/>
        <v>30323880.180000007</v>
      </c>
      <c r="BB54" s="16">
        <f t="shared" si="81"/>
        <v>33356268.19800001</v>
      </c>
    </row>
    <row r="55" spans="1:54" ht="18.399999999999999" customHeight="1" x14ac:dyDescent="0.2">
      <c r="A55" s="10">
        <v>22</v>
      </c>
      <c r="B55" s="11" t="s">
        <v>64</v>
      </c>
      <c r="C55" s="29" t="s">
        <v>102</v>
      </c>
      <c r="D55" s="14">
        <v>11000000</v>
      </c>
      <c r="E55" s="13">
        <v>8243000</v>
      </c>
      <c r="F55" s="14">
        <f t="shared" si="82"/>
        <v>2757000</v>
      </c>
      <c r="G55" s="14"/>
      <c r="H55" s="13">
        <f>201700</f>
        <v>201700</v>
      </c>
      <c r="I55" s="14">
        <f t="shared" si="83"/>
        <v>-201700</v>
      </c>
      <c r="J55" s="14">
        <v>6000000</v>
      </c>
      <c r="K55" s="13">
        <f>668900+500000+2212050</f>
        <v>3380950</v>
      </c>
      <c r="L55" s="14">
        <f t="shared" si="71"/>
        <v>2619050</v>
      </c>
      <c r="M55" s="174">
        <f t="shared" si="72"/>
        <v>17000000</v>
      </c>
      <c r="N55" s="174">
        <f t="shared" si="72"/>
        <v>11825650</v>
      </c>
      <c r="O55" s="14"/>
      <c r="P55" s="13">
        <v>750000</v>
      </c>
      <c r="Q55" s="14">
        <f t="shared" si="84"/>
        <v>-750000</v>
      </c>
      <c r="R55" s="14">
        <v>3000000</v>
      </c>
      <c r="S55" s="13">
        <v>2858000</v>
      </c>
      <c r="T55" s="14">
        <f t="shared" si="85"/>
        <v>142000</v>
      </c>
      <c r="U55" s="14"/>
      <c r="V55" s="175">
        <v>7913000</v>
      </c>
      <c r="W55" s="14">
        <f t="shared" si="86"/>
        <v>-7913000</v>
      </c>
      <c r="X55" s="174">
        <f t="shared" si="73"/>
        <v>3000000</v>
      </c>
      <c r="Y55" s="174">
        <f t="shared" si="73"/>
        <v>11521000</v>
      </c>
      <c r="Z55" s="14"/>
      <c r="AA55" s="13"/>
      <c r="AB55" s="14">
        <f t="shared" si="87"/>
        <v>0</v>
      </c>
      <c r="AC55" s="14"/>
      <c r="AD55" s="13"/>
      <c r="AE55" s="14">
        <f t="shared" si="74"/>
        <v>0</v>
      </c>
      <c r="AF55" s="14"/>
      <c r="AG55" s="13"/>
      <c r="AH55" s="14">
        <f t="shared" si="88"/>
        <v>0</v>
      </c>
      <c r="AI55" s="174">
        <f t="shared" si="3"/>
        <v>0</v>
      </c>
      <c r="AJ55" s="174">
        <f t="shared" si="75"/>
        <v>0</v>
      </c>
      <c r="AK55" s="14"/>
      <c r="AL55" s="13"/>
      <c r="AM55" s="14">
        <f t="shared" si="89"/>
        <v>0</v>
      </c>
      <c r="AN55" s="14"/>
      <c r="AO55" s="13"/>
      <c r="AP55" s="14">
        <f t="shared" si="90"/>
        <v>0</v>
      </c>
      <c r="AQ55" s="14"/>
      <c r="AR55" s="13"/>
      <c r="AS55" s="14">
        <f t="shared" si="91"/>
        <v>0</v>
      </c>
      <c r="AT55" s="174"/>
      <c r="AU55" s="174">
        <f t="shared" si="76"/>
        <v>0</v>
      </c>
      <c r="AV55" s="14">
        <f t="shared" si="77"/>
        <v>20000000</v>
      </c>
      <c r="AW55" s="14">
        <f t="shared" si="78"/>
        <v>23346650</v>
      </c>
      <c r="AX55" s="178">
        <f t="shared" si="79"/>
        <v>23346650</v>
      </c>
      <c r="AY55" s="16">
        <f t="shared" si="80"/>
        <v>25681315.000000004</v>
      </c>
      <c r="AZ55" s="16">
        <f t="shared" si="81"/>
        <v>28249446.500000007</v>
      </c>
      <c r="BA55" s="16">
        <f t="shared" si="81"/>
        <v>31074391.15000001</v>
      </c>
      <c r="BB55" s="16">
        <f t="shared" si="81"/>
        <v>34181830.265000015</v>
      </c>
    </row>
    <row r="56" spans="1:54" s="21" customFormat="1" ht="18.399999999999999" customHeight="1" x14ac:dyDescent="0.2">
      <c r="A56" s="17"/>
      <c r="B56" s="11"/>
      <c r="C56" s="19" t="s">
        <v>103</v>
      </c>
      <c r="D56" s="19">
        <f t="shared" ref="D56:BB56" si="92">SUM(D45:D55)</f>
        <v>319920645</v>
      </c>
      <c r="E56" s="19">
        <f t="shared" si="92"/>
        <v>201853634</v>
      </c>
      <c r="F56" s="19">
        <f t="shared" si="92"/>
        <v>118067011</v>
      </c>
      <c r="G56" s="19">
        <f t="shared" si="92"/>
        <v>247926245</v>
      </c>
      <c r="H56" s="19">
        <f t="shared" si="92"/>
        <v>170588267</v>
      </c>
      <c r="I56" s="19">
        <f t="shared" si="92"/>
        <v>77337978</v>
      </c>
      <c r="J56" s="19">
        <f t="shared" si="92"/>
        <v>194420645</v>
      </c>
      <c r="K56" s="19">
        <f t="shared" si="92"/>
        <v>193089625</v>
      </c>
      <c r="L56" s="19">
        <f t="shared" si="92"/>
        <v>1331020</v>
      </c>
      <c r="M56" s="19">
        <f t="shared" si="92"/>
        <v>762267535</v>
      </c>
      <c r="N56" s="19">
        <f t="shared" si="92"/>
        <v>565531526</v>
      </c>
      <c r="O56" s="19">
        <f t="shared" si="92"/>
        <v>158420645</v>
      </c>
      <c r="P56" s="19">
        <f t="shared" si="92"/>
        <v>184527168</v>
      </c>
      <c r="Q56" s="19">
        <f t="shared" si="92"/>
        <v>-26106523</v>
      </c>
      <c r="R56" s="19">
        <f t="shared" si="92"/>
        <v>250926245</v>
      </c>
      <c r="S56" s="19">
        <f t="shared" si="92"/>
        <v>192183170</v>
      </c>
      <c r="T56" s="19">
        <f t="shared" si="92"/>
        <v>58743075</v>
      </c>
      <c r="U56" s="19">
        <f t="shared" si="92"/>
        <v>158420645</v>
      </c>
      <c r="V56" s="19">
        <f t="shared" si="92"/>
        <v>167914412</v>
      </c>
      <c r="W56" s="19">
        <f t="shared" si="92"/>
        <v>-9493767</v>
      </c>
      <c r="X56" s="19">
        <f t="shared" si="92"/>
        <v>567767535</v>
      </c>
      <c r="Y56" s="19">
        <f t="shared" si="92"/>
        <v>544624750</v>
      </c>
      <c r="Z56" s="19">
        <f t="shared" si="92"/>
        <v>159136696.22516942</v>
      </c>
      <c r="AA56" s="19">
        <f t="shared" si="92"/>
        <v>188706591</v>
      </c>
      <c r="AB56" s="19">
        <f t="shared" si="92"/>
        <v>-29569894.774830565</v>
      </c>
      <c r="AC56" s="19">
        <f t="shared" si="92"/>
        <v>284888399</v>
      </c>
      <c r="AD56" s="19">
        <f t="shared" si="92"/>
        <v>186182870.38999999</v>
      </c>
      <c r="AE56" s="19">
        <f t="shared" si="92"/>
        <v>203269528.61000001</v>
      </c>
      <c r="AF56" s="19">
        <f t="shared" si="92"/>
        <v>155702645</v>
      </c>
      <c r="AG56" s="19">
        <f t="shared" si="92"/>
        <v>277174017.05000001</v>
      </c>
      <c r="AH56" s="19">
        <f t="shared" si="92"/>
        <v>-121471372.05</v>
      </c>
      <c r="AI56" s="19">
        <f t="shared" si="92"/>
        <v>599727740.22516942</v>
      </c>
      <c r="AJ56" s="19">
        <f t="shared" si="92"/>
        <v>652063478.44000006</v>
      </c>
      <c r="AK56" s="19">
        <f t="shared" si="92"/>
        <v>158420645</v>
      </c>
      <c r="AL56" s="19">
        <f t="shared" si="92"/>
        <v>0</v>
      </c>
      <c r="AM56" s="19">
        <f t="shared" si="92"/>
        <v>158420645</v>
      </c>
      <c r="AN56" s="19">
        <f t="shared" si="92"/>
        <v>247926245</v>
      </c>
      <c r="AO56" s="19">
        <f t="shared" si="92"/>
        <v>0</v>
      </c>
      <c r="AP56" s="19">
        <f t="shared" si="92"/>
        <v>247926245</v>
      </c>
      <c r="AQ56" s="19">
        <f t="shared" si="92"/>
        <v>165382799</v>
      </c>
      <c r="AR56" s="19">
        <f t="shared" si="92"/>
        <v>0</v>
      </c>
      <c r="AS56" s="19">
        <f t="shared" si="92"/>
        <v>165382799</v>
      </c>
      <c r="AT56" s="19">
        <f t="shared" si="92"/>
        <v>0</v>
      </c>
      <c r="AU56" s="19">
        <f t="shared" si="92"/>
        <v>0</v>
      </c>
      <c r="AV56" s="19">
        <f t="shared" si="92"/>
        <v>2501492499.2251697</v>
      </c>
      <c r="AW56" s="19">
        <f t="shared" si="92"/>
        <v>1762219754.4400001</v>
      </c>
      <c r="AX56" s="19">
        <f t="shared" si="92"/>
        <v>2333949443.4400001</v>
      </c>
      <c r="AY56" s="19">
        <f t="shared" si="92"/>
        <v>1938441729.8840001</v>
      </c>
      <c r="AZ56" s="19">
        <f t="shared" si="92"/>
        <v>2132285902.8724005</v>
      </c>
      <c r="BA56" s="19">
        <f t="shared" si="92"/>
        <v>2345514493.1596403</v>
      </c>
      <c r="BB56" s="19">
        <f t="shared" si="92"/>
        <v>2580065942.4756045</v>
      </c>
    </row>
    <row r="57" spans="1:54" s="2" customFormat="1" ht="18.399999999999999" customHeight="1" x14ac:dyDescent="0.2">
      <c r="A57" s="58"/>
      <c r="B57" s="27"/>
      <c r="C57" s="47" t="s">
        <v>104</v>
      </c>
      <c r="D57" s="59">
        <f t="shared" ref="D57:BB57" si="93">D56+D44</f>
        <v>470124709</v>
      </c>
      <c r="E57" s="59">
        <f t="shared" si="93"/>
        <v>219859510</v>
      </c>
      <c r="F57" s="59">
        <f t="shared" si="93"/>
        <v>250265199</v>
      </c>
      <c r="G57" s="59">
        <f t="shared" si="93"/>
        <v>273893771</v>
      </c>
      <c r="H57" s="59">
        <f t="shared" si="93"/>
        <v>277018826</v>
      </c>
      <c r="I57" s="59">
        <f t="shared" si="93"/>
        <v>-3125055</v>
      </c>
      <c r="J57" s="59">
        <f t="shared" si="93"/>
        <v>236621349</v>
      </c>
      <c r="K57" s="59">
        <f t="shared" si="93"/>
        <v>220849579</v>
      </c>
      <c r="L57" s="59">
        <f t="shared" si="93"/>
        <v>15771770</v>
      </c>
      <c r="M57" s="59">
        <f t="shared" si="93"/>
        <v>980639829</v>
      </c>
      <c r="N57" s="59">
        <f t="shared" si="93"/>
        <v>717727915</v>
      </c>
      <c r="O57" s="59">
        <f t="shared" si="93"/>
        <v>200388171</v>
      </c>
      <c r="P57" s="59">
        <f t="shared" si="93"/>
        <v>194216876</v>
      </c>
      <c r="Q57" s="59">
        <f t="shared" si="93"/>
        <v>6171295</v>
      </c>
      <c r="R57" s="59">
        <f t="shared" si="93"/>
        <v>266526949</v>
      </c>
      <c r="S57" s="59">
        <f t="shared" si="93"/>
        <v>208103047</v>
      </c>
      <c r="T57" s="59">
        <f t="shared" si="93"/>
        <v>58423902</v>
      </c>
      <c r="U57" s="59">
        <f t="shared" si="93"/>
        <v>184388171</v>
      </c>
      <c r="V57" s="59">
        <f t="shared" si="93"/>
        <v>184899769</v>
      </c>
      <c r="W57" s="59">
        <f t="shared" si="93"/>
        <v>-511598</v>
      </c>
      <c r="X57" s="59">
        <f t="shared" si="93"/>
        <v>651303291</v>
      </c>
      <c r="Y57" s="59">
        <f t="shared" si="93"/>
        <v>587219692</v>
      </c>
      <c r="Z57" s="59">
        <f t="shared" si="93"/>
        <v>174737400.22516942</v>
      </c>
      <c r="AA57" s="59">
        <f t="shared" si="93"/>
        <v>209162390</v>
      </c>
      <c r="AB57" s="59">
        <f t="shared" si="93"/>
        <v>-34424989.774830565</v>
      </c>
      <c r="AC57" s="59">
        <f t="shared" si="93"/>
        <v>310855925</v>
      </c>
      <c r="AD57" s="59">
        <f t="shared" si="93"/>
        <v>194630133.38999999</v>
      </c>
      <c r="AE57" s="59">
        <f t="shared" si="93"/>
        <v>220789791.61000001</v>
      </c>
      <c r="AF57" s="59">
        <f t="shared" si="93"/>
        <v>171303349</v>
      </c>
      <c r="AG57" s="59">
        <f t="shared" si="93"/>
        <v>291599717.79000002</v>
      </c>
      <c r="AH57" s="59">
        <f t="shared" si="93"/>
        <v>-120296368.78999999</v>
      </c>
      <c r="AI57" s="59">
        <f t="shared" si="93"/>
        <v>656896674.22516942</v>
      </c>
      <c r="AJ57" s="59">
        <f t="shared" si="93"/>
        <v>695392241.18000007</v>
      </c>
      <c r="AK57" s="59">
        <f t="shared" si="93"/>
        <v>184388171</v>
      </c>
      <c r="AL57" s="59">
        <f t="shared" si="93"/>
        <v>0</v>
      </c>
      <c r="AM57" s="59">
        <f t="shared" si="93"/>
        <v>184388171</v>
      </c>
      <c r="AN57" s="59">
        <f t="shared" si="93"/>
        <v>263526949</v>
      </c>
      <c r="AO57" s="59">
        <f t="shared" si="93"/>
        <v>0</v>
      </c>
      <c r="AP57" s="59">
        <f t="shared" si="93"/>
        <v>263526949</v>
      </c>
      <c r="AQ57" s="59">
        <f t="shared" si="93"/>
        <v>191350325</v>
      </c>
      <c r="AR57" s="59">
        <f t="shared" si="93"/>
        <v>0</v>
      </c>
      <c r="AS57" s="59">
        <f t="shared" si="93"/>
        <v>191350325</v>
      </c>
      <c r="AT57" s="59">
        <f t="shared" si="93"/>
        <v>0</v>
      </c>
      <c r="AU57" s="59">
        <f t="shared" si="93"/>
        <v>0</v>
      </c>
      <c r="AV57" s="59">
        <f t="shared" si="93"/>
        <v>2928105239.2251697</v>
      </c>
      <c r="AW57" s="59">
        <f t="shared" si="93"/>
        <v>2000339848.1800001</v>
      </c>
      <c r="AX57" s="59">
        <f t="shared" si="93"/>
        <v>2639605293.1800003</v>
      </c>
      <c r="AY57" s="59">
        <f t="shared" si="93"/>
        <v>2200373832.9980001</v>
      </c>
      <c r="AZ57" s="59">
        <f t="shared" si="93"/>
        <v>2420411216.2978005</v>
      </c>
      <c r="BA57" s="59">
        <f t="shared" si="93"/>
        <v>2662452337.9275804</v>
      </c>
      <c r="BB57" s="59">
        <f t="shared" si="93"/>
        <v>2928697571.7203388</v>
      </c>
    </row>
    <row r="58" spans="1:54" ht="18.399999999999999" customHeight="1" x14ac:dyDescent="0.25">
      <c r="A58" s="10">
        <v>1</v>
      </c>
      <c r="B58" s="11" t="s">
        <v>105</v>
      </c>
      <c r="C58" s="29" t="s">
        <v>106</v>
      </c>
      <c r="D58" s="14">
        <f>(12600000+30800000)/2</f>
        <v>21700000</v>
      </c>
      <c r="E58" s="13"/>
      <c r="F58" s="14">
        <f>D58-E58</f>
        <v>21700000</v>
      </c>
      <c r="G58" s="14">
        <f>1800000</f>
        <v>1800000</v>
      </c>
      <c r="H58" s="13"/>
      <c r="I58" s="14">
        <f>G58-H58</f>
        <v>1800000</v>
      </c>
      <c r="J58" s="14">
        <f>(7560000+45000000+2800000)/2</f>
        <v>27680000</v>
      </c>
      <c r="K58" s="13"/>
      <c r="L58" s="14">
        <f>J58-K58</f>
        <v>27680000</v>
      </c>
      <c r="M58" s="174">
        <f t="shared" ref="M58:N63" si="94">D58+G58+J58</f>
        <v>51180000</v>
      </c>
      <c r="N58" s="174">
        <f t="shared" si="94"/>
        <v>0</v>
      </c>
      <c r="O58" s="14">
        <f>25650000/2</f>
        <v>12825000</v>
      </c>
      <c r="P58" s="13">
        <v>1930000</v>
      </c>
      <c r="Q58" s="14">
        <f>O58-P58</f>
        <v>10895000</v>
      </c>
      <c r="R58" s="14"/>
      <c r="S58" s="13">
        <v>2690000</v>
      </c>
      <c r="T58" s="14">
        <f>R58-S58</f>
        <v>-2690000</v>
      </c>
      <c r="U58" s="14"/>
      <c r="V58" s="175">
        <f>900000</f>
        <v>900000</v>
      </c>
      <c r="W58" s="14">
        <f>U58-V58</f>
        <v>-900000</v>
      </c>
      <c r="X58" s="174">
        <f t="shared" ref="X58:Y63" si="95">O58+R58+U58</f>
        <v>12825000</v>
      </c>
      <c r="Y58" s="174">
        <f t="shared" si="95"/>
        <v>5520000</v>
      </c>
      <c r="Z58" s="14">
        <f>(45000000+1440000+1440000)/2</f>
        <v>23940000</v>
      </c>
      <c r="AA58" s="176">
        <v>165000</v>
      </c>
      <c r="AB58" s="14">
        <f>Z58-AA58</f>
        <v>23775000</v>
      </c>
      <c r="AC58" s="14">
        <v>4500000</v>
      </c>
      <c r="AD58" s="176">
        <v>200000</v>
      </c>
      <c r="AE58" s="14">
        <f>AC58-AD58</f>
        <v>4300000</v>
      </c>
      <c r="AF58" s="14"/>
      <c r="AG58" s="177">
        <v>1625000</v>
      </c>
      <c r="AH58" s="14">
        <f>AF58-AG58</f>
        <v>-1625000</v>
      </c>
      <c r="AI58" s="174">
        <f t="shared" ref="AI58:AI95" si="96">AF58+AC58+Z58</f>
        <v>28440000</v>
      </c>
      <c r="AJ58" s="174">
        <f t="shared" ref="AJ58:AJ63" si="97">AA58+AD58+AG58</f>
        <v>1990000</v>
      </c>
      <c r="AK58" s="14"/>
      <c r="AL58" s="13"/>
      <c r="AM58" s="14">
        <f>AK58-AL58</f>
        <v>0</v>
      </c>
      <c r="AN58" s="14"/>
      <c r="AO58" s="13"/>
      <c r="AP58" s="14">
        <f>AN58-AO58</f>
        <v>0</v>
      </c>
      <c r="AQ58" s="14"/>
      <c r="AR58" s="13"/>
      <c r="AS58" s="14">
        <f>AQ58-AR58</f>
        <v>0</v>
      </c>
      <c r="AT58" s="174"/>
      <c r="AU58" s="174">
        <f t="shared" ref="AU58:AU63" si="98">AL58+AO58+AR58</f>
        <v>0</v>
      </c>
      <c r="AV58" s="14">
        <f t="shared" ref="AV58:AV63" si="99">AQ58+AN58+AK58++AF58+AC58+Z58+U58+R58+O58+J58+G58+D58</f>
        <v>92445000</v>
      </c>
      <c r="AW58" s="14">
        <f t="shared" ref="AW58:AW63" si="100">AR58+AO58+AL58+AG58+AD58+AA58+V58+S58+P58+K58+H58+E58</f>
        <v>7510000</v>
      </c>
      <c r="AX58" s="178">
        <f t="shared" ref="AX58:AX63" si="101">(AV58-M58-X58-AI58-AT58)+N58+Y58+AJ58+AU58</f>
        <v>7510000</v>
      </c>
      <c r="AY58" s="16">
        <f t="shared" ref="AY58:AY63" si="102">AW58*1.1</f>
        <v>8261000.0000000009</v>
      </c>
      <c r="AZ58" s="16">
        <f t="shared" ref="AZ58:BB63" si="103">AY58*1.1</f>
        <v>9087100.0000000019</v>
      </c>
      <c r="BA58" s="16">
        <f t="shared" si="103"/>
        <v>9995810.0000000037</v>
      </c>
      <c r="BB58" s="16">
        <f t="shared" si="103"/>
        <v>10995391.000000006</v>
      </c>
    </row>
    <row r="59" spans="1:54" ht="18.399999999999999" customHeight="1" x14ac:dyDescent="0.2">
      <c r="A59" s="10">
        <v>2</v>
      </c>
      <c r="B59" s="11" t="s">
        <v>107</v>
      </c>
      <c r="C59" s="29" t="s">
        <v>108</v>
      </c>
      <c r="D59" s="14">
        <v>639000</v>
      </c>
      <c r="E59" s="13"/>
      <c r="F59" s="14">
        <f>D59-E59</f>
        <v>639000</v>
      </c>
      <c r="G59" s="14">
        <v>639000</v>
      </c>
      <c r="H59" s="13">
        <v>51443750</v>
      </c>
      <c r="I59" s="14">
        <f>G59-H59</f>
        <v>-50804750</v>
      </c>
      <c r="J59" s="14">
        <v>639000</v>
      </c>
      <c r="K59" s="13"/>
      <c r="L59" s="14">
        <f>J59-K59</f>
        <v>639000</v>
      </c>
      <c r="M59" s="174">
        <f t="shared" si="94"/>
        <v>1917000</v>
      </c>
      <c r="N59" s="174">
        <f t="shared" si="94"/>
        <v>51443750</v>
      </c>
      <c r="O59" s="14">
        <v>639000</v>
      </c>
      <c r="P59" s="13"/>
      <c r="Q59" s="14">
        <f>O59-P59</f>
        <v>639000</v>
      </c>
      <c r="R59" s="14">
        <v>639000</v>
      </c>
      <c r="S59" s="13"/>
      <c r="T59" s="14">
        <f>R59-S59</f>
        <v>639000</v>
      </c>
      <c r="U59" s="14">
        <v>639000</v>
      </c>
      <c r="V59" s="13"/>
      <c r="W59" s="14">
        <f>U59-V59</f>
        <v>639000</v>
      </c>
      <c r="X59" s="174">
        <f t="shared" si="95"/>
        <v>1917000</v>
      </c>
      <c r="Y59" s="174">
        <f t="shared" si="95"/>
        <v>0</v>
      </c>
      <c r="Z59" s="14">
        <v>639000</v>
      </c>
      <c r="AA59" s="13"/>
      <c r="AB59" s="14">
        <f>Z59-AA59</f>
        <v>639000</v>
      </c>
      <c r="AC59" s="14">
        <v>639000</v>
      </c>
      <c r="AD59" s="13"/>
      <c r="AE59" s="14">
        <f>AC59-AD59</f>
        <v>639000</v>
      </c>
      <c r="AF59" s="14">
        <v>639000</v>
      </c>
      <c r="AG59" s="13"/>
      <c r="AH59" s="14">
        <f>AF59-AG59</f>
        <v>639000</v>
      </c>
      <c r="AI59" s="174">
        <f t="shared" si="96"/>
        <v>1917000</v>
      </c>
      <c r="AJ59" s="174">
        <f t="shared" si="97"/>
        <v>0</v>
      </c>
      <c r="AK59" s="14">
        <v>639000</v>
      </c>
      <c r="AL59" s="13"/>
      <c r="AM59" s="14">
        <f>AK59-AL59</f>
        <v>639000</v>
      </c>
      <c r="AN59" s="14">
        <v>639000</v>
      </c>
      <c r="AO59" s="13"/>
      <c r="AP59" s="14">
        <f>AN59-AO59</f>
        <v>639000</v>
      </c>
      <c r="AQ59" s="14">
        <v>639000</v>
      </c>
      <c r="AR59" s="13"/>
      <c r="AS59" s="14">
        <f>AQ59-AR59</f>
        <v>639000</v>
      </c>
      <c r="AT59" s="174"/>
      <c r="AU59" s="174">
        <f t="shared" si="98"/>
        <v>0</v>
      </c>
      <c r="AV59" s="14">
        <f t="shared" si="99"/>
        <v>7668000</v>
      </c>
      <c r="AW59" s="14">
        <f t="shared" si="100"/>
        <v>51443750</v>
      </c>
      <c r="AX59" s="178">
        <f t="shared" si="101"/>
        <v>53360750</v>
      </c>
      <c r="AY59" s="16">
        <f t="shared" si="102"/>
        <v>56588125.000000007</v>
      </c>
      <c r="AZ59" s="16">
        <f t="shared" si="103"/>
        <v>62246937.500000015</v>
      </c>
      <c r="BA59" s="16">
        <f t="shared" si="103"/>
        <v>68471631.250000015</v>
      </c>
      <c r="BB59" s="16">
        <f t="shared" si="103"/>
        <v>75318794.37500003</v>
      </c>
    </row>
    <row r="60" spans="1:54" ht="18.399999999999999" customHeight="1" x14ac:dyDescent="0.25">
      <c r="A60" s="10">
        <v>3</v>
      </c>
      <c r="B60" s="11" t="s">
        <v>109</v>
      </c>
      <c r="C60" s="41" t="s">
        <v>110</v>
      </c>
      <c r="D60" s="14">
        <v>15930000</v>
      </c>
      <c r="E60" s="13"/>
      <c r="F60" s="14">
        <f>D60-E60</f>
        <v>15930000</v>
      </c>
      <c r="G60" s="14">
        <v>15930000</v>
      </c>
      <c r="H60" s="13"/>
      <c r="I60" s="14">
        <f>G60-H60</f>
        <v>15930000</v>
      </c>
      <c r="J60" s="14">
        <v>15930000</v>
      </c>
      <c r="K60" s="13"/>
      <c r="L60" s="14">
        <f>J60-K60</f>
        <v>15930000</v>
      </c>
      <c r="M60" s="174">
        <f t="shared" si="94"/>
        <v>47790000</v>
      </c>
      <c r="N60" s="174">
        <f t="shared" si="94"/>
        <v>0</v>
      </c>
      <c r="O60" s="14">
        <v>15930000</v>
      </c>
      <c r="P60" s="13"/>
      <c r="Q60" s="14">
        <f>O60-P60</f>
        <v>15930000</v>
      </c>
      <c r="R60" s="14">
        <v>15930000</v>
      </c>
      <c r="S60" s="13"/>
      <c r="T60" s="14">
        <f>R60-S60</f>
        <v>15930000</v>
      </c>
      <c r="U60" s="14">
        <f>15930000+4896000</f>
        <v>20826000</v>
      </c>
      <c r="V60" s="13"/>
      <c r="W60" s="14">
        <f>U60-V60</f>
        <v>20826000</v>
      </c>
      <c r="X60" s="174">
        <f t="shared" si="95"/>
        <v>52686000</v>
      </c>
      <c r="Y60" s="174">
        <f t="shared" si="95"/>
        <v>0</v>
      </c>
      <c r="Z60" s="14">
        <v>15930000</v>
      </c>
      <c r="AA60" s="176">
        <v>4828170</v>
      </c>
      <c r="AB60" s="14">
        <f>Z60-AA60</f>
        <v>11101830</v>
      </c>
      <c r="AC60" s="14">
        <v>15930000</v>
      </c>
      <c r="AD60" s="13"/>
      <c r="AE60" s="14">
        <f>AC60-AD60</f>
        <v>15930000</v>
      </c>
      <c r="AF60" s="14">
        <v>15930000</v>
      </c>
      <c r="AG60" s="13"/>
      <c r="AH60" s="14">
        <f>AF60-AG60</f>
        <v>15930000</v>
      </c>
      <c r="AI60" s="174">
        <f t="shared" si="96"/>
        <v>47790000</v>
      </c>
      <c r="AJ60" s="174">
        <f t="shared" si="97"/>
        <v>4828170</v>
      </c>
      <c r="AK60" s="14">
        <v>15930000</v>
      </c>
      <c r="AL60" s="13"/>
      <c r="AM60" s="14">
        <f>AK60-AL60</f>
        <v>15930000</v>
      </c>
      <c r="AN60" s="14">
        <f>15930000+18000000</f>
        <v>33930000</v>
      </c>
      <c r="AO60" s="13"/>
      <c r="AP60" s="14">
        <f>AN60-AO60</f>
        <v>33930000</v>
      </c>
      <c r="AQ60" s="14">
        <v>15930000</v>
      </c>
      <c r="AR60" s="13"/>
      <c r="AS60" s="14">
        <f>AQ60-AR60</f>
        <v>15930000</v>
      </c>
      <c r="AT60" s="174"/>
      <c r="AU60" s="174">
        <f t="shared" si="98"/>
        <v>0</v>
      </c>
      <c r="AV60" s="14">
        <f t="shared" si="99"/>
        <v>214056000</v>
      </c>
      <c r="AW60" s="14">
        <f t="shared" si="100"/>
        <v>4828170</v>
      </c>
      <c r="AX60" s="178">
        <f t="shared" si="101"/>
        <v>70618170</v>
      </c>
      <c r="AY60" s="16">
        <f t="shared" si="102"/>
        <v>5310987</v>
      </c>
      <c r="AZ60" s="16">
        <f t="shared" si="103"/>
        <v>5842085.7000000002</v>
      </c>
      <c r="BA60" s="16">
        <f t="shared" si="103"/>
        <v>6426294.2700000005</v>
      </c>
      <c r="BB60" s="16">
        <f t="shared" si="103"/>
        <v>7068923.6970000016</v>
      </c>
    </row>
    <row r="61" spans="1:54" ht="18.399999999999999" customHeight="1" x14ac:dyDescent="0.2">
      <c r="A61" s="10">
        <v>4</v>
      </c>
      <c r="B61" s="11" t="s">
        <v>47</v>
      </c>
      <c r="C61" s="41" t="s">
        <v>217</v>
      </c>
      <c r="D61" s="14"/>
      <c r="E61" s="13"/>
      <c r="F61" s="14">
        <f>D61-E61</f>
        <v>0</v>
      </c>
      <c r="G61" s="14"/>
      <c r="H61" s="13"/>
      <c r="I61" s="14">
        <f>G61-H61</f>
        <v>0</v>
      </c>
      <c r="J61" s="14"/>
      <c r="K61" s="13"/>
      <c r="L61" s="14">
        <f>J61-K61</f>
        <v>0</v>
      </c>
      <c r="M61" s="174">
        <f t="shared" si="94"/>
        <v>0</v>
      </c>
      <c r="N61" s="174">
        <f t="shared" si="94"/>
        <v>0</v>
      </c>
      <c r="O61" s="14"/>
      <c r="P61" s="13"/>
      <c r="Q61" s="14">
        <f>O61-P61</f>
        <v>0</v>
      </c>
      <c r="R61" s="14"/>
      <c r="S61" s="13"/>
      <c r="T61" s="14">
        <f>R61-S61</f>
        <v>0</v>
      </c>
      <c r="U61" s="14"/>
      <c r="V61" s="13"/>
      <c r="W61" s="14">
        <f>U61-V61</f>
        <v>0</v>
      </c>
      <c r="X61" s="174">
        <f t="shared" si="95"/>
        <v>0</v>
      </c>
      <c r="Y61" s="174">
        <f t="shared" si="95"/>
        <v>0</v>
      </c>
      <c r="Z61" s="14"/>
      <c r="AA61" s="13"/>
      <c r="AB61" s="14">
        <f>Z61-AA61</f>
        <v>0</v>
      </c>
      <c r="AC61" s="14"/>
      <c r="AD61" s="13"/>
      <c r="AE61" s="14">
        <f>AC61-AD61</f>
        <v>0</v>
      </c>
      <c r="AF61" s="14"/>
      <c r="AG61" s="13"/>
      <c r="AH61" s="14">
        <f>AF61-AG61</f>
        <v>0</v>
      </c>
      <c r="AI61" s="174">
        <f t="shared" si="96"/>
        <v>0</v>
      </c>
      <c r="AJ61" s="174">
        <f t="shared" si="97"/>
        <v>0</v>
      </c>
      <c r="AK61" s="14"/>
      <c r="AL61" s="13"/>
      <c r="AM61" s="14">
        <f>AK61-AL61</f>
        <v>0</v>
      </c>
      <c r="AN61" s="14">
        <v>6300000</v>
      </c>
      <c r="AO61" s="13"/>
      <c r="AP61" s="14">
        <f>AN61-AO61</f>
        <v>6300000</v>
      </c>
      <c r="AQ61" s="14"/>
      <c r="AR61" s="13"/>
      <c r="AS61" s="14">
        <f>AQ61-AR61</f>
        <v>0</v>
      </c>
      <c r="AT61" s="174"/>
      <c r="AU61" s="174">
        <f t="shared" si="98"/>
        <v>0</v>
      </c>
      <c r="AV61" s="14">
        <f t="shared" si="99"/>
        <v>6300000</v>
      </c>
      <c r="AW61" s="14">
        <f t="shared" si="100"/>
        <v>0</v>
      </c>
      <c r="AX61" s="178">
        <f t="shared" si="101"/>
        <v>6300000</v>
      </c>
      <c r="AY61" s="16">
        <f t="shared" si="102"/>
        <v>0</v>
      </c>
      <c r="AZ61" s="16">
        <f t="shared" si="103"/>
        <v>0</v>
      </c>
      <c r="BA61" s="16">
        <f t="shared" si="103"/>
        <v>0</v>
      </c>
      <c r="BB61" s="16">
        <f t="shared" si="103"/>
        <v>0</v>
      </c>
    </row>
    <row r="62" spans="1:54" ht="18.399999999999999" customHeight="1" x14ac:dyDescent="0.2">
      <c r="A62" s="10">
        <v>5</v>
      </c>
      <c r="B62" s="11" t="s">
        <v>53</v>
      </c>
      <c r="C62" s="41" t="s">
        <v>112</v>
      </c>
      <c r="D62" s="14">
        <v>4500000</v>
      </c>
      <c r="E62" s="13"/>
      <c r="F62" s="14">
        <f>D62-E62</f>
        <v>4500000</v>
      </c>
      <c r="G62" s="14"/>
      <c r="H62" s="13"/>
      <c r="I62" s="14">
        <f>G62-H62</f>
        <v>0</v>
      </c>
      <c r="J62" s="14">
        <v>4500000</v>
      </c>
      <c r="K62" s="13"/>
      <c r="L62" s="14">
        <f>J62-K62</f>
        <v>4500000</v>
      </c>
      <c r="M62" s="174">
        <f t="shared" si="94"/>
        <v>9000000</v>
      </c>
      <c r="N62" s="174">
        <f t="shared" si="94"/>
        <v>0</v>
      </c>
      <c r="O62" s="14"/>
      <c r="P62" s="13"/>
      <c r="Q62" s="14">
        <f>O62-P62</f>
        <v>0</v>
      </c>
      <c r="R62" s="14">
        <v>4500000</v>
      </c>
      <c r="S62" s="13">
        <v>1669900</v>
      </c>
      <c r="T62" s="14">
        <f>R62-S62</f>
        <v>2830100</v>
      </c>
      <c r="U62" s="14"/>
      <c r="V62" s="175">
        <v>611500</v>
      </c>
      <c r="W62" s="14">
        <f>U62-V62</f>
        <v>-611500</v>
      </c>
      <c r="X62" s="174">
        <f t="shared" si="95"/>
        <v>4500000</v>
      </c>
      <c r="Y62" s="174">
        <f t="shared" si="95"/>
        <v>2281400</v>
      </c>
      <c r="Z62" s="14">
        <v>4500000</v>
      </c>
      <c r="AA62" s="13"/>
      <c r="AB62" s="14">
        <f>Z62-AA62</f>
        <v>4500000</v>
      </c>
      <c r="AC62" s="14"/>
      <c r="AD62" s="13"/>
      <c r="AE62" s="14">
        <f>AC62-AD62</f>
        <v>0</v>
      </c>
      <c r="AF62" s="14">
        <v>4500000</v>
      </c>
      <c r="AG62" s="13"/>
      <c r="AH62" s="14">
        <f>AF62-AG62</f>
        <v>4500000</v>
      </c>
      <c r="AI62" s="174">
        <f t="shared" si="96"/>
        <v>9000000</v>
      </c>
      <c r="AJ62" s="174">
        <f t="shared" si="97"/>
        <v>0</v>
      </c>
      <c r="AK62" s="14"/>
      <c r="AL62" s="13"/>
      <c r="AM62" s="14">
        <f>AK62-AL62</f>
        <v>0</v>
      </c>
      <c r="AN62" s="14">
        <v>4500000</v>
      </c>
      <c r="AO62" s="13"/>
      <c r="AP62" s="14">
        <f>AN62-AO62</f>
        <v>4500000</v>
      </c>
      <c r="AQ62" s="14"/>
      <c r="AR62" s="13"/>
      <c r="AS62" s="14">
        <f>AQ62-AR62</f>
        <v>0</v>
      </c>
      <c r="AT62" s="174"/>
      <c r="AU62" s="174">
        <f t="shared" si="98"/>
        <v>0</v>
      </c>
      <c r="AV62" s="14">
        <f t="shared" si="99"/>
        <v>27000000</v>
      </c>
      <c r="AW62" s="14">
        <f t="shared" si="100"/>
        <v>2281400</v>
      </c>
      <c r="AX62" s="178">
        <f t="shared" si="101"/>
        <v>6781400</v>
      </c>
      <c r="AY62" s="16">
        <f t="shared" si="102"/>
        <v>2509540</v>
      </c>
      <c r="AZ62" s="16">
        <f t="shared" si="103"/>
        <v>2760494</v>
      </c>
      <c r="BA62" s="16">
        <f t="shared" si="103"/>
        <v>3036543.4000000004</v>
      </c>
      <c r="BB62" s="16">
        <f t="shared" si="103"/>
        <v>3340197.7400000007</v>
      </c>
    </row>
    <row r="63" spans="1:54" ht="18.399999999999999" customHeight="1" x14ac:dyDescent="0.2">
      <c r="A63" s="10"/>
      <c r="B63" s="11" t="s">
        <v>36</v>
      </c>
      <c r="C63" s="41" t="s">
        <v>113</v>
      </c>
      <c r="D63" s="14"/>
      <c r="E63" s="13"/>
      <c r="F63" s="14"/>
      <c r="G63" s="14"/>
      <c r="H63" s="13"/>
      <c r="I63" s="14"/>
      <c r="J63" s="14"/>
      <c r="K63" s="13"/>
      <c r="L63" s="14"/>
      <c r="M63" s="174">
        <f t="shared" si="94"/>
        <v>0</v>
      </c>
      <c r="N63" s="174">
        <f t="shared" si="94"/>
        <v>0</v>
      </c>
      <c r="O63" s="14"/>
      <c r="P63" s="13"/>
      <c r="Q63" s="14"/>
      <c r="R63" s="14"/>
      <c r="S63" s="13"/>
      <c r="T63" s="14"/>
      <c r="U63" s="14"/>
      <c r="V63" s="13"/>
      <c r="W63" s="14"/>
      <c r="X63" s="174">
        <f t="shared" si="95"/>
        <v>0</v>
      </c>
      <c r="Y63" s="174">
        <f t="shared" si="95"/>
        <v>0</v>
      </c>
      <c r="Z63" s="14"/>
      <c r="AA63" s="13"/>
      <c r="AB63" s="14"/>
      <c r="AC63" s="14"/>
      <c r="AD63" s="13"/>
      <c r="AE63" s="14"/>
      <c r="AF63" s="14"/>
      <c r="AG63" s="13"/>
      <c r="AH63" s="14"/>
      <c r="AI63" s="174">
        <f t="shared" si="96"/>
        <v>0</v>
      </c>
      <c r="AJ63" s="174">
        <f t="shared" si="97"/>
        <v>0</v>
      </c>
      <c r="AK63" s="14"/>
      <c r="AL63" s="13"/>
      <c r="AM63" s="14"/>
      <c r="AN63" s="14"/>
      <c r="AO63" s="13"/>
      <c r="AP63" s="14"/>
      <c r="AQ63" s="14"/>
      <c r="AR63" s="13"/>
      <c r="AS63" s="14"/>
      <c r="AT63" s="174"/>
      <c r="AU63" s="174">
        <f t="shared" si="98"/>
        <v>0</v>
      </c>
      <c r="AV63" s="14">
        <f t="shared" si="99"/>
        <v>0</v>
      </c>
      <c r="AW63" s="14">
        <f t="shared" si="100"/>
        <v>0</v>
      </c>
      <c r="AX63" s="178">
        <f t="shared" si="101"/>
        <v>0</v>
      </c>
      <c r="AY63" s="16">
        <f t="shared" si="102"/>
        <v>0</v>
      </c>
      <c r="AZ63" s="16">
        <f t="shared" si="103"/>
        <v>0</v>
      </c>
      <c r="BA63" s="16">
        <f t="shared" si="103"/>
        <v>0</v>
      </c>
      <c r="BB63" s="16">
        <f t="shared" si="103"/>
        <v>0</v>
      </c>
    </row>
    <row r="64" spans="1:54" s="2" customFormat="1" ht="18.399999999999999" customHeight="1" x14ac:dyDescent="0.2">
      <c r="A64" s="10"/>
      <c r="B64" s="11"/>
      <c r="C64" s="47" t="s">
        <v>114</v>
      </c>
      <c r="D64" s="19">
        <f t="shared" ref="D64:BB64" si="104">SUM(D58:D63)</f>
        <v>42769000</v>
      </c>
      <c r="E64" s="19">
        <f t="shared" si="104"/>
        <v>0</v>
      </c>
      <c r="F64" s="19">
        <f t="shared" si="104"/>
        <v>42769000</v>
      </c>
      <c r="G64" s="19">
        <f t="shared" si="104"/>
        <v>18369000</v>
      </c>
      <c r="H64" s="19">
        <f t="shared" si="104"/>
        <v>51443750</v>
      </c>
      <c r="I64" s="19">
        <f t="shared" si="104"/>
        <v>-33074750</v>
      </c>
      <c r="J64" s="19">
        <f t="shared" si="104"/>
        <v>48749000</v>
      </c>
      <c r="K64" s="19">
        <f t="shared" si="104"/>
        <v>0</v>
      </c>
      <c r="L64" s="19">
        <f t="shared" si="104"/>
        <v>48749000</v>
      </c>
      <c r="M64" s="19">
        <f t="shared" si="104"/>
        <v>109887000</v>
      </c>
      <c r="N64" s="19">
        <f t="shared" si="104"/>
        <v>51443750</v>
      </c>
      <c r="O64" s="19">
        <f t="shared" si="104"/>
        <v>29394000</v>
      </c>
      <c r="P64" s="19">
        <f t="shared" si="104"/>
        <v>1930000</v>
      </c>
      <c r="Q64" s="19">
        <f t="shared" si="104"/>
        <v>27464000</v>
      </c>
      <c r="R64" s="19">
        <f t="shared" si="104"/>
        <v>21069000</v>
      </c>
      <c r="S64" s="19">
        <f t="shared" si="104"/>
        <v>4359900</v>
      </c>
      <c r="T64" s="19">
        <f t="shared" si="104"/>
        <v>16709100</v>
      </c>
      <c r="U64" s="19">
        <f t="shared" si="104"/>
        <v>21465000</v>
      </c>
      <c r="V64" s="19">
        <f t="shared" si="104"/>
        <v>1511500</v>
      </c>
      <c r="W64" s="19">
        <f t="shared" si="104"/>
        <v>19953500</v>
      </c>
      <c r="X64" s="19">
        <f t="shared" si="104"/>
        <v>71928000</v>
      </c>
      <c r="Y64" s="19">
        <f t="shared" si="104"/>
        <v>7801400</v>
      </c>
      <c r="Z64" s="19">
        <f t="shared" si="104"/>
        <v>45009000</v>
      </c>
      <c r="AA64" s="19">
        <f t="shared" si="104"/>
        <v>4993170</v>
      </c>
      <c r="AB64" s="19">
        <f t="shared" si="104"/>
        <v>40015830</v>
      </c>
      <c r="AC64" s="19">
        <f t="shared" si="104"/>
        <v>21069000</v>
      </c>
      <c r="AD64" s="19">
        <f t="shared" si="104"/>
        <v>200000</v>
      </c>
      <c r="AE64" s="19">
        <f t="shared" si="104"/>
        <v>20869000</v>
      </c>
      <c r="AF64" s="19">
        <f t="shared" si="104"/>
        <v>21069000</v>
      </c>
      <c r="AG64" s="19">
        <f t="shared" si="104"/>
        <v>1625000</v>
      </c>
      <c r="AH64" s="19">
        <f t="shared" si="104"/>
        <v>19444000</v>
      </c>
      <c r="AI64" s="19">
        <f t="shared" si="104"/>
        <v>87147000</v>
      </c>
      <c r="AJ64" s="19">
        <f t="shared" si="104"/>
        <v>6818170</v>
      </c>
      <c r="AK64" s="19">
        <f t="shared" si="104"/>
        <v>16569000</v>
      </c>
      <c r="AL64" s="19">
        <f t="shared" si="104"/>
        <v>0</v>
      </c>
      <c r="AM64" s="19">
        <f t="shared" si="104"/>
        <v>16569000</v>
      </c>
      <c r="AN64" s="19">
        <f t="shared" si="104"/>
        <v>45369000</v>
      </c>
      <c r="AO64" s="19">
        <f t="shared" si="104"/>
        <v>0</v>
      </c>
      <c r="AP64" s="19">
        <f t="shared" si="104"/>
        <v>45369000</v>
      </c>
      <c r="AQ64" s="19">
        <f t="shared" si="104"/>
        <v>16569000</v>
      </c>
      <c r="AR64" s="19">
        <f t="shared" si="104"/>
        <v>0</v>
      </c>
      <c r="AS64" s="19">
        <f t="shared" si="104"/>
        <v>16569000</v>
      </c>
      <c r="AT64" s="19">
        <f t="shared" si="104"/>
        <v>0</v>
      </c>
      <c r="AU64" s="19">
        <f t="shared" si="104"/>
        <v>0</v>
      </c>
      <c r="AV64" s="19">
        <f t="shared" si="104"/>
        <v>347469000</v>
      </c>
      <c r="AW64" s="19">
        <f t="shared" si="104"/>
        <v>66063320</v>
      </c>
      <c r="AX64" s="19">
        <f t="shared" si="104"/>
        <v>144570320</v>
      </c>
      <c r="AY64" s="19">
        <f t="shared" si="104"/>
        <v>72669652</v>
      </c>
      <c r="AZ64" s="19">
        <f t="shared" si="104"/>
        <v>79936617.200000018</v>
      </c>
      <c r="BA64" s="19">
        <f t="shared" si="104"/>
        <v>87930278.920000017</v>
      </c>
      <c r="BB64" s="19">
        <f t="shared" si="104"/>
        <v>96723306.812000021</v>
      </c>
    </row>
    <row r="65" spans="1:54" s="27" customFormat="1" ht="18.399999999999999" customHeight="1" x14ac:dyDescent="0.2">
      <c r="A65" s="22">
        <v>1</v>
      </c>
      <c r="B65" s="11" t="s">
        <v>47</v>
      </c>
      <c r="C65" s="41" t="s">
        <v>217</v>
      </c>
      <c r="D65" s="14"/>
      <c r="E65" s="13"/>
      <c r="F65" s="14">
        <f>D65-E65</f>
        <v>0</v>
      </c>
      <c r="G65" s="14"/>
      <c r="H65" s="13"/>
      <c r="I65" s="14">
        <f>G65-H65</f>
        <v>0</v>
      </c>
      <c r="J65" s="14"/>
      <c r="K65" s="13"/>
      <c r="L65" s="14">
        <f>J65-K65</f>
        <v>0</v>
      </c>
      <c r="M65" s="174">
        <f>D65+G65+J65</f>
        <v>0</v>
      </c>
      <c r="N65" s="174">
        <f>E65+H65+K65</f>
        <v>0</v>
      </c>
      <c r="O65" s="14"/>
      <c r="P65" s="13"/>
      <c r="Q65" s="14">
        <f>O65-P65</f>
        <v>0</v>
      </c>
      <c r="R65" s="14"/>
      <c r="S65" s="13"/>
      <c r="T65" s="14">
        <f>R65-S65</f>
        <v>0</v>
      </c>
      <c r="U65" s="14"/>
      <c r="V65" s="13"/>
      <c r="W65" s="14">
        <f>U65-V65</f>
        <v>0</v>
      </c>
      <c r="X65" s="174">
        <f>O65+R65+U65</f>
        <v>0</v>
      </c>
      <c r="Y65" s="174">
        <f>P65+S65+V65</f>
        <v>0</v>
      </c>
      <c r="Z65" s="14"/>
      <c r="AA65" s="13"/>
      <c r="AB65" s="14">
        <f>Z65-AA65</f>
        <v>0</v>
      </c>
      <c r="AC65" s="14"/>
      <c r="AD65" s="13"/>
      <c r="AE65" s="14">
        <f>AC65-AD65</f>
        <v>0</v>
      </c>
      <c r="AF65" s="14"/>
      <c r="AG65" s="13"/>
      <c r="AH65" s="14">
        <f>AF65-AG65</f>
        <v>0</v>
      </c>
      <c r="AI65" s="174">
        <f t="shared" si="96"/>
        <v>0</v>
      </c>
      <c r="AJ65" s="174">
        <f>AA65+AD65+AG65</f>
        <v>0</v>
      </c>
      <c r="AK65" s="14"/>
      <c r="AL65" s="13"/>
      <c r="AM65" s="14">
        <f>AK65-AL65</f>
        <v>0</v>
      </c>
      <c r="AN65" s="14"/>
      <c r="AO65" s="13"/>
      <c r="AP65" s="14">
        <f>AN65-AO65</f>
        <v>0</v>
      </c>
      <c r="AQ65" s="14"/>
      <c r="AR65" s="13"/>
      <c r="AS65" s="14">
        <f>AQ65-AR65</f>
        <v>0</v>
      </c>
      <c r="AT65" s="174"/>
      <c r="AU65" s="174">
        <f>AL65+AO65+AR65</f>
        <v>0</v>
      </c>
      <c r="AV65" s="14">
        <f>AQ65+AN65+AK65++AF65+AC65+Z65+U65+R65+O65+J65+G65+D65</f>
        <v>0</v>
      </c>
      <c r="AW65" s="14">
        <f>AR65+AO65+AL65+AG65+AD65+AA65+V65+S65+P65+K65+H65+E65</f>
        <v>0</v>
      </c>
      <c r="AX65" s="178">
        <f>(AV65-M65-X65-AI65-AT65)+N65+Y65+AJ65+AU65</f>
        <v>0</v>
      </c>
      <c r="AY65" s="16">
        <f>AW65*1.1</f>
        <v>0</v>
      </c>
      <c r="AZ65" s="16">
        <f t="shared" ref="AZ65:BB66" si="105">AY65*1.1</f>
        <v>0</v>
      </c>
      <c r="BA65" s="16">
        <f t="shared" si="105"/>
        <v>0</v>
      </c>
      <c r="BB65" s="16">
        <f t="shared" si="105"/>
        <v>0</v>
      </c>
    </row>
    <row r="66" spans="1:54" s="27" customFormat="1" ht="18.399999999999999" customHeight="1" x14ac:dyDescent="0.2">
      <c r="A66" s="22">
        <v>2</v>
      </c>
      <c r="B66" s="11" t="s">
        <v>53</v>
      </c>
      <c r="C66" s="41" t="s">
        <v>112</v>
      </c>
      <c r="D66" s="14"/>
      <c r="E66" s="13"/>
      <c r="F66" s="14">
        <f>D66-E66</f>
        <v>0</v>
      </c>
      <c r="G66" s="14"/>
      <c r="H66" s="13"/>
      <c r="I66" s="14">
        <f>G66-H66</f>
        <v>0</v>
      </c>
      <c r="J66" s="14"/>
      <c r="K66" s="13"/>
      <c r="L66" s="14">
        <f>J66-K66</f>
        <v>0</v>
      </c>
      <c r="M66" s="174">
        <f>D66+G66+J66</f>
        <v>0</v>
      </c>
      <c r="N66" s="174">
        <f>E66+H66+K66</f>
        <v>0</v>
      </c>
      <c r="O66" s="14"/>
      <c r="P66" s="13"/>
      <c r="Q66" s="14">
        <f>O66-P66</f>
        <v>0</v>
      </c>
      <c r="R66" s="14"/>
      <c r="S66" s="13"/>
      <c r="T66" s="14">
        <f>R66-S66</f>
        <v>0</v>
      </c>
      <c r="U66" s="14"/>
      <c r="V66" s="13"/>
      <c r="W66" s="14">
        <f>U66-V66</f>
        <v>0</v>
      </c>
      <c r="X66" s="174">
        <f>O66+R66+U66</f>
        <v>0</v>
      </c>
      <c r="Y66" s="174">
        <f>P66+S66+V66</f>
        <v>0</v>
      </c>
      <c r="Z66" s="14"/>
      <c r="AA66" s="13"/>
      <c r="AB66" s="14">
        <f>Z66-AA66</f>
        <v>0</v>
      </c>
      <c r="AC66" s="14"/>
      <c r="AD66" s="13"/>
      <c r="AE66" s="14">
        <f>AC66-AD66</f>
        <v>0</v>
      </c>
      <c r="AF66" s="14"/>
      <c r="AG66" s="13"/>
      <c r="AH66" s="14">
        <f>AF66-AG66</f>
        <v>0</v>
      </c>
      <c r="AI66" s="174">
        <f t="shared" si="96"/>
        <v>0</v>
      </c>
      <c r="AJ66" s="174">
        <f>AA66+AD66+AG66</f>
        <v>0</v>
      </c>
      <c r="AK66" s="14"/>
      <c r="AL66" s="13"/>
      <c r="AM66" s="14">
        <f>AK66-AL66</f>
        <v>0</v>
      </c>
      <c r="AN66" s="14"/>
      <c r="AO66" s="13"/>
      <c r="AP66" s="14">
        <f>AN66-AO66</f>
        <v>0</v>
      </c>
      <c r="AQ66" s="14"/>
      <c r="AR66" s="13"/>
      <c r="AS66" s="14">
        <f>AQ66-AR66</f>
        <v>0</v>
      </c>
      <c r="AT66" s="174"/>
      <c r="AU66" s="174">
        <f>AL66+AO66+AR66</f>
        <v>0</v>
      </c>
      <c r="AV66" s="14">
        <f>AQ66+AN66+AK66++AF66+AC66+Z66+U66+R66+O66+J66+G66+D66</f>
        <v>0</v>
      </c>
      <c r="AW66" s="14">
        <f>AR66+AO66+AL66+AG66+AD66+AA66+V66+S66+P66+K66+H66+E66</f>
        <v>0</v>
      </c>
      <c r="AX66" s="178">
        <f>(AV66-M66-X66-AI66-AT66)+N66+Y66+AJ66+AU66</f>
        <v>0</v>
      </c>
      <c r="AY66" s="16">
        <f>AW66*1.1</f>
        <v>0</v>
      </c>
      <c r="AZ66" s="16">
        <f t="shared" si="105"/>
        <v>0</v>
      </c>
      <c r="BA66" s="16">
        <f t="shared" si="105"/>
        <v>0</v>
      </c>
      <c r="BB66" s="16">
        <f t="shared" si="105"/>
        <v>0</v>
      </c>
    </row>
    <row r="67" spans="1:54" s="2" customFormat="1" ht="18.399999999999999" customHeight="1" x14ac:dyDescent="0.2">
      <c r="A67" s="58"/>
      <c r="B67" s="67"/>
      <c r="C67" s="47" t="s">
        <v>115</v>
      </c>
      <c r="D67" s="19">
        <f t="shared" ref="D67:BB67" si="106">SUM(D65:D66)</f>
        <v>0</v>
      </c>
      <c r="E67" s="19">
        <f t="shared" si="106"/>
        <v>0</v>
      </c>
      <c r="F67" s="19">
        <f t="shared" si="106"/>
        <v>0</v>
      </c>
      <c r="G67" s="19">
        <f t="shared" si="106"/>
        <v>0</v>
      </c>
      <c r="H67" s="19">
        <f t="shared" si="106"/>
        <v>0</v>
      </c>
      <c r="I67" s="19">
        <f t="shared" si="106"/>
        <v>0</v>
      </c>
      <c r="J67" s="19">
        <f t="shared" si="106"/>
        <v>0</v>
      </c>
      <c r="K67" s="19">
        <f t="shared" si="106"/>
        <v>0</v>
      </c>
      <c r="L67" s="19">
        <f t="shared" si="106"/>
        <v>0</v>
      </c>
      <c r="M67" s="19">
        <f t="shared" si="106"/>
        <v>0</v>
      </c>
      <c r="N67" s="19">
        <f t="shared" si="106"/>
        <v>0</v>
      </c>
      <c r="O67" s="19">
        <f t="shared" si="106"/>
        <v>0</v>
      </c>
      <c r="P67" s="19">
        <f t="shared" si="106"/>
        <v>0</v>
      </c>
      <c r="Q67" s="19">
        <f t="shared" si="106"/>
        <v>0</v>
      </c>
      <c r="R67" s="19">
        <f t="shared" si="106"/>
        <v>0</v>
      </c>
      <c r="S67" s="19">
        <f t="shared" si="106"/>
        <v>0</v>
      </c>
      <c r="T67" s="19">
        <f t="shared" si="106"/>
        <v>0</v>
      </c>
      <c r="U67" s="19">
        <f t="shared" si="106"/>
        <v>0</v>
      </c>
      <c r="V67" s="19">
        <f t="shared" si="106"/>
        <v>0</v>
      </c>
      <c r="W67" s="19">
        <f t="shared" si="106"/>
        <v>0</v>
      </c>
      <c r="X67" s="19">
        <f t="shared" si="106"/>
        <v>0</v>
      </c>
      <c r="Y67" s="19">
        <f t="shared" si="106"/>
        <v>0</v>
      </c>
      <c r="Z67" s="19">
        <f t="shared" si="106"/>
        <v>0</v>
      </c>
      <c r="AA67" s="19">
        <f t="shared" si="106"/>
        <v>0</v>
      </c>
      <c r="AB67" s="19">
        <f t="shared" si="106"/>
        <v>0</v>
      </c>
      <c r="AC67" s="19">
        <f t="shared" si="106"/>
        <v>0</v>
      </c>
      <c r="AD67" s="19">
        <f t="shared" si="106"/>
        <v>0</v>
      </c>
      <c r="AE67" s="19">
        <f t="shared" si="106"/>
        <v>0</v>
      </c>
      <c r="AF67" s="19">
        <f t="shared" si="106"/>
        <v>0</v>
      </c>
      <c r="AG67" s="19">
        <f t="shared" si="106"/>
        <v>0</v>
      </c>
      <c r="AH67" s="19">
        <f t="shared" si="106"/>
        <v>0</v>
      </c>
      <c r="AI67" s="19">
        <f t="shared" si="106"/>
        <v>0</v>
      </c>
      <c r="AJ67" s="19">
        <f t="shared" si="106"/>
        <v>0</v>
      </c>
      <c r="AK67" s="19">
        <f t="shared" si="106"/>
        <v>0</v>
      </c>
      <c r="AL67" s="19">
        <f t="shared" si="106"/>
        <v>0</v>
      </c>
      <c r="AM67" s="19">
        <f t="shared" si="106"/>
        <v>0</v>
      </c>
      <c r="AN67" s="19">
        <f t="shared" si="106"/>
        <v>0</v>
      </c>
      <c r="AO67" s="19">
        <f t="shared" si="106"/>
        <v>0</v>
      </c>
      <c r="AP67" s="19">
        <f t="shared" si="106"/>
        <v>0</v>
      </c>
      <c r="AQ67" s="19">
        <f t="shared" si="106"/>
        <v>0</v>
      </c>
      <c r="AR67" s="19">
        <f t="shared" si="106"/>
        <v>0</v>
      </c>
      <c r="AS67" s="19">
        <f t="shared" si="106"/>
        <v>0</v>
      </c>
      <c r="AT67" s="19">
        <f t="shared" si="106"/>
        <v>0</v>
      </c>
      <c r="AU67" s="19">
        <f t="shared" si="106"/>
        <v>0</v>
      </c>
      <c r="AV67" s="19">
        <f t="shared" si="106"/>
        <v>0</v>
      </c>
      <c r="AW67" s="19">
        <f t="shared" si="106"/>
        <v>0</v>
      </c>
      <c r="AX67" s="19">
        <f t="shared" si="106"/>
        <v>0</v>
      </c>
      <c r="AY67" s="19">
        <f t="shared" si="106"/>
        <v>0</v>
      </c>
      <c r="AZ67" s="19">
        <f t="shared" si="106"/>
        <v>0</v>
      </c>
      <c r="BA67" s="19">
        <f t="shared" si="106"/>
        <v>0</v>
      </c>
      <c r="BB67" s="19">
        <f t="shared" si="106"/>
        <v>0</v>
      </c>
    </row>
    <row r="68" spans="1:54" ht="18.399999999999999" customHeight="1" x14ac:dyDescent="0.2">
      <c r="A68" s="10">
        <v>1</v>
      </c>
      <c r="B68" s="11" t="s">
        <v>47</v>
      </c>
      <c r="C68" s="29" t="s">
        <v>217</v>
      </c>
      <c r="D68" s="14">
        <v>3300000</v>
      </c>
      <c r="E68" s="13"/>
      <c r="F68" s="14">
        <f>D68-E68</f>
        <v>3300000</v>
      </c>
      <c r="G68" s="14">
        <f>15500000+10000000</f>
        <v>25500000</v>
      </c>
      <c r="H68" s="13"/>
      <c r="I68" s="14">
        <f>G68-H68</f>
        <v>25500000</v>
      </c>
      <c r="J68" s="14">
        <f>4000000+3800000+3800000+3800000</f>
        <v>15400000</v>
      </c>
      <c r="K68" s="13"/>
      <c r="L68" s="14">
        <f>J68-K68</f>
        <v>15400000</v>
      </c>
      <c r="M68" s="174">
        <f t="shared" ref="M68:N72" si="107">D68+G68+J68</f>
        <v>44200000</v>
      </c>
      <c r="N68" s="174">
        <f t="shared" si="107"/>
        <v>0</v>
      </c>
      <c r="O68" s="14"/>
      <c r="P68" s="13">
        <v>8925000</v>
      </c>
      <c r="Q68" s="14">
        <f>O68-P68</f>
        <v>-8925000</v>
      </c>
      <c r="R68" s="14">
        <v>4000000</v>
      </c>
      <c r="S68" s="13"/>
      <c r="T68" s="14">
        <f>R68-S68</f>
        <v>4000000</v>
      </c>
      <c r="U68" s="14">
        <f>15500000</f>
        <v>15500000</v>
      </c>
      <c r="V68" s="13"/>
      <c r="W68" s="14">
        <f>U68-V68</f>
        <v>15500000</v>
      </c>
      <c r="X68" s="174">
        <f t="shared" ref="X68:Y72" si="108">O68+R68+U68</f>
        <v>19500000</v>
      </c>
      <c r="Y68" s="174">
        <f t="shared" si="108"/>
        <v>8925000</v>
      </c>
      <c r="Z68" s="14">
        <f>3800000+40000000</f>
        <v>43800000</v>
      </c>
      <c r="AA68" s="13"/>
      <c r="AB68" s="14">
        <f>Z68-AA68</f>
        <v>43800000</v>
      </c>
      <c r="AC68" s="14"/>
      <c r="AD68" s="13"/>
      <c r="AE68" s="14">
        <f>AC68-AD68</f>
        <v>0</v>
      </c>
      <c r="AF68" s="14">
        <v>3800000</v>
      </c>
      <c r="AG68" s="13"/>
      <c r="AH68" s="14">
        <f>AF68-AG68</f>
        <v>3800000</v>
      </c>
      <c r="AI68" s="174">
        <f t="shared" si="96"/>
        <v>47600000</v>
      </c>
      <c r="AJ68" s="174">
        <f>AA68+AD68+AG68</f>
        <v>0</v>
      </c>
      <c r="AK68" s="14">
        <f>15500000+40000000</f>
        <v>55500000</v>
      </c>
      <c r="AL68" s="13"/>
      <c r="AM68" s="14">
        <f>AK68-AL68</f>
        <v>55500000</v>
      </c>
      <c r="AN68" s="14">
        <v>3000000</v>
      </c>
      <c r="AO68" s="13"/>
      <c r="AP68" s="14">
        <f>AN68-AO68</f>
        <v>3000000</v>
      </c>
      <c r="AQ68" s="14">
        <v>3800000</v>
      </c>
      <c r="AR68" s="13"/>
      <c r="AS68" s="14">
        <f>AQ68-AR68</f>
        <v>3800000</v>
      </c>
      <c r="AT68" s="174"/>
      <c r="AU68" s="174">
        <f>AL68+AO68+AR68</f>
        <v>0</v>
      </c>
      <c r="AV68" s="14">
        <f>AQ68+AN68+AK68++AF68+AC68+Z68+U68+R68+O68+J68+G68+D68</f>
        <v>173600000</v>
      </c>
      <c r="AW68" s="14">
        <f>AR68+AO68+AL68+AG68+AD68+AA68+V68+S68+P68+K68+H68+E68</f>
        <v>8925000</v>
      </c>
      <c r="AX68" s="178">
        <f>(AV68-M68-X68-AI68-AT68)+N68+Y68+AJ68+AU68</f>
        <v>71225000</v>
      </c>
      <c r="AY68" s="16">
        <f>AW68*1.1</f>
        <v>9817500</v>
      </c>
      <c r="AZ68" s="16">
        <f t="shared" ref="AZ68:BB72" si="109">AY68*1.1</f>
        <v>10799250</v>
      </c>
      <c r="BA68" s="16">
        <f t="shared" si="109"/>
        <v>11879175.000000002</v>
      </c>
      <c r="BB68" s="16">
        <f t="shared" si="109"/>
        <v>13067092.500000004</v>
      </c>
    </row>
    <row r="69" spans="1:54" ht="18.399999999999999" customHeight="1" x14ac:dyDescent="0.2">
      <c r="A69" s="10">
        <v>2</v>
      </c>
      <c r="B69" s="11" t="s">
        <v>47</v>
      </c>
      <c r="C69" s="68" t="s">
        <v>116</v>
      </c>
      <c r="D69" s="14"/>
      <c r="E69" s="13"/>
      <c r="F69" s="14">
        <f>D69-E69</f>
        <v>0</v>
      </c>
      <c r="G69" s="14"/>
      <c r="H69" s="13"/>
      <c r="I69" s="14">
        <f>G69-H69</f>
        <v>0</v>
      </c>
      <c r="J69" s="14"/>
      <c r="K69" s="13"/>
      <c r="L69" s="14">
        <f>J69-K69</f>
        <v>0</v>
      </c>
      <c r="M69" s="174">
        <f t="shared" si="107"/>
        <v>0</v>
      </c>
      <c r="N69" s="174">
        <f t="shared" si="107"/>
        <v>0</v>
      </c>
      <c r="O69" s="14"/>
      <c r="P69" s="13"/>
      <c r="Q69" s="14">
        <f>O69-P69</f>
        <v>0</v>
      </c>
      <c r="R69" s="14"/>
      <c r="S69" s="13"/>
      <c r="T69" s="14">
        <f>R69-S69</f>
        <v>0</v>
      </c>
      <c r="U69" s="14"/>
      <c r="V69" s="13"/>
      <c r="W69" s="14">
        <f>U69-V69</f>
        <v>0</v>
      </c>
      <c r="X69" s="174">
        <f t="shared" si="108"/>
        <v>0</v>
      </c>
      <c r="Y69" s="174">
        <f t="shared" si="108"/>
        <v>0</v>
      </c>
      <c r="Z69" s="14"/>
      <c r="AA69" s="13"/>
      <c r="AB69" s="14">
        <f>Z69-AA69</f>
        <v>0</v>
      </c>
      <c r="AC69" s="14"/>
      <c r="AD69" s="13"/>
      <c r="AE69" s="14">
        <f>AC69-AD69</f>
        <v>0</v>
      </c>
      <c r="AF69" s="14"/>
      <c r="AG69" s="13"/>
      <c r="AH69" s="14">
        <f>AF69-AG69</f>
        <v>0</v>
      </c>
      <c r="AI69" s="174">
        <f t="shared" si="96"/>
        <v>0</v>
      </c>
      <c r="AJ69" s="174">
        <f>AA69+AD69+AG69</f>
        <v>0</v>
      </c>
      <c r="AK69" s="14"/>
      <c r="AL69" s="13"/>
      <c r="AM69" s="14">
        <f>AK69-AL69</f>
        <v>0</v>
      </c>
      <c r="AN69" s="14"/>
      <c r="AO69" s="13"/>
      <c r="AP69" s="14">
        <f>AN69-AO69</f>
        <v>0</v>
      </c>
      <c r="AQ69" s="14"/>
      <c r="AR69" s="13"/>
      <c r="AS69" s="14">
        <f>AQ69-AR69</f>
        <v>0</v>
      </c>
      <c r="AT69" s="174"/>
      <c r="AU69" s="174">
        <f>AL69+AO69+AR69</f>
        <v>0</v>
      </c>
      <c r="AV69" s="14">
        <f>AQ69+AN69+AK69++AF69+AC69+Z69+U69+R69+O69+J69+G69+D69</f>
        <v>0</v>
      </c>
      <c r="AW69" s="14">
        <f>AR69+AO69+AL69+AG69+AD69+AA69+V69+S69+P69+K69+H69+E69</f>
        <v>0</v>
      </c>
      <c r="AX69" s="178">
        <f>(AV69-M69-X69-AI69-AT69)+N69+Y69+AJ69+AU69</f>
        <v>0</v>
      </c>
      <c r="AY69" s="16">
        <f>AW69*1.1</f>
        <v>0</v>
      </c>
      <c r="AZ69" s="16">
        <f t="shared" si="109"/>
        <v>0</v>
      </c>
      <c r="BA69" s="16">
        <f t="shared" si="109"/>
        <v>0</v>
      </c>
      <c r="BB69" s="16">
        <f t="shared" si="109"/>
        <v>0</v>
      </c>
    </row>
    <row r="70" spans="1:54" ht="18.399999999999999" customHeight="1" x14ac:dyDescent="0.2">
      <c r="A70" s="10">
        <v>3</v>
      </c>
      <c r="B70" s="11" t="s">
        <v>36</v>
      </c>
      <c r="C70" s="29" t="s">
        <v>117</v>
      </c>
      <c r="D70" s="14"/>
      <c r="E70" s="13"/>
      <c r="F70" s="14">
        <f>D70-E70</f>
        <v>0</v>
      </c>
      <c r="G70" s="14">
        <f>38*3000000</f>
        <v>114000000</v>
      </c>
      <c r="H70" s="13"/>
      <c r="I70" s="14">
        <f>G70-H70</f>
        <v>114000000</v>
      </c>
      <c r="J70" s="14"/>
      <c r="K70" s="13"/>
      <c r="L70" s="14">
        <f>J70-K70</f>
        <v>0</v>
      </c>
      <c r="M70" s="174">
        <f t="shared" si="107"/>
        <v>114000000</v>
      </c>
      <c r="N70" s="174">
        <f t="shared" si="107"/>
        <v>0</v>
      </c>
      <c r="O70" s="14"/>
      <c r="P70" s="13"/>
      <c r="Q70" s="14">
        <f>O70-P70</f>
        <v>0</v>
      </c>
      <c r="R70" s="14"/>
      <c r="S70" s="13"/>
      <c r="T70" s="14">
        <f>R70-S70</f>
        <v>0</v>
      </c>
      <c r="U70" s="14"/>
      <c r="V70" s="13"/>
      <c r="W70" s="14">
        <f>U70-V70</f>
        <v>0</v>
      </c>
      <c r="X70" s="174">
        <f t="shared" si="108"/>
        <v>0</v>
      </c>
      <c r="Y70" s="174">
        <f t="shared" si="108"/>
        <v>0</v>
      </c>
      <c r="Z70" s="14"/>
      <c r="AA70" s="13"/>
      <c r="AB70" s="14">
        <f>Z70-AA70</f>
        <v>0</v>
      </c>
      <c r="AC70" s="14"/>
      <c r="AD70" s="13"/>
      <c r="AE70" s="14">
        <f>AC70-AD70</f>
        <v>0</v>
      </c>
      <c r="AF70" s="14"/>
      <c r="AG70" s="13"/>
      <c r="AH70" s="14">
        <f>AF70-AG70</f>
        <v>0</v>
      </c>
      <c r="AI70" s="174">
        <f t="shared" si="96"/>
        <v>0</v>
      </c>
      <c r="AJ70" s="174">
        <f>AA70+AD70+AG70</f>
        <v>0</v>
      </c>
      <c r="AK70" s="14"/>
      <c r="AL70" s="13"/>
      <c r="AM70" s="14">
        <f>AK70-AL70</f>
        <v>0</v>
      </c>
      <c r="AN70" s="14"/>
      <c r="AO70" s="13"/>
      <c r="AP70" s="14">
        <f>AN70-AO70</f>
        <v>0</v>
      </c>
      <c r="AQ70" s="14"/>
      <c r="AR70" s="13"/>
      <c r="AS70" s="14">
        <f>AQ70-AR70</f>
        <v>0</v>
      </c>
      <c r="AT70" s="174"/>
      <c r="AU70" s="174">
        <f>AL70+AO70+AR70</f>
        <v>0</v>
      </c>
      <c r="AV70" s="14">
        <f>AQ70+AN70+AK70++AF70+AC70+Z70+U70+R70+O70+J70+G70+D70</f>
        <v>114000000</v>
      </c>
      <c r="AW70" s="14">
        <f>AR70+AO70+AL70+AG70+AD70+AA70+V70+S70+P70+K70+H70+E70</f>
        <v>0</v>
      </c>
      <c r="AX70" s="178">
        <f>(AV70-M70-X70-AI70-AT70)+N70+Y70+AJ70+AU70</f>
        <v>0</v>
      </c>
      <c r="AY70" s="16">
        <f>AW70*1.1</f>
        <v>0</v>
      </c>
      <c r="AZ70" s="16">
        <f t="shared" si="109"/>
        <v>0</v>
      </c>
      <c r="BA70" s="16">
        <f t="shared" si="109"/>
        <v>0</v>
      </c>
      <c r="BB70" s="16">
        <f t="shared" si="109"/>
        <v>0</v>
      </c>
    </row>
    <row r="71" spans="1:54" ht="18.399999999999999" customHeight="1" x14ac:dyDescent="0.2">
      <c r="A71" s="10">
        <v>4</v>
      </c>
      <c r="B71" s="11" t="s">
        <v>47</v>
      </c>
      <c r="C71" s="29" t="s">
        <v>118</v>
      </c>
      <c r="D71" s="14"/>
      <c r="E71" s="13"/>
      <c r="F71" s="14">
        <f>D71-E71</f>
        <v>0</v>
      </c>
      <c r="G71" s="14"/>
      <c r="H71" s="13"/>
      <c r="I71" s="14">
        <f>G71-H71</f>
        <v>0</v>
      </c>
      <c r="J71" s="14"/>
      <c r="K71" s="13"/>
      <c r="L71" s="14">
        <f>J71-K71</f>
        <v>0</v>
      </c>
      <c r="M71" s="174">
        <f t="shared" si="107"/>
        <v>0</v>
      </c>
      <c r="N71" s="174">
        <f t="shared" si="107"/>
        <v>0</v>
      </c>
      <c r="O71" s="14"/>
      <c r="P71" s="13"/>
      <c r="Q71" s="14">
        <f>O71-P71</f>
        <v>0</v>
      </c>
      <c r="R71" s="14"/>
      <c r="S71" s="13"/>
      <c r="T71" s="14">
        <f>R71-S71</f>
        <v>0</v>
      </c>
      <c r="U71" s="14"/>
      <c r="V71" s="13"/>
      <c r="W71" s="14">
        <f>U71-V71</f>
        <v>0</v>
      </c>
      <c r="X71" s="174">
        <f t="shared" si="108"/>
        <v>0</v>
      </c>
      <c r="Y71" s="174">
        <f t="shared" si="108"/>
        <v>0</v>
      </c>
      <c r="Z71" s="14"/>
      <c r="AA71" s="13"/>
      <c r="AB71" s="14">
        <f>Z71-AA71</f>
        <v>0</v>
      </c>
      <c r="AC71" s="14"/>
      <c r="AD71" s="13"/>
      <c r="AE71" s="14">
        <f>AC71-AD71</f>
        <v>0</v>
      </c>
      <c r="AF71" s="14"/>
      <c r="AG71" s="13"/>
      <c r="AH71" s="14">
        <f>AF71-AG71</f>
        <v>0</v>
      </c>
      <c r="AI71" s="174">
        <f t="shared" si="96"/>
        <v>0</v>
      </c>
      <c r="AJ71" s="174">
        <f>AA71+AD71+AG71</f>
        <v>0</v>
      </c>
      <c r="AK71" s="14"/>
      <c r="AL71" s="13"/>
      <c r="AM71" s="14">
        <f>AK71-AL71</f>
        <v>0</v>
      </c>
      <c r="AN71" s="14"/>
      <c r="AO71" s="13"/>
      <c r="AP71" s="14">
        <f>AN71-AO71</f>
        <v>0</v>
      </c>
      <c r="AQ71" s="14"/>
      <c r="AR71" s="13"/>
      <c r="AS71" s="14">
        <f>AQ71-AR71</f>
        <v>0</v>
      </c>
      <c r="AT71" s="174"/>
      <c r="AU71" s="174">
        <f>AL71+AO71+AR71</f>
        <v>0</v>
      </c>
      <c r="AV71" s="14">
        <f>AQ71+AN71+AK71++AF71+AC71+Z71+U71+R71+O71+J71+G71+D71</f>
        <v>0</v>
      </c>
      <c r="AW71" s="14">
        <f>AR71+AO71+AL71+AG71+AD71+AA71+V71+S71+P71+K71+H71+E71</f>
        <v>0</v>
      </c>
      <c r="AX71" s="178">
        <f>(AV71-M71-X71-AI71-AT71)+N71+Y71+AJ71+AU71</f>
        <v>0</v>
      </c>
      <c r="AY71" s="16">
        <f>AW71*1.1</f>
        <v>0</v>
      </c>
      <c r="AZ71" s="16">
        <f t="shared" si="109"/>
        <v>0</v>
      </c>
      <c r="BA71" s="16">
        <f t="shared" si="109"/>
        <v>0</v>
      </c>
      <c r="BB71" s="16">
        <f t="shared" si="109"/>
        <v>0</v>
      </c>
    </row>
    <row r="72" spans="1:54" ht="18.399999999999999" customHeight="1" x14ac:dyDescent="0.2">
      <c r="A72" s="10">
        <v>5</v>
      </c>
      <c r="B72" s="11" t="s">
        <v>47</v>
      </c>
      <c r="C72" s="29" t="s">
        <v>119</v>
      </c>
      <c r="D72" s="14">
        <v>1098000</v>
      </c>
      <c r="E72" s="13"/>
      <c r="F72" s="14">
        <f>D72-E72</f>
        <v>1098000</v>
      </c>
      <c r="G72" s="14">
        <v>1098000</v>
      </c>
      <c r="H72" s="13"/>
      <c r="I72" s="14">
        <f>G72-H72</f>
        <v>1098000</v>
      </c>
      <c r="J72" s="14">
        <v>1098000</v>
      </c>
      <c r="K72" s="13"/>
      <c r="L72" s="14">
        <f>J72-K72</f>
        <v>1098000</v>
      </c>
      <c r="M72" s="174">
        <f t="shared" si="107"/>
        <v>3294000</v>
      </c>
      <c r="N72" s="174">
        <f t="shared" si="107"/>
        <v>0</v>
      </c>
      <c r="O72" s="14">
        <v>1098000</v>
      </c>
      <c r="P72" s="13"/>
      <c r="Q72" s="14">
        <f>O72-P72</f>
        <v>1098000</v>
      </c>
      <c r="R72" s="14">
        <v>1098000</v>
      </c>
      <c r="S72" s="13"/>
      <c r="T72" s="14">
        <f>R72-S72</f>
        <v>1098000</v>
      </c>
      <c r="U72" s="14">
        <v>1098000</v>
      </c>
      <c r="V72" s="13"/>
      <c r="W72" s="14">
        <f>U72-V72</f>
        <v>1098000</v>
      </c>
      <c r="X72" s="174">
        <f t="shared" si="108"/>
        <v>3294000</v>
      </c>
      <c r="Y72" s="174">
        <f t="shared" si="108"/>
        <v>0</v>
      </c>
      <c r="Z72" s="14">
        <v>1098000</v>
      </c>
      <c r="AA72" s="13"/>
      <c r="AB72" s="14">
        <f>Z72-AA72</f>
        <v>1098000</v>
      </c>
      <c r="AC72" s="14">
        <v>1098000</v>
      </c>
      <c r="AD72" s="13"/>
      <c r="AE72" s="14">
        <f>AC72-AD72</f>
        <v>1098000</v>
      </c>
      <c r="AF72" s="14">
        <v>1098000</v>
      </c>
      <c r="AG72" s="13"/>
      <c r="AH72" s="14">
        <f>AF72-AG72</f>
        <v>1098000</v>
      </c>
      <c r="AI72" s="174">
        <f t="shared" si="96"/>
        <v>3294000</v>
      </c>
      <c r="AJ72" s="174">
        <f>AA72+AD72+AG72</f>
        <v>0</v>
      </c>
      <c r="AK72" s="14">
        <v>1098000</v>
      </c>
      <c r="AL72" s="13"/>
      <c r="AM72" s="14">
        <f>AK72-AL72</f>
        <v>1098000</v>
      </c>
      <c r="AN72" s="14">
        <v>1098000</v>
      </c>
      <c r="AO72" s="13"/>
      <c r="AP72" s="14">
        <f>AN72-AO72</f>
        <v>1098000</v>
      </c>
      <c r="AQ72" s="14">
        <v>1098000</v>
      </c>
      <c r="AR72" s="13"/>
      <c r="AS72" s="14">
        <f>AQ72-AR72</f>
        <v>1098000</v>
      </c>
      <c r="AT72" s="174"/>
      <c r="AU72" s="174">
        <f>AL72+AO72+AR72</f>
        <v>0</v>
      </c>
      <c r="AV72" s="14">
        <f>AQ72+AN72+AK72++AF72+AC72+Z72+U72+R72+O72+J72+G72+D72</f>
        <v>13176000</v>
      </c>
      <c r="AW72" s="14">
        <f>AR72+AO72+AL72+AG72+AD72+AA72+V72+S72+P72+K72+H72+E72</f>
        <v>0</v>
      </c>
      <c r="AX72" s="178">
        <f>(AV72-M72-X72-AI72-AT72)+N72+Y72+AJ72+AU72</f>
        <v>3294000</v>
      </c>
      <c r="AY72" s="16">
        <f>AW72*1.1</f>
        <v>0</v>
      </c>
      <c r="AZ72" s="16">
        <f t="shared" si="109"/>
        <v>0</v>
      </c>
      <c r="BA72" s="16">
        <f t="shared" si="109"/>
        <v>0</v>
      </c>
      <c r="BB72" s="16">
        <f t="shared" si="109"/>
        <v>0</v>
      </c>
    </row>
    <row r="73" spans="1:54" s="2" customFormat="1" ht="18.399999999999999" customHeight="1" x14ac:dyDescent="0.2">
      <c r="A73" s="58"/>
      <c r="B73" s="102"/>
      <c r="C73" s="47" t="s">
        <v>120</v>
      </c>
      <c r="D73" s="19">
        <f t="shared" ref="D73:BB73" si="110">SUM(D68:D72)</f>
        <v>4398000</v>
      </c>
      <c r="E73" s="19">
        <f t="shared" si="110"/>
        <v>0</v>
      </c>
      <c r="F73" s="19">
        <f t="shared" si="110"/>
        <v>4398000</v>
      </c>
      <c r="G73" s="19">
        <f t="shared" si="110"/>
        <v>140598000</v>
      </c>
      <c r="H73" s="19">
        <f t="shared" si="110"/>
        <v>0</v>
      </c>
      <c r="I73" s="19">
        <f t="shared" si="110"/>
        <v>140598000</v>
      </c>
      <c r="J73" s="19">
        <f t="shared" si="110"/>
        <v>16498000</v>
      </c>
      <c r="K73" s="19">
        <f t="shared" si="110"/>
        <v>0</v>
      </c>
      <c r="L73" s="19">
        <f t="shared" si="110"/>
        <v>16498000</v>
      </c>
      <c r="M73" s="19">
        <f t="shared" si="110"/>
        <v>161494000</v>
      </c>
      <c r="N73" s="19">
        <f t="shared" si="110"/>
        <v>0</v>
      </c>
      <c r="O73" s="19">
        <f t="shared" si="110"/>
        <v>1098000</v>
      </c>
      <c r="P73" s="19">
        <f t="shared" si="110"/>
        <v>8925000</v>
      </c>
      <c r="Q73" s="19">
        <f t="shared" si="110"/>
        <v>-7827000</v>
      </c>
      <c r="R73" s="19">
        <f t="shared" si="110"/>
        <v>5098000</v>
      </c>
      <c r="S73" s="19">
        <f t="shared" si="110"/>
        <v>0</v>
      </c>
      <c r="T73" s="19">
        <f t="shared" si="110"/>
        <v>5098000</v>
      </c>
      <c r="U73" s="19">
        <f t="shared" si="110"/>
        <v>16598000</v>
      </c>
      <c r="V73" s="19">
        <f t="shared" si="110"/>
        <v>0</v>
      </c>
      <c r="W73" s="19">
        <f t="shared" si="110"/>
        <v>16598000</v>
      </c>
      <c r="X73" s="19">
        <f t="shared" si="110"/>
        <v>22794000</v>
      </c>
      <c r="Y73" s="19">
        <f t="shared" si="110"/>
        <v>8925000</v>
      </c>
      <c r="Z73" s="19">
        <f t="shared" si="110"/>
        <v>44898000</v>
      </c>
      <c r="AA73" s="19">
        <f t="shared" si="110"/>
        <v>0</v>
      </c>
      <c r="AB73" s="19">
        <f t="shared" si="110"/>
        <v>44898000</v>
      </c>
      <c r="AC73" s="19">
        <f t="shared" si="110"/>
        <v>1098000</v>
      </c>
      <c r="AD73" s="19">
        <f t="shared" si="110"/>
        <v>0</v>
      </c>
      <c r="AE73" s="19">
        <f t="shared" si="110"/>
        <v>1098000</v>
      </c>
      <c r="AF73" s="19">
        <f t="shared" si="110"/>
        <v>4898000</v>
      </c>
      <c r="AG73" s="19">
        <f t="shared" si="110"/>
        <v>0</v>
      </c>
      <c r="AH73" s="19">
        <f t="shared" si="110"/>
        <v>4898000</v>
      </c>
      <c r="AI73" s="19">
        <f t="shared" si="110"/>
        <v>50894000</v>
      </c>
      <c r="AJ73" s="19">
        <f t="shared" si="110"/>
        <v>0</v>
      </c>
      <c r="AK73" s="19">
        <f t="shared" si="110"/>
        <v>56598000</v>
      </c>
      <c r="AL73" s="19">
        <f t="shared" si="110"/>
        <v>0</v>
      </c>
      <c r="AM73" s="19">
        <f t="shared" si="110"/>
        <v>56598000</v>
      </c>
      <c r="AN73" s="19">
        <f t="shared" si="110"/>
        <v>4098000</v>
      </c>
      <c r="AO73" s="19">
        <f t="shared" si="110"/>
        <v>0</v>
      </c>
      <c r="AP73" s="19">
        <f t="shared" si="110"/>
        <v>4098000</v>
      </c>
      <c r="AQ73" s="19">
        <f t="shared" si="110"/>
        <v>4898000</v>
      </c>
      <c r="AR73" s="19">
        <f t="shared" si="110"/>
        <v>0</v>
      </c>
      <c r="AS73" s="19">
        <f t="shared" si="110"/>
        <v>4898000</v>
      </c>
      <c r="AT73" s="19">
        <f t="shared" si="110"/>
        <v>0</v>
      </c>
      <c r="AU73" s="19">
        <f t="shared" si="110"/>
        <v>0</v>
      </c>
      <c r="AV73" s="19">
        <f t="shared" si="110"/>
        <v>300776000</v>
      </c>
      <c r="AW73" s="19">
        <f t="shared" si="110"/>
        <v>8925000</v>
      </c>
      <c r="AX73" s="19">
        <f t="shared" si="110"/>
        <v>74519000</v>
      </c>
      <c r="AY73" s="19">
        <f t="shared" si="110"/>
        <v>9817500</v>
      </c>
      <c r="AZ73" s="19">
        <f t="shared" si="110"/>
        <v>10799250</v>
      </c>
      <c r="BA73" s="19">
        <f t="shared" si="110"/>
        <v>11879175.000000002</v>
      </c>
      <c r="BB73" s="19">
        <f t="shared" si="110"/>
        <v>13067092.500000004</v>
      </c>
    </row>
    <row r="74" spans="1:54" s="27" customFormat="1" ht="18.399999999999999" customHeight="1" x14ac:dyDescent="0.2">
      <c r="A74" s="69">
        <v>1</v>
      </c>
      <c r="B74" s="11" t="s">
        <v>79</v>
      </c>
      <c r="C74" s="41" t="s">
        <v>121</v>
      </c>
      <c r="D74" s="14"/>
      <c r="E74" s="13"/>
      <c r="F74" s="14">
        <f>D74-E74</f>
        <v>0</v>
      </c>
      <c r="G74" s="14">
        <v>6000000</v>
      </c>
      <c r="H74" s="13"/>
      <c r="I74" s="14">
        <f>G74-H74</f>
        <v>6000000</v>
      </c>
      <c r="J74" s="14"/>
      <c r="K74" s="13"/>
      <c r="L74" s="14">
        <f>J74-K74</f>
        <v>0</v>
      </c>
      <c r="M74" s="174">
        <f t="shared" ref="M74:N77" si="111">D74+G74+J74</f>
        <v>6000000</v>
      </c>
      <c r="N74" s="174">
        <f t="shared" si="111"/>
        <v>0</v>
      </c>
      <c r="O74" s="14"/>
      <c r="P74" s="13"/>
      <c r="Q74" s="14">
        <f>O74-P74</f>
        <v>0</v>
      </c>
      <c r="R74" s="14">
        <v>6000000</v>
      </c>
      <c r="S74" s="13"/>
      <c r="T74" s="14">
        <f>R74-S74</f>
        <v>6000000</v>
      </c>
      <c r="U74" s="14"/>
      <c r="V74" s="14"/>
      <c r="W74" s="14">
        <f>U74-V74</f>
        <v>0</v>
      </c>
      <c r="X74" s="174">
        <f t="shared" ref="X74:Y77" si="112">O74+R74+U74</f>
        <v>6000000</v>
      </c>
      <c r="Y74" s="174">
        <f t="shared" si="112"/>
        <v>0</v>
      </c>
      <c r="Z74" s="14"/>
      <c r="AA74" s="13"/>
      <c r="AB74" s="14">
        <f>Z74-AA74</f>
        <v>0</v>
      </c>
      <c r="AC74" s="14">
        <v>6000000</v>
      </c>
      <c r="AD74" s="13"/>
      <c r="AE74" s="14">
        <f>AC74-AD74</f>
        <v>6000000</v>
      </c>
      <c r="AF74" s="14"/>
      <c r="AG74" s="13"/>
      <c r="AH74" s="14">
        <f>AF74-AG74</f>
        <v>0</v>
      </c>
      <c r="AI74" s="174">
        <f t="shared" si="96"/>
        <v>6000000</v>
      </c>
      <c r="AJ74" s="174">
        <f>AA74+AD74+AG74</f>
        <v>0</v>
      </c>
      <c r="AK74" s="14"/>
      <c r="AL74" s="13"/>
      <c r="AM74" s="14">
        <f>AK74-AL74</f>
        <v>0</v>
      </c>
      <c r="AN74" s="14">
        <v>6000000</v>
      </c>
      <c r="AO74" s="13"/>
      <c r="AP74" s="14">
        <f>AN74-AO74</f>
        <v>6000000</v>
      </c>
      <c r="AQ74" s="14"/>
      <c r="AR74" s="13"/>
      <c r="AS74" s="14">
        <f>AQ74-AR74</f>
        <v>0</v>
      </c>
      <c r="AT74" s="174"/>
      <c r="AU74" s="174">
        <f>AL74+AO74+AR74</f>
        <v>0</v>
      </c>
      <c r="AV74" s="14">
        <f>AQ74+AN74+AK74++AF74+AC74+Z74+U74+R74+O74+J74+G74+D74</f>
        <v>24000000</v>
      </c>
      <c r="AW74" s="14">
        <f>AR74+AO74+AL74+AG74+AD74+AA74+V74+S74+P74+K74+H74+E74</f>
        <v>0</v>
      </c>
      <c r="AX74" s="178">
        <f>(AV74-M74-X74-AI74-AT74)+N74+Y74+AJ74+AU74</f>
        <v>6000000</v>
      </c>
      <c r="AY74" s="16">
        <f>AW74*1.1</f>
        <v>0</v>
      </c>
      <c r="AZ74" s="16">
        <f t="shared" ref="AZ74:BB77" si="113">AY74*1.1</f>
        <v>0</v>
      </c>
      <c r="BA74" s="16">
        <f t="shared" si="113"/>
        <v>0</v>
      </c>
      <c r="BB74" s="16">
        <f t="shared" si="113"/>
        <v>0</v>
      </c>
    </row>
    <row r="75" spans="1:54" s="27" customFormat="1" ht="18.399999999999999" customHeight="1" x14ac:dyDescent="0.2">
      <c r="A75" s="69">
        <v>2</v>
      </c>
      <c r="B75" s="11" t="s">
        <v>79</v>
      </c>
      <c r="C75" s="41" t="s">
        <v>122</v>
      </c>
      <c r="D75" s="14"/>
      <c r="E75" s="13"/>
      <c r="F75" s="14">
        <f>D75-E75</f>
        <v>0</v>
      </c>
      <c r="G75" s="14"/>
      <c r="H75" s="13"/>
      <c r="I75" s="14">
        <f>G75-H75</f>
        <v>0</v>
      </c>
      <c r="J75" s="14"/>
      <c r="K75" s="13"/>
      <c r="L75" s="14">
        <f>J75-K75</f>
        <v>0</v>
      </c>
      <c r="M75" s="174">
        <f t="shared" si="111"/>
        <v>0</v>
      </c>
      <c r="N75" s="174">
        <f t="shared" si="111"/>
        <v>0</v>
      </c>
      <c r="O75" s="14">
        <f>21400000+13200000</f>
        <v>34600000</v>
      </c>
      <c r="P75" s="13"/>
      <c r="Q75" s="14">
        <f>O75-P75</f>
        <v>34600000</v>
      </c>
      <c r="R75" s="14"/>
      <c r="S75" s="13"/>
      <c r="T75" s="14">
        <f>R75-S75</f>
        <v>0</v>
      </c>
      <c r="U75" s="14">
        <f>S75-T75</f>
        <v>0</v>
      </c>
      <c r="V75" s="14"/>
      <c r="W75" s="14">
        <f>U75-V75</f>
        <v>0</v>
      </c>
      <c r="X75" s="174">
        <f t="shared" si="112"/>
        <v>34600000</v>
      </c>
      <c r="Y75" s="174">
        <f t="shared" si="112"/>
        <v>0</v>
      </c>
      <c r="Z75" s="14">
        <f>V75-W75</f>
        <v>0</v>
      </c>
      <c r="AA75" s="13"/>
      <c r="AB75" s="14">
        <f>Z75-AA75</f>
        <v>0</v>
      </c>
      <c r="AC75" s="14"/>
      <c r="AD75" s="13"/>
      <c r="AE75" s="14">
        <f>AC75-AD75</f>
        <v>0</v>
      </c>
      <c r="AF75" s="14"/>
      <c r="AG75" s="13"/>
      <c r="AH75" s="14">
        <f>AF75-AG75</f>
        <v>0</v>
      </c>
      <c r="AI75" s="174">
        <f t="shared" si="96"/>
        <v>0</v>
      </c>
      <c r="AJ75" s="174">
        <f>AA75+AD75+AG75</f>
        <v>0</v>
      </c>
      <c r="AK75" s="14">
        <f>21400000+13200000</f>
        <v>34600000</v>
      </c>
      <c r="AL75" s="13"/>
      <c r="AM75" s="14">
        <f>AK75-AL75</f>
        <v>34600000</v>
      </c>
      <c r="AN75" s="14"/>
      <c r="AO75" s="13"/>
      <c r="AP75" s="14">
        <f>AN75-AO75</f>
        <v>0</v>
      </c>
      <c r="AQ75" s="14"/>
      <c r="AR75" s="13"/>
      <c r="AS75" s="14">
        <f>AQ75-AR75</f>
        <v>0</v>
      </c>
      <c r="AT75" s="174"/>
      <c r="AU75" s="174">
        <f>AL75+AO75+AR75</f>
        <v>0</v>
      </c>
      <c r="AV75" s="14">
        <f>AQ75+AN75+AK75++AF75+AC75+Z75+U75+R75+O75+J75+G75+D75</f>
        <v>69200000</v>
      </c>
      <c r="AW75" s="14">
        <f>AR75+AO75+AL75+AG75+AD75+AA75+V75+S75+P75+K75+H75+E75</f>
        <v>0</v>
      </c>
      <c r="AX75" s="178">
        <f>(AV75-M75-X75-AI75-AT75)+N75+Y75+AJ75+AU75</f>
        <v>34600000</v>
      </c>
      <c r="AY75" s="16">
        <f>AW75*1.1</f>
        <v>0</v>
      </c>
      <c r="AZ75" s="16">
        <f t="shared" si="113"/>
        <v>0</v>
      </c>
      <c r="BA75" s="16">
        <f t="shared" si="113"/>
        <v>0</v>
      </c>
      <c r="BB75" s="16">
        <f t="shared" si="113"/>
        <v>0</v>
      </c>
    </row>
    <row r="76" spans="1:54" s="27" customFormat="1" ht="18.399999999999999" customHeight="1" x14ac:dyDescent="0.2">
      <c r="A76" s="69">
        <v>3</v>
      </c>
      <c r="B76" s="98" t="s">
        <v>33</v>
      </c>
      <c r="C76" s="41" t="s">
        <v>123</v>
      </c>
      <c r="D76" s="14">
        <v>800000</v>
      </c>
      <c r="E76" s="13"/>
      <c r="F76" s="14">
        <f>D76-E76</f>
        <v>800000</v>
      </c>
      <c r="G76" s="14">
        <v>800000</v>
      </c>
      <c r="H76" s="13">
        <v>2448000</v>
      </c>
      <c r="I76" s="14">
        <f>G76-H76</f>
        <v>-1648000</v>
      </c>
      <c r="J76" s="14">
        <v>800000</v>
      </c>
      <c r="K76" s="13">
        <v>1340000</v>
      </c>
      <c r="L76" s="14">
        <f>J76-K76</f>
        <v>-540000</v>
      </c>
      <c r="M76" s="174">
        <f t="shared" si="111"/>
        <v>2400000</v>
      </c>
      <c r="N76" s="174">
        <f t="shared" si="111"/>
        <v>3788000</v>
      </c>
      <c r="O76" s="14">
        <v>800000</v>
      </c>
      <c r="P76" s="13"/>
      <c r="Q76" s="14">
        <f>O76-P76</f>
        <v>800000</v>
      </c>
      <c r="R76" s="14">
        <v>800000</v>
      </c>
      <c r="S76" s="13"/>
      <c r="T76" s="14">
        <f>R76-S76</f>
        <v>800000</v>
      </c>
      <c r="U76" s="14">
        <v>800000</v>
      </c>
      <c r="V76" s="175">
        <v>670000</v>
      </c>
      <c r="W76" s="14">
        <f>U76-V76</f>
        <v>130000</v>
      </c>
      <c r="X76" s="174">
        <f t="shared" si="112"/>
        <v>2400000</v>
      </c>
      <c r="Y76" s="174">
        <f t="shared" si="112"/>
        <v>670000</v>
      </c>
      <c r="Z76" s="14">
        <v>800000</v>
      </c>
      <c r="AA76" s="13"/>
      <c r="AB76" s="14">
        <f>Z76-AA76</f>
        <v>800000</v>
      </c>
      <c r="AC76" s="14">
        <v>800000</v>
      </c>
      <c r="AD76" s="13"/>
      <c r="AE76" s="14">
        <f>AC76-AD76</f>
        <v>800000</v>
      </c>
      <c r="AF76" s="14">
        <v>800000</v>
      </c>
      <c r="AG76" s="13"/>
      <c r="AH76" s="14">
        <f>AF76-AG76</f>
        <v>800000</v>
      </c>
      <c r="AI76" s="174">
        <f t="shared" si="96"/>
        <v>2400000</v>
      </c>
      <c r="AJ76" s="174">
        <f>AA76+AD76+AG76</f>
        <v>0</v>
      </c>
      <c r="AK76" s="14">
        <v>800000</v>
      </c>
      <c r="AL76" s="13"/>
      <c r="AM76" s="14">
        <f>AK76-AL76</f>
        <v>800000</v>
      </c>
      <c r="AN76" s="14">
        <v>800000</v>
      </c>
      <c r="AO76" s="13"/>
      <c r="AP76" s="14">
        <f>AN76-AO76</f>
        <v>800000</v>
      </c>
      <c r="AQ76" s="14">
        <v>800000</v>
      </c>
      <c r="AR76" s="13"/>
      <c r="AS76" s="14">
        <f>AQ76-AR76</f>
        <v>800000</v>
      </c>
      <c r="AT76" s="174"/>
      <c r="AU76" s="174">
        <f>AL76+AO76+AR76</f>
        <v>0</v>
      </c>
      <c r="AV76" s="14">
        <f>AQ76+AN76+AK76++AF76+AC76+Z76+U76+R76+O76+J76+G76+D76</f>
        <v>9600000</v>
      </c>
      <c r="AW76" s="14">
        <f>AR76+AO76+AL76+AG76+AD76+AA76+V76+S76+P76+K76+H76+E76</f>
        <v>4458000</v>
      </c>
      <c r="AX76" s="178">
        <f>(AV76-M76-X76-AI76-AT76)+N76+Y76+AJ76+AU76</f>
        <v>6858000</v>
      </c>
      <c r="AY76" s="16">
        <f>AW76*1.1</f>
        <v>4903800</v>
      </c>
      <c r="AZ76" s="16">
        <f t="shared" si="113"/>
        <v>5394180</v>
      </c>
      <c r="BA76" s="16">
        <f t="shared" si="113"/>
        <v>5933598.0000000009</v>
      </c>
      <c r="BB76" s="16">
        <f t="shared" si="113"/>
        <v>6526957.8000000017</v>
      </c>
    </row>
    <row r="77" spans="1:54" s="27" customFormat="1" ht="18.399999999999999" customHeight="1" x14ac:dyDescent="0.2">
      <c r="A77" s="69">
        <v>4</v>
      </c>
      <c r="B77" s="98" t="s">
        <v>124</v>
      </c>
      <c r="C77" s="41" t="s">
        <v>125</v>
      </c>
      <c r="D77" s="14"/>
      <c r="E77" s="13"/>
      <c r="F77" s="14"/>
      <c r="G77" s="14"/>
      <c r="H77" s="13"/>
      <c r="I77" s="14"/>
      <c r="J77" s="14"/>
      <c r="K77" s="13"/>
      <c r="L77" s="14"/>
      <c r="M77" s="174">
        <f t="shared" si="111"/>
        <v>0</v>
      </c>
      <c r="N77" s="174">
        <f t="shared" si="111"/>
        <v>0</v>
      </c>
      <c r="O77" s="14"/>
      <c r="P77" s="13"/>
      <c r="Q77" s="14">
        <f>O77-P77</f>
        <v>0</v>
      </c>
      <c r="R77" s="14"/>
      <c r="S77" s="13"/>
      <c r="T77" s="14">
        <f>R77-S77</f>
        <v>0</v>
      </c>
      <c r="U77" s="14">
        <f>1.3*U23</f>
        <v>35765008.5</v>
      </c>
      <c r="V77" s="13"/>
      <c r="W77" s="14">
        <f>U77-V77</f>
        <v>35765008.5</v>
      </c>
      <c r="X77" s="174">
        <f t="shared" si="112"/>
        <v>35765008.5</v>
      </c>
      <c r="Y77" s="174">
        <f t="shared" si="112"/>
        <v>0</v>
      </c>
      <c r="Z77" s="14"/>
      <c r="AA77" s="13"/>
      <c r="AB77" s="14"/>
      <c r="AC77" s="14"/>
      <c r="AD77" s="13"/>
      <c r="AE77" s="14"/>
      <c r="AF77" s="14"/>
      <c r="AG77" s="13"/>
      <c r="AH77" s="14"/>
      <c r="AI77" s="174">
        <f t="shared" si="96"/>
        <v>0</v>
      </c>
      <c r="AJ77" s="174">
        <f>AA77+AD77+AG77</f>
        <v>0</v>
      </c>
      <c r="AK77" s="14"/>
      <c r="AL77" s="13"/>
      <c r="AM77" s="14"/>
      <c r="AN77" s="14"/>
      <c r="AO77" s="13"/>
      <c r="AP77" s="14"/>
      <c r="AQ77" s="14"/>
      <c r="AR77" s="13"/>
      <c r="AS77" s="14">
        <f>AQ77-AR77</f>
        <v>0</v>
      </c>
      <c r="AT77" s="174"/>
      <c r="AU77" s="174">
        <f>AL77+AO77+AR77</f>
        <v>0</v>
      </c>
      <c r="AV77" s="14">
        <f>AQ77+AN77+AK77++AF77+AC77+Z77+U77+R77+O77+J77+G77+D77</f>
        <v>35765008.5</v>
      </c>
      <c r="AW77" s="14">
        <f>AR77+AO77+AL77+AG77+AD77+AA77+V77+S77+P77+K77+H77+E77</f>
        <v>0</v>
      </c>
      <c r="AX77" s="178">
        <f>(AV77-M77-X77-AI77-AT77)+N77+Y77+AJ77+AU77</f>
        <v>0</v>
      </c>
      <c r="AY77" s="16">
        <f>AW77*1.1</f>
        <v>0</v>
      </c>
      <c r="AZ77" s="16">
        <f t="shared" si="113"/>
        <v>0</v>
      </c>
      <c r="BA77" s="16">
        <f t="shared" si="113"/>
        <v>0</v>
      </c>
      <c r="BB77" s="16">
        <f t="shared" si="113"/>
        <v>0</v>
      </c>
    </row>
    <row r="78" spans="1:54" s="2" customFormat="1" ht="18.399999999999999" customHeight="1" x14ac:dyDescent="0.2">
      <c r="A78" s="58"/>
      <c r="B78" s="11"/>
      <c r="C78" s="47" t="s">
        <v>126</v>
      </c>
      <c r="D78" s="19">
        <f t="shared" ref="D78:BB78" si="114">SUM(D74:D77)</f>
        <v>800000</v>
      </c>
      <c r="E78" s="19">
        <f t="shared" si="114"/>
        <v>0</v>
      </c>
      <c r="F78" s="19">
        <f t="shared" si="114"/>
        <v>800000</v>
      </c>
      <c r="G78" s="19">
        <f t="shared" si="114"/>
        <v>6800000</v>
      </c>
      <c r="H78" s="19">
        <f t="shared" si="114"/>
        <v>2448000</v>
      </c>
      <c r="I78" s="19">
        <f t="shared" si="114"/>
        <v>4352000</v>
      </c>
      <c r="J78" s="19">
        <f t="shared" si="114"/>
        <v>800000</v>
      </c>
      <c r="K78" s="19">
        <f t="shared" si="114"/>
        <v>1340000</v>
      </c>
      <c r="L78" s="19">
        <f t="shared" si="114"/>
        <v>-540000</v>
      </c>
      <c r="M78" s="19">
        <f t="shared" si="114"/>
        <v>8400000</v>
      </c>
      <c r="N78" s="19">
        <f t="shared" si="114"/>
        <v>3788000</v>
      </c>
      <c r="O78" s="19">
        <f t="shared" si="114"/>
        <v>35400000</v>
      </c>
      <c r="P78" s="19">
        <f t="shared" si="114"/>
        <v>0</v>
      </c>
      <c r="Q78" s="19">
        <f t="shared" si="114"/>
        <v>35400000</v>
      </c>
      <c r="R78" s="19">
        <f t="shared" si="114"/>
        <v>6800000</v>
      </c>
      <c r="S78" s="19">
        <f t="shared" si="114"/>
        <v>0</v>
      </c>
      <c r="T78" s="19">
        <f t="shared" si="114"/>
        <v>6800000</v>
      </c>
      <c r="U78" s="19">
        <f t="shared" si="114"/>
        <v>36565008.5</v>
      </c>
      <c r="V78" s="19">
        <f t="shared" si="114"/>
        <v>670000</v>
      </c>
      <c r="W78" s="19">
        <f t="shared" si="114"/>
        <v>35895008.5</v>
      </c>
      <c r="X78" s="19">
        <f t="shared" si="114"/>
        <v>78765008.5</v>
      </c>
      <c r="Y78" s="19">
        <f t="shared" si="114"/>
        <v>670000</v>
      </c>
      <c r="Z78" s="19">
        <f t="shared" si="114"/>
        <v>800000</v>
      </c>
      <c r="AA78" s="19">
        <f t="shared" si="114"/>
        <v>0</v>
      </c>
      <c r="AB78" s="19">
        <f t="shared" si="114"/>
        <v>800000</v>
      </c>
      <c r="AC78" s="19">
        <f t="shared" si="114"/>
        <v>6800000</v>
      </c>
      <c r="AD78" s="19">
        <f t="shared" si="114"/>
        <v>0</v>
      </c>
      <c r="AE78" s="19">
        <f t="shared" si="114"/>
        <v>6800000</v>
      </c>
      <c r="AF78" s="19">
        <f t="shared" si="114"/>
        <v>800000</v>
      </c>
      <c r="AG78" s="19">
        <f t="shared" si="114"/>
        <v>0</v>
      </c>
      <c r="AH78" s="19">
        <f t="shared" si="114"/>
        <v>800000</v>
      </c>
      <c r="AI78" s="19">
        <f t="shared" si="114"/>
        <v>8400000</v>
      </c>
      <c r="AJ78" s="19">
        <f t="shared" si="114"/>
        <v>0</v>
      </c>
      <c r="AK78" s="19">
        <f t="shared" si="114"/>
        <v>35400000</v>
      </c>
      <c r="AL78" s="19">
        <f t="shared" si="114"/>
        <v>0</v>
      </c>
      <c r="AM78" s="19">
        <f t="shared" si="114"/>
        <v>35400000</v>
      </c>
      <c r="AN78" s="19">
        <f t="shared" si="114"/>
        <v>6800000</v>
      </c>
      <c r="AO78" s="19">
        <f t="shared" si="114"/>
        <v>0</v>
      </c>
      <c r="AP78" s="19">
        <f t="shared" si="114"/>
        <v>6800000</v>
      </c>
      <c r="AQ78" s="19">
        <f t="shared" si="114"/>
        <v>800000</v>
      </c>
      <c r="AR78" s="19">
        <f t="shared" si="114"/>
        <v>0</v>
      </c>
      <c r="AS78" s="19">
        <f t="shared" si="114"/>
        <v>800000</v>
      </c>
      <c r="AT78" s="19">
        <f t="shared" si="114"/>
        <v>0</v>
      </c>
      <c r="AU78" s="19">
        <f t="shared" si="114"/>
        <v>0</v>
      </c>
      <c r="AV78" s="19">
        <f t="shared" si="114"/>
        <v>138565008.5</v>
      </c>
      <c r="AW78" s="19">
        <f t="shared" si="114"/>
        <v>4458000</v>
      </c>
      <c r="AX78" s="19">
        <f t="shared" si="114"/>
        <v>47458000</v>
      </c>
      <c r="AY78" s="19">
        <f t="shared" si="114"/>
        <v>4903800</v>
      </c>
      <c r="AZ78" s="19">
        <f t="shared" si="114"/>
        <v>5394180</v>
      </c>
      <c r="BA78" s="19">
        <f t="shared" si="114"/>
        <v>5933598.0000000009</v>
      </c>
      <c r="BB78" s="19">
        <f t="shared" si="114"/>
        <v>6526957.8000000017</v>
      </c>
    </row>
    <row r="79" spans="1:54" ht="18.399999999999999" customHeight="1" x14ac:dyDescent="0.25">
      <c r="A79" s="10">
        <v>1</v>
      </c>
      <c r="B79" s="11" t="s">
        <v>57</v>
      </c>
      <c r="C79" s="29" t="s">
        <v>127</v>
      </c>
      <c r="D79" s="14"/>
      <c r="E79" s="13"/>
      <c r="F79" s="14">
        <f t="shared" ref="F79:F85" si="115">D79-E79</f>
        <v>0</v>
      </c>
      <c r="G79" s="14"/>
      <c r="H79" s="13"/>
      <c r="I79" s="14">
        <f t="shared" ref="I79:I85" si="116">G79-H79</f>
        <v>0</v>
      </c>
      <c r="J79" s="14"/>
      <c r="K79" s="13"/>
      <c r="L79" s="14">
        <f t="shared" ref="L79:L84" si="117">J79-K79</f>
        <v>0</v>
      </c>
      <c r="M79" s="174">
        <f t="shared" ref="M79:N85" si="118">D79+G79+J79</f>
        <v>0</v>
      </c>
      <c r="N79" s="174">
        <f t="shared" si="118"/>
        <v>0</v>
      </c>
      <c r="O79" s="14">
        <v>10000000</v>
      </c>
      <c r="P79" s="13">
        <v>146500000</v>
      </c>
      <c r="Q79" s="14">
        <f t="shared" ref="Q79:Q85" si="119">O79-P79</f>
        <v>-136500000</v>
      </c>
      <c r="R79" s="14"/>
      <c r="S79" s="13"/>
      <c r="T79" s="14">
        <f t="shared" ref="T79:T85" si="120">R79-S79</f>
        <v>0</v>
      </c>
      <c r="U79" s="14">
        <v>25000000</v>
      </c>
      <c r="V79" s="13"/>
      <c r="W79" s="14">
        <f t="shared" ref="W79:W85" si="121">U79-V79</f>
        <v>25000000</v>
      </c>
      <c r="X79" s="174">
        <f t="shared" ref="X79:Y85" si="122">O79+R79+U79</f>
        <v>35000000</v>
      </c>
      <c r="Y79" s="174">
        <f t="shared" si="122"/>
        <v>146500000</v>
      </c>
      <c r="Z79" s="14"/>
      <c r="AA79" s="13"/>
      <c r="AB79" s="14">
        <f t="shared" ref="AB79:AB84" si="123">Z79-AA79</f>
        <v>0</v>
      </c>
      <c r="AC79" s="14">
        <v>7500000</v>
      </c>
      <c r="AD79" s="176">
        <v>7179487</v>
      </c>
      <c r="AE79" s="14">
        <f t="shared" ref="AE79:AE84" si="124">AC79-AD79</f>
        <v>320513</v>
      </c>
      <c r="AF79" s="14"/>
      <c r="AG79" s="177">
        <v>24404480</v>
      </c>
      <c r="AH79" s="14">
        <f t="shared" ref="AH79:AH84" si="125">AF79-AG79</f>
        <v>-24404480</v>
      </c>
      <c r="AI79" s="174">
        <f t="shared" si="96"/>
        <v>7500000</v>
      </c>
      <c r="AJ79" s="174">
        <f t="shared" ref="AJ79:AJ85" si="126">AA79+AD79+AG79</f>
        <v>31583967</v>
      </c>
      <c r="AK79" s="14"/>
      <c r="AL79" s="13"/>
      <c r="AM79" s="14">
        <f t="shared" ref="AM79:AM84" si="127">AK79-AL79</f>
        <v>0</v>
      </c>
      <c r="AN79" s="14"/>
      <c r="AO79" s="13"/>
      <c r="AP79" s="14">
        <f t="shared" ref="AP79:AP84" si="128">AN79-AO79</f>
        <v>0</v>
      </c>
      <c r="AQ79" s="14">
        <v>25000000</v>
      </c>
      <c r="AR79" s="13"/>
      <c r="AS79" s="14">
        <f t="shared" ref="AS79:AS84" si="129">AQ79-AR79</f>
        <v>25000000</v>
      </c>
      <c r="AT79" s="174"/>
      <c r="AU79" s="174">
        <f t="shared" ref="AU79:AU85" si="130">AL79+AO79+AR79</f>
        <v>0</v>
      </c>
      <c r="AV79" s="14">
        <f t="shared" ref="AV79:AV85" si="131">AQ79+AN79+AK79++AF79+AC79+Z79+U79+R79+O79+J79+G79+D79</f>
        <v>67500000</v>
      </c>
      <c r="AW79" s="14">
        <f t="shared" ref="AW79:AW85" si="132">AR79+AO79+AL79+AG79+AD79+AA79+V79+S79+P79+K79+H79+E79</f>
        <v>178083967</v>
      </c>
      <c r="AX79" s="178">
        <f t="shared" ref="AX79:AX85" si="133">(AV79-M79-X79-AI79-AT79)+N79+Y79+AJ79+AU79</f>
        <v>203083967</v>
      </c>
      <c r="AY79" s="16">
        <f t="shared" ref="AY79:AY85" si="134">AW79*1.1</f>
        <v>195892363.70000002</v>
      </c>
      <c r="AZ79" s="16">
        <f t="shared" ref="AZ79:BB85" si="135">AY79*1.1</f>
        <v>215481600.07000002</v>
      </c>
      <c r="BA79" s="16">
        <f t="shared" si="135"/>
        <v>237029760.07700005</v>
      </c>
      <c r="BB79" s="16">
        <f t="shared" si="135"/>
        <v>260732736.08470008</v>
      </c>
    </row>
    <row r="80" spans="1:54" ht="18.399999999999999" customHeight="1" x14ac:dyDescent="0.2">
      <c r="A80" s="10">
        <v>2</v>
      </c>
      <c r="B80" s="11" t="s">
        <v>79</v>
      </c>
      <c r="C80" s="29" t="s">
        <v>128</v>
      </c>
      <c r="D80" s="14">
        <v>1250000</v>
      </c>
      <c r="E80" s="13">
        <v>2500000</v>
      </c>
      <c r="F80" s="14">
        <f t="shared" si="115"/>
        <v>-1250000</v>
      </c>
      <c r="G80" s="14">
        <v>1250000</v>
      </c>
      <c r="H80" s="13"/>
      <c r="I80" s="14">
        <f t="shared" si="116"/>
        <v>1250000</v>
      </c>
      <c r="J80" s="14">
        <v>1250000</v>
      </c>
      <c r="K80" s="13"/>
      <c r="L80" s="14">
        <f t="shared" si="117"/>
        <v>1250000</v>
      </c>
      <c r="M80" s="174">
        <f t="shared" si="118"/>
        <v>3750000</v>
      </c>
      <c r="N80" s="174">
        <f t="shared" si="118"/>
        <v>2500000</v>
      </c>
      <c r="O80" s="14">
        <v>1250000</v>
      </c>
      <c r="P80" s="13"/>
      <c r="Q80" s="14">
        <f t="shared" si="119"/>
        <v>1250000</v>
      </c>
      <c r="R80" s="14">
        <v>1250000</v>
      </c>
      <c r="S80" s="13">
        <v>2500000</v>
      </c>
      <c r="T80" s="14">
        <f t="shared" si="120"/>
        <v>-1250000</v>
      </c>
      <c r="U80" s="14">
        <f>1250000+50000000</f>
        <v>51250000</v>
      </c>
      <c r="V80" s="13"/>
      <c r="W80" s="14">
        <f t="shared" si="121"/>
        <v>51250000</v>
      </c>
      <c r="X80" s="174">
        <f t="shared" si="122"/>
        <v>53750000</v>
      </c>
      <c r="Y80" s="174">
        <f t="shared" si="122"/>
        <v>2500000</v>
      </c>
      <c r="Z80" s="14">
        <v>1250000</v>
      </c>
      <c r="AA80" s="13"/>
      <c r="AB80" s="14">
        <f t="shared" si="123"/>
        <v>1250000</v>
      </c>
      <c r="AC80" s="14">
        <v>1250000</v>
      </c>
      <c r="AD80" s="13"/>
      <c r="AE80" s="14">
        <f t="shared" si="124"/>
        <v>1250000</v>
      </c>
      <c r="AF80" s="14">
        <v>1250000</v>
      </c>
      <c r="AG80" s="13"/>
      <c r="AH80" s="14">
        <f t="shared" si="125"/>
        <v>1250000</v>
      </c>
      <c r="AI80" s="174">
        <f t="shared" si="96"/>
        <v>3750000</v>
      </c>
      <c r="AJ80" s="174">
        <f t="shared" si="126"/>
        <v>0</v>
      </c>
      <c r="AK80" s="14">
        <v>1250000</v>
      </c>
      <c r="AL80" s="13"/>
      <c r="AM80" s="14">
        <f t="shared" si="127"/>
        <v>1250000</v>
      </c>
      <c r="AN80" s="14">
        <v>1250000</v>
      </c>
      <c r="AO80" s="13"/>
      <c r="AP80" s="14">
        <f t="shared" si="128"/>
        <v>1250000</v>
      </c>
      <c r="AQ80" s="14">
        <v>1250000</v>
      </c>
      <c r="AR80" s="13"/>
      <c r="AS80" s="14">
        <f t="shared" si="129"/>
        <v>1250000</v>
      </c>
      <c r="AT80" s="174"/>
      <c r="AU80" s="174">
        <f t="shared" si="130"/>
        <v>0</v>
      </c>
      <c r="AV80" s="14">
        <f t="shared" si="131"/>
        <v>65000000</v>
      </c>
      <c r="AW80" s="14">
        <f t="shared" si="132"/>
        <v>5000000</v>
      </c>
      <c r="AX80" s="178">
        <f t="shared" si="133"/>
        <v>8750000</v>
      </c>
      <c r="AY80" s="16">
        <f t="shared" si="134"/>
        <v>5500000</v>
      </c>
      <c r="AZ80" s="16">
        <f t="shared" si="135"/>
        <v>6050000.0000000009</v>
      </c>
      <c r="BA80" s="16">
        <f t="shared" si="135"/>
        <v>6655000.0000000019</v>
      </c>
      <c r="BB80" s="16">
        <f t="shared" si="135"/>
        <v>7320500.0000000028</v>
      </c>
    </row>
    <row r="81" spans="1:54" ht="18.399999999999999" customHeight="1" x14ac:dyDescent="0.2">
      <c r="A81" s="10">
        <v>3</v>
      </c>
      <c r="B81" s="11" t="s">
        <v>47</v>
      </c>
      <c r="C81" s="29" t="s">
        <v>217</v>
      </c>
      <c r="D81" s="14">
        <f>5000000</f>
        <v>5000000</v>
      </c>
      <c r="E81" s="13"/>
      <c r="F81" s="14">
        <f t="shared" si="115"/>
        <v>5000000</v>
      </c>
      <c r="G81" s="14"/>
      <c r="H81" s="13"/>
      <c r="I81" s="14">
        <f t="shared" si="116"/>
        <v>0</v>
      </c>
      <c r="J81" s="14">
        <f>5000000</f>
        <v>5000000</v>
      </c>
      <c r="K81" s="13"/>
      <c r="L81" s="14">
        <f t="shared" si="117"/>
        <v>5000000</v>
      </c>
      <c r="M81" s="174">
        <f t="shared" si="118"/>
        <v>10000000</v>
      </c>
      <c r="N81" s="174">
        <f t="shared" si="118"/>
        <v>0</v>
      </c>
      <c r="O81" s="14"/>
      <c r="P81" s="13"/>
      <c r="Q81" s="14">
        <f t="shared" si="119"/>
        <v>0</v>
      </c>
      <c r="R81" s="14">
        <v>5000000</v>
      </c>
      <c r="S81" s="13"/>
      <c r="T81" s="14">
        <f t="shared" si="120"/>
        <v>5000000</v>
      </c>
      <c r="U81" s="14"/>
      <c r="V81" s="13"/>
      <c r="W81" s="14">
        <f t="shared" si="121"/>
        <v>0</v>
      </c>
      <c r="X81" s="174">
        <f t="shared" si="122"/>
        <v>5000000</v>
      </c>
      <c r="Y81" s="174">
        <f t="shared" si="122"/>
        <v>0</v>
      </c>
      <c r="Z81" s="14">
        <f>5000000+10000000</f>
        <v>15000000</v>
      </c>
      <c r="AA81" s="13"/>
      <c r="AB81" s="14">
        <f t="shared" si="123"/>
        <v>15000000</v>
      </c>
      <c r="AC81" s="14">
        <v>5000000</v>
      </c>
      <c r="AD81" s="13"/>
      <c r="AE81" s="14">
        <f t="shared" si="124"/>
        <v>5000000</v>
      </c>
      <c r="AF81" s="14">
        <f>5000000+10000000</f>
        <v>15000000</v>
      </c>
      <c r="AG81" s="13"/>
      <c r="AH81" s="14">
        <f t="shared" si="125"/>
        <v>15000000</v>
      </c>
      <c r="AI81" s="174">
        <f t="shared" si="96"/>
        <v>35000000</v>
      </c>
      <c r="AJ81" s="174">
        <f t="shared" si="126"/>
        <v>0</v>
      </c>
      <c r="AK81" s="14"/>
      <c r="AL81" s="13"/>
      <c r="AM81" s="14">
        <f t="shared" si="127"/>
        <v>0</v>
      </c>
      <c r="AN81" s="14">
        <f>5000000+10000000</f>
        <v>15000000</v>
      </c>
      <c r="AO81" s="13"/>
      <c r="AP81" s="14">
        <f t="shared" si="128"/>
        <v>15000000</v>
      </c>
      <c r="AQ81" s="14"/>
      <c r="AR81" s="13"/>
      <c r="AS81" s="14">
        <f t="shared" si="129"/>
        <v>0</v>
      </c>
      <c r="AT81" s="174"/>
      <c r="AU81" s="174">
        <f t="shared" si="130"/>
        <v>0</v>
      </c>
      <c r="AV81" s="14">
        <f t="shared" si="131"/>
        <v>65000000</v>
      </c>
      <c r="AW81" s="14">
        <f t="shared" si="132"/>
        <v>0</v>
      </c>
      <c r="AX81" s="178">
        <f t="shared" si="133"/>
        <v>15000000</v>
      </c>
      <c r="AY81" s="16">
        <f t="shared" si="134"/>
        <v>0</v>
      </c>
      <c r="AZ81" s="16">
        <f t="shared" si="135"/>
        <v>0</v>
      </c>
      <c r="BA81" s="16">
        <f t="shared" si="135"/>
        <v>0</v>
      </c>
      <c r="BB81" s="16">
        <f t="shared" si="135"/>
        <v>0</v>
      </c>
    </row>
    <row r="82" spans="1:54" ht="18.399999999999999" customHeight="1" x14ac:dyDescent="0.2">
      <c r="A82" s="10">
        <v>4</v>
      </c>
      <c r="B82" s="11" t="s">
        <v>129</v>
      </c>
      <c r="C82" s="29" t="s">
        <v>130</v>
      </c>
      <c r="D82" s="14">
        <v>600000</v>
      </c>
      <c r="E82" s="13">
        <v>5100000</v>
      </c>
      <c r="F82" s="14">
        <f t="shared" si="115"/>
        <v>-4500000</v>
      </c>
      <c r="G82" s="14">
        <v>600000</v>
      </c>
      <c r="H82" s="13"/>
      <c r="I82" s="14">
        <f t="shared" si="116"/>
        <v>600000</v>
      </c>
      <c r="J82" s="14">
        <v>600000</v>
      </c>
      <c r="K82" s="13"/>
      <c r="L82" s="14">
        <f t="shared" si="117"/>
        <v>600000</v>
      </c>
      <c r="M82" s="174">
        <f t="shared" si="118"/>
        <v>1800000</v>
      </c>
      <c r="N82" s="174">
        <f t="shared" si="118"/>
        <v>5100000</v>
      </c>
      <c r="O82" s="14">
        <f>80000000+600000</f>
        <v>80600000</v>
      </c>
      <c r="P82" s="13"/>
      <c r="Q82" s="14">
        <f t="shared" si="119"/>
        <v>80600000</v>
      </c>
      <c r="R82" s="14">
        <v>600000</v>
      </c>
      <c r="S82" s="13">
        <v>500000</v>
      </c>
      <c r="T82" s="14">
        <f t="shared" si="120"/>
        <v>100000</v>
      </c>
      <c r="U82" s="14">
        <v>600000</v>
      </c>
      <c r="V82" s="13"/>
      <c r="W82" s="14">
        <f t="shared" si="121"/>
        <v>600000</v>
      </c>
      <c r="X82" s="174">
        <f t="shared" si="122"/>
        <v>81800000</v>
      </c>
      <c r="Y82" s="174">
        <f t="shared" si="122"/>
        <v>500000</v>
      </c>
      <c r="Z82" s="14">
        <v>600000</v>
      </c>
      <c r="AA82" s="13"/>
      <c r="AB82" s="14">
        <f t="shared" si="123"/>
        <v>600000</v>
      </c>
      <c r="AC82" s="14">
        <v>600000</v>
      </c>
      <c r="AD82" s="13"/>
      <c r="AE82" s="14">
        <f t="shared" si="124"/>
        <v>600000</v>
      </c>
      <c r="AF82" s="14">
        <v>600000</v>
      </c>
      <c r="AG82" s="13">
        <v>2000000</v>
      </c>
      <c r="AH82" s="14">
        <f t="shared" si="125"/>
        <v>-1400000</v>
      </c>
      <c r="AI82" s="174">
        <f t="shared" si="96"/>
        <v>1800000</v>
      </c>
      <c r="AJ82" s="174">
        <f t="shared" si="126"/>
        <v>2000000</v>
      </c>
      <c r="AK82" s="14">
        <v>600000</v>
      </c>
      <c r="AL82" s="13"/>
      <c r="AM82" s="14">
        <f t="shared" si="127"/>
        <v>600000</v>
      </c>
      <c r="AN82" s="14">
        <v>600000</v>
      </c>
      <c r="AO82" s="13"/>
      <c r="AP82" s="14">
        <f t="shared" si="128"/>
        <v>600000</v>
      </c>
      <c r="AQ82" s="14">
        <v>600000</v>
      </c>
      <c r="AR82" s="13"/>
      <c r="AS82" s="14">
        <f t="shared" si="129"/>
        <v>600000</v>
      </c>
      <c r="AT82" s="174"/>
      <c r="AU82" s="174">
        <f t="shared" si="130"/>
        <v>0</v>
      </c>
      <c r="AV82" s="14">
        <f t="shared" si="131"/>
        <v>87200000</v>
      </c>
      <c r="AW82" s="14">
        <f t="shared" si="132"/>
        <v>7600000</v>
      </c>
      <c r="AX82" s="178">
        <f t="shared" si="133"/>
        <v>9400000</v>
      </c>
      <c r="AY82" s="16">
        <f t="shared" si="134"/>
        <v>8360000.0000000009</v>
      </c>
      <c r="AZ82" s="16">
        <f t="shared" si="135"/>
        <v>9196000.0000000019</v>
      </c>
      <c r="BA82" s="16">
        <f t="shared" si="135"/>
        <v>10115600.000000004</v>
      </c>
      <c r="BB82" s="16">
        <f t="shared" si="135"/>
        <v>11127160.000000006</v>
      </c>
    </row>
    <row r="83" spans="1:54" ht="18.399999999999999" customHeight="1" x14ac:dyDescent="0.2">
      <c r="A83" s="10">
        <v>5</v>
      </c>
      <c r="B83" s="11" t="s">
        <v>36</v>
      </c>
      <c r="C83" s="29" t="s">
        <v>131</v>
      </c>
      <c r="D83" s="14"/>
      <c r="E83" s="13"/>
      <c r="F83" s="14">
        <f t="shared" si="115"/>
        <v>0</v>
      </c>
      <c r="G83" s="14"/>
      <c r="H83" s="13"/>
      <c r="I83" s="14">
        <f t="shared" si="116"/>
        <v>0</v>
      </c>
      <c r="J83" s="14"/>
      <c r="K83" s="13"/>
      <c r="L83" s="14">
        <f t="shared" si="117"/>
        <v>0</v>
      </c>
      <c r="M83" s="174">
        <f t="shared" si="118"/>
        <v>0</v>
      </c>
      <c r="N83" s="174">
        <f t="shared" si="118"/>
        <v>0</v>
      </c>
      <c r="O83" s="14"/>
      <c r="P83" s="13"/>
      <c r="Q83" s="14">
        <f t="shared" si="119"/>
        <v>0</v>
      </c>
      <c r="R83" s="14"/>
      <c r="S83" s="13"/>
      <c r="T83" s="14">
        <f t="shared" si="120"/>
        <v>0</v>
      </c>
      <c r="U83" s="14"/>
      <c r="V83" s="13"/>
      <c r="W83" s="14">
        <f t="shared" si="121"/>
        <v>0</v>
      </c>
      <c r="X83" s="174">
        <f t="shared" si="122"/>
        <v>0</v>
      </c>
      <c r="Y83" s="174">
        <f t="shared" si="122"/>
        <v>0</v>
      </c>
      <c r="Z83" s="14"/>
      <c r="AA83" s="13"/>
      <c r="AB83" s="14">
        <f t="shared" si="123"/>
        <v>0</v>
      </c>
      <c r="AC83" s="14"/>
      <c r="AD83" s="13"/>
      <c r="AE83" s="14">
        <f t="shared" si="124"/>
        <v>0</v>
      </c>
      <c r="AF83" s="14"/>
      <c r="AG83" s="13"/>
      <c r="AH83" s="14">
        <f t="shared" si="125"/>
        <v>0</v>
      </c>
      <c r="AI83" s="174">
        <f t="shared" si="96"/>
        <v>0</v>
      </c>
      <c r="AJ83" s="174">
        <f t="shared" si="126"/>
        <v>0</v>
      </c>
      <c r="AK83" s="14"/>
      <c r="AL83" s="13"/>
      <c r="AM83" s="14">
        <f t="shared" si="127"/>
        <v>0</v>
      </c>
      <c r="AN83" s="14"/>
      <c r="AO83" s="13"/>
      <c r="AP83" s="14">
        <f t="shared" si="128"/>
        <v>0</v>
      </c>
      <c r="AQ83" s="14"/>
      <c r="AR83" s="13"/>
      <c r="AS83" s="14">
        <f t="shared" si="129"/>
        <v>0</v>
      </c>
      <c r="AT83" s="174"/>
      <c r="AU83" s="174">
        <f t="shared" si="130"/>
        <v>0</v>
      </c>
      <c r="AV83" s="14">
        <f t="shared" si="131"/>
        <v>0</v>
      </c>
      <c r="AW83" s="14">
        <f t="shared" si="132"/>
        <v>0</v>
      </c>
      <c r="AX83" s="178">
        <f t="shared" si="133"/>
        <v>0</v>
      </c>
      <c r="AY83" s="16">
        <f t="shared" si="134"/>
        <v>0</v>
      </c>
      <c r="AZ83" s="16">
        <f t="shared" si="135"/>
        <v>0</v>
      </c>
      <c r="BA83" s="16">
        <f t="shared" si="135"/>
        <v>0</v>
      </c>
      <c r="BB83" s="16">
        <f t="shared" si="135"/>
        <v>0</v>
      </c>
    </row>
    <row r="84" spans="1:54" ht="18.399999999999999" customHeight="1" x14ac:dyDescent="0.2">
      <c r="A84" s="10">
        <v>6</v>
      </c>
      <c r="B84" s="11" t="s">
        <v>39</v>
      </c>
      <c r="C84" s="29" t="s">
        <v>132</v>
      </c>
      <c r="D84" s="14">
        <v>12500000</v>
      </c>
      <c r="E84" s="13"/>
      <c r="F84" s="14">
        <f t="shared" si="115"/>
        <v>12500000</v>
      </c>
      <c r="G84" s="14"/>
      <c r="H84" s="13"/>
      <c r="I84" s="14">
        <f t="shared" si="116"/>
        <v>0</v>
      </c>
      <c r="J84" s="14"/>
      <c r="K84" s="13"/>
      <c r="L84" s="14">
        <f t="shared" si="117"/>
        <v>0</v>
      </c>
      <c r="M84" s="174">
        <f t="shared" si="118"/>
        <v>12500000</v>
      </c>
      <c r="N84" s="174">
        <f t="shared" si="118"/>
        <v>0</v>
      </c>
      <c r="O84" s="14">
        <v>12500000</v>
      </c>
      <c r="P84" s="13"/>
      <c r="Q84" s="14">
        <f t="shared" si="119"/>
        <v>12500000</v>
      </c>
      <c r="R84" s="14"/>
      <c r="S84" s="13"/>
      <c r="T84" s="14">
        <f t="shared" si="120"/>
        <v>0</v>
      </c>
      <c r="U84" s="14"/>
      <c r="V84" s="13"/>
      <c r="W84" s="14">
        <f t="shared" si="121"/>
        <v>0</v>
      </c>
      <c r="X84" s="174">
        <f t="shared" si="122"/>
        <v>12500000</v>
      </c>
      <c r="Y84" s="174">
        <f t="shared" si="122"/>
        <v>0</v>
      </c>
      <c r="Z84" s="14">
        <f>450000+12500000</f>
        <v>12950000</v>
      </c>
      <c r="AA84" s="13"/>
      <c r="AB84" s="14">
        <f t="shared" si="123"/>
        <v>12950000</v>
      </c>
      <c r="AC84" s="14">
        <v>3000000</v>
      </c>
      <c r="AD84" s="13"/>
      <c r="AE84" s="14">
        <f t="shared" si="124"/>
        <v>3000000</v>
      </c>
      <c r="AF84" s="14"/>
      <c r="AG84" s="13"/>
      <c r="AH84" s="14">
        <f t="shared" si="125"/>
        <v>0</v>
      </c>
      <c r="AI84" s="174">
        <f t="shared" si="96"/>
        <v>15950000</v>
      </c>
      <c r="AJ84" s="174">
        <f t="shared" si="126"/>
        <v>0</v>
      </c>
      <c r="AK84" s="14">
        <v>12500000</v>
      </c>
      <c r="AL84" s="13"/>
      <c r="AM84" s="14">
        <f t="shared" si="127"/>
        <v>12500000</v>
      </c>
      <c r="AN84" s="14">
        <v>3500000</v>
      </c>
      <c r="AO84" s="13"/>
      <c r="AP84" s="14">
        <f t="shared" si="128"/>
        <v>3500000</v>
      </c>
      <c r="AQ84" s="14"/>
      <c r="AR84" s="13"/>
      <c r="AS84" s="14">
        <f t="shared" si="129"/>
        <v>0</v>
      </c>
      <c r="AT84" s="174"/>
      <c r="AU84" s="174">
        <f t="shared" si="130"/>
        <v>0</v>
      </c>
      <c r="AV84" s="14">
        <f t="shared" si="131"/>
        <v>56950000</v>
      </c>
      <c r="AW84" s="14">
        <f t="shared" si="132"/>
        <v>0</v>
      </c>
      <c r="AX84" s="178">
        <f t="shared" si="133"/>
        <v>16000000</v>
      </c>
      <c r="AY84" s="16">
        <f t="shared" si="134"/>
        <v>0</v>
      </c>
      <c r="AZ84" s="16">
        <f t="shared" si="135"/>
        <v>0</v>
      </c>
      <c r="BA84" s="16">
        <f t="shared" si="135"/>
        <v>0</v>
      </c>
      <c r="BB84" s="16">
        <f t="shared" si="135"/>
        <v>0</v>
      </c>
    </row>
    <row r="85" spans="1:54" ht="16.899999999999999" customHeight="1" x14ac:dyDescent="0.2">
      <c r="A85" s="10">
        <v>7</v>
      </c>
      <c r="B85" s="11" t="s">
        <v>53</v>
      </c>
      <c r="C85" s="29" t="s">
        <v>112</v>
      </c>
      <c r="D85" s="14"/>
      <c r="E85" s="13"/>
      <c r="F85" s="14">
        <f t="shared" si="115"/>
        <v>0</v>
      </c>
      <c r="G85" s="14"/>
      <c r="H85" s="13">
        <v>1354800</v>
      </c>
      <c r="I85" s="14">
        <f t="shared" si="116"/>
        <v>-1354800</v>
      </c>
      <c r="J85" s="14"/>
      <c r="K85" s="13">
        <v>568000</v>
      </c>
      <c r="L85" s="14"/>
      <c r="M85" s="174">
        <f t="shared" si="118"/>
        <v>0</v>
      </c>
      <c r="N85" s="174">
        <f t="shared" si="118"/>
        <v>1922800</v>
      </c>
      <c r="O85" s="14"/>
      <c r="P85" s="13"/>
      <c r="Q85" s="14">
        <f t="shared" si="119"/>
        <v>0</v>
      </c>
      <c r="R85" s="14"/>
      <c r="S85" s="13">
        <v>2905265</v>
      </c>
      <c r="T85" s="14">
        <f t="shared" si="120"/>
        <v>-2905265</v>
      </c>
      <c r="U85" s="14"/>
      <c r="V85" s="175">
        <v>650999</v>
      </c>
      <c r="W85" s="14">
        <f t="shared" si="121"/>
        <v>-650999</v>
      </c>
      <c r="X85" s="174">
        <f t="shared" si="122"/>
        <v>0</v>
      </c>
      <c r="Y85" s="174">
        <f t="shared" si="122"/>
        <v>3556264</v>
      </c>
      <c r="Z85" s="14"/>
      <c r="AA85" s="13"/>
      <c r="AB85" s="14"/>
      <c r="AC85" s="14"/>
      <c r="AD85" s="13"/>
      <c r="AE85" s="14"/>
      <c r="AF85" s="14"/>
      <c r="AG85" s="13"/>
      <c r="AH85" s="14"/>
      <c r="AI85" s="174">
        <f t="shared" si="96"/>
        <v>0</v>
      </c>
      <c r="AJ85" s="174">
        <f t="shared" si="126"/>
        <v>0</v>
      </c>
      <c r="AK85" s="14"/>
      <c r="AL85" s="13"/>
      <c r="AM85" s="14"/>
      <c r="AN85" s="14"/>
      <c r="AO85" s="13"/>
      <c r="AP85" s="14"/>
      <c r="AQ85" s="14"/>
      <c r="AR85" s="13"/>
      <c r="AS85" s="14"/>
      <c r="AT85" s="174"/>
      <c r="AU85" s="174">
        <f t="shared" si="130"/>
        <v>0</v>
      </c>
      <c r="AV85" s="14">
        <f t="shared" si="131"/>
        <v>0</v>
      </c>
      <c r="AW85" s="14">
        <f t="shared" si="132"/>
        <v>5479064</v>
      </c>
      <c r="AX85" s="178">
        <f t="shared" si="133"/>
        <v>5479064</v>
      </c>
      <c r="AY85" s="16">
        <f t="shared" si="134"/>
        <v>6026970.4000000004</v>
      </c>
      <c r="AZ85" s="16">
        <f t="shared" si="135"/>
        <v>6629667.4400000013</v>
      </c>
      <c r="BA85" s="16">
        <f t="shared" si="135"/>
        <v>7292634.1840000022</v>
      </c>
      <c r="BB85" s="16">
        <f t="shared" si="135"/>
        <v>8021897.602400003</v>
      </c>
    </row>
    <row r="86" spans="1:54" s="2" customFormat="1" ht="18.399999999999999" customHeight="1" x14ac:dyDescent="0.2">
      <c r="A86" s="58"/>
      <c r="B86" s="11"/>
      <c r="C86" s="47" t="s">
        <v>133</v>
      </c>
      <c r="D86" s="59">
        <f t="shared" ref="D86:BB86" si="136">SUM(D79:D85)</f>
        <v>19350000</v>
      </c>
      <c r="E86" s="59">
        <f t="shared" si="136"/>
        <v>7600000</v>
      </c>
      <c r="F86" s="59">
        <f t="shared" si="136"/>
        <v>11750000</v>
      </c>
      <c r="G86" s="59">
        <f t="shared" si="136"/>
        <v>1850000</v>
      </c>
      <c r="H86" s="59">
        <f t="shared" si="136"/>
        <v>1354800</v>
      </c>
      <c r="I86" s="59">
        <f t="shared" si="136"/>
        <v>495200</v>
      </c>
      <c r="J86" s="59">
        <f t="shared" si="136"/>
        <v>6850000</v>
      </c>
      <c r="K86" s="59">
        <f t="shared" si="136"/>
        <v>568000</v>
      </c>
      <c r="L86" s="59">
        <f t="shared" si="136"/>
        <v>6850000</v>
      </c>
      <c r="M86" s="59">
        <f t="shared" si="136"/>
        <v>28050000</v>
      </c>
      <c r="N86" s="59">
        <f t="shared" si="136"/>
        <v>9522800</v>
      </c>
      <c r="O86" s="59">
        <f t="shared" si="136"/>
        <v>104350000</v>
      </c>
      <c r="P86" s="59">
        <f t="shared" si="136"/>
        <v>146500000</v>
      </c>
      <c r="Q86" s="59">
        <f t="shared" si="136"/>
        <v>-42150000</v>
      </c>
      <c r="R86" s="59">
        <f t="shared" si="136"/>
        <v>6850000</v>
      </c>
      <c r="S86" s="59">
        <f t="shared" si="136"/>
        <v>5905265</v>
      </c>
      <c r="T86" s="59">
        <f t="shared" si="136"/>
        <v>944735</v>
      </c>
      <c r="U86" s="59">
        <f t="shared" si="136"/>
        <v>76850000</v>
      </c>
      <c r="V86" s="59">
        <f t="shared" si="136"/>
        <v>650999</v>
      </c>
      <c r="W86" s="59">
        <f t="shared" si="136"/>
        <v>76199001</v>
      </c>
      <c r="X86" s="59">
        <f t="shared" si="136"/>
        <v>188050000</v>
      </c>
      <c r="Y86" s="59">
        <f t="shared" si="136"/>
        <v>153056264</v>
      </c>
      <c r="Z86" s="59">
        <f t="shared" si="136"/>
        <v>29800000</v>
      </c>
      <c r="AA86" s="59">
        <f t="shared" si="136"/>
        <v>0</v>
      </c>
      <c r="AB86" s="59">
        <f t="shared" si="136"/>
        <v>29800000</v>
      </c>
      <c r="AC86" s="59">
        <f t="shared" si="136"/>
        <v>17350000</v>
      </c>
      <c r="AD86" s="59">
        <f t="shared" si="136"/>
        <v>7179487</v>
      </c>
      <c r="AE86" s="59">
        <f t="shared" si="136"/>
        <v>10170513</v>
      </c>
      <c r="AF86" s="59">
        <f t="shared" si="136"/>
        <v>16850000</v>
      </c>
      <c r="AG86" s="59">
        <f t="shared" si="136"/>
        <v>26404480</v>
      </c>
      <c r="AH86" s="59">
        <f t="shared" si="136"/>
        <v>-9554480</v>
      </c>
      <c r="AI86" s="59">
        <f t="shared" si="136"/>
        <v>64000000</v>
      </c>
      <c r="AJ86" s="59">
        <f t="shared" si="136"/>
        <v>33583967</v>
      </c>
      <c r="AK86" s="59">
        <f t="shared" si="136"/>
        <v>14350000</v>
      </c>
      <c r="AL86" s="59">
        <f t="shared" si="136"/>
        <v>0</v>
      </c>
      <c r="AM86" s="59">
        <f t="shared" si="136"/>
        <v>14350000</v>
      </c>
      <c r="AN86" s="59">
        <f t="shared" si="136"/>
        <v>20350000</v>
      </c>
      <c r="AO86" s="59">
        <f t="shared" si="136"/>
        <v>0</v>
      </c>
      <c r="AP86" s="59">
        <f t="shared" si="136"/>
        <v>20350000</v>
      </c>
      <c r="AQ86" s="59">
        <f t="shared" si="136"/>
        <v>26850000</v>
      </c>
      <c r="AR86" s="59">
        <f t="shared" si="136"/>
        <v>0</v>
      </c>
      <c r="AS86" s="59">
        <f t="shared" si="136"/>
        <v>26850000</v>
      </c>
      <c r="AT86" s="59">
        <f t="shared" si="136"/>
        <v>0</v>
      </c>
      <c r="AU86" s="59">
        <f t="shared" si="136"/>
        <v>0</v>
      </c>
      <c r="AV86" s="59">
        <f t="shared" si="136"/>
        <v>341650000</v>
      </c>
      <c r="AW86" s="59">
        <f t="shared" si="136"/>
        <v>196163031</v>
      </c>
      <c r="AX86" s="59">
        <f t="shared" si="136"/>
        <v>257713031</v>
      </c>
      <c r="AY86" s="59">
        <f t="shared" si="136"/>
        <v>215779334.10000002</v>
      </c>
      <c r="AZ86" s="59">
        <f t="shared" si="136"/>
        <v>237357267.51000002</v>
      </c>
      <c r="BA86" s="59">
        <f t="shared" si="136"/>
        <v>261092994.26100007</v>
      </c>
      <c r="BB86" s="59">
        <f t="shared" si="136"/>
        <v>287202293.68710011</v>
      </c>
    </row>
    <row r="87" spans="1:54" s="2" customFormat="1" ht="18.399999999999999" customHeight="1" x14ac:dyDescent="0.2">
      <c r="A87" s="10">
        <v>1</v>
      </c>
      <c r="B87" s="11" t="s">
        <v>47</v>
      </c>
      <c r="C87" s="29" t="s">
        <v>217</v>
      </c>
      <c r="D87" s="14"/>
      <c r="E87" s="13"/>
      <c r="F87" s="14">
        <f t="shared" ref="F87:F92" si="137">D87-E87</f>
        <v>0</v>
      </c>
      <c r="G87" s="14">
        <v>7500000</v>
      </c>
      <c r="H87" s="13"/>
      <c r="I87" s="14">
        <f t="shared" ref="I87:I92" si="138">G87-H87</f>
        <v>7500000</v>
      </c>
      <c r="J87" s="14"/>
      <c r="K87" s="13"/>
      <c r="L87" s="14">
        <f t="shared" ref="L87:L92" si="139">J87-K87</f>
        <v>0</v>
      </c>
      <c r="M87" s="174">
        <f t="shared" ref="M87:N92" si="140">D87+G87+J87</f>
        <v>7500000</v>
      </c>
      <c r="N87" s="174">
        <f t="shared" si="140"/>
        <v>0</v>
      </c>
      <c r="O87" s="14"/>
      <c r="P87" s="13"/>
      <c r="Q87" s="14">
        <f t="shared" ref="Q87:Q92" si="141">O87-P87</f>
        <v>0</v>
      </c>
      <c r="R87" s="14">
        <v>7000000</v>
      </c>
      <c r="S87" s="13"/>
      <c r="T87" s="14">
        <f t="shared" ref="T87:T92" si="142">R87-S87</f>
        <v>7000000</v>
      </c>
      <c r="U87" s="14"/>
      <c r="V87" s="13"/>
      <c r="W87" s="14">
        <f t="shared" ref="W87:W92" si="143">U87-V87</f>
        <v>0</v>
      </c>
      <c r="X87" s="174">
        <f t="shared" ref="X87:Y92" si="144">O87+R87+U87</f>
        <v>7000000</v>
      </c>
      <c r="Y87" s="174">
        <f t="shared" si="144"/>
        <v>0</v>
      </c>
      <c r="Z87" s="14"/>
      <c r="AA87" s="13"/>
      <c r="AB87" s="14">
        <f t="shared" ref="AB87:AB92" si="145">Z87-AA87</f>
        <v>0</v>
      </c>
      <c r="AC87" s="14">
        <v>7500000</v>
      </c>
      <c r="AD87" s="13"/>
      <c r="AE87" s="14">
        <f t="shared" ref="AE87:AE92" si="146">AC87-AD87</f>
        <v>7500000</v>
      </c>
      <c r="AF87" s="14"/>
      <c r="AG87" s="13"/>
      <c r="AH87" s="14">
        <f t="shared" ref="AH87:AH92" si="147">AF87-AG87</f>
        <v>0</v>
      </c>
      <c r="AI87" s="174">
        <f t="shared" si="96"/>
        <v>7500000</v>
      </c>
      <c r="AJ87" s="174">
        <f t="shared" ref="AJ87:AJ92" si="148">AA87+AD87+AG87</f>
        <v>0</v>
      </c>
      <c r="AK87" s="14"/>
      <c r="AL87" s="13"/>
      <c r="AM87" s="14">
        <f t="shared" ref="AM87:AM92" si="149">AK87-AL87</f>
        <v>0</v>
      </c>
      <c r="AN87" s="14"/>
      <c r="AO87" s="13"/>
      <c r="AP87" s="14">
        <f t="shared" ref="AP87:AP92" si="150">AN87-AO87</f>
        <v>0</v>
      </c>
      <c r="AQ87" s="14"/>
      <c r="AR87" s="13"/>
      <c r="AS87" s="14">
        <f t="shared" ref="AS87:AS92" si="151">AQ87-AR87</f>
        <v>0</v>
      </c>
      <c r="AT87" s="174"/>
      <c r="AU87" s="174">
        <f t="shared" ref="AU87:AU92" si="152">AL87+AO87+AR87</f>
        <v>0</v>
      </c>
      <c r="AV87" s="14">
        <f t="shared" ref="AV87:AV92" si="153">AQ87+AN87+AK87++AF87+AC87+Z87+U87+R87+O87+J87+G87+D87</f>
        <v>22000000</v>
      </c>
      <c r="AW87" s="14">
        <f t="shared" ref="AW87:AW92" si="154">AR87+AO87+AL87+AG87+AD87+AA87+V87+S87+P87+K87+H87+E87</f>
        <v>0</v>
      </c>
      <c r="AX87" s="178">
        <f t="shared" ref="AX87:AX92" si="155">(AV87-M87-X87-AI87-AT87)+N87+Y87+AJ87+AU87</f>
        <v>0</v>
      </c>
      <c r="AY87" s="16">
        <f t="shared" ref="AY87:AY92" si="156">AW87*1.1</f>
        <v>0</v>
      </c>
      <c r="AZ87" s="16">
        <f t="shared" ref="AZ87:BB92" si="157">AY87*1.1</f>
        <v>0</v>
      </c>
      <c r="BA87" s="16">
        <f t="shared" si="157"/>
        <v>0</v>
      </c>
      <c r="BB87" s="16">
        <f t="shared" si="157"/>
        <v>0</v>
      </c>
    </row>
    <row r="88" spans="1:54" s="2" customFormat="1" ht="18.399999999999999" customHeight="1" x14ac:dyDescent="0.2">
      <c r="A88" s="10">
        <v>2</v>
      </c>
      <c r="B88" s="11" t="s">
        <v>53</v>
      </c>
      <c r="C88" s="29" t="s">
        <v>112</v>
      </c>
      <c r="D88" s="14">
        <v>0</v>
      </c>
      <c r="E88" s="13"/>
      <c r="F88" s="14">
        <f t="shared" si="137"/>
        <v>0</v>
      </c>
      <c r="G88" s="13">
        <v>0</v>
      </c>
      <c r="H88" s="13">
        <f>1955000+1302740+1409800+405800</f>
        <v>5073340</v>
      </c>
      <c r="I88" s="14">
        <f t="shared" si="138"/>
        <v>-5073340</v>
      </c>
      <c r="J88" s="14"/>
      <c r="K88" s="13">
        <f>1185000</f>
        <v>1185000</v>
      </c>
      <c r="L88" s="14">
        <f t="shared" si="139"/>
        <v>-1185000</v>
      </c>
      <c r="M88" s="174">
        <f t="shared" si="140"/>
        <v>0</v>
      </c>
      <c r="N88" s="174">
        <f t="shared" si="140"/>
        <v>6258340</v>
      </c>
      <c r="O88" s="14"/>
      <c r="P88" s="13"/>
      <c r="Q88" s="14">
        <f t="shared" si="141"/>
        <v>0</v>
      </c>
      <c r="R88" s="14"/>
      <c r="S88" s="13">
        <v>4917500</v>
      </c>
      <c r="T88" s="14">
        <f t="shared" si="142"/>
        <v>-4917500</v>
      </c>
      <c r="U88" s="14">
        <v>0</v>
      </c>
      <c r="V88" s="13"/>
      <c r="W88" s="14">
        <f t="shared" si="143"/>
        <v>0</v>
      </c>
      <c r="X88" s="174">
        <f t="shared" si="144"/>
        <v>0</v>
      </c>
      <c r="Y88" s="174">
        <f t="shared" si="144"/>
        <v>4917500</v>
      </c>
      <c r="Z88" s="14"/>
      <c r="AA88" s="13"/>
      <c r="AB88" s="14">
        <f t="shared" si="145"/>
        <v>0</v>
      </c>
      <c r="AC88" s="14">
        <v>0</v>
      </c>
      <c r="AD88" s="13"/>
      <c r="AE88" s="14">
        <f t="shared" si="146"/>
        <v>0</v>
      </c>
      <c r="AF88" s="14"/>
      <c r="AG88" s="13"/>
      <c r="AH88" s="14">
        <f t="shared" si="147"/>
        <v>0</v>
      </c>
      <c r="AI88" s="174">
        <f t="shared" si="96"/>
        <v>0</v>
      </c>
      <c r="AJ88" s="174">
        <f t="shared" si="148"/>
        <v>0</v>
      </c>
      <c r="AK88" s="14"/>
      <c r="AL88" s="13"/>
      <c r="AM88" s="14">
        <f t="shared" si="149"/>
        <v>0</v>
      </c>
      <c r="AN88" s="14"/>
      <c r="AO88" s="13"/>
      <c r="AP88" s="14">
        <f t="shared" si="150"/>
        <v>0</v>
      </c>
      <c r="AQ88" s="14"/>
      <c r="AR88" s="13"/>
      <c r="AS88" s="14">
        <f t="shared" si="151"/>
        <v>0</v>
      </c>
      <c r="AT88" s="174"/>
      <c r="AU88" s="174">
        <f t="shared" si="152"/>
        <v>0</v>
      </c>
      <c r="AV88" s="14">
        <f t="shared" si="153"/>
        <v>0</v>
      </c>
      <c r="AW88" s="14">
        <f t="shared" si="154"/>
        <v>11175840</v>
      </c>
      <c r="AX88" s="178">
        <f t="shared" si="155"/>
        <v>11175840</v>
      </c>
      <c r="AY88" s="16">
        <f t="shared" si="156"/>
        <v>12293424.000000002</v>
      </c>
      <c r="AZ88" s="16">
        <f t="shared" si="157"/>
        <v>13522766.400000002</v>
      </c>
      <c r="BA88" s="16">
        <f t="shared" si="157"/>
        <v>14875043.040000003</v>
      </c>
      <c r="BB88" s="16">
        <f t="shared" si="157"/>
        <v>16362547.344000004</v>
      </c>
    </row>
    <row r="89" spans="1:54" s="2" customFormat="1" ht="18.399999999999999" customHeight="1" x14ac:dyDescent="0.2">
      <c r="A89" s="10">
        <v>3</v>
      </c>
      <c r="B89" s="11" t="s">
        <v>36</v>
      </c>
      <c r="C89" s="29" t="s">
        <v>158</v>
      </c>
      <c r="D89" s="14">
        <v>2000000</v>
      </c>
      <c r="E89" s="13"/>
      <c r="F89" s="14">
        <f t="shared" si="137"/>
        <v>2000000</v>
      </c>
      <c r="G89" s="14">
        <v>2000000</v>
      </c>
      <c r="H89" s="13"/>
      <c r="I89" s="14">
        <f t="shared" si="138"/>
        <v>2000000</v>
      </c>
      <c r="J89" s="14">
        <v>2000000</v>
      </c>
      <c r="K89" s="13"/>
      <c r="L89" s="14">
        <f t="shared" si="139"/>
        <v>2000000</v>
      </c>
      <c r="M89" s="174">
        <f t="shared" si="140"/>
        <v>6000000</v>
      </c>
      <c r="N89" s="174">
        <f t="shared" si="140"/>
        <v>0</v>
      </c>
      <c r="O89" s="14">
        <v>2000000</v>
      </c>
      <c r="P89" s="13"/>
      <c r="Q89" s="14">
        <f t="shared" si="141"/>
        <v>2000000</v>
      </c>
      <c r="R89" s="14">
        <v>2000000</v>
      </c>
      <c r="S89" s="13"/>
      <c r="T89" s="14">
        <f t="shared" si="142"/>
        <v>2000000</v>
      </c>
      <c r="U89" s="14">
        <v>2000000</v>
      </c>
      <c r="V89" s="175">
        <v>1603770</v>
      </c>
      <c r="W89" s="14">
        <f t="shared" si="143"/>
        <v>396230</v>
      </c>
      <c r="X89" s="174">
        <f t="shared" si="144"/>
        <v>6000000</v>
      </c>
      <c r="Y89" s="174">
        <f t="shared" si="144"/>
        <v>1603770</v>
      </c>
      <c r="Z89" s="14">
        <v>2000000</v>
      </c>
      <c r="AA89" s="13"/>
      <c r="AB89" s="14">
        <f t="shared" si="145"/>
        <v>2000000</v>
      </c>
      <c r="AC89" s="14">
        <v>2000000</v>
      </c>
      <c r="AD89" s="13"/>
      <c r="AE89" s="14">
        <f t="shared" si="146"/>
        <v>2000000</v>
      </c>
      <c r="AF89" s="14">
        <v>2000000</v>
      </c>
      <c r="AG89" s="13"/>
      <c r="AH89" s="14">
        <f t="shared" si="147"/>
        <v>2000000</v>
      </c>
      <c r="AI89" s="174">
        <f t="shared" si="96"/>
        <v>6000000</v>
      </c>
      <c r="AJ89" s="174">
        <f t="shared" si="148"/>
        <v>0</v>
      </c>
      <c r="AK89" s="14">
        <v>2000000</v>
      </c>
      <c r="AL89" s="13"/>
      <c r="AM89" s="14">
        <f t="shared" si="149"/>
        <v>2000000</v>
      </c>
      <c r="AN89" s="14">
        <v>2000000</v>
      </c>
      <c r="AO89" s="13"/>
      <c r="AP89" s="14">
        <f t="shared" si="150"/>
        <v>2000000</v>
      </c>
      <c r="AQ89" s="14">
        <v>2000000</v>
      </c>
      <c r="AR89" s="13"/>
      <c r="AS89" s="14">
        <f t="shared" si="151"/>
        <v>2000000</v>
      </c>
      <c r="AT89" s="174"/>
      <c r="AU89" s="174">
        <f t="shared" si="152"/>
        <v>0</v>
      </c>
      <c r="AV89" s="14">
        <f t="shared" si="153"/>
        <v>24000000</v>
      </c>
      <c r="AW89" s="14">
        <f t="shared" si="154"/>
        <v>1603770</v>
      </c>
      <c r="AX89" s="178">
        <f t="shared" si="155"/>
        <v>7603770</v>
      </c>
      <c r="AY89" s="16">
        <f t="shared" si="156"/>
        <v>1764147.0000000002</v>
      </c>
      <c r="AZ89" s="16">
        <f t="shared" si="157"/>
        <v>1940561.7000000004</v>
      </c>
      <c r="BA89" s="16">
        <f t="shared" si="157"/>
        <v>2134617.8700000006</v>
      </c>
      <c r="BB89" s="16">
        <f t="shared" si="157"/>
        <v>2348079.6570000011</v>
      </c>
    </row>
    <row r="90" spans="1:54" s="2" customFormat="1" ht="18.399999999999999" customHeight="1" x14ac:dyDescent="0.2">
      <c r="A90" s="10">
        <v>4</v>
      </c>
      <c r="B90" s="11" t="s">
        <v>36</v>
      </c>
      <c r="C90" s="29" t="s">
        <v>135</v>
      </c>
      <c r="D90" s="14">
        <v>0</v>
      </c>
      <c r="E90" s="13"/>
      <c r="F90" s="14">
        <f t="shared" si="137"/>
        <v>0</v>
      </c>
      <c r="G90" s="14"/>
      <c r="H90" s="13"/>
      <c r="I90" s="14">
        <f t="shared" si="138"/>
        <v>0</v>
      </c>
      <c r="J90" s="14"/>
      <c r="K90" s="13"/>
      <c r="L90" s="14">
        <f t="shared" si="139"/>
        <v>0</v>
      </c>
      <c r="M90" s="174">
        <f t="shared" si="140"/>
        <v>0</v>
      </c>
      <c r="N90" s="174">
        <f t="shared" si="140"/>
        <v>0</v>
      </c>
      <c r="O90" s="14">
        <v>0</v>
      </c>
      <c r="P90" s="13"/>
      <c r="Q90" s="14">
        <f t="shared" si="141"/>
        <v>0</v>
      </c>
      <c r="R90" s="14"/>
      <c r="S90" s="13"/>
      <c r="T90" s="14">
        <f t="shared" si="142"/>
        <v>0</v>
      </c>
      <c r="U90" s="14"/>
      <c r="V90" s="13"/>
      <c r="W90" s="14">
        <f t="shared" si="143"/>
        <v>0</v>
      </c>
      <c r="X90" s="174">
        <f t="shared" si="144"/>
        <v>0</v>
      </c>
      <c r="Y90" s="174">
        <f t="shared" si="144"/>
        <v>0</v>
      </c>
      <c r="Z90" s="14">
        <v>0</v>
      </c>
      <c r="AA90" s="13"/>
      <c r="AB90" s="14">
        <f t="shared" si="145"/>
        <v>0</v>
      </c>
      <c r="AC90" s="14"/>
      <c r="AD90" s="13"/>
      <c r="AE90" s="14">
        <f t="shared" si="146"/>
        <v>0</v>
      </c>
      <c r="AF90" s="14"/>
      <c r="AG90" s="13"/>
      <c r="AH90" s="14">
        <f t="shared" si="147"/>
        <v>0</v>
      </c>
      <c r="AI90" s="174">
        <f t="shared" si="96"/>
        <v>0</v>
      </c>
      <c r="AJ90" s="174">
        <f t="shared" si="148"/>
        <v>0</v>
      </c>
      <c r="AK90" s="14">
        <v>0</v>
      </c>
      <c r="AL90" s="13"/>
      <c r="AM90" s="14">
        <f t="shared" si="149"/>
        <v>0</v>
      </c>
      <c r="AN90" s="14"/>
      <c r="AO90" s="13"/>
      <c r="AP90" s="14">
        <f t="shared" si="150"/>
        <v>0</v>
      </c>
      <c r="AQ90" s="14"/>
      <c r="AR90" s="13"/>
      <c r="AS90" s="14">
        <f t="shared" si="151"/>
        <v>0</v>
      </c>
      <c r="AT90" s="174"/>
      <c r="AU90" s="174">
        <f t="shared" si="152"/>
        <v>0</v>
      </c>
      <c r="AV90" s="14">
        <f t="shared" si="153"/>
        <v>0</v>
      </c>
      <c r="AW90" s="14">
        <f t="shared" si="154"/>
        <v>0</v>
      </c>
      <c r="AX90" s="178">
        <f t="shared" si="155"/>
        <v>0</v>
      </c>
      <c r="AY90" s="16">
        <f t="shared" si="156"/>
        <v>0</v>
      </c>
      <c r="AZ90" s="16">
        <f t="shared" si="157"/>
        <v>0</v>
      </c>
      <c r="BA90" s="16">
        <f t="shared" si="157"/>
        <v>0</v>
      </c>
      <c r="BB90" s="16">
        <f t="shared" si="157"/>
        <v>0</v>
      </c>
    </row>
    <row r="91" spans="1:54" s="62" customFormat="1" ht="18.399999999999999" customHeight="1" x14ac:dyDescent="0.2">
      <c r="A91" s="10">
        <v>5</v>
      </c>
      <c r="B91" s="11" t="s">
        <v>136</v>
      </c>
      <c r="C91" s="29" t="s">
        <v>137</v>
      </c>
      <c r="D91" s="14">
        <v>2000000</v>
      </c>
      <c r="E91" s="13"/>
      <c r="F91" s="14">
        <f t="shared" si="137"/>
        <v>2000000</v>
      </c>
      <c r="G91" s="14">
        <v>2000000</v>
      </c>
      <c r="H91" s="13"/>
      <c r="I91" s="14">
        <f t="shared" si="138"/>
        <v>2000000</v>
      </c>
      <c r="J91" s="14">
        <v>2000000</v>
      </c>
      <c r="K91" s="13"/>
      <c r="L91" s="14">
        <f t="shared" si="139"/>
        <v>2000000</v>
      </c>
      <c r="M91" s="174">
        <f t="shared" si="140"/>
        <v>6000000</v>
      </c>
      <c r="N91" s="174">
        <f t="shared" si="140"/>
        <v>0</v>
      </c>
      <c r="O91" s="14">
        <v>2000000</v>
      </c>
      <c r="P91" s="13"/>
      <c r="Q91" s="14">
        <f t="shared" si="141"/>
        <v>2000000</v>
      </c>
      <c r="R91" s="14">
        <v>2000000</v>
      </c>
      <c r="S91" s="13"/>
      <c r="T91" s="14">
        <f t="shared" si="142"/>
        <v>2000000</v>
      </c>
      <c r="U91" s="14">
        <v>2000000</v>
      </c>
      <c r="V91" s="13"/>
      <c r="W91" s="14">
        <f t="shared" si="143"/>
        <v>2000000</v>
      </c>
      <c r="X91" s="174">
        <f t="shared" si="144"/>
        <v>6000000</v>
      </c>
      <c r="Y91" s="174">
        <f t="shared" si="144"/>
        <v>0</v>
      </c>
      <c r="Z91" s="14">
        <v>2000000</v>
      </c>
      <c r="AA91" s="13"/>
      <c r="AB91" s="14">
        <f t="shared" si="145"/>
        <v>2000000</v>
      </c>
      <c r="AC91" s="14">
        <v>2000000</v>
      </c>
      <c r="AD91" s="13"/>
      <c r="AE91" s="14">
        <f t="shared" si="146"/>
        <v>2000000</v>
      </c>
      <c r="AF91" s="14">
        <v>2000000</v>
      </c>
      <c r="AG91" s="13"/>
      <c r="AH91" s="14">
        <f t="shared" si="147"/>
        <v>2000000</v>
      </c>
      <c r="AI91" s="174">
        <f t="shared" si="96"/>
        <v>6000000</v>
      </c>
      <c r="AJ91" s="174">
        <f t="shared" si="148"/>
        <v>0</v>
      </c>
      <c r="AK91" s="14">
        <v>2000000</v>
      </c>
      <c r="AL91" s="13"/>
      <c r="AM91" s="14">
        <f t="shared" si="149"/>
        <v>2000000</v>
      </c>
      <c r="AN91" s="14">
        <v>2000000</v>
      </c>
      <c r="AO91" s="13"/>
      <c r="AP91" s="14">
        <f t="shared" si="150"/>
        <v>2000000</v>
      </c>
      <c r="AQ91" s="14">
        <v>2000000</v>
      </c>
      <c r="AR91" s="13"/>
      <c r="AS91" s="14">
        <f t="shared" si="151"/>
        <v>2000000</v>
      </c>
      <c r="AT91" s="174"/>
      <c r="AU91" s="174">
        <f t="shared" si="152"/>
        <v>0</v>
      </c>
      <c r="AV91" s="14">
        <f t="shared" si="153"/>
        <v>24000000</v>
      </c>
      <c r="AW91" s="14">
        <f t="shared" si="154"/>
        <v>0</v>
      </c>
      <c r="AX91" s="178">
        <f t="shared" si="155"/>
        <v>6000000</v>
      </c>
      <c r="AY91" s="16">
        <f t="shared" si="156"/>
        <v>0</v>
      </c>
      <c r="AZ91" s="16">
        <f t="shared" si="157"/>
        <v>0</v>
      </c>
      <c r="BA91" s="16">
        <f t="shared" si="157"/>
        <v>0</v>
      </c>
      <c r="BB91" s="16">
        <f t="shared" si="157"/>
        <v>0</v>
      </c>
    </row>
    <row r="92" spans="1:54" s="62" customFormat="1" ht="18.399999999999999" customHeight="1" x14ac:dyDescent="0.2">
      <c r="A92" s="10">
        <v>6</v>
      </c>
      <c r="B92" s="11" t="s">
        <v>138</v>
      </c>
      <c r="C92" s="29" t="s">
        <v>218</v>
      </c>
      <c r="D92" s="14">
        <v>500000</v>
      </c>
      <c r="E92" s="13"/>
      <c r="F92" s="14">
        <f t="shared" si="137"/>
        <v>500000</v>
      </c>
      <c r="G92" s="14">
        <v>500000</v>
      </c>
      <c r="H92" s="13"/>
      <c r="I92" s="14">
        <f t="shared" si="138"/>
        <v>500000</v>
      </c>
      <c r="J92" s="14">
        <v>500000</v>
      </c>
      <c r="K92" s="13"/>
      <c r="L92" s="14">
        <f t="shared" si="139"/>
        <v>500000</v>
      </c>
      <c r="M92" s="174">
        <f t="shared" si="140"/>
        <v>1500000</v>
      </c>
      <c r="N92" s="174">
        <f t="shared" si="140"/>
        <v>0</v>
      </c>
      <c r="O92" s="14">
        <v>500000</v>
      </c>
      <c r="P92" s="13"/>
      <c r="Q92" s="14">
        <f t="shared" si="141"/>
        <v>500000</v>
      </c>
      <c r="R92" s="14">
        <v>500000</v>
      </c>
      <c r="S92" s="13"/>
      <c r="T92" s="14">
        <f t="shared" si="142"/>
        <v>500000</v>
      </c>
      <c r="U92" s="14">
        <v>500000</v>
      </c>
      <c r="V92" s="13"/>
      <c r="W92" s="14">
        <f t="shared" si="143"/>
        <v>500000</v>
      </c>
      <c r="X92" s="174">
        <f t="shared" si="144"/>
        <v>1500000</v>
      </c>
      <c r="Y92" s="174">
        <f t="shared" si="144"/>
        <v>0</v>
      </c>
      <c r="Z92" s="14">
        <v>500000</v>
      </c>
      <c r="AA92" s="13"/>
      <c r="AB92" s="14">
        <f t="shared" si="145"/>
        <v>500000</v>
      </c>
      <c r="AC92" s="14">
        <v>500000</v>
      </c>
      <c r="AD92" s="13"/>
      <c r="AE92" s="14">
        <f t="shared" si="146"/>
        <v>500000</v>
      </c>
      <c r="AF92" s="14">
        <v>500000</v>
      </c>
      <c r="AG92" s="13"/>
      <c r="AH92" s="14">
        <f t="shared" si="147"/>
        <v>500000</v>
      </c>
      <c r="AI92" s="174">
        <f t="shared" si="96"/>
        <v>1500000</v>
      </c>
      <c r="AJ92" s="174">
        <f t="shared" si="148"/>
        <v>0</v>
      </c>
      <c r="AK92" s="14">
        <v>500000</v>
      </c>
      <c r="AL92" s="13"/>
      <c r="AM92" s="14">
        <f t="shared" si="149"/>
        <v>500000</v>
      </c>
      <c r="AN92" s="14">
        <v>500000</v>
      </c>
      <c r="AO92" s="13"/>
      <c r="AP92" s="14">
        <f t="shared" si="150"/>
        <v>500000</v>
      </c>
      <c r="AQ92" s="14">
        <v>500000</v>
      </c>
      <c r="AR92" s="13"/>
      <c r="AS92" s="14">
        <f t="shared" si="151"/>
        <v>500000</v>
      </c>
      <c r="AT92" s="174"/>
      <c r="AU92" s="174">
        <f t="shared" si="152"/>
        <v>0</v>
      </c>
      <c r="AV92" s="14">
        <f t="shared" si="153"/>
        <v>6000000</v>
      </c>
      <c r="AW92" s="14">
        <f t="shared" si="154"/>
        <v>0</v>
      </c>
      <c r="AX92" s="178">
        <f t="shared" si="155"/>
        <v>1500000</v>
      </c>
      <c r="AY92" s="16">
        <f t="shared" si="156"/>
        <v>0</v>
      </c>
      <c r="AZ92" s="16">
        <f t="shared" si="157"/>
        <v>0</v>
      </c>
      <c r="BA92" s="16">
        <f t="shared" si="157"/>
        <v>0</v>
      </c>
      <c r="BB92" s="16">
        <f t="shared" si="157"/>
        <v>0</v>
      </c>
    </row>
    <row r="93" spans="1:54" s="2" customFormat="1" ht="18.399999999999999" customHeight="1" x14ac:dyDescent="0.2">
      <c r="A93" s="58"/>
      <c r="B93" s="11"/>
      <c r="C93" s="47" t="s">
        <v>140</v>
      </c>
      <c r="D93" s="59">
        <f t="shared" ref="D93:BB93" si="158">SUM(D87:D92)</f>
        <v>4500000</v>
      </c>
      <c r="E93" s="59">
        <f t="shared" si="158"/>
        <v>0</v>
      </c>
      <c r="F93" s="59">
        <f t="shared" si="158"/>
        <v>4500000</v>
      </c>
      <c r="G93" s="59">
        <f t="shared" si="158"/>
        <v>12000000</v>
      </c>
      <c r="H93" s="59">
        <f t="shared" si="158"/>
        <v>5073340</v>
      </c>
      <c r="I93" s="59">
        <f t="shared" si="158"/>
        <v>6926660</v>
      </c>
      <c r="J93" s="59">
        <f t="shared" si="158"/>
        <v>4500000</v>
      </c>
      <c r="K93" s="59">
        <f t="shared" si="158"/>
        <v>1185000</v>
      </c>
      <c r="L93" s="59">
        <f t="shared" si="158"/>
        <v>3315000</v>
      </c>
      <c r="M93" s="59">
        <f t="shared" si="158"/>
        <v>21000000</v>
      </c>
      <c r="N93" s="59">
        <f t="shared" si="158"/>
        <v>6258340</v>
      </c>
      <c r="O93" s="59">
        <f t="shared" si="158"/>
        <v>4500000</v>
      </c>
      <c r="P93" s="59">
        <f t="shared" si="158"/>
        <v>0</v>
      </c>
      <c r="Q93" s="59">
        <f t="shared" si="158"/>
        <v>4500000</v>
      </c>
      <c r="R93" s="59">
        <f t="shared" si="158"/>
        <v>11500000</v>
      </c>
      <c r="S93" s="59">
        <f t="shared" si="158"/>
        <v>4917500</v>
      </c>
      <c r="T93" s="59">
        <f t="shared" si="158"/>
        <v>6582500</v>
      </c>
      <c r="U93" s="59">
        <f t="shared" si="158"/>
        <v>4500000</v>
      </c>
      <c r="V93" s="59">
        <f t="shared" si="158"/>
        <v>1603770</v>
      </c>
      <c r="W93" s="59">
        <f t="shared" si="158"/>
        <v>2896230</v>
      </c>
      <c r="X93" s="59">
        <f t="shared" si="158"/>
        <v>20500000</v>
      </c>
      <c r="Y93" s="59">
        <f t="shared" si="158"/>
        <v>6521270</v>
      </c>
      <c r="Z93" s="59">
        <f t="shared" si="158"/>
        <v>4500000</v>
      </c>
      <c r="AA93" s="59">
        <f t="shared" si="158"/>
        <v>0</v>
      </c>
      <c r="AB93" s="59">
        <f t="shared" si="158"/>
        <v>4500000</v>
      </c>
      <c r="AC93" s="59">
        <f t="shared" si="158"/>
        <v>12000000</v>
      </c>
      <c r="AD93" s="59">
        <f t="shared" si="158"/>
        <v>0</v>
      </c>
      <c r="AE93" s="59">
        <f t="shared" si="158"/>
        <v>12000000</v>
      </c>
      <c r="AF93" s="59">
        <f t="shared" si="158"/>
        <v>4500000</v>
      </c>
      <c r="AG93" s="59">
        <f t="shared" si="158"/>
        <v>0</v>
      </c>
      <c r="AH93" s="59">
        <f t="shared" si="158"/>
        <v>4500000</v>
      </c>
      <c r="AI93" s="59">
        <f t="shared" si="158"/>
        <v>21000000</v>
      </c>
      <c r="AJ93" s="59">
        <f t="shared" si="158"/>
        <v>0</v>
      </c>
      <c r="AK93" s="59">
        <f t="shared" si="158"/>
        <v>4500000</v>
      </c>
      <c r="AL93" s="59">
        <f t="shared" si="158"/>
        <v>0</v>
      </c>
      <c r="AM93" s="59">
        <f t="shared" si="158"/>
        <v>4500000</v>
      </c>
      <c r="AN93" s="59">
        <f t="shared" si="158"/>
        <v>4500000</v>
      </c>
      <c r="AO93" s="59">
        <f t="shared" si="158"/>
        <v>0</v>
      </c>
      <c r="AP93" s="59">
        <f t="shared" si="158"/>
        <v>4500000</v>
      </c>
      <c r="AQ93" s="59">
        <f t="shared" si="158"/>
        <v>4500000</v>
      </c>
      <c r="AR93" s="59">
        <f t="shared" si="158"/>
        <v>0</v>
      </c>
      <c r="AS93" s="59">
        <f t="shared" si="158"/>
        <v>4500000</v>
      </c>
      <c r="AT93" s="59">
        <f t="shared" si="158"/>
        <v>0</v>
      </c>
      <c r="AU93" s="59">
        <f t="shared" si="158"/>
        <v>0</v>
      </c>
      <c r="AV93" s="59">
        <f t="shared" si="158"/>
        <v>76000000</v>
      </c>
      <c r="AW93" s="59">
        <f t="shared" si="158"/>
        <v>12779610</v>
      </c>
      <c r="AX93" s="59">
        <f t="shared" si="158"/>
        <v>26279610</v>
      </c>
      <c r="AY93" s="59">
        <f t="shared" si="158"/>
        <v>14057571.000000002</v>
      </c>
      <c r="AZ93" s="59">
        <f t="shared" si="158"/>
        <v>15463328.100000003</v>
      </c>
      <c r="BA93" s="59">
        <f t="shared" si="158"/>
        <v>17009660.910000004</v>
      </c>
      <c r="BB93" s="59">
        <f t="shared" si="158"/>
        <v>18710627.001000006</v>
      </c>
    </row>
    <row r="94" spans="1:54" s="27" customFormat="1" ht="18.399999999999999" customHeight="1" x14ac:dyDescent="0.2">
      <c r="A94" s="22">
        <v>1</v>
      </c>
      <c r="B94" s="11" t="s">
        <v>53</v>
      </c>
      <c r="C94" s="41" t="s">
        <v>141</v>
      </c>
      <c r="D94" s="14"/>
      <c r="E94" s="13"/>
      <c r="F94" s="14">
        <f>D94-E94</f>
        <v>0</v>
      </c>
      <c r="G94" s="14"/>
      <c r="H94" s="13"/>
      <c r="I94" s="14">
        <f>G94-H94</f>
        <v>0</v>
      </c>
      <c r="J94" s="14"/>
      <c r="K94" s="13"/>
      <c r="L94" s="14">
        <f>J94-K94</f>
        <v>0</v>
      </c>
      <c r="M94" s="174">
        <f>D94+G94+J94</f>
        <v>0</v>
      </c>
      <c r="N94" s="174">
        <f>E94+H94+K94</f>
        <v>0</v>
      </c>
      <c r="O94" s="14"/>
      <c r="P94" s="13"/>
      <c r="Q94" s="14">
        <f>O94-P94</f>
        <v>0</v>
      </c>
      <c r="R94" s="14"/>
      <c r="S94" s="13"/>
      <c r="T94" s="14">
        <f>R94-S94</f>
        <v>0</v>
      </c>
      <c r="U94" s="14"/>
      <c r="V94" s="13"/>
      <c r="W94" s="14">
        <f>U94-V94</f>
        <v>0</v>
      </c>
      <c r="X94" s="174">
        <f>O94+R94+U94</f>
        <v>0</v>
      </c>
      <c r="Y94" s="174">
        <f>P94+S94+V94</f>
        <v>0</v>
      </c>
      <c r="Z94" s="14"/>
      <c r="AA94" s="13"/>
      <c r="AB94" s="14">
        <f>Z94-AA94</f>
        <v>0</v>
      </c>
      <c r="AC94" s="14"/>
      <c r="AD94" s="13"/>
      <c r="AE94" s="14">
        <f>AC94-AD94</f>
        <v>0</v>
      </c>
      <c r="AF94" s="14"/>
      <c r="AG94" s="13"/>
      <c r="AH94" s="14">
        <f>AF94-AG94</f>
        <v>0</v>
      </c>
      <c r="AI94" s="174">
        <f t="shared" si="96"/>
        <v>0</v>
      </c>
      <c r="AJ94" s="174">
        <f>AA94+AD94+AG94</f>
        <v>0</v>
      </c>
      <c r="AK94" s="14"/>
      <c r="AL94" s="13"/>
      <c r="AM94" s="14">
        <f>AK94-AL94</f>
        <v>0</v>
      </c>
      <c r="AN94" s="14"/>
      <c r="AO94" s="13"/>
      <c r="AP94" s="14">
        <f>AN94-AO94</f>
        <v>0</v>
      </c>
      <c r="AQ94" s="14"/>
      <c r="AR94" s="13"/>
      <c r="AS94" s="14">
        <f>AQ94-AR94</f>
        <v>0</v>
      </c>
      <c r="AT94" s="174"/>
      <c r="AU94" s="174">
        <f>AL94+AO94+AR94</f>
        <v>0</v>
      </c>
      <c r="AV94" s="14">
        <f>AQ94+AN94+AK94++AF94+AC94+Z94+U94+R94+O94+J94+G94+D94</f>
        <v>0</v>
      </c>
      <c r="AW94" s="14">
        <f>AR94+AO94+AL94+AG94+AD94+AA94+V94+S94+P94+K94+H94+E94</f>
        <v>0</v>
      </c>
      <c r="AX94" s="178">
        <f>(AV94-M94-X94-AI94-AT94)+N94+Y94+AJ94+AU94</f>
        <v>0</v>
      </c>
      <c r="AY94" s="16">
        <f>AW94*1.1</f>
        <v>0</v>
      </c>
      <c r="AZ94" s="16">
        <f t="shared" ref="AZ94:BB95" si="159">AY94*1.1</f>
        <v>0</v>
      </c>
      <c r="BA94" s="16">
        <f t="shared" si="159"/>
        <v>0</v>
      </c>
      <c r="BB94" s="16">
        <f t="shared" si="159"/>
        <v>0</v>
      </c>
    </row>
    <row r="95" spans="1:54" s="27" customFormat="1" ht="18.399999999999999" customHeight="1" x14ac:dyDescent="0.2">
      <c r="A95" s="22">
        <v>2</v>
      </c>
      <c r="B95" s="11" t="s">
        <v>47</v>
      </c>
      <c r="C95" s="29" t="s">
        <v>217</v>
      </c>
      <c r="D95" s="14"/>
      <c r="E95" s="13"/>
      <c r="F95" s="14">
        <f>D95-E95</f>
        <v>0</v>
      </c>
      <c r="G95" s="14"/>
      <c r="H95" s="13"/>
      <c r="I95" s="14">
        <f>G95-H95</f>
        <v>0</v>
      </c>
      <c r="J95" s="14"/>
      <c r="K95" s="13"/>
      <c r="L95" s="14">
        <f>J95-K95</f>
        <v>0</v>
      </c>
      <c r="M95" s="174">
        <f>D95+G95+J95</f>
        <v>0</v>
      </c>
      <c r="N95" s="174">
        <f>E95+H95+K95</f>
        <v>0</v>
      </c>
      <c r="O95" s="14"/>
      <c r="P95" s="13"/>
      <c r="Q95" s="14">
        <f>O95-P95</f>
        <v>0</v>
      </c>
      <c r="R95" s="14"/>
      <c r="S95" s="13"/>
      <c r="T95" s="14">
        <f>R95-S95</f>
        <v>0</v>
      </c>
      <c r="U95" s="14"/>
      <c r="V95" s="13"/>
      <c r="W95" s="14">
        <f>U95-V95</f>
        <v>0</v>
      </c>
      <c r="X95" s="174">
        <f>O95+R95+U95</f>
        <v>0</v>
      </c>
      <c r="Y95" s="174">
        <f>P95+S95+V95</f>
        <v>0</v>
      </c>
      <c r="Z95" s="14"/>
      <c r="AA95" s="13"/>
      <c r="AB95" s="14">
        <f>Z95-AA95</f>
        <v>0</v>
      </c>
      <c r="AC95" s="14"/>
      <c r="AD95" s="13"/>
      <c r="AE95" s="14">
        <f>AC95-AD95</f>
        <v>0</v>
      </c>
      <c r="AF95" s="14"/>
      <c r="AG95" s="13"/>
      <c r="AH95" s="14">
        <f>AF95-AG95</f>
        <v>0</v>
      </c>
      <c r="AI95" s="174">
        <f t="shared" si="96"/>
        <v>0</v>
      </c>
      <c r="AJ95" s="174">
        <f>AA95+AD95+AG95</f>
        <v>0</v>
      </c>
      <c r="AK95" s="14"/>
      <c r="AL95" s="13"/>
      <c r="AM95" s="14">
        <f>AK95-AL95</f>
        <v>0</v>
      </c>
      <c r="AN95" s="14"/>
      <c r="AO95" s="13"/>
      <c r="AP95" s="14">
        <f>AN95-AO95</f>
        <v>0</v>
      </c>
      <c r="AQ95" s="14"/>
      <c r="AR95" s="13"/>
      <c r="AS95" s="14">
        <f>AQ95-AR95</f>
        <v>0</v>
      </c>
      <c r="AT95" s="174"/>
      <c r="AU95" s="174">
        <f>AL95+AO95+AR95</f>
        <v>0</v>
      </c>
      <c r="AV95" s="14">
        <f>AQ95+AN95+AK95++AF95+AC95+Z95+U95+R95+O95+J95+G95+D95</f>
        <v>0</v>
      </c>
      <c r="AW95" s="14">
        <f>AR95+AO95+AL95+AG95+AD95+AA95+V95+S95+P95+K95+H95+E95</f>
        <v>0</v>
      </c>
      <c r="AX95" s="178">
        <f>(AV95-M95-X95-AI95-AT95)+N95+Y95+AJ95+AU95</f>
        <v>0</v>
      </c>
      <c r="AY95" s="16">
        <f>AW95*1.1</f>
        <v>0</v>
      </c>
      <c r="AZ95" s="16">
        <f t="shared" si="159"/>
        <v>0</v>
      </c>
      <c r="BA95" s="16">
        <f t="shared" si="159"/>
        <v>0</v>
      </c>
      <c r="BB95" s="16">
        <f t="shared" si="159"/>
        <v>0</v>
      </c>
    </row>
    <row r="96" spans="1:54" s="2" customFormat="1" ht="18.399999999999999" customHeight="1" x14ac:dyDescent="0.2">
      <c r="A96" s="58"/>
      <c r="B96" s="11"/>
      <c r="C96" s="47" t="s">
        <v>142</v>
      </c>
      <c r="D96" s="19">
        <f t="shared" ref="D96:BB96" si="160">SUM(D94:D95)</f>
        <v>0</v>
      </c>
      <c r="E96" s="19">
        <f t="shared" si="160"/>
        <v>0</v>
      </c>
      <c r="F96" s="19">
        <f t="shared" si="160"/>
        <v>0</v>
      </c>
      <c r="G96" s="19">
        <f t="shared" si="160"/>
        <v>0</v>
      </c>
      <c r="H96" s="19">
        <f t="shared" si="160"/>
        <v>0</v>
      </c>
      <c r="I96" s="19">
        <f t="shared" si="160"/>
        <v>0</v>
      </c>
      <c r="J96" s="19">
        <f t="shared" si="160"/>
        <v>0</v>
      </c>
      <c r="K96" s="19">
        <f t="shared" si="160"/>
        <v>0</v>
      </c>
      <c r="L96" s="19">
        <f t="shared" si="160"/>
        <v>0</v>
      </c>
      <c r="M96" s="19">
        <f t="shared" si="160"/>
        <v>0</v>
      </c>
      <c r="N96" s="19">
        <f t="shared" si="160"/>
        <v>0</v>
      </c>
      <c r="O96" s="19">
        <f t="shared" si="160"/>
        <v>0</v>
      </c>
      <c r="P96" s="19">
        <f t="shared" si="160"/>
        <v>0</v>
      </c>
      <c r="Q96" s="19">
        <f t="shared" si="160"/>
        <v>0</v>
      </c>
      <c r="R96" s="19">
        <f t="shared" si="160"/>
        <v>0</v>
      </c>
      <c r="S96" s="19">
        <f t="shared" si="160"/>
        <v>0</v>
      </c>
      <c r="T96" s="19">
        <f t="shared" si="160"/>
        <v>0</v>
      </c>
      <c r="U96" s="19">
        <f t="shared" si="160"/>
        <v>0</v>
      </c>
      <c r="V96" s="19">
        <f t="shared" si="160"/>
        <v>0</v>
      </c>
      <c r="W96" s="19">
        <f t="shared" si="160"/>
        <v>0</v>
      </c>
      <c r="X96" s="19">
        <f t="shared" si="160"/>
        <v>0</v>
      </c>
      <c r="Y96" s="19">
        <f t="shared" si="160"/>
        <v>0</v>
      </c>
      <c r="Z96" s="19">
        <f t="shared" si="160"/>
        <v>0</v>
      </c>
      <c r="AA96" s="19">
        <f t="shared" si="160"/>
        <v>0</v>
      </c>
      <c r="AB96" s="19">
        <f t="shared" si="160"/>
        <v>0</v>
      </c>
      <c r="AC96" s="19">
        <f t="shared" si="160"/>
        <v>0</v>
      </c>
      <c r="AD96" s="19">
        <f t="shared" si="160"/>
        <v>0</v>
      </c>
      <c r="AE96" s="19">
        <f t="shared" si="160"/>
        <v>0</v>
      </c>
      <c r="AF96" s="19">
        <f t="shared" si="160"/>
        <v>0</v>
      </c>
      <c r="AG96" s="19">
        <f t="shared" si="160"/>
        <v>0</v>
      </c>
      <c r="AH96" s="19">
        <f t="shared" si="160"/>
        <v>0</v>
      </c>
      <c r="AI96" s="19">
        <f t="shared" si="160"/>
        <v>0</v>
      </c>
      <c r="AJ96" s="19">
        <f t="shared" si="160"/>
        <v>0</v>
      </c>
      <c r="AK96" s="19">
        <f t="shared" si="160"/>
        <v>0</v>
      </c>
      <c r="AL96" s="19">
        <f t="shared" si="160"/>
        <v>0</v>
      </c>
      <c r="AM96" s="19">
        <f t="shared" si="160"/>
        <v>0</v>
      </c>
      <c r="AN96" s="19">
        <f t="shared" si="160"/>
        <v>0</v>
      </c>
      <c r="AO96" s="19">
        <f t="shared" si="160"/>
        <v>0</v>
      </c>
      <c r="AP96" s="19">
        <f t="shared" si="160"/>
        <v>0</v>
      </c>
      <c r="AQ96" s="19">
        <f t="shared" si="160"/>
        <v>0</v>
      </c>
      <c r="AR96" s="19">
        <f t="shared" si="160"/>
        <v>0</v>
      </c>
      <c r="AS96" s="19">
        <f t="shared" si="160"/>
        <v>0</v>
      </c>
      <c r="AT96" s="19">
        <f t="shared" si="160"/>
        <v>0</v>
      </c>
      <c r="AU96" s="19">
        <f t="shared" si="160"/>
        <v>0</v>
      </c>
      <c r="AV96" s="19">
        <f t="shared" si="160"/>
        <v>0</v>
      </c>
      <c r="AW96" s="48">
        <f t="shared" si="160"/>
        <v>0</v>
      </c>
      <c r="AX96" s="48">
        <f t="shared" si="160"/>
        <v>0</v>
      </c>
      <c r="AY96" s="19">
        <f t="shared" si="160"/>
        <v>0</v>
      </c>
      <c r="AZ96" s="19">
        <f t="shared" si="160"/>
        <v>0</v>
      </c>
      <c r="BA96" s="19">
        <f t="shared" si="160"/>
        <v>0</v>
      </c>
      <c r="BB96" s="19">
        <f t="shared" si="160"/>
        <v>0</v>
      </c>
    </row>
    <row r="97" spans="1:55" s="27" customFormat="1" ht="16.899999999999999" customHeight="1" x14ac:dyDescent="0.2">
      <c r="A97" s="22">
        <v>1</v>
      </c>
      <c r="B97" s="11" t="s">
        <v>53</v>
      </c>
      <c r="C97" s="41" t="s">
        <v>141</v>
      </c>
      <c r="D97" s="14"/>
      <c r="E97" s="13"/>
      <c r="F97" s="14">
        <f>D97-E97</f>
        <v>0</v>
      </c>
      <c r="G97" s="14"/>
      <c r="H97" s="13"/>
      <c r="I97" s="14">
        <f>G97-H97</f>
        <v>0</v>
      </c>
      <c r="J97" s="14"/>
      <c r="K97" s="13"/>
      <c r="L97" s="14">
        <f>J97-K97</f>
        <v>0</v>
      </c>
      <c r="M97" s="174">
        <f>D97+G97+J97</f>
        <v>0</v>
      </c>
      <c r="N97" s="174">
        <f>E97+H97+K97</f>
        <v>0</v>
      </c>
      <c r="O97" s="14"/>
      <c r="P97" s="13"/>
      <c r="Q97" s="14">
        <f>O97-P97</f>
        <v>0</v>
      </c>
      <c r="R97" s="14"/>
      <c r="S97" s="13"/>
      <c r="T97" s="14">
        <f>R97-S97</f>
        <v>0</v>
      </c>
      <c r="U97" s="14"/>
      <c r="V97" s="13"/>
      <c r="W97" s="14">
        <f>U97-V97</f>
        <v>0</v>
      </c>
      <c r="X97" s="174">
        <f>O97+R97+U97</f>
        <v>0</v>
      </c>
      <c r="Y97" s="174">
        <f>P97+S97+V97</f>
        <v>0</v>
      </c>
      <c r="Z97" s="14"/>
      <c r="AA97" s="13"/>
      <c r="AB97" s="14">
        <f>Z97-AA97</f>
        <v>0</v>
      </c>
      <c r="AC97" s="14"/>
      <c r="AD97" s="13"/>
      <c r="AE97" s="14">
        <f>AC97-AD97</f>
        <v>0</v>
      </c>
      <c r="AF97" s="14"/>
      <c r="AG97" s="13"/>
      <c r="AH97" s="14">
        <f>AF97-AG97</f>
        <v>0</v>
      </c>
      <c r="AI97" s="174">
        <f>Z97+AC97+AF97</f>
        <v>0</v>
      </c>
      <c r="AJ97" s="174">
        <f>AA97+AD97+AG97</f>
        <v>0</v>
      </c>
      <c r="AK97" s="14"/>
      <c r="AL97" s="13"/>
      <c r="AM97" s="14">
        <f>AK97-AL97</f>
        <v>0</v>
      </c>
      <c r="AN97" s="14"/>
      <c r="AO97" s="13"/>
      <c r="AP97" s="14">
        <f>AN97-AO97</f>
        <v>0</v>
      </c>
      <c r="AQ97" s="14"/>
      <c r="AR97" s="13"/>
      <c r="AS97" s="14">
        <f>AQ97-AR97</f>
        <v>0</v>
      </c>
      <c r="AT97" s="174">
        <f>AK97+AN97+AQ97</f>
        <v>0</v>
      </c>
      <c r="AU97" s="174">
        <f>AL97+AO97+AR97</f>
        <v>0</v>
      </c>
      <c r="AV97" s="38">
        <f>AQ97+AN97+AK97+AF97+AC97+Z97+U97+R97+O97+J97+G97+D97</f>
        <v>0</v>
      </c>
      <c r="AW97" s="14">
        <f>AR97+AO97+AL97+AG97+AD97+AA97+V97+S97+P97+K97+H97+E97</f>
        <v>0</v>
      </c>
      <c r="AX97" s="178">
        <f>(AV97-M97-X97-AI97-AT97)+N97+Y97+AJ97+AU97</f>
        <v>0</v>
      </c>
      <c r="AY97" s="16">
        <f>AW97*1.1</f>
        <v>0</v>
      </c>
      <c r="AZ97" s="16">
        <f t="shared" ref="AZ97:BB98" si="161">AY97*1.1</f>
        <v>0</v>
      </c>
      <c r="BA97" s="16">
        <f t="shared" si="161"/>
        <v>0</v>
      </c>
      <c r="BB97" s="16">
        <f t="shared" si="161"/>
        <v>0</v>
      </c>
    </row>
    <row r="98" spans="1:55" s="27" customFormat="1" ht="16.899999999999999" customHeight="1" x14ac:dyDescent="0.2">
      <c r="A98" s="22">
        <v>2</v>
      </c>
      <c r="B98" s="11" t="s">
        <v>47</v>
      </c>
      <c r="C98" s="29" t="s">
        <v>111</v>
      </c>
      <c r="D98" s="14"/>
      <c r="E98" s="13"/>
      <c r="F98" s="14">
        <f>D98-E98</f>
        <v>0</v>
      </c>
      <c r="G98" s="14"/>
      <c r="H98" s="13"/>
      <c r="I98" s="14">
        <f>G98-H98</f>
        <v>0</v>
      </c>
      <c r="J98" s="14"/>
      <c r="K98" s="13"/>
      <c r="L98" s="14">
        <f>J98-K98</f>
        <v>0</v>
      </c>
      <c r="M98" s="174">
        <f>D98+G98+J98</f>
        <v>0</v>
      </c>
      <c r="N98" s="174">
        <f>E98+H98+K98</f>
        <v>0</v>
      </c>
      <c r="O98" s="14"/>
      <c r="P98" s="13"/>
      <c r="Q98" s="14">
        <f>O98-P98</f>
        <v>0</v>
      </c>
      <c r="R98" s="14"/>
      <c r="S98" s="13"/>
      <c r="T98" s="14">
        <f>R98-S98</f>
        <v>0</v>
      </c>
      <c r="U98" s="14"/>
      <c r="V98" s="13"/>
      <c r="W98" s="14">
        <f>U98-V98</f>
        <v>0</v>
      </c>
      <c r="X98" s="174">
        <f>O98+R98+U98</f>
        <v>0</v>
      </c>
      <c r="Y98" s="174">
        <f>P98+S98+V98</f>
        <v>0</v>
      </c>
      <c r="Z98" s="14"/>
      <c r="AA98" s="13"/>
      <c r="AB98" s="14">
        <f>Z98-AA98</f>
        <v>0</v>
      </c>
      <c r="AC98" s="14"/>
      <c r="AD98" s="13"/>
      <c r="AE98" s="14">
        <f>AC98-AD98</f>
        <v>0</v>
      </c>
      <c r="AF98" s="14"/>
      <c r="AG98" s="13"/>
      <c r="AH98" s="14">
        <f>AF98-AG98</f>
        <v>0</v>
      </c>
      <c r="AI98" s="174">
        <f>Z98+AC98+AF98</f>
        <v>0</v>
      </c>
      <c r="AJ98" s="174">
        <f>AA98+AD98+AG98</f>
        <v>0</v>
      </c>
      <c r="AK98" s="14"/>
      <c r="AL98" s="13"/>
      <c r="AM98" s="14">
        <f>AK98-AL98</f>
        <v>0</v>
      </c>
      <c r="AN98" s="14"/>
      <c r="AO98" s="13"/>
      <c r="AP98" s="14">
        <f>AN98-AO98</f>
        <v>0</v>
      </c>
      <c r="AQ98" s="14"/>
      <c r="AR98" s="13"/>
      <c r="AS98" s="14">
        <f>AQ98-AR98</f>
        <v>0</v>
      </c>
      <c r="AT98" s="174">
        <f>AK98+AN98+AQ98</f>
        <v>0</v>
      </c>
      <c r="AU98" s="174">
        <f>AL98+AO98+AR98</f>
        <v>0</v>
      </c>
      <c r="AV98" s="38">
        <f>AQ98+AN98+AK98+AF98+AC98+Z98+U98+R98+O98+J98+G98+D98</f>
        <v>0</v>
      </c>
      <c r="AW98" s="14">
        <f>AR98+AO98+AL98+AG98+AD98+AA98+V98+S98+P98+K98+H98+E98</f>
        <v>0</v>
      </c>
      <c r="AX98" s="178">
        <f>(AV98-M98-X98-AI98-AT98)+N98+Y98+AJ98+AU98</f>
        <v>0</v>
      </c>
      <c r="AY98" s="16">
        <f>AW98*1.1</f>
        <v>0</v>
      </c>
      <c r="AZ98" s="16">
        <f t="shared" si="161"/>
        <v>0</v>
      </c>
      <c r="BA98" s="16">
        <f t="shared" si="161"/>
        <v>0</v>
      </c>
      <c r="BB98" s="16">
        <f t="shared" si="161"/>
        <v>0</v>
      </c>
    </row>
    <row r="99" spans="1:55" s="2" customFormat="1" ht="16.899999999999999" customHeight="1" x14ac:dyDescent="0.2">
      <c r="A99" s="58"/>
      <c r="B99" s="11"/>
      <c r="C99" s="47" t="s">
        <v>143</v>
      </c>
      <c r="D99" s="19">
        <f t="shared" ref="D99:BB99" si="162">SUM(D97:D98)</f>
        <v>0</v>
      </c>
      <c r="E99" s="19">
        <f t="shared" si="162"/>
        <v>0</v>
      </c>
      <c r="F99" s="19">
        <f t="shared" si="162"/>
        <v>0</v>
      </c>
      <c r="G99" s="19">
        <f t="shared" si="162"/>
        <v>0</v>
      </c>
      <c r="H99" s="19">
        <f t="shared" si="162"/>
        <v>0</v>
      </c>
      <c r="I99" s="19">
        <f t="shared" si="162"/>
        <v>0</v>
      </c>
      <c r="J99" s="19">
        <f t="shared" si="162"/>
        <v>0</v>
      </c>
      <c r="K99" s="19">
        <f t="shared" si="162"/>
        <v>0</v>
      </c>
      <c r="L99" s="19">
        <f t="shared" si="162"/>
        <v>0</v>
      </c>
      <c r="M99" s="19">
        <f t="shared" si="162"/>
        <v>0</v>
      </c>
      <c r="N99" s="19">
        <f t="shared" si="162"/>
        <v>0</v>
      </c>
      <c r="O99" s="19">
        <f t="shared" si="162"/>
        <v>0</v>
      </c>
      <c r="P99" s="19">
        <f t="shared" si="162"/>
        <v>0</v>
      </c>
      <c r="Q99" s="19">
        <f t="shared" si="162"/>
        <v>0</v>
      </c>
      <c r="R99" s="19">
        <f t="shared" si="162"/>
        <v>0</v>
      </c>
      <c r="S99" s="19">
        <f t="shared" si="162"/>
        <v>0</v>
      </c>
      <c r="T99" s="19">
        <f t="shared" si="162"/>
        <v>0</v>
      </c>
      <c r="U99" s="19">
        <f t="shared" si="162"/>
        <v>0</v>
      </c>
      <c r="V99" s="19">
        <f t="shared" si="162"/>
        <v>0</v>
      </c>
      <c r="W99" s="19">
        <f t="shared" si="162"/>
        <v>0</v>
      </c>
      <c r="X99" s="19">
        <f t="shared" si="162"/>
        <v>0</v>
      </c>
      <c r="Y99" s="19">
        <f t="shared" si="162"/>
        <v>0</v>
      </c>
      <c r="Z99" s="19">
        <f t="shared" si="162"/>
        <v>0</v>
      </c>
      <c r="AA99" s="19">
        <f t="shared" si="162"/>
        <v>0</v>
      </c>
      <c r="AB99" s="19">
        <f t="shared" si="162"/>
        <v>0</v>
      </c>
      <c r="AC99" s="19">
        <f t="shared" si="162"/>
        <v>0</v>
      </c>
      <c r="AD99" s="19">
        <f t="shared" si="162"/>
        <v>0</v>
      </c>
      <c r="AE99" s="19">
        <f t="shared" si="162"/>
        <v>0</v>
      </c>
      <c r="AF99" s="19">
        <f t="shared" si="162"/>
        <v>0</v>
      </c>
      <c r="AG99" s="19">
        <f t="shared" si="162"/>
        <v>0</v>
      </c>
      <c r="AH99" s="19">
        <f t="shared" si="162"/>
        <v>0</v>
      </c>
      <c r="AI99" s="19">
        <f t="shared" si="162"/>
        <v>0</v>
      </c>
      <c r="AJ99" s="19">
        <f t="shared" si="162"/>
        <v>0</v>
      </c>
      <c r="AK99" s="19">
        <f t="shared" si="162"/>
        <v>0</v>
      </c>
      <c r="AL99" s="19">
        <f t="shared" si="162"/>
        <v>0</v>
      </c>
      <c r="AM99" s="19">
        <f t="shared" si="162"/>
        <v>0</v>
      </c>
      <c r="AN99" s="19">
        <f t="shared" si="162"/>
        <v>0</v>
      </c>
      <c r="AO99" s="19">
        <f t="shared" si="162"/>
        <v>0</v>
      </c>
      <c r="AP99" s="19">
        <f t="shared" si="162"/>
        <v>0</v>
      </c>
      <c r="AQ99" s="19">
        <f t="shared" si="162"/>
        <v>0</v>
      </c>
      <c r="AR99" s="19">
        <f t="shared" si="162"/>
        <v>0</v>
      </c>
      <c r="AS99" s="19">
        <f t="shared" si="162"/>
        <v>0</v>
      </c>
      <c r="AT99" s="19">
        <f t="shared" si="162"/>
        <v>0</v>
      </c>
      <c r="AU99" s="19">
        <f t="shared" si="162"/>
        <v>0</v>
      </c>
      <c r="AV99" s="19">
        <f t="shared" si="162"/>
        <v>0</v>
      </c>
      <c r="AW99" s="48">
        <f t="shared" si="162"/>
        <v>0</v>
      </c>
      <c r="AX99" s="48">
        <f t="shared" si="162"/>
        <v>0</v>
      </c>
      <c r="AY99" s="19">
        <f t="shared" si="162"/>
        <v>0</v>
      </c>
      <c r="AZ99" s="19">
        <f t="shared" si="162"/>
        <v>0</v>
      </c>
      <c r="BA99" s="19">
        <f t="shared" si="162"/>
        <v>0</v>
      </c>
      <c r="BB99" s="19">
        <f t="shared" si="162"/>
        <v>0</v>
      </c>
    </row>
    <row r="100" spans="1:55" s="62" customFormat="1" ht="18.399999999999999" customHeight="1" x14ac:dyDescent="0.2">
      <c r="A100" s="10">
        <v>1</v>
      </c>
      <c r="B100" s="11" t="s">
        <v>53</v>
      </c>
      <c r="C100" s="29" t="s">
        <v>84</v>
      </c>
      <c r="D100" s="14"/>
      <c r="E100" s="13"/>
      <c r="F100" s="14">
        <f t="shared" ref="F100:F105" si="163">D100-E100</f>
        <v>0</v>
      </c>
      <c r="G100" s="14"/>
      <c r="H100" s="13"/>
      <c r="I100" s="14">
        <f t="shared" ref="I100:I105" si="164">G100-H100</f>
        <v>0</v>
      </c>
      <c r="J100" s="14"/>
      <c r="K100" s="13"/>
      <c r="L100" s="14">
        <f t="shared" ref="L100:L105" si="165">J100-K100</f>
        <v>0</v>
      </c>
      <c r="M100" s="174">
        <f t="shared" ref="M100:N105" si="166">D100+G100+J100</f>
        <v>0</v>
      </c>
      <c r="N100" s="174">
        <f t="shared" si="166"/>
        <v>0</v>
      </c>
      <c r="O100" s="14"/>
      <c r="P100" s="13"/>
      <c r="Q100" s="14">
        <f t="shared" ref="Q100:Q105" si="167">O100-P100</f>
        <v>0</v>
      </c>
      <c r="R100" s="14"/>
      <c r="S100" s="13"/>
      <c r="T100" s="14">
        <f t="shared" ref="T100:T105" si="168">R100-S100</f>
        <v>0</v>
      </c>
      <c r="U100" s="14"/>
      <c r="V100" s="13"/>
      <c r="W100" s="14">
        <f t="shared" ref="W100:W105" si="169">U100-V100</f>
        <v>0</v>
      </c>
      <c r="X100" s="174">
        <f t="shared" ref="X100:Y105" si="170">O100+R100+U100</f>
        <v>0</v>
      </c>
      <c r="Y100" s="174">
        <f t="shared" si="170"/>
        <v>0</v>
      </c>
      <c r="Z100" s="14"/>
      <c r="AA100" s="13"/>
      <c r="AB100" s="14">
        <f t="shared" ref="AB100:AB105" si="171">Z100-AA100</f>
        <v>0</v>
      </c>
      <c r="AC100" s="14"/>
      <c r="AD100" s="13"/>
      <c r="AE100" s="14">
        <f t="shared" ref="AE100:AE105" si="172">AC100-AD100</f>
        <v>0</v>
      </c>
      <c r="AF100" s="14"/>
      <c r="AG100" s="13"/>
      <c r="AH100" s="14">
        <f t="shared" ref="AH100:AH105" si="173">AF100-AG100</f>
        <v>0</v>
      </c>
      <c r="AI100" s="174">
        <f t="shared" ref="AI100:AI116" si="174">AF100+AC100+Z100</f>
        <v>0</v>
      </c>
      <c r="AJ100" s="174">
        <f t="shared" ref="AJ100:AJ105" si="175">AA100+AD100+AG100</f>
        <v>0</v>
      </c>
      <c r="AK100" s="14"/>
      <c r="AL100" s="13"/>
      <c r="AM100" s="14">
        <f t="shared" ref="AM100:AM105" si="176">AK100-AL100</f>
        <v>0</v>
      </c>
      <c r="AN100" s="14"/>
      <c r="AO100" s="13"/>
      <c r="AP100" s="14">
        <f t="shared" ref="AP100:AP105" si="177">AN100-AO100</f>
        <v>0</v>
      </c>
      <c r="AQ100" s="14"/>
      <c r="AR100" s="13"/>
      <c r="AS100" s="14">
        <f t="shared" ref="AS100:AS105" si="178">AQ100-AR100</f>
        <v>0</v>
      </c>
      <c r="AT100" s="174"/>
      <c r="AU100" s="174">
        <f t="shared" ref="AU100:AU105" si="179">AL100+AO100+AR100</f>
        <v>0</v>
      </c>
      <c r="AV100" s="14">
        <f t="shared" ref="AV100:AV105" si="180">AQ100+AN100+AK100++AF100+AC100+Z100+U100+R100+O100+J100+G100+D100</f>
        <v>0</v>
      </c>
      <c r="AW100" s="14">
        <f t="shared" ref="AW100:AW105" si="181">AR100+AO100+AL100+AG100+AD100+AA100+V100+S100+P100+K100+H100+E100</f>
        <v>0</v>
      </c>
      <c r="AX100" s="178">
        <f t="shared" ref="AX100:AX105" si="182">(AV100-M100-X100-AI100-AT100)+N100+Y100+AJ100+AU100</f>
        <v>0</v>
      </c>
      <c r="AY100" s="16">
        <f t="shared" ref="AY100:AY105" si="183">AW100*1.1</f>
        <v>0</v>
      </c>
      <c r="AZ100" s="16">
        <f t="shared" ref="AZ100:BB105" si="184">AY100*1.1</f>
        <v>0</v>
      </c>
      <c r="BA100" s="16">
        <f t="shared" si="184"/>
        <v>0</v>
      </c>
      <c r="BB100" s="16">
        <f t="shared" si="184"/>
        <v>0</v>
      </c>
    </row>
    <row r="101" spans="1:55" s="62" customFormat="1" ht="18.399999999999999" customHeight="1" x14ac:dyDescent="0.2">
      <c r="A101" s="10">
        <v>2</v>
      </c>
      <c r="B101" s="11" t="s">
        <v>144</v>
      </c>
      <c r="C101" s="41" t="s">
        <v>145</v>
      </c>
      <c r="D101" s="14">
        <v>5534522</v>
      </c>
      <c r="E101" s="13">
        <v>6410393</v>
      </c>
      <c r="F101" s="14">
        <f t="shared" si="163"/>
        <v>-875871</v>
      </c>
      <c r="G101" s="14">
        <v>5534522</v>
      </c>
      <c r="H101" s="13">
        <f>6965952-877500</f>
        <v>6088452</v>
      </c>
      <c r="I101" s="14">
        <f t="shared" si="164"/>
        <v>-553930</v>
      </c>
      <c r="J101" s="14">
        <v>5534522</v>
      </c>
      <c r="K101" s="13">
        <f>8144301-902500</f>
        <v>7241801</v>
      </c>
      <c r="L101" s="14">
        <f t="shared" si="165"/>
        <v>-1707279</v>
      </c>
      <c r="M101" s="174">
        <f t="shared" si="166"/>
        <v>16603566</v>
      </c>
      <c r="N101" s="174">
        <f t="shared" si="166"/>
        <v>19740646</v>
      </c>
      <c r="O101" s="14">
        <v>5534522</v>
      </c>
      <c r="P101" s="13">
        <v>5890525</v>
      </c>
      <c r="Q101" s="14">
        <f t="shared" si="167"/>
        <v>-356003</v>
      </c>
      <c r="R101" s="14">
        <v>5534522</v>
      </c>
      <c r="S101" s="13">
        <v>6514435</v>
      </c>
      <c r="T101" s="14">
        <f t="shared" si="168"/>
        <v>-979913</v>
      </c>
      <c r="U101" s="14">
        <v>5534522</v>
      </c>
      <c r="V101" s="175">
        <v>4233601</v>
      </c>
      <c r="W101" s="14">
        <f t="shared" si="169"/>
        <v>1300921</v>
      </c>
      <c r="X101" s="174">
        <f t="shared" si="170"/>
        <v>16603566</v>
      </c>
      <c r="Y101" s="174">
        <f t="shared" si="170"/>
        <v>16638561</v>
      </c>
      <c r="Z101" s="14">
        <v>5534522</v>
      </c>
      <c r="AA101" s="13"/>
      <c r="AB101" s="14">
        <f t="shared" si="171"/>
        <v>5534522</v>
      </c>
      <c r="AC101" s="14">
        <v>5534522</v>
      </c>
      <c r="AD101" s="13"/>
      <c r="AE101" s="14">
        <f t="shared" si="172"/>
        <v>5534522</v>
      </c>
      <c r="AF101" s="14">
        <v>5534522</v>
      </c>
      <c r="AG101" s="13"/>
      <c r="AH101" s="14">
        <f t="shared" si="173"/>
        <v>5534522</v>
      </c>
      <c r="AI101" s="174">
        <f t="shared" si="174"/>
        <v>16603566</v>
      </c>
      <c r="AJ101" s="174">
        <f t="shared" si="175"/>
        <v>0</v>
      </c>
      <c r="AK101" s="14">
        <v>5534522</v>
      </c>
      <c r="AL101" s="13"/>
      <c r="AM101" s="14">
        <f t="shared" si="176"/>
        <v>5534522</v>
      </c>
      <c r="AN101" s="14">
        <v>5534522</v>
      </c>
      <c r="AO101" s="13"/>
      <c r="AP101" s="14">
        <f t="shared" si="177"/>
        <v>5534522</v>
      </c>
      <c r="AQ101" s="14">
        <v>5534522</v>
      </c>
      <c r="AR101" s="13"/>
      <c r="AS101" s="14">
        <f t="shared" si="178"/>
        <v>5534522</v>
      </c>
      <c r="AT101" s="174"/>
      <c r="AU101" s="174">
        <f t="shared" si="179"/>
        <v>0</v>
      </c>
      <c r="AV101" s="14">
        <f t="shared" si="180"/>
        <v>66414264</v>
      </c>
      <c r="AW101" s="14">
        <f t="shared" si="181"/>
        <v>36379207</v>
      </c>
      <c r="AX101" s="178">
        <f t="shared" si="182"/>
        <v>52982773</v>
      </c>
      <c r="AY101" s="16">
        <f t="shared" si="183"/>
        <v>40017127.700000003</v>
      </c>
      <c r="AZ101" s="16">
        <f t="shared" si="184"/>
        <v>44018840.470000006</v>
      </c>
      <c r="BA101" s="16">
        <f t="shared" si="184"/>
        <v>48420724.517000012</v>
      </c>
      <c r="BB101" s="16">
        <f t="shared" si="184"/>
        <v>53262796.968700014</v>
      </c>
    </row>
    <row r="102" spans="1:55" s="62" customFormat="1" ht="18.399999999999999" customHeight="1" x14ac:dyDescent="0.2">
      <c r="A102" s="10">
        <v>3</v>
      </c>
      <c r="B102" s="11" t="s">
        <v>73</v>
      </c>
      <c r="C102" s="29" t="s">
        <v>74</v>
      </c>
      <c r="D102" s="14"/>
      <c r="E102" s="13"/>
      <c r="F102" s="14">
        <f t="shared" si="163"/>
        <v>0</v>
      </c>
      <c r="G102" s="14"/>
      <c r="H102" s="13"/>
      <c r="I102" s="14">
        <f t="shared" si="164"/>
        <v>0</v>
      </c>
      <c r="J102" s="14"/>
      <c r="K102" s="13"/>
      <c r="L102" s="14">
        <f t="shared" si="165"/>
        <v>0</v>
      </c>
      <c r="M102" s="174">
        <f t="shared" si="166"/>
        <v>0</v>
      </c>
      <c r="N102" s="174">
        <f t="shared" si="166"/>
        <v>0</v>
      </c>
      <c r="O102" s="14"/>
      <c r="P102" s="13"/>
      <c r="Q102" s="14">
        <f t="shared" si="167"/>
        <v>0</v>
      </c>
      <c r="R102" s="14"/>
      <c r="S102" s="13"/>
      <c r="T102" s="14">
        <f t="shared" si="168"/>
        <v>0</v>
      </c>
      <c r="U102" s="14"/>
      <c r="V102" s="175">
        <v>760472</v>
      </c>
      <c r="W102" s="14">
        <f t="shared" si="169"/>
        <v>-760472</v>
      </c>
      <c r="X102" s="174">
        <f t="shared" si="170"/>
        <v>0</v>
      </c>
      <c r="Y102" s="174">
        <f t="shared" si="170"/>
        <v>760472</v>
      </c>
      <c r="Z102" s="14"/>
      <c r="AA102" s="13"/>
      <c r="AB102" s="14">
        <f t="shared" si="171"/>
        <v>0</v>
      </c>
      <c r="AC102" s="14"/>
      <c r="AD102" s="13"/>
      <c r="AE102" s="14">
        <f t="shared" si="172"/>
        <v>0</v>
      </c>
      <c r="AF102" s="14"/>
      <c r="AG102" s="13"/>
      <c r="AH102" s="14">
        <f t="shared" si="173"/>
        <v>0</v>
      </c>
      <c r="AI102" s="174">
        <f t="shared" si="174"/>
        <v>0</v>
      </c>
      <c r="AJ102" s="174">
        <f t="shared" si="175"/>
        <v>0</v>
      </c>
      <c r="AK102" s="14"/>
      <c r="AL102" s="13"/>
      <c r="AM102" s="14">
        <f t="shared" si="176"/>
        <v>0</v>
      </c>
      <c r="AN102" s="14"/>
      <c r="AO102" s="13"/>
      <c r="AP102" s="14">
        <f t="shared" si="177"/>
        <v>0</v>
      </c>
      <c r="AQ102" s="14"/>
      <c r="AR102" s="13"/>
      <c r="AS102" s="14">
        <f t="shared" si="178"/>
        <v>0</v>
      </c>
      <c r="AT102" s="174"/>
      <c r="AU102" s="174">
        <f t="shared" si="179"/>
        <v>0</v>
      </c>
      <c r="AV102" s="14">
        <f t="shared" si="180"/>
        <v>0</v>
      </c>
      <c r="AW102" s="14">
        <f t="shared" si="181"/>
        <v>760472</v>
      </c>
      <c r="AX102" s="178">
        <f t="shared" si="182"/>
        <v>760472</v>
      </c>
      <c r="AY102" s="16">
        <f t="shared" si="183"/>
        <v>836519.20000000007</v>
      </c>
      <c r="AZ102" s="16">
        <f t="shared" si="184"/>
        <v>920171.12000000011</v>
      </c>
      <c r="BA102" s="16">
        <f t="shared" si="184"/>
        <v>1012188.2320000002</v>
      </c>
      <c r="BB102" s="16">
        <f t="shared" si="184"/>
        <v>1113407.0552000003</v>
      </c>
    </row>
    <row r="103" spans="1:55" s="62" customFormat="1" ht="18.399999999999999" customHeight="1" x14ac:dyDescent="0.2">
      <c r="A103" s="10">
        <v>4</v>
      </c>
      <c r="B103" s="11" t="s">
        <v>47</v>
      </c>
      <c r="C103" s="29" t="s">
        <v>217</v>
      </c>
      <c r="D103" s="14"/>
      <c r="E103" s="13"/>
      <c r="F103" s="14">
        <f t="shared" si="163"/>
        <v>0</v>
      </c>
      <c r="G103" s="14"/>
      <c r="H103" s="13"/>
      <c r="I103" s="14">
        <f t="shared" si="164"/>
        <v>0</v>
      </c>
      <c r="J103" s="14"/>
      <c r="K103" s="13"/>
      <c r="L103" s="14">
        <f t="shared" si="165"/>
        <v>0</v>
      </c>
      <c r="M103" s="174">
        <f t="shared" si="166"/>
        <v>0</v>
      </c>
      <c r="N103" s="174">
        <f t="shared" si="166"/>
        <v>0</v>
      </c>
      <c r="O103" s="14"/>
      <c r="P103" s="13"/>
      <c r="Q103" s="14">
        <f t="shared" si="167"/>
        <v>0</v>
      </c>
      <c r="R103" s="14"/>
      <c r="S103" s="13"/>
      <c r="T103" s="14">
        <f t="shared" si="168"/>
        <v>0</v>
      </c>
      <c r="U103" s="14"/>
      <c r="V103" s="13"/>
      <c r="W103" s="14">
        <f t="shared" si="169"/>
        <v>0</v>
      </c>
      <c r="X103" s="174">
        <f t="shared" si="170"/>
        <v>0</v>
      </c>
      <c r="Y103" s="174">
        <f t="shared" si="170"/>
        <v>0</v>
      </c>
      <c r="Z103" s="14"/>
      <c r="AA103" s="13"/>
      <c r="AB103" s="14">
        <f t="shared" si="171"/>
        <v>0</v>
      </c>
      <c r="AC103" s="14"/>
      <c r="AD103" s="13"/>
      <c r="AE103" s="14">
        <f t="shared" si="172"/>
        <v>0</v>
      </c>
      <c r="AF103" s="14"/>
      <c r="AG103" s="13"/>
      <c r="AH103" s="14">
        <f t="shared" si="173"/>
        <v>0</v>
      </c>
      <c r="AI103" s="174">
        <f t="shared" si="174"/>
        <v>0</v>
      </c>
      <c r="AJ103" s="174">
        <f t="shared" si="175"/>
        <v>0</v>
      </c>
      <c r="AK103" s="14"/>
      <c r="AL103" s="13"/>
      <c r="AM103" s="14">
        <f t="shared" si="176"/>
        <v>0</v>
      </c>
      <c r="AN103" s="14"/>
      <c r="AO103" s="13"/>
      <c r="AP103" s="14">
        <f t="shared" si="177"/>
        <v>0</v>
      </c>
      <c r="AQ103" s="14"/>
      <c r="AR103" s="13"/>
      <c r="AS103" s="14">
        <f t="shared" si="178"/>
        <v>0</v>
      </c>
      <c r="AT103" s="174"/>
      <c r="AU103" s="174">
        <f t="shared" si="179"/>
        <v>0</v>
      </c>
      <c r="AV103" s="14">
        <f t="shared" si="180"/>
        <v>0</v>
      </c>
      <c r="AW103" s="14">
        <f t="shared" si="181"/>
        <v>0</v>
      </c>
      <c r="AX103" s="178">
        <f t="shared" si="182"/>
        <v>0</v>
      </c>
      <c r="AY103" s="16">
        <f t="shared" si="183"/>
        <v>0</v>
      </c>
      <c r="AZ103" s="16">
        <f t="shared" si="184"/>
        <v>0</v>
      </c>
      <c r="BA103" s="16">
        <f t="shared" si="184"/>
        <v>0</v>
      </c>
      <c r="BB103" s="16">
        <f t="shared" si="184"/>
        <v>0</v>
      </c>
    </row>
    <row r="104" spans="1:55" s="62" customFormat="1" ht="18.399999999999999" customHeight="1" x14ac:dyDescent="0.2">
      <c r="A104" s="10">
        <v>5</v>
      </c>
      <c r="B104" s="11" t="s">
        <v>136</v>
      </c>
      <c r="C104" s="41" t="s">
        <v>146</v>
      </c>
      <c r="D104" s="14"/>
      <c r="E104" s="13">
        <v>19200000</v>
      </c>
      <c r="F104" s="14">
        <f t="shared" si="163"/>
        <v>-19200000</v>
      </c>
      <c r="G104" s="14"/>
      <c r="H104" s="13"/>
      <c r="I104" s="14">
        <f t="shared" si="164"/>
        <v>0</v>
      </c>
      <c r="J104" s="14"/>
      <c r="K104" s="13"/>
      <c r="L104" s="14">
        <f t="shared" si="165"/>
        <v>0</v>
      </c>
      <c r="M104" s="174">
        <f t="shared" si="166"/>
        <v>0</v>
      </c>
      <c r="N104" s="174">
        <f t="shared" si="166"/>
        <v>19200000</v>
      </c>
      <c r="O104" s="14">
        <v>6000000</v>
      </c>
      <c r="P104" s="13"/>
      <c r="Q104" s="14">
        <f t="shared" si="167"/>
        <v>6000000</v>
      </c>
      <c r="R104" s="14">
        <v>3000000</v>
      </c>
      <c r="S104" s="13"/>
      <c r="T104" s="14">
        <f t="shared" si="168"/>
        <v>3000000</v>
      </c>
      <c r="U104" s="14"/>
      <c r="V104" s="13"/>
      <c r="W104" s="14">
        <f t="shared" si="169"/>
        <v>0</v>
      </c>
      <c r="X104" s="174">
        <f t="shared" si="170"/>
        <v>9000000</v>
      </c>
      <c r="Y104" s="174">
        <f t="shared" si="170"/>
        <v>0</v>
      </c>
      <c r="Z104" s="14">
        <v>30000000</v>
      </c>
      <c r="AA104" s="13">
        <v>44800000</v>
      </c>
      <c r="AB104" s="14">
        <f t="shared" si="171"/>
        <v>-14800000</v>
      </c>
      <c r="AC104" s="14"/>
      <c r="AD104" s="13"/>
      <c r="AE104" s="14">
        <f t="shared" si="172"/>
        <v>0</v>
      </c>
      <c r="AF104" s="14"/>
      <c r="AG104" s="13"/>
      <c r="AH104" s="14">
        <f t="shared" si="173"/>
        <v>0</v>
      </c>
      <c r="AI104" s="174">
        <f t="shared" si="174"/>
        <v>30000000</v>
      </c>
      <c r="AJ104" s="174">
        <f t="shared" si="175"/>
        <v>44800000</v>
      </c>
      <c r="AK104" s="14">
        <v>5700000</v>
      </c>
      <c r="AL104" s="13"/>
      <c r="AM104" s="14">
        <f t="shared" si="176"/>
        <v>5700000</v>
      </c>
      <c r="AN104" s="14">
        <v>1700000</v>
      </c>
      <c r="AO104" s="13"/>
      <c r="AP104" s="14">
        <f t="shared" si="177"/>
        <v>1700000</v>
      </c>
      <c r="AQ104" s="14">
        <v>10000000</v>
      </c>
      <c r="AR104" s="13"/>
      <c r="AS104" s="14">
        <f t="shared" si="178"/>
        <v>10000000</v>
      </c>
      <c r="AT104" s="174"/>
      <c r="AU104" s="174">
        <f t="shared" si="179"/>
        <v>0</v>
      </c>
      <c r="AV104" s="14">
        <f t="shared" si="180"/>
        <v>56400000</v>
      </c>
      <c r="AW104" s="14">
        <f t="shared" si="181"/>
        <v>64000000</v>
      </c>
      <c r="AX104" s="178">
        <f t="shared" si="182"/>
        <v>81400000</v>
      </c>
      <c r="AY104" s="16">
        <f t="shared" si="183"/>
        <v>70400000</v>
      </c>
      <c r="AZ104" s="16">
        <f t="shared" si="184"/>
        <v>77440000</v>
      </c>
      <c r="BA104" s="16">
        <f t="shared" si="184"/>
        <v>85184000</v>
      </c>
      <c r="BB104" s="16">
        <f t="shared" si="184"/>
        <v>93702400.000000015</v>
      </c>
    </row>
    <row r="105" spans="1:55" s="62" customFormat="1" ht="18.399999999999999" customHeight="1" x14ac:dyDescent="0.2">
      <c r="A105" s="10">
        <v>6</v>
      </c>
      <c r="B105" s="11" t="s">
        <v>147</v>
      </c>
      <c r="C105" s="29" t="s">
        <v>148</v>
      </c>
      <c r="D105" s="14"/>
      <c r="E105" s="13"/>
      <c r="F105" s="14">
        <f t="shared" si="163"/>
        <v>0</v>
      </c>
      <c r="G105" s="14"/>
      <c r="H105" s="13"/>
      <c r="I105" s="14">
        <f t="shared" si="164"/>
        <v>0</v>
      </c>
      <c r="J105" s="14"/>
      <c r="K105" s="13"/>
      <c r="L105" s="14">
        <f t="shared" si="165"/>
        <v>0</v>
      </c>
      <c r="M105" s="174">
        <f t="shared" si="166"/>
        <v>0</v>
      </c>
      <c r="N105" s="174">
        <f t="shared" si="166"/>
        <v>0</v>
      </c>
      <c r="O105" s="14"/>
      <c r="P105" s="13"/>
      <c r="Q105" s="14">
        <f t="shared" si="167"/>
        <v>0</v>
      </c>
      <c r="R105" s="14"/>
      <c r="S105" s="13"/>
      <c r="T105" s="14">
        <f t="shared" si="168"/>
        <v>0</v>
      </c>
      <c r="U105" s="14"/>
      <c r="V105" s="13"/>
      <c r="W105" s="14">
        <f t="shared" si="169"/>
        <v>0</v>
      </c>
      <c r="X105" s="174">
        <f t="shared" si="170"/>
        <v>0</v>
      </c>
      <c r="Y105" s="174">
        <f t="shared" si="170"/>
        <v>0</v>
      </c>
      <c r="Z105" s="14"/>
      <c r="AA105" s="13"/>
      <c r="AB105" s="14">
        <f t="shared" si="171"/>
        <v>0</v>
      </c>
      <c r="AC105" s="14"/>
      <c r="AD105" s="13"/>
      <c r="AE105" s="14">
        <f t="shared" si="172"/>
        <v>0</v>
      </c>
      <c r="AF105" s="14"/>
      <c r="AG105" s="13"/>
      <c r="AH105" s="14">
        <f t="shared" si="173"/>
        <v>0</v>
      </c>
      <c r="AI105" s="174">
        <f t="shared" si="174"/>
        <v>0</v>
      </c>
      <c r="AJ105" s="174">
        <f t="shared" si="175"/>
        <v>0</v>
      </c>
      <c r="AK105" s="14"/>
      <c r="AL105" s="13"/>
      <c r="AM105" s="14">
        <f t="shared" si="176"/>
        <v>0</v>
      </c>
      <c r="AN105" s="14"/>
      <c r="AO105" s="13"/>
      <c r="AP105" s="14">
        <f t="shared" si="177"/>
        <v>0</v>
      </c>
      <c r="AQ105" s="14"/>
      <c r="AR105" s="13"/>
      <c r="AS105" s="14">
        <f t="shared" si="178"/>
        <v>0</v>
      </c>
      <c r="AT105" s="174"/>
      <c r="AU105" s="174">
        <f t="shared" si="179"/>
        <v>0</v>
      </c>
      <c r="AV105" s="14">
        <f t="shared" si="180"/>
        <v>0</v>
      </c>
      <c r="AW105" s="14">
        <f t="shared" si="181"/>
        <v>0</v>
      </c>
      <c r="AX105" s="178">
        <f t="shared" si="182"/>
        <v>0</v>
      </c>
      <c r="AY105" s="16">
        <f t="shared" si="183"/>
        <v>0</v>
      </c>
      <c r="AZ105" s="16">
        <f t="shared" si="184"/>
        <v>0</v>
      </c>
      <c r="BA105" s="16">
        <f t="shared" si="184"/>
        <v>0</v>
      </c>
      <c r="BB105" s="16">
        <f t="shared" si="184"/>
        <v>0</v>
      </c>
    </row>
    <row r="106" spans="1:55" s="2" customFormat="1" ht="18.399999999999999" customHeight="1" x14ac:dyDescent="0.2">
      <c r="A106" s="58"/>
      <c r="B106" s="23"/>
      <c r="C106" s="47" t="s">
        <v>149</v>
      </c>
      <c r="D106" s="46">
        <f t="shared" ref="D106:BB106" si="185">SUM(D100:D105)</f>
        <v>5534522</v>
      </c>
      <c r="E106" s="46">
        <f t="shared" si="185"/>
        <v>25610393</v>
      </c>
      <c r="F106" s="46">
        <f t="shared" si="185"/>
        <v>-20075871</v>
      </c>
      <c r="G106" s="46">
        <f t="shared" si="185"/>
        <v>5534522</v>
      </c>
      <c r="H106" s="46">
        <f t="shared" si="185"/>
        <v>6088452</v>
      </c>
      <c r="I106" s="46">
        <f t="shared" si="185"/>
        <v>-553930</v>
      </c>
      <c r="J106" s="46">
        <f t="shared" si="185"/>
        <v>5534522</v>
      </c>
      <c r="K106" s="46">
        <f t="shared" si="185"/>
        <v>7241801</v>
      </c>
      <c r="L106" s="46">
        <f t="shared" si="185"/>
        <v>-1707279</v>
      </c>
      <c r="M106" s="59">
        <f t="shared" si="185"/>
        <v>16603566</v>
      </c>
      <c r="N106" s="59">
        <f t="shared" si="185"/>
        <v>38940646</v>
      </c>
      <c r="O106" s="46">
        <f t="shared" si="185"/>
        <v>11534522</v>
      </c>
      <c r="P106" s="46">
        <f t="shared" si="185"/>
        <v>5890525</v>
      </c>
      <c r="Q106" s="46">
        <f t="shared" si="185"/>
        <v>5643997</v>
      </c>
      <c r="R106" s="46">
        <f t="shared" si="185"/>
        <v>8534522</v>
      </c>
      <c r="S106" s="46">
        <f t="shared" si="185"/>
        <v>6514435</v>
      </c>
      <c r="T106" s="46">
        <f t="shared" si="185"/>
        <v>2020087</v>
      </c>
      <c r="U106" s="46">
        <f t="shared" si="185"/>
        <v>5534522</v>
      </c>
      <c r="V106" s="46">
        <f t="shared" si="185"/>
        <v>4994073</v>
      </c>
      <c r="W106" s="46">
        <f t="shared" si="185"/>
        <v>540449</v>
      </c>
      <c r="X106" s="59">
        <f t="shared" si="185"/>
        <v>25603566</v>
      </c>
      <c r="Y106" s="59">
        <f t="shared" si="185"/>
        <v>17399033</v>
      </c>
      <c r="Z106" s="46">
        <f t="shared" si="185"/>
        <v>35534522</v>
      </c>
      <c r="AA106" s="46">
        <f t="shared" si="185"/>
        <v>44800000</v>
      </c>
      <c r="AB106" s="46">
        <f t="shared" si="185"/>
        <v>-9265478</v>
      </c>
      <c r="AC106" s="46">
        <f t="shared" si="185"/>
        <v>5534522</v>
      </c>
      <c r="AD106" s="46">
        <f t="shared" si="185"/>
        <v>0</v>
      </c>
      <c r="AE106" s="46">
        <f t="shared" si="185"/>
        <v>5534522</v>
      </c>
      <c r="AF106" s="46">
        <f t="shared" si="185"/>
        <v>5534522</v>
      </c>
      <c r="AG106" s="46">
        <f t="shared" si="185"/>
        <v>0</v>
      </c>
      <c r="AH106" s="46">
        <f t="shared" si="185"/>
        <v>5534522</v>
      </c>
      <c r="AI106" s="59">
        <f t="shared" si="185"/>
        <v>46603566</v>
      </c>
      <c r="AJ106" s="59">
        <f t="shared" si="185"/>
        <v>44800000</v>
      </c>
      <c r="AK106" s="46">
        <f t="shared" si="185"/>
        <v>11234522</v>
      </c>
      <c r="AL106" s="46">
        <f t="shared" si="185"/>
        <v>0</v>
      </c>
      <c r="AM106" s="46">
        <f t="shared" si="185"/>
        <v>11234522</v>
      </c>
      <c r="AN106" s="46">
        <f t="shared" si="185"/>
        <v>7234522</v>
      </c>
      <c r="AO106" s="46">
        <f t="shared" si="185"/>
        <v>0</v>
      </c>
      <c r="AP106" s="46">
        <f t="shared" si="185"/>
        <v>7234522</v>
      </c>
      <c r="AQ106" s="46">
        <f t="shared" si="185"/>
        <v>15534522</v>
      </c>
      <c r="AR106" s="46">
        <f t="shared" si="185"/>
        <v>0</v>
      </c>
      <c r="AS106" s="46">
        <f t="shared" si="185"/>
        <v>15534522</v>
      </c>
      <c r="AT106" s="59">
        <f t="shared" si="185"/>
        <v>0</v>
      </c>
      <c r="AU106" s="59">
        <f t="shared" si="185"/>
        <v>0</v>
      </c>
      <c r="AV106" s="46">
        <f t="shared" si="185"/>
        <v>122814264</v>
      </c>
      <c r="AW106" s="46">
        <f t="shared" si="185"/>
        <v>101139679</v>
      </c>
      <c r="AX106" s="46">
        <f t="shared" si="185"/>
        <v>135143245</v>
      </c>
      <c r="AY106" s="46">
        <f t="shared" si="185"/>
        <v>111253646.90000001</v>
      </c>
      <c r="AZ106" s="46">
        <f t="shared" si="185"/>
        <v>122379011.59</v>
      </c>
      <c r="BA106" s="46">
        <f t="shared" si="185"/>
        <v>134616912.74900001</v>
      </c>
      <c r="BB106" s="46">
        <f t="shared" si="185"/>
        <v>148078604.02390003</v>
      </c>
    </row>
    <row r="107" spans="1:55" ht="18.399999999999999" customHeight="1" x14ac:dyDescent="0.2">
      <c r="A107" s="10">
        <v>1</v>
      </c>
      <c r="B107" s="11" t="s">
        <v>21</v>
      </c>
      <c r="C107" s="29" t="s">
        <v>150</v>
      </c>
      <c r="D107" s="14">
        <v>99329562</v>
      </c>
      <c r="E107" s="1">
        <v>86477042</v>
      </c>
      <c r="F107" s="14">
        <f>D107-E107</f>
        <v>12852520</v>
      </c>
      <c r="G107" s="14">
        <v>99329562</v>
      </c>
      <c r="H107" s="1">
        <v>86477042</v>
      </c>
      <c r="I107" s="14">
        <f>G107-H107</f>
        <v>12852520</v>
      </c>
      <c r="J107" s="14">
        <v>99329562</v>
      </c>
      <c r="K107" s="1">
        <v>86477042</v>
      </c>
      <c r="L107" s="14">
        <f>J107-K107</f>
        <v>12852520</v>
      </c>
      <c r="M107" s="174">
        <f t="shared" ref="M107:N116" si="186">D107+G107+J107</f>
        <v>297988686</v>
      </c>
      <c r="N107" s="174">
        <f t="shared" si="186"/>
        <v>259431126</v>
      </c>
      <c r="O107" s="14">
        <v>99329562</v>
      </c>
      <c r="P107" s="1">
        <v>86477042</v>
      </c>
      <c r="Q107" s="14">
        <f>O107-P107</f>
        <v>12852520</v>
      </c>
      <c r="R107" s="14">
        <v>99329562</v>
      </c>
      <c r="S107" s="1">
        <v>86477042</v>
      </c>
      <c r="T107" s="14">
        <f>R107-S107</f>
        <v>12852520</v>
      </c>
      <c r="U107" s="14">
        <v>99329562</v>
      </c>
      <c r="V107" s="175">
        <v>86477042</v>
      </c>
      <c r="W107" s="14">
        <f>U107-V107</f>
        <v>12852520</v>
      </c>
      <c r="X107" s="174">
        <f t="shared" ref="X107:Y116" si="187">O107+R107+U107</f>
        <v>297988686</v>
      </c>
      <c r="Y107" s="174">
        <f t="shared" si="187"/>
        <v>259431126</v>
      </c>
      <c r="Z107" s="14">
        <v>99329562</v>
      </c>
      <c r="AA107" s="13"/>
      <c r="AB107" s="14">
        <f>Z107-AA107</f>
        <v>99329562</v>
      </c>
      <c r="AC107" s="14">
        <f>99329562*2</f>
        <v>198659124</v>
      </c>
      <c r="AD107" s="13"/>
      <c r="AE107" s="14">
        <f>AC107-AD107</f>
        <v>198659124</v>
      </c>
      <c r="AF107" s="14">
        <v>99329562</v>
      </c>
      <c r="AG107" s="13"/>
      <c r="AH107" s="14">
        <f>AF107-AG107</f>
        <v>99329562</v>
      </c>
      <c r="AI107" s="174">
        <f t="shared" si="174"/>
        <v>397318248</v>
      </c>
      <c r="AJ107" s="174">
        <f t="shared" ref="AJ107:AJ116" si="188">AA107+AD107+AG107</f>
        <v>0</v>
      </c>
      <c r="AK107" s="14">
        <v>99329562</v>
      </c>
      <c r="AL107" s="13"/>
      <c r="AM107" s="14">
        <f>AK107-AL107</f>
        <v>99329562</v>
      </c>
      <c r="AN107" s="14">
        <v>99329562</v>
      </c>
      <c r="AO107" s="13"/>
      <c r="AP107" s="14">
        <f>AN107-AO107</f>
        <v>99329562</v>
      </c>
      <c r="AQ107" s="14">
        <f>99329562*2</f>
        <v>198659124</v>
      </c>
      <c r="AR107" s="13"/>
      <c r="AS107" s="14">
        <f>AQ107-AR107</f>
        <v>198659124</v>
      </c>
      <c r="AT107" s="174"/>
      <c r="AU107" s="174">
        <f t="shared" ref="AU107:AU116" si="189">AL107+AO107+AR107</f>
        <v>0</v>
      </c>
      <c r="AV107" s="14">
        <f t="shared" ref="AV107:AV116" si="190">AQ107+AN107+AK107++AF107+AC107+Z107+U107+R107+O107+J107+G107+D107</f>
        <v>1390613868</v>
      </c>
      <c r="AW107" s="14">
        <f t="shared" ref="AW107:AW116" si="191">AR107+AO107+AL107+AG107+AD107+AA107+V107+S107+P107+K107+H107+E107</f>
        <v>518862252</v>
      </c>
      <c r="AX107" s="178">
        <f t="shared" ref="AX107:AX116" si="192">(AV107-M107-X107-AI107-AT107)+N107+Y107+AJ107+AU107</f>
        <v>916180500</v>
      </c>
      <c r="AY107" s="16">
        <f t="shared" ref="AY107:AY116" si="193">AW107*1.1</f>
        <v>570748477.20000005</v>
      </c>
      <c r="AZ107" s="16">
        <f t="shared" ref="AZ107:BB116" si="194">AY107*1.1</f>
        <v>627823324.92000008</v>
      </c>
      <c r="BA107" s="16">
        <f t="shared" si="194"/>
        <v>690605657.41200018</v>
      </c>
      <c r="BB107" s="16">
        <f t="shared" si="194"/>
        <v>759666223.15320027</v>
      </c>
      <c r="BC107">
        <f>AX107/12</f>
        <v>76348375</v>
      </c>
    </row>
    <row r="108" spans="1:55" ht="18.399999999999999" customHeight="1" x14ac:dyDescent="0.2">
      <c r="A108" s="10">
        <v>2</v>
      </c>
      <c r="B108" s="27" t="s">
        <v>33</v>
      </c>
      <c r="C108" s="29" t="s">
        <v>151</v>
      </c>
      <c r="D108" s="14">
        <v>12798501</v>
      </c>
      <c r="E108" s="13">
        <f>-3090213-782000-677000</f>
        <v>-4549213</v>
      </c>
      <c r="F108" s="14">
        <f>D108-E108</f>
        <v>17347714</v>
      </c>
      <c r="G108" s="14">
        <v>12798501</v>
      </c>
      <c r="H108" s="13">
        <v>-9143446</v>
      </c>
      <c r="I108" s="14">
        <f>G108-H108</f>
        <v>21941947</v>
      </c>
      <c r="J108" s="14">
        <v>12798501</v>
      </c>
      <c r="K108" s="13">
        <v>-11702957</v>
      </c>
      <c r="L108" s="14">
        <f>J108-K108</f>
        <v>24501458</v>
      </c>
      <c r="M108" s="174">
        <f t="shared" si="186"/>
        <v>38395503</v>
      </c>
      <c r="N108" s="174">
        <f t="shared" si="186"/>
        <v>-25395616</v>
      </c>
      <c r="O108" s="14">
        <v>12798501</v>
      </c>
      <c r="P108" s="13"/>
      <c r="Q108" s="14">
        <f>O108-P108</f>
        <v>12798501</v>
      </c>
      <c r="R108" s="14">
        <v>12798501</v>
      </c>
      <c r="S108" s="13"/>
      <c r="T108" s="14">
        <f>R108-S108</f>
        <v>12798501</v>
      </c>
      <c r="U108" s="14">
        <v>12798501</v>
      </c>
      <c r="V108" s="13"/>
      <c r="W108" s="14">
        <f>U108-V108</f>
        <v>12798501</v>
      </c>
      <c r="X108" s="174">
        <f t="shared" si="187"/>
        <v>38395503</v>
      </c>
      <c r="Y108" s="174">
        <f t="shared" si="187"/>
        <v>0</v>
      </c>
      <c r="Z108" s="14">
        <v>12798501</v>
      </c>
      <c r="AA108" s="13"/>
      <c r="AB108" s="14">
        <f>Z108-AA108</f>
        <v>12798501</v>
      </c>
      <c r="AC108" s="30">
        <f>((2049725)+((26904+8243)*9000)*1.1)+12798501</f>
        <v>362803526</v>
      </c>
      <c r="AD108" s="13"/>
      <c r="AE108" s="14">
        <f>AC108-AD108</f>
        <v>362803526</v>
      </c>
      <c r="AF108" s="14">
        <v>12798501</v>
      </c>
      <c r="AG108" s="13"/>
      <c r="AH108" s="14">
        <f>AF108-AG108</f>
        <v>12798501</v>
      </c>
      <c r="AI108" s="174">
        <f t="shared" si="174"/>
        <v>388400528</v>
      </c>
      <c r="AJ108" s="174">
        <f t="shared" si="188"/>
        <v>0</v>
      </c>
      <c r="AK108" s="14">
        <v>12798501</v>
      </c>
      <c r="AL108" s="13"/>
      <c r="AM108" s="14">
        <f>AK108-AL108</f>
        <v>12798501</v>
      </c>
      <c r="AN108" s="14">
        <v>12798501</v>
      </c>
      <c r="AO108" s="13"/>
      <c r="AP108" s="14">
        <f>AN108-AO108</f>
        <v>12798501</v>
      </c>
      <c r="AQ108" s="14">
        <v>12798501</v>
      </c>
      <c r="AR108" s="13"/>
      <c r="AS108" s="14">
        <f>AQ108-AR108</f>
        <v>12798501</v>
      </c>
      <c r="AT108" s="174"/>
      <c r="AU108" s="174">
        <f t="shared" si="189"/>
        <v>0</v>
      </c>
      <c r="AV108" s="14">
        <f t="shared" si="190"/>
        <v>503587037</v>
      </c>
      <c r="AW108" s="14">
        <f t="shared" si="191"/>
        <v>-25395616</v>
      </c>
      <c r="AX108" s="178">
        <f t="shared" si="192"/>
        <v>12999887</v>
      </c>
      <c r="AY108" s="16">
        <f t="shared" si="193"/>
        <v>-27935177.600000001</v>
      </c>
      <c r="AZ108" s="16">
        <f t="shared" si="194"/>
        <v>-30728695.360000003</v>
      </c>
      <c r="BA108" s="16">
        <f t="shared" si="194"/>
        <v>-33801564.896000005</v>
      </c>
      <c r="BB108" s="16">
        <f t="shared" si="194"/>
        <v>-37181721.385600008</v>
      </c>
    </row>
    <row r="109" spans="1:55" ht="18.399999999999999" customHeight="1" x14ac:dyDescent="0.2">
      <c r="A109" s="10">
        <v>3</v>
      </c>
      <c r="B109" s="11" t="s">
        <v>53</v>
      </c>
      <c r="C109" s="29" t="s">
        <v>84</v>
      </c>
      <c r="D109" s="14"/>
      <c r="E109" s="13"/>
      <c r="F109" s="14"/>
      <c r="G109" s="14"/>
      <c r="H109" s="13"/>
      <c r="I109" s="14"/>
      <c r="J109" s="14"/>
      <c r="K109" s="13"/>
      <c r="L109" s="14"/>
      <c r="M109" s="174">
        <f t="shared" si="186"/>
        <v>0</v>
      </c>
      <c r="N109" s="174">
        <f t="shared" si="186"/>
        <v>0</v>
      </c>
      <c r="O109" s="14"/>
      <c r="P109" s="13"/>
      <c r="Q109" s="14"/>
      <c r="R109" s="14"/>
      <c r="S109" s="13">
        <v>1612600</v>
      </c>
      <c r="T109" s="14"/>
      <c r="U109" s="14"/>
      <c r="V109" s="13"/>
      <c r="W109" s="14"/>
      <c r="X109" s="174">
        <f t="shared" si="187"/>
        <v>0</v>
      </c>
      <c r="Y109" s="174">
        <f t="shared" si="187"/>
        <v>1612600</v>
      </c>
      <c r="Z109" s="14"/>
      <c r="AA109" s="13"/>
      <c r="AB109" s="14"/>
      <c r="AC109" s="30"/>
      <c r="AD109" s="13"/>
      <c r="AE109" s="14"/>
      <c r="AF109" s="14"/>
      <c r="AG109" s="13"/>
      <c r="AH109" s="14"/>
      <c r="AI109" s="174">
        <f t="shared" si="174"/>
        <v>0</v>
      </c>
      <c r="AJ109" s="174">
        <f t="shared" si="188"/>
        <v>0</v>
      </c>
      <c r="AK109" s="14"/>
      <c r="AL109" s="13"/>
      <c r="AM109" s="14"/>
      <c r="AN109" s="14"/>
      <c r="AO109" s="13"/>
      <c r="AP109" s="14"/>
      <c r="AQ109" s="14"/>
      <c r="AR109" s="13"/>
      <c r="AS109" s="14"/>
      <c r="AT109" s="174"/>
      <c r="AU109" s="174">
        <f t="shared" si="189"/>
        <v>0</v>
      </c>
      <c r="AV109" s="14">
        <f t="shared" si="190"/>
        <v>0</v>
      </c>
      <c r="AW109" s="14">
        <f t="shared" si="191"/>
        <v>1612600</v>
      </c>
      <c r="AX109" s="178">
        <f t="shared" si="192"/>
        <v>1612600</v>
      </c>
      <c r="AY109" s="16">
        <f t="shared" si="193"/>
        <v>1773860.0000000002</v>
      </c>
      <c r="AZ109" s="16">
        <f t="shared" si="194"/>
        <v>1951246.0000000005</v>
      </c>
      <c r="BA109" s="16">
        <f t="shared" si="194"/>
        <v>2146370.6000000006</v>
      </c>
      <c r="BB109" s="16">
        <f t="shared" si="194"/>
        <v>2361007.6600000006</v>
      </c>
    </row>
    <row r="110" spans="1:55" ht="18.399999999999999" customHeight="1" x14ac:dyDescent="0.2">
      <c r="A110" s="10">
        <v>4</v>
      </c>
      <c r="B110" s="42" t="s">
        <v>85</v>
      </c>
      <c r="C110" s="29" t="s">
        <v>86</v>
      </c>
      <c r="D110" s="14">
        <v>16135486</v>
      </c>
      <c r="E110" s="13">
        <f>10049600</f>
        <v>10049600</v>
      </c>
      <c r="F110" s="14">
        <f t="shared" ref="F110:F116" si="195">D110-E110</f>
        <v>6085886</v>
      </c>
      <c r="G110" s="14">
        <v>16135486</v>
      </c>
      <c r="H110" s="13">
        <f>2842538</f>
        <v>2842538</v>
      </c>
      <c r="I110" s="14">
        <f t="shared" ref="I110:I116" si="196">G110-H110</f>
        <v>13292948</v>
      </c>
      <c r="J110" s="14">
        <v>16135486</v>
      </c>
      <c r="K110" s="13"/>
      <c r="L110" s="14">
        <f t="shared" ref="L110:L116" si="197">J110-K110</f>
        <v>16135486</v>
      </c>
      <c r="M110" s="174">
        <f t="shared" si="186"/>
        <v>48406458</v>
      </c>
      <c r="N110" s="174">
        <f t="shared" si="186"/>
        <v>12892138</v>
      </c>
      <c r="O110" s="14">
        <v>16135486</v>
      </c>
      <c r="P110" s="13">
        <v>9709322</v>
      </c>
      <c r="Q110" s="14">
        <f t="shared" ref="Q110:Q116" si="198">O110-P110</f>
        <v>6426164</v>
      </c>
      <c r="R110" s="14">
        <v>16135486</v>
      </c>
      <c r="S110" s="13">
        <v>22460385</v>
      </c>
      <c r="T110" s="14">
        <f t="shared" ref="T110:T116" si="199">R110-S110</f>
        <v>-6324899</v>
      </c>
      <c r="U110" s="14">
        <v>16135486</v>
      </c>
      <c r="V110" s="13"/>
      <c r="W110" s="14">
        <f t="shared" ref="W110:W116" si="200">U110-V110</f>
        <v>16135486</v>
      </c>
      <c r="X110" s="174">
        <f t="shared" si="187"/>
        <v>48406458</v>
      </c>
      <c r="Y110" s="174">
        <f t="shared" si="187"/>
        <v>32169707</v>
      </c>
      <c r="Z110" s="14">
        <v>16135486</v>
      </c>
      <c r="AA110" s="13"/>
      <c r="AB110" s="14">
        <f t="shared" ref="AB110:AB116" si="201">Z110-AA110</f>
        <v>16135486</v>
      </c>
      <c r="AC110" s="14">
        <v>16135486</v>
      </c>
      <c r="AD110" s="13"/>
      <c r="AE110" s="14">
        <f t="shared" ref="AE110:AE116" si="202">AC110-AD110</f>
        <v>16135486</v>
      </c>
      <c r="AF110" s="14">
        <v>16135486</v>
      </c>
      <c r="AG110" s="13"/>
      <c r="AH110" s="14">
        <f t="shared" ref="AH110:AH116" si="203">AF110-AG110</f>
        <v>16135486</v>
      </c>
      <c r="AI110" s="174">
        <f t="shared" si="174"/>
        <v>48406458</v>
      </c>
      <c r="AJ110" s="174">
        <f t="shared" si="188"/>
        <v>0</v>
      </c>
      <c r="AK110" s="14">
        <v>16135486</v>
      </c>
      <c r="AL110" s="13"/>
      <c r="AM110" s="14">
        <f t="shared" ref="AM110:AM116" si="204">AK110-AL110</f>
        <v>16135486</v>
      </c>
      <c r="AN110" s="14">
        <v>16135486</v>
      </c>
      <c r="AO110" s="13"/>
      <c r="AP110" s="14">
        <f t="shared" ref="AP110:AP116" si="205">AN110-AO110</f>
        <v>16135486</v>
      </c>
      <c r="AQ110" s="14">
        <v>16135486</v>
      </c>
      <c r="AR110" s="13"/>
      <c r="AS110" s="14">
        <f t="shared" ref="AS110:AS116" si="206">AQ110-AR110</f>
        <v>16135486</v>
      </c>
      <c r="AT110" s="174"/>
      <c r="AU110" s="174">
        <f t="shared" si="189"/>
        <v>0</v>
      </c>
      <c r="AV110" s="14">
        <f t="shared" si="190"/>
        <v>193625832</v>
      </c>
      <c r="AW110" s="14">
        <f t="shared" si="191"/>
        <v>45061845</v>
      </c>
      <c r="AX110" s="178">
        <f t="shared" si="192"/>
        <v>93468303</v>
      </c>
      <c r="AY110" s="16">
        <f t="shared" si="193"/>
        <v>49568029.500000007</v>
      </c>
      <c r="AZ110" s="16">
        <f t="shared" si="194"/>
        <v>54524832.45000001</v>
      </c>
      <c r="BA110" s="16">
        <f t="shared" si="194"/>
        <v>59977315.695000015</v>
      </c>
      <c r="BB110" s="16">
        <f t="shared" si="194"/>
        <v>65975047.264500022</v>
      </c>
    </row>
    <row r="111" spans="1:55" ht="18.399999999999999" customHeight="1" x14ac:dyDescent="0.2">
      <c r="A111" s="10">
        <v>5</v>
      </c>
      <c r="B111" s="11" t="s">
        <v>129</v>
      </c>
      <c r="C111" s="29" t="s">
        <v>152</v>
      </c>
      <c r="D111" s="14">
        <v>1216683</v>
      </c>
      <c r="E111" s="13"/>
      <c r="F111" s="14">
        <f t="shared" si="195"/>
        <v>1216683</v>
      </c>
      <c r="G111" s="14">
        <v>1216683</v>
      </c>
      <c r="H111" s="13"/>
      <c r="I111" s="14">
        <f t="shared" si="196"/>
        <v>1216683</v>
      </c>
      <c r="J111" s="14">
        <v>1216683</v>
      </c>
      <c r="K111" s="13"/>
      <c r="L111" s="14">
        <f t="shared" si="197"/>
        <v>1216683</v>
      </c>
      <c r="M111" s="174">
        <f t="shared" si="186"/>
        <v>3650049</v>
      </c>
      <c r="N111" s="174">
        <f t="shared" si="186"/>
        <v>0</v>
      </c>
      <c r="O111" s="14">
        <v>1216683</v>
      </c>
      <c r="P111" s="13"/>
      <c r="Q111" s="14">
        <f t="shared" si="198"/>
        <v>1216683</v>
      </c>
      <c r="R111" s="14">
        <v>1216683</v>
      </c>
      <c r="S111" s="13"/>
      <c r="T111" s="14">
        <f t="shared" si="199"/>
        <v>1216683</v>
      </c>
      <c r="U111" s="14">
        <v>1216683</v>
      </c>
      <c r="V111" s="13"/>
      <c r="W111" s="14">
        <f t="shared" si="200"/>
        <v>1216683</v>
      </c>
      <c r="X111" s="174">
        <f t="shared" si="187"/>
        <v>3650049</v>
      </c>
      <c r="Y111" s="174">
        <f t="shared" si="187"/>
        <v>0</v>
      </c>
      <c r="Z111" s="14">
        <v>1216683</v>
      </c>
      <c r="AA111" s="13"/>
      <c r="AB111" s="14">
        <f t="shared" si="201"/>
        <v>1216683</v>
      </c>
      <c r="AC111" s="14">
        <v>1216683</v>
      </c>
      <c r="AD111" s="13"/>
      <c r="AE111" s="14">
        <f t="shared" si="202"/>
        <v>1216683</v>
      </c>
      <c r="AF111" s="14">
        <v>1216683</v>
      </c>
      <c r="AG111" s="13"/>
      <c r="AH111" s="14">
        <f t="shared" si="203"/>
        <v>1216683</v>
      </c>
      <c r="AI111" s="174">
        <f t="shared" si="174"/>
        <v>3650049</v>
      </c>
      <c r="AJ111" s="174">
        <f t="shared" si="188"/>
        <v>0</v>
      </c>
      <c r="AK111" s="14">
        <v>1216683</v>
      </c>
      <c r="AL111" s="13"/>
      <c r="AM111" s="14">
        <f t="shared" si="204"/>
        <v>1216683</v>
      </c>
      <c r="AN111" s="14">
        <v>1216683</v>
      </c>
      <c r="AO111" s="13"/>
      <c r="AP111" s="14">
        <f t="shared" si="205"/>
        <v>1216683</v>
      </c>
      <c r="AQ111" s="14">
        <v>1216683</v>
      </c>
      <c r="AR111" s="13"/>
      <c r="AS111" s="14">
        <f t="shared" si="206"/>
        <v>1216683</v>
      </c>
      <c r="AT111" s="174"/>
      <c r="AU111" s="174">
        <f t="shared" si="189"/>
        <v>0</v>
      </c>
      <c r="AV111" s="14">
        <f t="shared" si="190"/>
        <v>14600196</v>
      </c>
      <c r="AW111" s="14">
        <f t="shared" si="191"/>
        <v>0</v>
      </c>
      <c r="AX111" s="178">
        <f t="shared" si="192"/>
        <v>3650049</v>
      </c>
      <c r="AY111" s="16">
        <f t="shared" si="193"/>
        <v>0</v>
      </c>
      <c r="AZ111" s="16">
        <f t="shared" si="194"/>
        <v>0</v>
      </c>
      <c r="BA111" s="16">
        <f t="shared" si="194"/>
        <v>0</v>
      </c>
      <c r="BB111" s="16">
        <f t="shared" si="194"/>
        <v>0</v>
      </c>
    </row>
    <row r="112" spans="1:55" ht="18.399999999999999" customHeight="1" x14ac:dyDescent="0.2">
      <c r="A112" s="10">
        <v>6</v>
      </c>
      <c r="B112" s="11" t="s">
        <v>153</v>
      </c>
      <c r="C112" s="29" t="s">
        <v>154</v>
      </c>
      <c r="D112" s="14">
        <v>10000000</v>
      </c>
      <c r="E112" s="13">
        <v>11250000</v>
      </c>
      <c r="F112" s="14">
        <f t="shared" si="195"/>
        <v>-1250000</v>
      </c>
      <c r="G112" s="14">
        <v>10000000</v>
      </c>
      <c r="H112" s="13">
        <v>11250000</v>
      </c>
      <c r="I112" s="14">
        <f t="shared" si="196"/>
        <v>-1250000</v>
      </c>
      <c r="J112" s="14">
        <v>10000000</v>
      </c>
      <c r="K112" s="13">
        <v>11250000</v>
      </c>
      <c r="L112" s="14">
        <f t="shared" si="197"/>
        <v>-1250000</v>
      </c>
      <c r="M112" s="174">
        <f t="shared" si="186"/>
        <v>30000000</v>
      </c>
      <c r="N112" s="174">
        <f t="shared" si="186"/>
        <v>33750000</v>
      </c>
      <c r="O112" s="14">
        <v>10000000</v>
      </c>
      <c r="P112" s="13">
        <v>11250000</v>
      </c>
      <c r="Q112" s="14">
        <f t="shared" si="198"/>
        <v>-1250000</v>
      </c>
      <c r="R112" s="14">
        <v>10000000</v>
      </c>
      <c r="S112" s="13">
        <v>11250000</v>
      </c>
      <c r="T112" s="14">
        <f t="shared" si="199"/>
        <v>-1250000</v>
      </c>
      <c r="U112" s="14">
        <v>10000000</v>
      </c>
      <c r="V112" s="175">
        <v>11250000</v>
      </c>
      <c r="W112" s="14">
        <f t="shared" si="200"/>
        <v>-1250000</v>
      </c>
      <c r="X112" s="174">
        <f t="shared" si="187"/>
        <v>30000000</v>
      </c>
      <c r="Y112" s="174">
        <f t="shared" si="187"/>
        <v>33750000</v>
      </c>
      <c r="Z112" s="14">
        <v>10000000</v>
      </c>
      <c r="AA112" s="13">
        <v>11250000</v>
      </c>
      <c r="AB112" s="14">
        <f t="shared" si="201"/>
        <v>-1250000</v>
      </c>
      <c r="AC112" s="14">
        <v>10000000</v>
      </c>
      <c r="AD112" s="13">
        <v>22500000</v>
      </c>
      <c r="AE112" s="14">
        <f t="shared" si="202"/>
        <v>-12500000</v>
      </c>
      <c r="AF112" s="14">
        <v>10000000</v>
      </c>
      <c r="AG112" s="13">
        <v>11250000</v>
      </c>
      <c r="AH112" s="14">
        <f t="shared" si="203"/>
        <v>-1250000</v>
      </c>
      <c r="AI112" s="174">
        <f t="shared" si="174"/>
        <v>30000000</v>
      </c>
      <c r="AJ112" s="174">
        <f t="shared" si="188"/>
        <v>45000000</v>
      </c>
      <c r="AK112" s="14">
        <v>10000000</v>
      </c>
      <c r="AL112" s="13"/>
      <c r="AM112" s="14">
        <f t="shared" si="204"/>
        <v>10000000</v>
      </c>
      <c r="AN112" s="14">
        <v>10000000</v>
      </c>
      <c r="AO112" s="13"/>
      <c r="AP112" s="14">
        <f t="shared" si="205"/>
        <v>10000000</v>
      </c>
      <c r="AQ112" s="14">
        <v>10000000</v>
      </c>
      <c r="AR112" s="13"/>
      <c r="AS112" s="14">
        <f t="shared" si="206"/>
        <v>10000000</v>
      </c>
      <c r="AT112" s="174"/>
      <c r="AU112" s="174">
        <f t="shared" si="189"/>
        <v>0</v>
      </c>
      <c r="AV112" s="14">
        <f t="shared" si="190"/>
        <v>120000000</v>
      </c>
      <c r="AW112" s="14">
        <f t="shared" si="191"/>
        <v>112500000</v>
      </c>
      <c r="AX112" s="178">
        <f t="shared" si="192"/>
        <v>142500000</v>
      </c>
      <c r="AY112" s="16">
        <f t="shared" si="193"/>
        <v>123750000.00000001</v>
      </c>
      <c r="AZ112" s="16">
        <f t="shared" si="194"/>
        <v>136125000.00000003</v>
      </c>
      <c r="BA112" s="16">
        <f t="shared" si="194"/>
        <v>149737500.00000006</v>
      </c>
      <c r="BB112" s="16">
        <f t="shared" si="194"/>
        <v>164711250.00000009</v>
      </c>
    </row>
    <row r="113" spans="1:54" ht="18.399999999999999" customHeight="1" x14ac:dyDescent="0.2">
      <c r="A113" s="10">
        <v>7</v>
      </c>
      <c r="B113" s="11" t="s">
        <v>155</v>
      </c>
      <c r="C113" s="29" t="s">
        <v>156</v>
      </c>
      <c r="D113" s="14">
        <v>11496331</v>
      </c>
      <c r="E113" s="13">
        <f>1280584+1209000+1399030+601399+157001+275853+263625+200000</f>
        <v>5386492</v>
      </c>
      <c r="F113" s="14">
        <f t="shared" si="195"/>
        <v>6109839</v>
      </c>
      <c r="G113" s="14">
        <v>11496331</v>
      </c>
      <c r="H113" s="13">
        <f>1197966+1131000+1308770+562599+347506</f>
        <v>4547841</v>
      </c>
      <c r="I113" s="14">
        <f t="shared" si="196"/>
        <v>6948490</v>
      </c>
      <c r="J113" s="14">
        <v>11496331</v>
      </c>
      <c r="K113" s="13">
        <f>1280584+1209000+1399030+601399+371472</f>
        <v>4861485</v>
      </c>
      <c r="L113" s="14">
        <f t="shared" si="197"/>
        <v>6634846</v>
      </c>
      <c r="M113" s="174">
        <f t="shared" si="186"/>
        <v>34488993</v>
      </c>
      <c r="N113" s="174">
        <f t="shared" si="186"/>
        <v>14795818</v>
      </c>
      <c r="O113" s="14">
        <v>11496331</v>
      </c>
      <c r="P113" s="13">
        <v>5154390</v>
      </c>
      <c r="Q113" s="14">
        <f t="shared" si="198"/>
        <v>6341941</v>
      </c>
      <c r="R113" s="14">
        <v>11496331</v>
      </c>
      <c r="S113" s="13">
        <v>7073243</v>
      </c>
      <c r="T113" s="14">
        <f t="shared" si="199"/>
        <v>4423088</v>
      </c>
      <c r="U113" s="14">
        <v>11496331</v>
      </c>
      <c r="V113" s="175">
        <f>6000000+4162500</f>
        <v>10162500</v>
      </c>
      <c r="W113" s="14">
        <f t="shared" si="200"/>
        <v>1333831</v>
      </c>
      <c r="X113" s="174">
        <f t="shared" si="187"/>
        <v>34488993</v>
      </c>
      <c r="Y113" s="174">
        <f t="shared" si="187"/>
        <v>22390133</v>
      </c>
      <c r="Z113" s="14">
        <v>11496331</v>
      </c>
      <c r="AA113" s="13">
        <v>12722380</v>
      </c>
      <c r="AB113" s="14">
        <f t="shared" si="201"/>
        <v>-1226049</v>
      </c>
      <c r="AC113" s="14">
        <v>11496331</v>
      </c>
      <c r="AD113" s="13">
        <v>4563839</v>
      </c>
      <c r="AE113" s="14">
        <f t="shared" si="202"/>
        <v>6932492</v>
      </c>
      <c r="AF113" s="14">
        <v>11496331</v>
      </c>
      <c r="AG113" s="13">
        <v>22239618.850000001</v>
      </c>
      <c r="AH113" s="14">
        <f t="shared" si="203"/>
        <v>-10743287.850000001</v>
      </c>
      <c r="AI113" s="174">
        <f t="shared" si="174"/>
        <v>34488993</v>
      </c>
      <c r="AJ113" s="174">
        <f t="shared" si="188"/>
        <v>39525837.850000001</v>
      </c>
      <c r="AK113" s="14">
        <v>11496331</v>
      </c>
      <c r="AL113" s="13"/>
      <c r="AM113" s="14">
        <f t="shared" si="204"/>
        <v>11496331</v>
      </c>
      <c r="AN113" s="14">
        <v>11496331</v>
      </c>
      <c r="AO113" s="13"/>
      <c r="AP113" s="14">
        <f t="shared" si="205"/>
        <v>11496331</v>
      </c>
      <c r="AQ113" s="14">
        <v>11496331</v>
      </c>
      <c r="AR113" s="13"/>
      <c r="AS113" s="14">
        <f t="shared" si="206"/>
        <v>11496331</v>
      </c>
      <c r="AT113" s="174"/>
      <c r="AU113" s="174">
        <f t="shared" si="189"/>
        <v>0</v>
      </c>
      <c r="AV113" s="14">
        <f t="shared" si="190"/>
        <v>137955972</v>
      </c>
      <c r="AW113" s="14">
        <f t="shared" si="191"/>
        <v>76711788.849999994</v>
      </c>
      <c r="AX113" s="178">
        <f t="shared" si="192"/>
        <v>111200781.84999999</v>
      </c>
      <c r="AY113" s="16">
        <f t="shared" si="193"/>
        <v>84382967.734999999</v>
      </c>
      <c r="AZ113" s="16">
        <f t="shared" si="194"/>
        <v>92821264.50850001</v>
      </c>
      <c r="BA113" s="16">
        <f t="shared" si="194"/>
        <v>102103390.95935002</v>
      </c>
      <c r="BB113" s="16">
        <f t="shared" si="194"/>
        <v>112313730.05528504</v>
      </c>
    </row>
    <row r="114" spans="1:54" ht="18.399999999999999" customHeight="1" x14ac:dyDescent="0.2">
      <c r="A114" s="10">
        <v>8</v>
      </c>
      <c r="B114" s="11" t="s">
        <v>47</v>
      </c>
      <c r="C114" s="29" t="s">
        <v>111</v>
      </c>
      <c r="D114" s="14"/>
      <c r="E114" s="13"/>
      <c r="F114" s="14">
        <f t="shared" si="195"/>
        <v>0</v>
      </c>
      <c r="G114" s="14"/>
      <c r="H114" s="13"/>
      <c r="I114" s="14">
        <f t="shared" si="196"/>
        <v>0</v>
      </c>
      <c r="J114" s="14"/>
      <c r="K114" s="13"/>
      <c r="L114" s="14">
        <f t="shared" si="197"/>
        <v>0</v>
      </c>
      <c r="M114" s="174">
        <f t="shared" si="186"/>
        <v>0</v>
      </c>
      <c r="N114" s="174">
        <f t="shared" si="186"/>
        <v>0</v>
      </c>
      <c r="O114" s="14"/>
      <c r="P114" s="13"/>
      <c r="Q114" s="14">
        <f t="shared" si="198"/>
        <v>0</v>
      </c>
      <c r="R114" s="14"/>
      <c r="S114" s="13"/>
      <c r="T114" s="14">
        <f t="shared" si="199"/>
        <v>0</v>
      </c>
      <c r="U114" s="14"/>
      <c r="V114" s="13"/>
      <c r="W114" s="14">
        <f t="shared" si="200"/>
        <v>0</v>
      </c>
      <c r="X114" s="174">
        <f t="shared" si="187"/>
        <v>0</v>
      </c>
      <c r="Y114" s="174">
        <f t="shared" si="187"/>
        <v>0</v>
      </c>
      <c r="Z114" s="14"/>
      <c r="AA114" s="13"/>
      <c r="AB114" s="14">
        <f t="shared" si="201"/>
        <v>0</v>
      </c>
      <c r="AC114" s="14"/>
      <c r="AD114" s="13"/>
      <c r="AE114" s="14">
        <f t="shared" si="202"/>
        <v>0</v>
      </c>
      <c r="AF114" s="14"/>
      <c r="AG114" s="13"/>
      <c r="AH114" s="14">
        <f t="shared" si="203"/>
        <v>0</v>
      </c>
      <c r="AI114" s="174">
        <f t="shared" si="174"/>
        <v>0</v>
      </c>
      <c r="AJ114" s="174">
        <f t="shared" si="188"/>
        <v>0</v>
      </c>
      <c r="AK114" s="14"/>
      <c r="AL114" s="13"/>
      <c r="AM114" s="14">
        <f t="shared" si="204"/>
        <v>0</v>
      </c>
      <c r="AN114" s="14"/>
      <c r="AO114" s="13"/>
      <c r="AP114" s="14">
        <f t="shared" si="205"/>
        <v>0</v>
      </c>
      <c r="AQ114" s="14"/>
      <c r="AR114" s="13"/>
      <c r="AS114" s="14">
        <f t="shared" si="206"/>
        <v>0</v>
      </c>
      <c r="AT114" s="174"/>
      <c r="AU114" s="174">
        <f t="shared" si="189"/>
        <v>0</v>
      </c>
      <c r="AV114" s="14">
        <f t="shared" si="190"/>
        <v>0</v>
      </c>
      <c r="AW114" s="14">
        <f t="shared" si="191"/>
        <v>0</v>
      </c>
      <c r="AX114" s="178">
        <f t="shared" si="192"/>
        <v>0</v>
      </c>
      <c r="AY114" s="16">
        <f t="shared" si="193"/>
        <v>0</v>
      </c>
      <c r="AZ114" s="16">
        <f t="shared" si="194"/>
        <v>0</v>
      </c>
      <c r="BA114" s="16">
        <f t="shared" si="194"/>
        <v>0</v>
      </c>
      <c r="BB114" s="16">
        <f t="shared" si="194"/>
        <v>0</v>
      </c>
    </row>
    <row r="115" spans="1:54" ht="18.399999999999999" customHeight="1" x14ac:dyDescent="0.2">
      <c r="A115" s="10">
        <v>9</v>
      </c>
      <c r="B115" s="11" t="s">
        <v>147</v>
      </c>
      <c r="C115" s="29" t="s">
        <v>157</v>
      </c>
      <c r="D115" s="14">
        <v>500000</v>
      </c>
      <c r="E115" s="13"/>
      <c r="F115" s="14">
        <f t="shared" si="195"/>
        <v>500000</v>
      </c>
      <c r="G115" s="14">
        <v>500000</v>
      </c>
      <c r="H115" s="13"/>
      <c r="I115" s="14">
        <f t="shared" si="196"/>
        <v>500000</v>
      </c>
      <c r="J115" s="14">
        <v>500000</v>
      </c>
      <c r="K115" s="13"/>
      <c r="L115" s="14">
        <f t="shared" si="197"/>
        <v>500000</v>
      </c>
      <c r="M115" s="174">
        <f t="shared" si="186"/>
        <v>1500000</v>
      </c>
      <c r="N115" s="174">
        <f t="shared" si="186"/>
        <v>0</v>
      </c>
      <c r="O115" s="14">
        <v>500000</v>
      </c>
      <c r="P115" s="13"/>
      <c r="Q115" s="14">
        <f t="shared" si="198"/>
        <v>500000</v>
      </c>
      <c r="R115" s="14">
        <v>500000</v>
      </c>
      <c r="S115" s="13"/>
      <c r="T115" s="14">
        <f t="shared" si="199"/>
        <v>500000</v>
      </c>
      <c r="U115" s="14">
        <v>500000</v>
      </c>
      <c r="V115" s="175">
        <v>174420</v>
      </c>
      <c r="W115" s="14">
        <f t="shared" si="200"/>
        <v>325580</v>
      </c>
      <c r="X115" s="174">
        <f t="shared" si="187"/>
        <v>1500000</v>
      </c>
      <c r="Y115" s="174">
        <f t="shared" si="187"/>
        <v>174420</v>
      </c>
      <c r="Z115" s="14">
        <v>500000</v>
      </c>
      <c r="AA115" s="13"/>
      <c r="AB115" s="14">
        <f t="shared" si="201"/>
        <v>500000</v>
      </c>
      <c r="AC115" s="14">
        <v>500000</v>
      </c>
      <c r="AD115" s="13"/>
      <c r="AE115" s="14">
        <f t="shared" si="202"/>
        <v>500000</v>
      </c>
      <c r="AF115" s="14">
        <v>500000</v>
      </c>
      <c r="AG115" s="13"/>
      <c r="AH115" s="14">
        <f t="shared" si="203"/>
        <v>500000</v>
      </c>
      <c r="AI115" s="174">
        <f t="shared" si="174"/>
        <v>1500000</v>
      </c>
      <c r="AJ115" s="174">
        <f t="shared" si="188"/>
        <v>0</v>
      </c>
      <c r="AK115" s="14">
        <v>500000</v>
      </c>
      <c r="AL115" s="13"/>
      <c r="AM115" s="14">
        <f t="shared" si="204"/>
        <v>500000</v>
      </c>
      <c r="AN115" s="14">
        <v>500000</v>
      </c>
      <c r="AO115" s="13"/>
      <c r="AP115" s="14">
        <f t="shared" si="205"/>
        <v>500000</v>
      </c>
      <c r="AQ115" s="14">
        <v>500000</v>
      </c>
      <c r="AR115" s="13"/>
      <c r="AS115" s="14">
        <f t="shared" si="206"/>
        <v>500000</v>
      </c>
      <c r="AT115" s="174"/>
      <c r="AU115" s="174">
        <f t="shared" si="189"/>
        <v>0</v>
      </c>
      <c r="AV115" s="14">
        <f t="shared" si="190"/>
        <v>6000000</v>
      </c>
      <c r="AW115" s="14">
        <f t="shared" si="191"/>
        <v>174420</v>
      </c>
      <c r="AX115" s="178">
        <f t="shared" si="192"/>
        <v>1674420</v>
      </c>
      <c r="AY115" s="16">
        <f t="shared" si="193"/>
        <v>191862.00000000003</v>
      </c>
      <c r="AZ115" s="16">
        <f t="shared" si="194"/>
        <v>211048.20000000004</v>
      </c>
      <c r="BA115" s="16">
        <f t="shared" si="194"/>
        <v>232153.02000000008</v>
      </c>
      <c r="BB115" s="16">
        <f t="shared" si="194"/>
        <v>255368.3220000001</v>
      </c>
    </row>
    <row r="116" spans="1:54" ht="18.399999999999999" customHeight="1" x14ac:dyDescent="0.2">
      <c r="A116" s="10">
        <v>10</v>
      </c>
      <c r="B116" s="11" t="s">
        <v>36</v>
      </c>
      <c r="C116" s="29" t="s">
        <v>158</v>
      </c>
      <c r="D116" s="14">
        <v>72280931</v>
      </c>
      <c r="E116" s="13">
        <f>4831677</f>
        <v>4831677</v>
      </c>
      <c r="F116" s="14">
        <f t="shared" si="195"/>
        <v>67449254</v>
      </c>
      <c r="G116" s="14">
        <v>72280931</v>
      </c>
      <c r="H116" s="13">
        <f>964150+1500000</f>
        <v>2464150</v>
      </c>
      <c r="I116" s="14">
        <f t="shared" si="196"/>
        <v>69816781</v>
      </c>
      <c r="J116" s="14">
        <v>72280931</v>
      </c>
      <c r="K116" s="13">
        <f>1788846+3000000</f>
        <v>4788846</v>
      </c>
      <c r="L116" s="14">
        <f t="shared" si="197"/>
        <v>67492085</v>
      </c>
      <c r="M116" s="174">
        <f t="shared" si="186"/>
        <v>216842793</v>
      </c>
      <c r="N116" s="174">
        <f t="shared" si="186"/>
        <v>12084673</v>
      </c>
      <c r="O116" s="14">
        <v>72280931</v>
      </c>
      <c r="P116" s="13">
        <v>30659200</v>
      </c>
      <c r="Q116" s="14">
        <f t="shared" si="198"/>
        <v>41621731</v>
      </c>
      <c r="R116" s="14">
        <v>72280931</v>
      </c>
      <c r="S116" s="13">
        <f>2579060+52899050</f>
        <v>55478110</v>
      </c>
      <c r="T116" s="14">
        <f t="shared" si="199"/>
        <v>16802821</v>
      </c>
      <c r="U116" s="14">
        <v>72280931</v>
      </c>
      <c r="V116" s="175">
        <f>31520150+2000000+6200000+2200000</f>
        <v>41920150</v>
      </c>
      <c r="W116" s="14">
        <f t="shared" si="200"/>
        <v>30360781</v>
      </c>
      <c r="X116" s="174">
        <f t="shared" si="187"/>
        <v>216842793</v>
      </c>
      <c r="Y116" s="174">
        <f t="shared" si="187"/>
        <v>128057460</v>
      </c>
      <c r="Z116" s="14">
        <v>72280931</v>
      </c>
      <c r="AA116" s="13">
        <v>254921103</v>
      </c>
      <c r="AB116" s="14">
        <f t="shared" si="201"/>
        <v>-182640172</v>
      </c>
      <c r="AC116" s="14">
        <v>72280931</v>
      </c>
      <c r="AD116" s="13">
        <v>153211800</v>
      </c>
      <c r="AE116" s="14">
        <f t="shared" si="202"/>
        <v>-80930869</v>
      </c>
      <c r="AF116" s="14">
        <v>72280931</v>
      </c>
      <c r="AG116" s="13">
        <v>14125000</v>
      </c>
      <c r="AH116" s="14">
        <f t="shared" si="203"/>
        <v>58155931</v>
      </c>
      <c r="AI116" s="174">
        <f t="shared" si="174"/>
        <v>216842793</v>
      </c>
      <c r="AJ116" s="174">
        <f t="shared" si="188"/>
        <v>422257903</v>
      </c>
      <c r="AK116" s="14">
        <v>72280931</v>
      </c>
      <c r="AL116" s="13"/>
      <c r="AM116" s="14">
        <f t="shared" si="204"/>
        <v>72280931</v>
      </c>
      <c r="AN116" s="14">
        <v>72280931</v>
      </c>
      <c r="AO116" s="13"/>
      <c r="AP116" s="14">
        <f t="shared" si="205"/>
        <v>72280931</v>
      </c>
      <c r="AQ116" s="14">
        <v>72280931</v>
      </c>
      <c r="AR116" s="13"/>
      <c r="AS116" s="14">
        <f t="shared" si="206"/>
        <v>72280931</v>
      </c>
      <c r="AT116" s="174"/>
      <c r="AU116" s="174">
        <f t="shared" si="189"/>
        <v>0</v>
      </c>
      <c r="AV116" s="14">
        <f t="shared" si="190"/>
        <v>867371172</v>
      </c>
      <c r="AW116" s="14">
        <f t="shared" si="191"/>
        <v>562400036</v>
      </c>
      <c r="AX116" s="178">
        <f t="shared" si="192"/>
        <v>779242829</v>
      </c>
      <c r="AY116" s="16">
        <f t="shared" si="193"/>
        <v>618640039.60000002</v>
      </c>
      <c r="AZ116" s="16">
        <f t="shared" si="194"/>
        <v>680504043.56000006</v>
      </c>
      <c r="BA116" s="16">
        <f t="shared" si="194"/>
        <v>748554447.91600013</v>
      </c>
      <c r="BB116" s="16">
        <f t="shared" si="194"/>
        <v>823409892.70760024</v>
      </c>
    </row>
    <row r="117" spans="1:54" s="2" customFormat="1" ht="18.399999999999999" customHeight="1" x14ac:dyDescent="0.2">
      <c r="A117" s="58"/>
      <c r="B117" s="23"/>
      <c r="C117" s="47" t="s">
        <v>159</v>
      </c>
      <c r="D117" s="59">
        <f t="shared" ref="D117:BB117" si="207">SUM(D107:D116)</f>
        <v>223757494</v>
      </c>
      <c r="E117" s="59">
        <f t="shared" si="207"/>
        <v>113445598</v>
      </c>
      <c r="F117" s="59">
        <f t="shared" si="207"/>
        <v>110311896</v>
      </c>
      <c r="G117" s="59">
        <f t="shared" si="207"/>
        <v>223757494</v>
      </c>
      <c r="H117" s="59">
        <f t="shared" si="207"/>
        <v>98438125</v>
      </c>
      <c r="I117" s="59">
        <f t="shared" si="207"/>
        <v>125319369</v>
      </c>
      <c r="J117" s="59">
        <f t="shared" si="207"/>
        <v>223757494</v>
      </c>
      <c r="K117" s="59">
        <f t="shared" si="207"/>
        <v>95674416</v>
      </c>
      <c r="L117" s="59">
        <f t="shared" si="207"/>
        <v>128083078</v>
      </c>
      <c r="M117" s="59">
        <f t="shared" si="207"/>
        <v>671272482</v>
      </c>
      <c r="N117" s="59">
        <f t="shared" si="207"/>
        <v>307558139</v>
      </c>
      <c r="O117" s="59">
        <f t="shared" si="207"/>
        <v>223757494</v>
      </c>
      <c r="P117" s="59">
        <f t="shared" si="207"/>
        <v>143249954</v>
      </c>
      <c r="Q117" s="59">
        <f t="shared" si="207"/>
        <v>80507540</v>
      </c>
      <c r="R117" s="59">
        <f t="shared" si="207"/>
        <v>223757494</v>
      </c>
      <c r="S117" s="59">
        <f t="shared" si="207"/>
        <v>184351380</v>
      </c>
      <c r="T117" s="59">
        <f t="shared" si="207"/>
        <v>41018714</v>
      </c>
      <c r="U117" s="59">
        <f t="shared" si="207"/>
        <v>223757494</v>
      </c>
      <c r="V117" s="59">
        <f t="shared" si="207"/>
        <v>149984112</v>
      </c>
      <c r="W117" s="59">
        <f t="shared" si="207"/>
        <v>73773382</v>
      </c>
      <c r="X117" s="59">
        <f t="shared" si="207"/>
        <v>671272482</v>
      </c>
      <c r="Y117" s="59">
        <f t="shared" si="207"/>
        <v>477585446</v>
      </c>
      <c r="Z117" s="59">
        <f t="shared" si="207"/>
        <v>223757494</v>
      </c>
      <c r="AA117" s="59">
        <f t="shared" si="207"/>
        <v>278893483</v>
      </c>
      <c r="AB117" s="59">
        <f t="shared" si="207"/>
        <v>-55135989</v>
      </c>
      <c r="AC117" s="59">
        <f t="shared" si="207"/>
        <v>673092081</v>
      </c>
      <c r="AD117" s="59">
        <f t="shared" si="207"/>
        <v>180275639</v>
      </c>
      <c r="AE117" s="59">
        <f t="shared" si="207"/>
        <v>492816442</v>
      </c>
      <c r="AF117" s="59">
        <f t="shared" si="207"/>
        <v>223757494</v>
      </c>
      <c r="AG117" s="59">
        <f t="shared" si="207"/>
        <v>47614618.850000001</v>
      </c>
      <c r="AH117" s="59">
        <f t="shared" si="207"/>
        <v>176142875.15000001</v>
      </c>
      <c r="AI117" s="59">
        <f t="shared" si="207"/>
        <v>1120607069</v>
      </c>
      <c r="AJ117" s="59">
        <f t="shared" si="207"/>
        <v>506783740.85000002</v>
      </c>
      <c r="AK117" s="59">
        <f t="shared" si="207"/>
        <v>223757494</v>
      </c>
      <c r="AL117" s="59">
        <f t="shared" si="207"/>
        <v>0</v>
      </c>
      <c r="AM117" s="59">
        <f t="shared" si="207"/>
        <v>223757494</v>
      </c>
      <c r="AN117" s="59">
        <f t="shared" si="207"/>
        <v>223757494</v>
      </c>
      <c r="AO117" s="59">
        <f t="shared" si="207"/>
        <v>0</v>
      </c>
      <c r="AP117" s="59">
        <f t="shared" si="207"/>
        <v>223757494</v>
      </c>
      <c r="AQ117" s="59">
        <f t="shared" si="207"/>
        <v>323087056</v>
      </c>
      <c r="AR117" s="59">
        <f t="shared" si="207"/>
        <v>0</v>
      </c>
      <c r="AS117" s="59">
        <f t="shared" si="207"/>
        <v>323087056</v>
      </c>
      <c r="AT117" s="59">
        <f t="shared" si="207"/>
        <v>0</v>
      </c>
      <c r="AU117" s="59">
        <f t="shared" si="207"/>
        <v>0</v>
      </c>
      <c r="AV117" s="59">
        <f t="shared" si="207"/>
        <v>3233754077</v>
      </c>
      <c r="AW117" s="59">
        <f t="shared" si="207"/>
        <v>1291927325.8499999</v>
      </c>
      <c r="AX117" s="59">
        <f t="shared" si="207"/>
        <v>2062529369.8499999</v>
      </c>
      <c r="AY117" s="59">
        <f t="shared" si="207"/>
        <v>1421120058.4349999</v>
      </c>
      <c r="AZ117" s="59">
        <f t="shared" si="207"/>
        <v>1563232064.2785001</v>
      </c>
      <c r="BA117" s="59">
        <f t="shared" si="207"/>
        <v>1719555270.7063503</v>
      </c>
      <c r="BB117" s="59">
        <f t="shared" si="207"/>
        <v>1891510797.7769856</v>
      </c>
    </row>
    <row r="118" spans="1:54" s="2" customFormat="1" ht="18.399999999999999" customHeight="1" x14ac:dyDescent="0.2">
      <c r="A118" s="58"/>
      <c r="B118" s="23"/>
      <c r="C118" s="47" t="s">
        <v>160</v>
      </c>
      <c r="D118" s="19">
        <f t="shared" ref="D118:L118" si="208">D117+D106+D96+D93+D86+D67+D78+D73+D64+D57+D32+D23+D22+D11+D99</f>
        <v>1296304134</v>
      </c>
      <c r="E118" s="19">
        <f t="shared" si="208"/>
        <v>779948624</v>
      </c>
      <c r="F118" s="19">
        <f t="shared" si="208"/>
        <v>540912180</v>
      </c>
      <c r="G118" s="19">
        <f t="shared" si="208"/>
        <v>1177862532</v>
      </c>
      <c r="H118" s="19">
        <f t="shared" si="208"/>
        <v>883117552</v>
      </c>
      <c r="I118" s="19">
        <f t="shared" si="208"/>
        <v>319693320</v>
      </c>
      <c r="J118" s="19">
        <f t="shared" si="208"/>
        <v>991770110</v>
      </c>
      <c r="K118" s="19">
        <f t="shared" si="208"/>
        <v>816945154</v>
      </c>
      <c r="L118" s="19">
        <f t="shared" si="208"/>
        <v>237967495</v>
      </c>
      <c r="M118" s="19">
        <f>M117+M106+M96+M93+M86+M78+M73+M67+M64+M57+M32+M23+M22+M11+M99</f>
        <v>3465936776</v>
      </c>
      <c r="N118" s="19">
        <f>N117+N106+N96+N93+N86+N78+N73+N67+N64+N57+N32+N23+N22+N11+N99</f>
        <v>2480011330</v>
      </c>
      <c r="O118" s="19">
        <f t="shared" ref="O118:W118" si="209">O117+O106+O96+O93+O86+O67+O78+O73+O64+O57+O32+O23+O22+O11+O99</f>
        <v>1135760880</v>
      </c>
      <c r="P118" s="19">
        <f t="shared" si="209"/>
        <v>954446936</v>
      </c>
      <c r="Q118" s="19">
        <f t="shared" si="209"/>
        <v>186332026.00000006</v>
      </c>
      <c r="R118" s="19">
        <f t="shared" si="209"/>
        <v>1145163994</v>
      </c>
      <c r="S118" s="19">
        <f t="shared" si="209"/>
        <v>927818781</v>
      </c>
      <c r="T118" s="19">
        <f t="shared" si="209"/>
        <v>224630455.00000006</v>
      </c>
      <c r="U118" s="19">
        <f t="shared" si="209"/>
        <v>1097486224.5</v>
      </c>
      <c r="V118" s="19">
        <f t="shared" si="209"/>
        <v>835237932</v>
      </c>
      <c r="W118" s="19">
        <f t="shared" si="209"/>
        <v>267897328.50000006</v>
      </c>
      <c r="X118" s="19">
        <f>X117+X106+X96+X93+X86+X78+X73+X67+X64+X57+X32+X23+X22+X11+X99</f>
        <v>3378411098.5</v>
      </c>
      <c r="Y118" s="19">
        <f>Y117+Y106+Y96+Y93+Y86+Y78+Y73+Y67+Y64+Y57+Y32+Y23+Y22+Y11+Y99</f>
        <v>2717503649</v>
      </c>
      <c r="Z118" s="19">
        <f t="shared" ref="Z118:AH118" si="210">Z117+Z106+Z96+Z93+Z86+Z67+Z78+Z73+Z64+Z57+Z32+Z23+Z22+Z11+Z99</f>
        <v>1085203568.4806933</v>
      </c>
      <c r="AA118" s="19">
        <f t="shared" si="210"/>
        <v>1206676002</v>
      </c>
      <c r="AB118" s="19">
        <f t="shared" si="210"/>
        <v>-121472433.51930664</v>
      </c>
      <c r="AC118" s="19">
        <f t="shared" si="210"/>
        <v>2062577042.1956272</v>
      </c>
      <c r="AD118" s="19">
        <f t="shared" si="210"/>
        <v>1873682931.3899999</v>
      </c>
      <c r="AE118" s="19">
        <f t="shared" si="210"/>
        <v>293458110.80562735</v>
      </c>
      <c r="AF118" s="19">
        <f t="shared" si="210"/>
        <v>945268853.25552392</v>
      </c>
      <c r="AG118" s="19">
        <f t="shared" si="210"/>
        <v>943980515.63999999</v>
      </c>
      <c r="AH118" s="19">
        <f t="shared" si="210"/>
        <v>1288337.6155239344</v>
      </c>
      <c r="AI118" s="19">
        <f>AI117+AI106+AI96+AI93+AI86+AI78+AI73+AI67+AI64+AI57+AI32+AI23+AI22+AI11+AI99</f>
        <v>4093049463.9318442</v>
      </c>
      <c r="AJ118" s="19">
        <f>AJ117+AJ106+AJ96+AJ93+AJ86+AJ78+AJ73+AJ67+AJ64+AJ57+AJ32+AJ23+AJ22+AJ11+AJ99</f>
        <v>4024339449.0300002</v>
      </c>
      <c r="AK118" s="19">
        <f t="shared" ref="AK118:AS118" si="211">AK117+AK106+AK96+AK93+AK86+AK67+AK78+AK73+AK64+AK57+AK32+AK23+AK22+AK11+AK99</f>
        <v>1072964339.2555239</v>
      </c>
      <c r="AL118" s="19">
        <f t="shared" si="211"/>
        <v>0</v>
      </c>
      <c r="AM118" s="19">
        <f t="shared" si="211"/>
        <v>1072964339.2555239</v>
      </c>
      <c r="AN118" s="19">
        <f t="shared" si="211"/>
        <v>1169392453.2555239</v>
      </c>
      <c r="AO118" s="19">
        <f t="shared" si="211"/>
        <v>0</v>
      </c>
      <c r="AP118" s="19">
        <f t="shared" si="211"/>
        <v>1169392453.2555239</v>
      </c>
      <c r="AQ118" s="19">
        <f t="shared" si="211"/>
        <v>1529666417.1956272</v>
      </c>
      <c r="AR118" s="19">
        <f t="shared" si="211"/>
        <v>0</v>
      </c>
      <c r="AS118" s="19">
        <f t="shared" si="211"/>
        <v>1529666417.1956272</v>
      </c>
      <c r="AT118" s="19">
        <f>AT117+AT106+AT96+AT93+AT86+AT78+AT73+AT67+AT64+AT57+AT32+AT23+AT22+AT11+AT99</f>
        <v>0</v>
      </c>
      <c r="AU118" s="19">
        <f>AU117+AU106+AU96+AU93+AU86+AU78+AU73+AU67+AU64+AU57+AU32+AU23+AU22+AU11+AU99</f>
        <v>0</v>
      </c>
      <c r="AV118" s="19">
        <f t="shared" ref="AV118:BB118" si="212">AV117+AV106+AV96+AV93+AV86+AV67+AV78+AV73+AV64+AV57+AV32+AV23+AV22+AV11+AV99</f>
        <v>14709420548.138521</v>
      </c>
      <c r="AW118" s="19">
        <f t="shared" si="212"/>
        <v>9221854428.0299988</v>
      </c>
      <c r="AX118" s="19">
        <f t="shared" si="212"/>
        <v>12993877637.736677</v>
      </c>
      <c r="AY118" s="19">
        <f t="shared" si="212"/>
        <v>10144039870.833</v>
      </c>
      <c r="AZ118" s="19">
        <f t="shared" si="212"/>
        <v>11158443857.9163</v>
      </c>
      <c r="BA118" s="19">
        <f t="shared" si="212"/>
        <v>12274288243.707935</v>
      </c>
      <c r="BB118" s="19">
        <f t="shared" si="212"/>
        <v>13501717068.078728</v>
      </c>
    </row>
    <row r="119" spans="1:54" s="27" customFormat="1" ht="18.399999999999999" customHeight="1" x14ac:dyDescent="0.2">
      <c r="A119" s="22"/>
      <c r="B119" s="23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174">
        <f t="shared" ref="M119:N121" si="213">D119+G119+J119</f>
        <v>0</v>
      </c>
      <c r="N119" s="174">
        <f t="shared" si="213"/>
        <v>0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174">
        <f t="shared" ref="X119:Y121" si="214">O119+R119+U119</f>
        <v>0</v>
      </c>
      <c r="Y119" s="174">
        <f t="shared" si="214"/>
        <v>0</v>
      </c>
      <c r="Z119" s="25"/>
      <c r="AA119" s="25"/>
      <c r="AB119" s="25"/>
      <c r="AC119" s="25"/>
      <c r="AD119" s="25"/>
      <c r="AE119" s="25"/>
      <c r="AF119" s="25"/>
      <c r="AG119" s="25"/>
      <c r="AH119" s="25"/>
      <c r="AI119" s="174"/>
      <c r="AJ119" s="174">
        <f>AA119+AD119+AG119</f>
        <v>0</v>
      </c>
      <c r="AK119" s="25"/>
      <c r="AL119" s="25"/>
      <c r="AM119" s="25"/>
      <c r="AN119" s="25"/>
      <c r="AO119" s="25"/>
      <c r="AP119" s="25"/>
      <c r="AQ119" s="25"/>
      <c r="AR119" s="25"/>
      <c r="AS119" s="25"/>
      <c r="AT119" s="174"/>
      <c r="AU119" s="174">
        <f>AL119+AO119+AR119</f>
        <v>0</v>
      </c>
      <c r="AV119" s="25"/>
      <c r="AW119" s="190"/>
      <c r="AX119" s="178">
        <f>(AV119-M119-X119-AI119-AT119)+N119+Y119+AJ119+AU119</f>
        <v>0</v>
      </c>
      <c r="AY119" s="26"/>
      <c r="AZ119" s="26"/>
      <c r="BA119" s="26"/>
      <c r="BB119" s="26"/>
    </row>
    <row r="120" spans="1:54" s="2" customFormat="1" ht="18.399999999999999" customHeight="1" x14ac:dyDescent="0.2">
      <c r="A120" s="58"/>
      <c r="B120" s="23"/>
      <c r="C120" s="71" t="s">
        <v>161</v>
      </c>
      <c r="D120" s="72">
        <v>146091400</v>
      </c>
      <c r="E120" s="72">
        <v>146091400</v>
      </c>
      <c r="F120" s="14">
        <f>D120-E120</f>
        <v>0</v>
      </c>
      <c r="G120" s="72">
        <v>146091400</v>
      </c>
      <c r="H120" s="72">
        <v>146091400</v>
      </c>
      <c r="I120" s="14">
        <f>G120-H120</f>
        <v>0</v>
      </c>
      <c r="J120" s="72">
        <v>146091400</v>
      </c>
      <c r="K120" s="15">
        <v>146091400</v>
      </c>
      <c r="L120" s="14">
        <f>J120-K120</f>
        <v>0</v>
      </c>
      <c r="M120" s="174">
        <f t="shared" si="213"/>
        <v>438274200</v>
      </c>
      <c r="N120" s="174">
        <f t="shared" si="213"/>
        <v>438274200</v>
      </c>
      <c r="O120" s="72">
        <v>146091400</v>
      </c>
      <c r="P120" s="72">
        <v>146091400</v>
      </c>
      <c r="Q120" s="14">
        <f>O120-P120</f>
        <v>0</v>
      </c>
      <c r="R120" s="72">
        <v>146091400</v>
      </c>
      <c r="S120" s="72">
        <v>146091400</v>
      </c>
      <c r="T120" s="14">
        <f>R120-S120</f>
        <v>0</v>
      </c>
      <c r="U120" s="72">
        <v>146091400</v>
      </c>
      <c r="V120" s="72">
        <v>146091400</v>
      </c>
      <c r="W120" s="14">
        <f>U120-V120</f>
        <v>0</v>
      </c>
      <c r="X120" s="174">
        <f t="shared" si="214"/>
        <v>438274200</v>
      </c>
      <c r="Y120" s="174">
        <f t="shared" si="214"/>
        <v>438274200</v>
      </c>
      <c r="Z120" s="72">
        <v>146091400</v>
      </c>
      <c r="AA120" s="72"/>
      <c r="AB120" s="14">
        <f>Z120-AA120</f>
        <v>146091400</v>
      </c>
      <c r="AC120" s="72">
        <v>146091400</v>
      </c>
      <c r="AD120" s="72"/>
      <c r="AE120" s="14">
        <f>AC120-AD120</f>
        <v>146091400</v>
      </c>
      <c r="AF120" s="72">
        <v>146091400</v>
      </c>
      <c r="AG120" s="72"/>
      <c r="AH120" s="14">
        <f>AF120-AG120</f>
        <v>146091400</v>
      </c>
      <c r="AI120" s="174">
        <f>AF120+AC120+Z120</f>
        <v>438274200</v>
      </c>
      <c r="AJ120" s="174">
        <f>AA120+AD120+AG120</f>
        <v>0</v>
      </c>
      <c r="AK120" s="72">
        <v>146091400</v>
      </c>
      <c r="AL120" s="72"/>
      <c r="AM120" s="14">
        <f>AK120-AL120</f>
        <v>146091400</v>
      </c>
      <c r="AN120" s="72">
        <v>146091400</v>
      </c>
      <c r="AO120" s="72"/>
      <c r="AP120" s="14">
        <f>AN120-AO120</f>
        <v>146091400</v>
      </c>
      <c r="AQ120" s="72">
        <v>146091400</v>
      </c>
      <c r="AR120" s="72"/>
      <c r="AS120" s="14">
        <f>AQ120-AR120</f>
        <v>146091400</v>
      </c>
      <c r="AT120" s="174"/>
      <c r="AU120" s="174">
        <f>AL120+AO120+AR120</f>
        <v>0</v>
      </c>
      <c r="AV120" s="14">
        <f>AQ120+AN120+AK120++AF120+AC120+Z120+U120+R120+O120+J120+G120+D120</f>
        <v>1753096800</v>
      </c>
      <c r="AW120" s="14">
        <f>AR120+AO120+AL120+AG120+AD120+AA120+V120+S120+P120+K120+H120+E120</f>
        <v>876548400</v>
      </c>
      <c r="AX120" s="178">
        <f>(AV120-M120-X120-AI120-AT120)+N120+Y120+AJ120+AU120</f>
        <v>1314822600</v>
      </c>
      <c r="AY120" s="16">
        <f>AW120*1.1</f>
        <v>964203240.00000012</v>
      </c>
      <c r="AZ120" s="16">
        <f t="shared" ref="AZ120:BB121" si="215">AY120*1.1</f>
        <v>1060623564.0000002</v>
      </c>
      <c r="BA120" s="16">
        <f t="shared" si="215"/>
        <v>1166685920.4000003</v>
      </c>
      <c r="BB120" s="16">
        <f t="shared" si="215"/>
        <v>1283354512.4400005</v>
      </c>
    </row>
    <row r="121" spans="1:54" s="2" customFormat="1" ht="18.399999999999999" customHeight="1" x14ac:dyDescent="0.2">
      <c r="A121" s="58"/>
      <c r="B121" s="23"/>
      <c r="C121" s="73" t="s">
        <v>162</v>
      </c>
      <c r="D121" s="75">
        <v>17787500</v>
      </c>
      <c r="E121" s="189">
        <v>17787500</v>
      </c>
      <c r="F121" s="14">
        <f>D121-E121</f>
        <v>0</v>
      </c>
      <c r="G121" s="75">
        <v>17787500</v>
      </c>
      <c r="H121" s="75">
        <v>17787500</v>
      </c>
      <c r="I121" s="14">
        <f>G121-H121</f>
        <v>0</v>
      </c>
      <c r="J121" s="75">
        <v>17787500</v>
      </c>
      <c r="K121" s="75">
        <v>17787500</v>
      </c>
      <c r="L121" s="14">
        <f>J121-K121</f>
        <v>0</v>
      </c>
      <c r="M121" s="174">
        <f t="shared" si="213"/>
        <v>53362500</v>
      </c>
      <c r="N121" s="174">
        <f t="shared" si="213"/>
        <v>53362500</v>
      </c>
      <c r="O121" s="75">
        <v>17787500</v>
      </c>
      <c r="P121" s="75">
        <v>17787500</v>
      </c>
      <c r="Q121" s="14">
        <f>O121-P121</f>
        <v>0</v>
      </c>
      <c r="R121" s="75">
        <v>17787500</v>
      </c>
      <c r="S121" s="75">
        <v>17787500</v>
      </c>
      <c r="T121" s="14">
        <f>R121-S121</f>
        <v>0</v>
      </c>
      <c r="U121" s="75">
        <v>17787500</v>
      </c>
      <c r="V121" s="75">
        <v>17787500</v>
      </c>
      <c r="W121" s="14">
        <f>U121-V121</f>
        <v>0</v>
      </c>
      <c r="X121" s="174">
        <f t="shared" si="214"/>
        <v>53362500</v>
      </c>
      <c r="Y121" s="174">
        <f t="shared" si="214"/>
        <v>53362500</v>
      </c>
      <c r="Z121" s="75">
        <v>17787500</v>
      </c>
      <c r="AA121" s="75"/>
      <c r="AB121" s="14">
        <f>Z121-AA121</f>
        <v>17787500</v>
      </c>
      <c r="AC121" s="75">
        <v>17787500</v>
      </c>
      <c r="AD121" s="30">
        <v>0</v>
      </c>
      <c r="AE121" s="14">
        <f>AC121-AD121</f>
        <v>17787500</v>
      </c>
      <c r="AF121" s="75">
        <v>17787500</v>
      </c>
      <c r="AG121" s="30">
        <v>0</v>
      </c>
      <c r="AH121" s="14">
        <f>AF121-AG121</f>
        <v>17787500</v>
      </c>
      <c r="AI121" s="174">
        <f>AF121+AC121+Z121</f>
        <v>53362500</v>
      </c>
      <c r="AJ121" s="174">
        <f>AA121+AD121+AG121</f>
        <v>0</v>
      </c>
      <c r="AK121" s="75">
        <v>17787500</v>
      </c>
      <c r="AL121" s="30">
        <v>0</v>
      </c>
      <c r="AM121" s="14">
        <f>AK121-AL121</f>
        <v>17787500</v>
      </c>
      <c r="AN121" s="75">
        <v>17787500</v>
      </c>
      <c r="AO121" s="30">
        <v>0</v>
      </c>
      <c r="AP121" s="14">
        <f>AN121-AO121</f>
        <v>17787500</v>
      </c>
      <c r="AQ121" s="75">
        <v>17787500</v>
      </c>
      <c r="AR121" s="30">
        <v>0</v>
      </c>
      <c r="AS121" s="14">
        <f>AQ121-AR121</f>
        <v>17787500</v>
      </c>
      <c r="AT121" s="174"/>
      <c r="AU121" s="174">
        <f>AL121+AO121+AR121</f>
        <v>0</v>
      </c>
      <c r="AV121" s="14">
        <f>AQ121+AN121+AK121++AF121+AC121+Z121+U121+R121+O121+J121+G121+D121</f>
        <v>213450000</v>
      </c>
      <c r="AW121" s="14">
        <f>AR121+AO121+AL121+AG121+AD121+AA121+V121+S121+P121+K121+H121+E121</f>
        <v>106725000</v>
      </c>
      <c r="AX121" s="178">
        <f>(AV121-M121-X121-AI121-AT121)+N121+Y121+AJ121+AU121</f>
        <v>160087500</v>
      </c>
      <c r="AY121" s="16">
        <f>AW121*1.1</f>
        <v>117397500.00000001</v>
      </c>
      <c r="AZ121" s="16">
        <f t="shared" si="215"/>
        <v>129137250.00000003</v>
      </c>
      <c r="BA121" s="16">
        <f t="shared" si="215"/>
        <v>142050975.00000003</v>
      </c>
      <c r="BB121" s="16">
        <f t="shared" si="215"/>
        <v>156256072.50000006</v>
      </c>
    </row>
    <row r="122" spans="1:54" s="2" customFormat="1" ht="18.399999999999999" customHeight="1" x14ac:dyDescent="0.2">
      <c r="A122" s="58"/>
      <c r="B122" s="11" t="s">
        <v>163</v>
      </c>
      <c r="C122" s="47" t="s">
        <v>164</v>
      </c>
      <c r="D122" s="76">
        <f t="shared" ref="D122:BB122" si="216">SUM(D120:D121)</f>
        <v>163878900</v>
      </c>
      <c r="E122" s="76">
        <f t="shared" si="216"/>
        <v>163878900</v>
      </c>
      <c r="F122" s="76">
        <f t="shared" si="216"/>
        <v>0</v>
      </c>
      <c r="G122" s="76">
        <f t="shared" si="216"/>
        <v>163878900</v>
      </c>
      <c r="H122" s="76">
        <f t="shared" si="216"/>
        <v>163878900</v>
      </c>
      <c r="I122" s="76">
        <f t="shared" si="216"/>
        <v>0</v>
      </c>
      <c r="J122" s="76">
        <f t="shared" si="216"/>
        <v>163878900</v>
      </c>
      <c r="K122" s="76">
        <f t="shared" si="216"/>
        <v>163878900</v>
      </c>
      <c r="L122" s="76">
        <f t="shared" si="216"/>
        <v>0</v>
      </c>
      <c r="M122" s="76">
        <f t="shared" si="216"/>
        <v>491636700</v>
      </c>
      <c r="N122" s="76">
        <f t="shared" si="216"/>
        <v>491636700</v>
      </c>
      <c r="O122" s="76">
        <f t="shared" si="216"/>
        <v>163878900</v>
      </c>
      <c r="P122" s="76">
        <f t="shared" si="216"/>
        <v>163878900</v>
      </c>
      <c r="Q122" s="76">
        <f t="shared" si="216"/>
        <v>0</v>
      </c>
      <c r="R122" s="76">
        <f t="shared" si="216"/>
        <v>163878900</v>
      </c>
      <c r="S122" s="76">
        <f t="shared" si="216"/>
        <v>163878900</v>
      </c>
      <c r="T122" s="76">
        <f t="shared" si="216"/>
        <v>0</v>
      </c>
      <c r="U122" s="76">
        <f t="shared" si="216"/>
        <v>163878900</v>
      </c>
      <c r="V122" s="76">
        <f t="shared" si="216"/>
        <v>163878900</v>
      </c>
      <c r="W122" s="76">
        <f t="shared" si="216"/>
        <v>0</v>
      </c>
      <c r="X122" s="76">
        <f t="shared" si="216"/>
        <v>491636700</v>
      </c>
      <c r="Y122" s="76">
        <f t="shared" si="216"/>
        <v>491636700</v>
      </c>
      <c r="Z122" s="76">
        <f t="shared" si="216"/>
        <v>163878900</v>
      </c>
      <c r="AA122" s="76">
        <f t="shared" si="216"/>
        <v>0</v>
      </c>
      <c r="AB122" s="76">
        <f t="shared" si="216"/>
        <v>163878900</v>
      </c>
      <c r="AC122" s="76">
        <f t="shared" si="216"/>
        <v>163878900</v>
      </c>
      <c r="AD122" s="76">
        <f t="shared" si="216"/>
        <v>0</v>
      </c>
      <c r="AE122" s="76">
        <f t="shared" si="216"/>
        <v>163878900</v>
      </c>
      <c r="AF122" s="76">
        <f t="shared" si="216"/>
        <v>163878900</v>
      </c>
      <c r="AG122" s="76">
        <f t="shared" si="216"/>
        <v>0</v>
      </c>
      <c r="AH122" s="76">
        <f t="shared" si="216"/>
        <v>163878900</v>
      </c>
      <c r="AI122" s="76">
        <f t="shared" si="216"/>
        <v>491636700</v>
      </c>
      <c r="AJ122" s="76">
        <f t="shared" si="216"/>
        <v>0</v>
      </c>
      <c r="AK122" s="76">
        <f t="shared" si="216"/>
        <v>163878900</v>
      </c>
      <c r="AL122" s="76">
        <f t="shared" si="216"/>
        <v>0</v>
      </c>
      <c r="AM122" s="76">
        <f t="shared" si="216"/>
        <v>163878900</v>
      </c>
      <c r="AN122" s="76">
        <f t="shared" si="216"/>
        <v>163878900</v>
      </c>
      <c r="AO122" s="76">
        <f t="shared" si="216"/>
        <v>0</v>
      </c>
      <c r="AP122" s="76">
        <f t="shared" si="216"/>
        <v>163878900</v>
      </c>
      <c r="AQ122" s="76">
        <f t="shared" si="216"/>
        <v>163878900</v>
      </c>
      <c r="AR122" s="76">
        <f t="shared" si="216"/>
        <v>0</v>
      </c>
      <c r="AS122" s="76">
        <f t="shared" si="216"/>
        <v>163878900</v>
      </c>
      <c r="AT122" s="76">
        <f t="shared" si="216"/>
        <v>0</v>
      </c>
      <c r="AU122" s="76">
        <f t="shared" si="216"/>
        <v>0</v>
      </c>
      <c r="AV122" s="76">
        <f t="shared" si="216"/>
        <v>1966546800</v>
      </c>
      <c r="AW122" s="76">
        <f t="shared" si="216"/>
        <v>983273400</v>
      </c>
      <c r="AX122" s="76">
        <f t="shared" si="216"/>
        <v>1474910100</v>
      </c>
      <c r="AY122" s="76">
        <f t="shared" si="216"/>
        <v>1081600740.0000002</v>
      </c>
      <c r="AZ122" s="76">
        <f t="shared" si="216"/>
        <v>1189760814.0000002</v>
      </c>
      <c r="BA122" s="76">
        <f t="shared" si="216"/>
        <v>1308736895.4000003</v>
      </c>
      <c r="BB122" s="76">
        <f t="shared" si="216"/>
        <v>1439610584.9400005</v>
      </c>
    </row>
    <row r="123" spans="1:54" s="2" customFormat="1" ht="18.399999999999999" customHeight="1" x14ac:dyDescent="0.2">
      <c r="A123" s="58"/>
      <c r="B123" s="23"/>
      <c r="C123" s="47" t="s">
        <v>165</v>
      </c>
      <c r="D123" s="19">
        <f t="shared" ref="D123:BB123" si="217">D118+D122</f>
        <v>1460183034</v>
      </c>
      <c r="E123" s="19">
        <f t="shared" si="217"/>
        <v>943827524</v>
      </c>
      <c r="F123" s="19">
        <f t="shared" si="217"/>
        <v>540912180</v>
      </c>
      <c r="G123" s="19">
        <f t="shared" si="217"/>
        <v>1341741432</v>
      </c>
      <c r="H123" s="19">
        <f t="shared" si="217"/>
        <v>1046996452</v>
      </c>
      <c r="I123" s="19">
        <f t="shared" si="217"/>
        <v>319693320</v>
      </c>
      <c r="J123" s="19">
        <f t="shared" si="217"/>
        <v>1155649010</v>
      </c>
      <c r="K123" s="19">
        <f t="shared" si="217"/>
        <v>980824054</v>
      </c>
      <c r="L123" s="19">
        <f t="shared" si="217"/>
        <v>237967495</v>
      </c>
      <c r="M123" s="19">
        <f t="shared" si="217"/>
        <v>3957573476</v>
      </c>
      <c r="N123" s="19">
        <f t="shared" si="217"/>
        <v>2971648030</v>
      </c>
      <c r="O123" s="19">
        <f t="shared" si="217"/>
        <v>1299639780</v>
      </c>
      <c r="P123" s="19">
        <f t="shared" si="217"/>
        <v>1118325836</v>
      </c>
      <c r="Q123" s="19">
        <f t="shared" si="217"/>
        <v>186332026.00000006</v>
      </c>
      <c r="R123" s="19">
        <f t="shared" si="217"/>
        <v>1309042894</v>
      </c>
      <c r="S123" s="19">
        <f t="shared" si="217"/>
        <v>1091697681</v>
      </c>
      <c r="T123" s="19">
        <f t="shared" si="217"/>
        <v>224630455.00000006</v>
      </c>
      <c r="U123" s="19">
        <f t="shared" si="217"/>
        <v>1261365124.5</v>
      </c>
      <c r="V123" s="19">
        <f t="shared" si="217"/>
        <v>999116832</v>
      </c>
      <c r="W123" s="19">
        <f t="shared" si="217"/>
        <v>267897328.50000006</v>
      </c>
      <c r="X123" s="19">
        <f t="shared" si="217"/>
        <v>3870047798.5</v>
      </c>
      <c r="Y123" s="19">
        <f t="shared" si="217"/>
        <v>3209140349</v>
      </c>
      <c r="Z123" s="19">
        <f t="shared" si="217"/>
        <v>1249082468.4806933</v>
      </c>
      <c r="AA123" s="19">
        <f t="shared" si="217"/>
        <v>1206676002</v>
      </c>
      <c r="AB123" s="19">
        <f t="shared" si="217"/>
        <v>42406466.480693355</v>
      </c>
      <c r="AC123" s="19">
        <f t="shared" si="217"/>
        <v>2226455942.1956272</v>
      </c>
      <c r="AD123" s="19">
        <f t="shared" si="217"/>
        <v>1873682931.3899999</v>
      </c>
      <c r="AE123" s="19">
        <f t="shared" si="217"/>
        <v>457337010.80562735</v>
      </c>
      <c r="AF123" s="19">
        <f t="shared" si="217"/>
        <v>1109147753.2555239</v>
      </c>
      <c r="AG123" s="19">
        <f t="shared" si="217"/>
        <v>943980515.63999999</v>
      </c>
      <c r="AH123" s="19">
        <f t="shared" si="217"/>
        <v>165167237.61552393</v>
      </c>
      <c r="AI123" s="19">
        <f t="shared" si="217"/>
        <v>4584686163.9318447</v>
      </c>
      <c r="AJ123" s="19">
        <f t="shared" si="217"/>
        <v>4024339449.0300002</v>
      </c>
      <c r="AK123" s="19">
        <f t="shared" si="217"/>
        <v>1236843239.2555239</v>
      </c>
      <c r="AL123" s="19">
        <f t="shared" si="217"/>
        <v>0</v>
      </c>
      <c r="AM123" s="19">
        <f t="shared" si="217"/>
        <v>1236843239.2555239</v>
      </c>
      <c r="AN123" s="19">
        <f t="shared" si="217"/>
        <v>1333271353.2555239</v>
      </c>
      <c r="AO123" s="19">
        <f t="shared" si="217"/>
        <v>0</v>
      </c>
      <c r="AP123" s="19">
        <f t="shared" si="217"/>
        <v>1333271353.2555239</v>
      </c>
      <c r="AQ123" s="19">
        <f t="shared" si="217"/>
        <v>1693545317.1956272</v>
      </c>
      <c r="AR123" s="19">
        <f t="shared" si="217"/>
        <v>0</v>
      </c>
      <c r="AS123" s="19">
        <f t="shared" si="217"/>
        <v>1693545317.1956272</v>
      </c>
      <c r="AT123" s="19">
        <f t="shared" si="217"/>
        <v>0</v>
      </c>
      <c r="AU123" s="19">
        <f t="shared" si="217"/>
        <v>0</v>
      </c>
      <c r="AV123" s="19">
        <f t="shared" si="217"/>
        <v>16675967348.138521</v>
      </c>
      <c r="AW123" s="19">
        <f t="shared" si="217"/>
        <v>10205127828.029999</v>
      </c>
      <c r="AX123" s="19">
        <f t="shared" si="217"/>
        <v>14468787737.736677</v>
      </c>
      <c r="AY123" s="19">
        <f t="shared" si="217"/>
        <v>11225640610.833</v>
      </c>
      <c r="AZ123" s="19">
        <f t="shared" si="217"/>
        <v>12348204671.9163</v>
      </c>
      <c r="BA123" s="19">
        <f t="shared" si="217"/>
        <v>13583025139.107935</v>
      </c>
      <c r="BB123" s="19">
        <f t="shared" si="217"/>
        <v>14941327653.018728</v>
      </c>
    </row>
    <row r="124" spans="1:54" x14ac:dyDescent="0.2">
      <c r="A124" s="10"/>
      <c r="B124" s="77"/>
      <c r="C124" s="29"/>
      <c r="D124" s="30"/>
      <c r="E124" s="14"/>
      <c r="F124" s="30"/>
      <c r="G124" s="30"/>
      <c r="H124" s="30"/>
      <c r="I124" s="30"/>
      <c r="J124" s="30"/>
      <c r="K124" s="30"/>
      <c r="L124" s="30"/>
      <c r="M124" s="174">
        <f t="shared" ref="M124:N127" si="218">D124+G124+J124</f>
        <v>0</v>
      </c>
      <c r="N124" s="174">
        <f t="shared" si="218"/>
        <v>0</v>
      </c>
      <c r="O124" s="30"/>
      <c r="P124" s="30"/>
      <c r="Q124" s="30"/>
      <c r="R124" s="30"/>
      <c r="S124" s="30"/>
      <c r="T124" s="30"/>
      <c r="U124" s="30"/>
      <c r="V124" s="30"/>
      <c r="W124" s="30"/>
      <c r="X124" s="174">
        <f t="shared" ref="X124:Y127" si="219">O124+R124+U124</f>
        <v>0</v>
      </c>
      <c r="Y124" s="174">
        <f t="shared" si="219"/>
        <v>0</v>
      </c>
      <c r="Z124" s="30"/>
      <c r="AA124" s="30"/>
      <c r="AB124" s="30"/>
      <c r="AC124" s="30"/>
      <c r="AD124" s="30"/>
      <c r="AE124" s="30"/>
      <c r="AF124" s="30"/>
      <c r="AG124" s="30">
        <v>0</v>
      </c>
      <c r="AH124" s="14">
        <v>0</v>
      </c>
      <c r="AI124" s="174"/>
      <c r="AJ124" s="174">
        <f>AA124+AD124+AG124</f>
        <v>0</v>
      </c>
      <c r="AK124" s="30"/>
      <c r="AL124" s="30">
        <v>0</v>
      </c>
      <c r="AM124" s="14">
        <v>0</v>
      </c>
      <c r="AN124" s="30"/>
      <c r="AO124" s="30">
        <v>0</v>
      </c>
      <c r="AP124" s="14">
        <v>0</v>
      </c>
      <c r="AQ124" s="30"/>
      <c r="AR124" s="30">
        <v>0</v>
      </c>
      <c r="AS124" s="14">
        <v>0</v>
      </c>
      <c r="AT124" s="174"/>
      <c r="AU124" s="174">
        <f>AL124+AO124+AR124</f>
        <v>0</v>
      </c>
      <c r="AV124" s="14"/>
      <c r="AW124" s="14"/>
      <c r="AX124" s="178">
        <f>(AV124-M124-X124-AI124-AT124)+N124+Y124+AJ124+AU124</f>
        <v>0</v>
      </c>
      <c r="AY124" s="31"/>
      <c r="AZ124" s="31"/>
      <c r="BA124" s="31"/>
      <c r="BB124" s="31"/>
    </row>
    <row r="125" spans="1:54" s="62" customFormat="1" x14ac:dyDescent="0.2">
      <c r="A125" s="10"/>
      <c r="B125" s="11" t="s">
        <v>166</v>
      </c>
      <c r="C125" s="29" t="s">
        <v>167</v>
      </c>
      <c r="D125" s="14">
        <v>2000000</v>
      </c>
      <c r="E125" s="14">
        <v>2000000</v>
      </c>
      <c r="F125" s="14">
        <f>D125-E125</f>
        <v>0</v>
      </c>
      <c r="G125" s="14">
        <v>2000000</v>
      </c>
      <c r="H125" s="14">
        <v>2000000</v>
      </c>
      <c r="I125" s="14">
        <f>G125-H125</f>
        <v>0</v>
      </c>
      <c r="J125" s="14">
        <v>2000000</v>
      </c>
      <c r="K125" s="14">
        <v>2000000</v>
      </c>
      <c r="L125" s="14">
        <f>J125-K125</f>
        <v>0</v>
      </c>
      <c r="M125" s="174">
        <f t="shared" si="218"/>
        <v>6000000</v>
      </c>
      <c r="N125" s="174">
        <f t="shared" si="218"/>
        <v>6000000</v>
      </c>
      <c r="O125" s="14">
        <v>2000000</v>
      </c>
      <c r="P125" s="14">
        <v>2000000</v>
      </c>
      <c r="Q125" s="14">
        <f>O125-P125</f>
        <v>0</v>
      </c>
      <c r="R125" s="14">
        <v>2000000</v>
      </c>
      <c r="S125" s="13">
        <v>2000000</v>
      </c>
      <c r="T125" s="14">
        <f>R125-S125</f>
        <v>0</v>
      </c>
      <c r="U125" s="14">
        <v>2000000</v>
      </c>
      <c r="V125" s="14">
        <v>2000000</v>
      </c>
      <c r="W125" s="14">
        <f>U125-V125</f>
        <v>0</v>
      </c>
      <c r="X125" s="174">
        <f t="shared" si="219"/>
        <v>6000000</v>
      </c>
      <c r="Y125" s="174">
        <f t="shared" si="219"/>
        <v>6000000</v>
      </c>
      <c r="Z125" s="14">
        <v>2000000</v>
      </c>
      <c r="AA125" s="14"/>
      <c r="AB125" s="14">
        <f>Z125-AA125</f>
        <v>2000000</v>
      </c>
      <c r="AC125" s="14">
        <v>2000000</v>
      </c>
      <c r="AD125" s="14"/>
      <c r="AE125" s="14">
        <f>AC125-AD125</f>
        <v>2000000</v>
      </c>
      <c r="AF125" s="14">
        <v>2000000</v>
      </c>
      <c r="AG125" s="14"/>
      <c r="AH125" s="14">
        <f>AF125-AG125</f>
        <v>2000000</v>
      </c>
      <c r="AI125" s="174">
        <f>AF125+AC125+Z125</f>
        <v>6000000</v>
      </c>
      <c r="AJ125" s="174">
        <f>AA125+AD125+AG125</f>
        <v>0</v>
      </c>
      <c r="AK125" s="14">
        <v>2000000</v>
      </c>
      <c r="AL125" s="14"/>
      <c r="AM125" s="14">
        <f>AK125-AL125</f>
        <v>2000000</v>
      </c>
      <c r="AN125" s="14">
        <v>2000000</v>
      </c>
      <c r="AO125" s="14"/>
      <c r="AP125" s="14">
        <f>AN125-AO125</f>
        <v>2000000</v>
      </c>
      <c r="AQ125" s="14">
        <v>2000000</v>
      </c>
      <c r="AR125" s="14"/>
      <c r="AS125" s="14">
        <f>AQ125-AR125</f>
        <v>2000000</v>
      </c>
      <c r="AT125" s="174"/>
      <c r="AU125" s="174">
        <f>AL125+AO125+AR125</f>
        <v>0</v>
      </c>
      <c r="AV125" s="14">
        <f>AQ125+AN125+AK125++AF125+AC125+Z125+U125+R125+O125+J125+G125+D125</f>
        <v>24000000</v>
      </c>
      <c r="AW125" s="14">
        <f>AR125+AO125+AL125+AG125+AD125+AA125+V125+S125+P125+K125+H125+E125</f>
        <v>12000000</v>
      </c>
      <c r="AX125" s="178">
        <f>(AV125-M125-X125-AI125-AT125)+N125+Y125+AJ125+AU125</f>
        <v>18000000</v>
      </c>
      <c r="AY125" s="16">
        <f>AW125</f>
        <v>12000000</v>
      </c>
      <c r="AZ125" s="16">
        <f t="shared" ref="AZ125:BB127" si="220">AY125</f>
        <v>12000000</v>
      </c>
      <c r="BA125" s="16">
        <f t="shared" si="220"/>
        <v>12000000</v>
      </c>
      <c r="BB125" s="16">
        <f t="shared" si="220"/>
        <v>12000000</v>
      </c>
    </row>
    <row r="126" spans="1:54" s="62" customFormat="1" x14ac:dyDescent="0.2">
      <c r="A126" s="10"/>
      <c r="B126" s="11" t="s">
        <v>166</v>
      </c>
      <c r="C126" s="29" t="s">
        <v>219</v>
      </c>
      <c r="D126" s="14">
        <v>6750000</v>
      </c>
      <c r="E126" s="14">
        <v>6750000</v>
      </c>
      <c r="F126" s="14">
        <f>D126-E126</f>
        <v>0</v>
      </c>
      <c r="G126" s="14">
        <v>6750000</v>
      </c>
      <c r="H126" s="14">
        <v>6750000</v>
      </c>
      <c r="I126" s="14">
        <f>G126-H126</f>
        <v>0</v>
      </c>
      <c r="J126" s="14">
        <v>6750000</v>
      </c>
      <c r="K126" s="14">
        <v>6750000</v>
      </c>
      <c r="L126" s="14">
        <f>J126-K126</f>
        <v>0</v>
      </c>
      <c r="M126" s="174">
        <f t="shared" si="218"/>
        <v>20250000</v>
      </c>
      <c r="N126" s="174">
        <f t="shared" si="218"/>
        <v>20250000</v>
      </c>
      <c r="O126" s="14">
        <v>6750000</v>
      </c>
      <c r="P126" s="14">
        <v>6750000</v>
      </c>
      <c r="Q126" s="14">
        <f>O126-P126</f>
        <v>0</v>
      </c>
      <c r="R126" s="14">
        <v>6750000</v>
      </c>
      <c r="S126" s="13">
        <v>6750000</v>
      </c>
      <c r="T126" s="14">
        <f>R126-S126</f>
        <v>0</v>
      </c>
      <c r="U126" s="14">
        <v>6750000</v>
      </c>
      <c r="V126" s="14">
        <v>6750000</v>
      </c>
      <c r="W126" s="14">
        <f>U126-V126</f>
        <v>0</v>
      </c>
      <c r="X126" s="174">
        <f t="shared" si="219"/>
        <v>20250000</v>
      </c>
      <c r="Y126" s="174">
        <f t="shared" si="219"/>
        <v>20250000</v>
      </c>
      <c r="Z126" s="14">
        <v>6750000</v>
      </c>
      <c r="AA126" s="14"/>
      <c r="AB126" s="14">
        <f>Z126-AA126</f>
        <v>6750000</v>
      </c>
      <c r="AC126" s="14">
        <v>6750000</v>
      </c>
      <c r="AD126" s="14"/>
      <c r="AE126" s="14">
        <f>AC126-AD126</f>
        <v>6750000</v>
      </c>
      <c r="AF126" s="14">
        <v>6750000</v>
      </c>
      <c r="AG126" s="14"/>
      <c r="AH126" s="14">
        <f>AF126-AG126</f>
        <v>6750000</v>
      </c>
      <c r="AI126" s="174">
        <f>AF126+AC126+Z126</f>
        <v>20250000</v>
      </c>
      <c r="AJ126" s="174">
        <f>AA126+AD126+AG126</f>
        <v>0</v>
      </c>
      <c r="AK126" s="14">
        <v>6750000</v>
      </c>
      <c r="AL126" s="14"/>
      <c r="AM126" s="14">
        <f>AK126-AL126</f>
        <v>6750000</v>
      </c>
      <c r="AN126" s="14">
        <v>6750000</v>
      </c>
      <c r="AO126" s="14"/>
      <c r="AP126" s="14">
        <f>AN126-AO126</f>
        <v>6750000</v>
      </c>
      <c r="AQ126" s="14">
        <v>6750000</v>
      </c>
      <c r="AR126" s="14"/>
      <c r="AS126" s="14">
        <f>AQ126-AR126</f>
        <v>6750000</v>
      </c>
      <c r="AT126" s="174"/>
      <c r="AU126" s="174">
        <f>AL126+AO126+AR126</f>
        <v>0</v>
      </c>
      <c r="AV126" s="14">
        <f>AQ126+AN126+AK126++AF126+AC126+Z126+U126+R126+O126+J126+G126+D126</f>
        <v>81000000</v>
      </c>
      <c r="AW126" s="14">
        <f>AR126+AO126+AL126+AG126+AD126+AA126+V126+S126+P126+K126+H126+E126</f>
        <v>40500000</v>
      </c>
      <c r="AX126" s="178">
        <f>(AV126-M126-X126-AI126-AT126)+N126+Y126+AJ126+AU126</f>
        <v>60750000</v>
      </c>
      <c r="AY126" s="16">
        <f>AW126</f>
        <v>40500000</v>
      </c>
      <c r="AZ126" s="16">
        <f t="shared" si="220"/>
        <v>40500000</v>
      </c>
      <c r="BA126" s="16">
        <f t="shared" si="220"/>
        <v>40500000</v>
      </c>
      <c r="BB126" s="16">
        <f t="shared" si="220"/>
        <v>40500000</v>
      </c>
    </row>
    <row r="127" spans="1:54" s="62" customFormat="1" x14ac:dyDescent="0.2">
      <c r="A127" s="10"/>
      <c r="B127" s="11" t="s">
        <v>166</v>
      </c>
      <c r="C127" s="29" t="s">
        <v>220</v>
      </c>
      <c r="D127" s="14">
        <v>900000</v>
      </c>
      <c r="E127" s="14">
        <v>900000</v>
      </c>
      <c r="F127" s="14">
        <f>D127-E127</f>
        <v>0</v>
      </c>
      <c r="G127" s="14">
        <v>900000</v>
      </c>
      <c r="H127" s="14">
        <v>900000</v>
      </c>
      <c r="I127" s="14">
        <f>G127-H127</f>
        <v>0</v>
      </c>
      <c r="J127" s="14">
        <v>900000</v>
      </c>
      <c r="K127" s="14">
        <v>900000</v>
      </c>
      <c r="L127" s="14">
        <f>J127-K127</f>
        <v>0</v>
      </c>
      <c r="M127" s="174">
        <f t="shared" si="218"/>
        <v>2700000</v>
      </c>
      <c r="N127" s="174">
        <f t="shared" si="218"/>
        <v>2700000</v>
      </c>
      <c r="O127" s="14">
        <v>900000</v>
      </c>
      <c r="P127" s="14">
        <v>900000</v>
      </c>
      <c r="Q127" s="14">
        <f>O127-P127</f>
        <v>0</v>
      </c>
      <c r="R127" s="14">
        <v>900000</v>
      </c>
      <c r="S127" s="13">
        <v>900000</v>
      </c>
      <c r="T127" s="14">
        <f>R127-S127</f>
        <v>0</v>
      </c>
      <c r="U127" s="14">
        <v>900000</v>
      </c>
      <c r="V127" s="14">
        <v>900000</v>
      </c>
      <c r="W127" s="14">
        <f>U127-V127</f>
        <v>0</v>
      </c>
      <c r="X127" s="174">
        <f t="shared" si="219"/>
        <v>2700000</v>
      </c>
      <c r="Y127" s="174">
        <f t="shared" si="219"/>
        <v>2700000</v>
      </c>
      <c r="Z127" s="14">
        <v>900000</v>
      </c>
      <c r="AA127" s="14"/>
      <c r="AB127" s="14">
        <f>Z127-AA127</f>
        <v>900000</v>
      </c>
      <c r="AC127" s="14">
        <v>900000</v>
      </c>
      <c r="AD127" s="14"/>
      <c r="AE127" s="14">
        <f>AC127-AD127</f>
        <v>900000</v>
      </c>
      <c r="AF127" s="14">
        <v>900000</v>
      </c>
      <c r="AG127" s="14"/>
      <c r="AH127" s="14">
        <f>AF127-AG127</f>
        <v>900000</v>
      </c>
      <c r="AI127" s="174">
        <f>AF127+AC127+Z127</f>
        <v>2700000</v>
      </c>
      <c r="AJ127" s="174">
        <f>AA127+AD127+AG127</f>
        <v>0</v>
      </c>
      <c r="AK127" s="14">
        <v>900000</v>
      </c>
      <c r="AL127" s="14"/>
      <c r="AM127" s="14">
        <f>AK127-AL127</f>
        <v>900000</v>
      </c>
      <c r="AN127" s="14">
        <v>900000</v>
      </c>
      <c r="AO127" s="14"/>
      <c r="AP127" s="14">
        <f>AN127-AO127</f>
        <v>900000</v>
      </c>
      <c r="AQ127" s="14">
        <v>900000</v>
      </c>
      <c r="AR127" s="14"/>
      <c r="AS127" s="14">
        <f>AQ127-AR127</f>
        <v>900000</v>
      </c>
      <c r="AT127" s="174"/>
      <c r="AU127" s="174">
        <f>AL127+AO127+AR127</f>
        <v>0</v>
      </c>
      <c r="AV127" s="14">
        <f>AQ127+AN127+AK127++AF127+AC127+Z127+U127+R127+O127+J127+G127+D127</f>
        <v>10800000</v>
      </c>
      <c r="AW127" s="14">
        <f>AR127+AO127+AL127+AG127+AD127+AA127+V127+S127+P127+K127+H127+E127</f>
        <v>5400000</v>
      </c>
      <c r="AX127" s="178">
        <f>(AV127-M127-X127-AI127-AT127)+N127+Y127+AJ127+AU127</f>
        <v>8100000</v>
      </c>
      <c r="AY127" s="16">
        <f>AW127</f>
        <v>5400000</v>
      </c>
      <c r="AZ127" s="16">
        <f t="shared" si="220"/>
        <v>5400000</v>
      </c>
      <c r="BA127" s="16">
        <f t="shared" si="220"/>
        <v>5400000</v>
      </c>
      <c r="BB127" s="16">
        <f t="shared" si="220"/>
        <v>5400000</v>
      </c>
    </row>
    <row r="128" spans="1:54" s="2" customFormat="1" x14ac:dyDescent="0.2">
      <c r="A128" s="58"/>
      <c r="B128" s="81"/>
      <c r="C128" s="82" t="s">
        <v>170</v>
      </c>
      <c r="D128" s="83">
        <f t="shared" ref="D128:BB128" si="221">SUM(D125:D127)</f>
        <v>9650000</v>
      </c>
      <c r="E128" s="83">
        <f t="shared" si="221"/>
        <v>9650000</v>
      </c>
      <c r="F128" s="83">
        <f t="shared" si="221"/>
        <v>0</v>
      </c>
      <c r="G128" s="83">
        <f t="shared" si="221"/>
        <v>9650000</v>
      </c>
      <c r="H128" s="83">
        <f t="shared" si="221"/>
        <v>9650000</v>
      </c>
      <c r="I128" s="83">
        <f t="shared" si="221"/>
        <v>0</v>
      </c>
      <c r="J128" s="83">
        <f t="shared" si="221"/>
        <v>9650000</v>
      </c>
      <c r="K128" s="83">
        <f t="shared" si="221"/>
        <v>9650000</v>
      </c>
      <c r="L128" s="83">
        <f t="shared" si="221"/>
        <v>0</v>
      </c>
      <c r="M128" s="83">
        <f t="shared" si="221"/>
        <v>28950000</v>
      </c>
      <c r="N128" s="83">
        <f t="shared" si="221"/>
        <v>28950000</v>
      </c>
      <c r="O128" s="83">
        <f t="shared" si="221"/>
        <v>9650000</v>
      </c>
      <c r="P128" s="83">
        <f t="shared" si="221"/>
        <v>9650000</v>
      </c>
      <c r="Q128" s="83">
        <f t="shared" si="221"/>
        <v>0</v>
      </c>
      <c r="R128" s="83">
        <f t="shared" si="221"/>
        <v>9650000</v>
      </c>
      <c r="S128" s="83">
        <f t="shared" si="221"/>
        <v>9650000</v>
      </c>
      <c r="T128" s="83">
        <f t="shared" si="221"/>
        <v>0</v>
      </c>
      <c r="U128" s="83">
        <f t="shared" si="221"/>
        <v>9650000</v>
      </c>
      <c r="V128" s="83">
        <f t="shared" si="221"/>
        <v>9650000</v>
      </c>
      <c r="W128" s="83">
        <f t="shared" si="221"/>
        <v>0</v>
      </c>
      <c r="X128" s="83">
        <f t="shared" si="221"/>
        <v>28950000</v>
      </c>
      <c r="Y128" s="83">
        <f t="shared" si="221"/>
        <v>28950000</v>
      </c>
      <c r="Z128" s="83">
        <f t="shared" si="221"/>
        <v>9650000</v>
      </c>
      <c r="AA128" s="83">
        <f t="shared" si="221"/>
        <v>0</v>
      </c>
      <c r="AB128" s="83">
        <f t="shared" si="221"/>
        <v>9650000</v>
      </c>
      <c r="AC128" s="83">
        <f t="shared" si="221"/>
        <v>9650000</v>
      </c>
      <c r="AD128" s="83">
        <f t="shared" si="221"/>
        <v>0</v>
      </c>
      <c r="AE128" s="83">
        <f t="shared" si="221"/>
        <v>9650000</v>
      </c>
      <c r="AF128" s="83">
        <f t="shared" si="221"/>
        <v>9650000</v>
      </c>
      <c r="AG128" s="83">
        <f t="shared" si="221"/>
        <v>0</v>
      </c>
      <c r="AH128" s="83">
        <f t="shared" si="221"/>
        <v>9650000</v>
      </c>
      <c r="AI128" s="83">
        <f t="shared" si="221"/>
        <v>28950000</v>
      </c>
      <c r="AJ128" s="83">
        <f t="shared" si="221"/>
        <v>0</v>
      </c>
      <c r="AK128" s="83">
        <f t="shared" si="221"/>
        <v>9650000</v>
      </c>
      <c r="AL128" s="83">
        <f t="shared" si="221"/>
        <v>0</v>
      </c>
      <c r="AM128" s="83">
        <f t="shared" si="221"/>
        <v>9650000</v>
      </c>
      <c r="AN128" s="83">
        <f t="shared" si="221"/>
        <v>9650000</v>
      </c>
      <c r="AO128" s="83">
        <f t="shared" si="221"/>
        <v>0</v>
      </c>
      <c r="AP128" s="83">
        <f t="shared" si="221"/>
        <v>9650000</v>
      </c>
      <c r="AQ128" s="83">
        <f t="shared" si="221"/>
        <v>9650000</v>
      </c>
      <c r="AR128" s="83">
        <f t="shared" si="221"/>
        <v>0</v>
      </c>
      <c r="AS128" s="83">
        <f t="shared" si="221"/>
        <v>9650000</v>
      </c>
      <c r="AT128" s="83">
        <f t="shared" si="221"/>
        <v>0</v>
      </c>
      <c r="AU128" s="83">
        <f t="shared" si="221"/>
        <v>0</v>
      </c>
      <c r="AV128" s="83">
        <f t="shared" si="221"/>
        <v>115800000</v>
      </c>
      <c r="AW128" s="83">
        <f t="shared" si="221"/>
        <v>57900000</v>
      </c>
      <c r="AX128" s="83">
        <f t="shared" si="221"/>
        <v>86850000</v>
      </c>
      <c r="AY128" s="83">
        <f t="shared" si="221"/>
        <v>57900000</v>
      </c>
      <c r="AZ128" s="83">
        <f t="shared" si="221"/>
        <v>57900000</v>
      </c>
      <c r="BA128" s="83">
        <f t="shared" si="221"/>
        <v>57900000</v>
      </c>
      <c r="BB128" s="83">
        <f t="shared" si="221"/>
        <v>57900000</v>
      </c>
    </row>
    <row r="129" spans="1:54" x14ac:dyDescent="0.2">
      <c r="A129" s="10"/>
      <c r="B129" s="28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174">
        <f>D129+G129+J129</f>
        <v>0</v>
      </c>
      <c r="N129" s="174">
        <f>E129+H129+K129</f>
        <v>0</v>
      </c>
      <c r="O129" s="30"/>
      <c r="P129" s="30"/>
      <c r="Q129" s="30"/>
      <c r="R129" s="30"/>
      <c r="S129" s="30"/>
      <c r="T129" s="30"/>
      <c r="U129" s="30"/>
      <c r="V129" s="30"/>
      <c r="W129" s="30"/>
      <c r="X129" s="174">
        <f>O129+R129+U129</f>
        <v>0</v>
      </c>
      <c r="Y129" s="174">
        <f>P129+S129+V129</f>
        <v>0</v>
      </c>
      <c r="Z129" s="30"/>
      <c r="AA129" s="30"/>
      <c r="AB129" s="30"/>
      <c r="AC129" s="30"/>
      <c r="AD129" s="30"/>
      <c r="AE129" s="30"/>
      <c r="AF129" s="30"/>
      <c r="AG129" s="30"/>
      <c r="AH129" s="30"/>
      <c r="AI129" s="174">
        <f>Z129+AC129+AF129</f>
        <v>0</v>
      </c>
      <c r="AJ129" s="174">
        <f>AA129+AD129+AG129</f>
        <v>0</v>
      </c>
      <c r="AK129" s="30"/>
      <c r="AL129" s="30"/>
      <c r="AM129" s="30"/>
      <c r="AN129" s="30"/>
      <c r="AO129" s="30"/>
      <c r="AP129" s="30"/>
      <c r="AQ129" s="30"/>
      <c r="AR129" s="30"/>
      <c r="AS129" s="30"/>
      <c r="AT129" s="174">
        <f>AK129+AN129+AQ129</f>
        <v>0</v>
      </c>
      <c r="AU129" s="174">
        <f>AL129+AO129+AR129</f>
        <v>0</v>
      </c>
      <c r="AV129" s="30"/>
      <c r="AW129" s="14"/>
      <c r="AX129" s="178">
        <f>(AV129-M129-X129-AI129-AT129)+N129+Y129+AJ129+AU129</f>
        <v>0</v>
      </c>
      <c r="AY129" s="31"/>
      <c r="AZ129" s="31"/>
      <c r="BA129" s="31"/>
      <c r="BB129" s="31"/>
    </row>
    <row r="130" spans="1:54" s="2" customFormat="1" x14ac:dyDescent="0.2">
      <c r="A130" s="32"/>
      <c r="B130" s="33"/>
      <c r="C130" s="34" t="s">
        <v>24</v>
      </c>
      <c r="D130" s="103">
        <f t="shared" ref="D130:BB130" si="222">D123-D128</f>
        <v>1450533034</v>
      </c>
      <c r="E130" s="103">
        <f t="shared" si="222"/>
        <v>934177524</v>
      </c>
      <c r="F130" s="103">
        <f t="shared" si="222"/>
        <v>540912180</v>
      </c>
      <c r="G130" s="103">
        <f t="shared" si="222"/>
        <v>1332091432</v>
      </c>
      <c r="H130" s="103">
        <f t="shared" si="222"/>
        <v>1037346452</v>
      </c>
      <c r="I130" s="103">
        <f t="shared" si="222"/>
        <v>319693320</v>
      </c>
      <c r="J130" s="103">
        <f t="shared" si="222"/>
        <v>1145999010</v>
      </c>
      <c r="K130" s="103">
        <f t="shared" si="222"/>
        <v>971174054</v>
      </c>
      <c r="L130" s="103">
        <f t="shared" si="222"/>
        <v>237967495</v>
      </c>
      <c r="M130" s="35">
        <f t="shared" si="222"/>
        <v>3928623476</v>
      </c>
      <c r="N130" s="35">
        <f t="shared" si="222"/>
        <v>2942698030</v>
      </c>
      <c r="O130" s="103">
        <f t="shared" si="222"/>
        <v>1289989780</v>
      </c>
      <c r="P130" s="103">
        <f t="shared" si="222"/>
        <v>1108675836</v>
      </c>
      <c r="Q130" s="103">
        <f t="shared" si="222"/>
        <v>186332026.00000006</v>
      </c>
      <c r="R130" s="103">
        <f t="shared" si="222"/>
        <v>1299392894</v>
      </c>
      <c r="S130" s="103">
        <f t="shared" si="222"/>
        <v>1082047681</v>
      </c>
      <c r="T130" s="103">
        <f t="shared" si="222"/>
        <v>224630455.00000006</v>
      </c>
      <c r="U130" s="103">
        <f t="shared" si="222"/>
        <v>1251715124.5</v>
      </c>
      <c r="V130" s="103">
        <f t="shared" si="222"/>
        <v>989466832</v>
      </c>
      <c r="W130" s="103">
        <f t="shared" si="222"/>
        <v>267897328.50000006</v>
      </c>
      <c r="X130" s="35">
        <f t="shared" si="222"/>
        <v>3841097798.5</v>
      </c>
      <c r="Y130" s="35">
        <f t="shared" si="222"/>
        <v>3180190349</v>
      </c>
      <c r="Z130" s="103">
        <f t="shared" si="222"/>
        <v>1239432468.4806933</v>
      </c>
      <c r="AA130" s="103">
        <f t="shared" si="222"/>
        <v>1206676002</v>
      </c>
      <c r="AB130" s="103">
        <f t="shared" si="222"/>
        <v>32756466.480693355</v>
      </c>
      <c r="AC130" s="103">
        <f t="shared" si="222"/>
        <v>2216805942.1956272</v>
      </c>
      <c r="AD130" s="103">
        <f t="shared" si="222"/>
        <v>1873682931.3899999</v>
      </c>
      <c r="AE130" s="103">
        <f t="shared" si="222"/>
        <v>447687010.80562735</v>
      </c>
      <c r="AF130" s="103">
        <f t="shared" si="222"/>
        <v>1099497753.2555239</v>
      </c>
      <c r="AG130" s="103">
        <f t="shared" si="222"/>
        <v>943980515.63999999</v>
      </c>
      <c r="AH130" s="103">
        <f t="shared" si="222"/>
        <v>155517237.61552393</v>
      </c>
      <c r="AI130" s="35">
        <f t="shared" si="222"/>
        <v>4555736163.9318447</v>
      </c>
      <c r="AJ130" s="35">
        <f t="shared" si="222"/>
        <v>4024339449.0300002</v>
      </c>
      <c r="AK130" s="103">
        <f t="shared" si="222"/>
        <v>1227193239.2555239</v>
      </c>
      <c r="AL130" s="103">
        <f t="shared" si="222"/>
        <v>0</v>
      </c>
      <c r="AM130" s="103">
        <f t="shared" si="222"/>
        <v>1227193239.2555239</v>
      </c>
      <c r="AN130" s="103">
        <f t="shared" si="222"/>
        <v>1323621353.2555239</v>
      </c>
      <c r="AO130" s="103">
        <f t="shared" si="222"/>
        <v>0</v>
      </c>
      <c r="AP130" s="103">
        <f t="shared" si="222"/>
        <v>1323621353.2555239</v>
      </c>
      <c r="AQ130" s="103">
        <f t="shared" si="222"/>
        <v>1683895317.1956272</v>
      </c>
      <c r="AR130" s="103">
        <f t="shared" si="222"/>
        <v>0</v>
      </c>
      <c r="AS130" s="103">
        <f t="shared" si="222"/>
        <v>1683895317.1956272</v>
      </c>
      <c r="AT130" s="35">
        <f t="shared" si="222"/>
        <v>0</v>
      </c>
      <c r="AU130" s="35">
        <f t="shared" si="222"/>
        <v>0</v>
      </c>
      <c r="AV130" s="103">
        <f t="shared" si="222"/>
        <v>16560167348.138521</v>
      </c>
      <c r="AW130" s="103">
        <f t="shared" si="222"/>
        <v>10147227828.029999</v>
      </c>
      <c r="AX130" s="207">
        <f t="shared" si="222"/>
        <v>14381937737.736677</v>
      </c>
      <c r="AY130" s="103">
        <f t="shared" si="222"/>
        <v>11167740610.833</v>
      </c>
      <c r="AZ130" s="103">
        <f t="shared" si="222"/>
        <v>12290304671.9163</v>
      </c>
      <c r="BA130" s="103">
        <f t="shared" si="222"/>
        <v>13525125139.107935</v>
      </c>
      <c r="BB130" s="103">
        <f t="shared" si="222"/>
        <v>14883427653.018728</v>
      </c>
    </row>
    <row r="131" spans="1:54" x14ac:dyDescent="0.2">
      <c r="M131" s="174">
        <f>D131+G131+J131</f>
        <v>0</v>
      </c>
      <c r="N131" s="174">
        <f>E131+H131+K131</f>
        <v>0</v>
      </c>
      <c r="X131" s="174">
        <f>O131+R131+U131</f>
        <v>0</v>
      </c>
      <c r="Y131" s="174">
        <f>P131+S131+V131</f>
        <v>0</v>
      </c>
      <c r="AI131" s="174">
        <f>Z131+AC131+AF131</f>
        <v>0</v>
      </c>
      <c r="AJ131" s="174">
        <f>AA131+AD131+AG131</f>
        <v>0</v>
      </c>
      <c r="AT131" s="174">
        <f>AK131+AN131+AQ131</f>
        <v>0</v>
      </c>
      <c r="AU131" s="174">
        <f>AL131+AO131+AR131</f>
        <v>0</v>
      </c>
      <c r="AX131" s="178">
        <f>(AV131-M131-X131-AI131-AT131)+N131+Y131+AJ131+AU131</f>
        <v>0</v>
      </c>
    </row>
    <row r="132" spans="1:54" ht="18.399999999999999" customHeight="1" x14ac:dyDescent="0.2">
      <c r="A132" s="84">
        <v>23</v>
      </c>
      <c r="B132" s="85" t="s">
        <v>171</v>
      </c>
      <c r="C132" s="86" t="s">
        <v>172</v>
      </c>
      <c r="D132" s="87">
        <v>12000000</v>
      </c>
      <c r="E132" s="191">
        <f>2604000+1786423+831935+3392762+2592945</f>
        <v>11208065</v>
      </c>
      <c r="F132" s="87">
        <f>D132-E132</f>
        <v>791935</v>
      </c>
      <c r="G132" s="87">
        <v>12000000</v>
      </c>
      <c r="H132" s="191">
        <f>2436000+1671170+778261+3173874+2425658</f>
        <v>10484963</v>
      </c>
      <c r="I132" s="87">
        <f>G132-H132</f>
        <v>1515037</v>
      </c>
      <c r="J132" s="87">
        <v>12000000</v>
      </c>
      <c r="K132" s="191">
        <f>2604000+1786423+831935+3392762+2592945</f>
        <v>11208065</v>
      </c>
      <c r="L132" s="87">
        <f>J132-K132</f>
        <v>791935</v>
      </c>
      <c r="M132" s="192">
        <f>D132+G132+J132</f>
        <v>36000000</v>
      </c>
      <c r="N132" s="192">
        <f>E132+H132+K132</f>
        <v>32901093</v>
      </c>
      <c r="O132" s="87">
        <v>12000000</v>
      </c>
      <c r="P132" s="191">
        <v>10846515</v>
      </c>
      <c r="Q132" s="87">
        <f>O132-P132</f>
        <v>1153485</v>
      </c>
      <c r="R132" s="87">
        <v>12000000</v>
      </c>
      <c r="S132" s="193">
        <v>11208065</v>
      </c>
      <c r="T132" s="87">
        <f>R132-S132</f>
        <v>791935</v>
      </c>
      <c r="U132" s="87">
        <v>12000000</v>
      </c>
      <c r="V132" s="191">
        <f>2520000+1728796+805098+2509301+547219</f>
        <v>8110414</v>
      </c>
      <c r="W132" s="87">
        <f>U132-V132</f>
        <v>3889586</v>
      </c>
      <c r="X132" s="174">
        <f>O132+R132+U132</f>
        <v>36000000</v>
      </c>
      <c r="Y132" s="174">
        <f>P132+S132+V132</f>
        <v>30164994</v>
      </c>
      <c r="Z132" s="87">
        <v>12000000</v>
      </c>
      <c r="AA132" s="191"/>
      <c r="AB132" s="87">
        <f>Z132-AA132</f>
        <v>12000000</v>
      </c>
      <c r="AC132" s="87">
        <v>12000000</v>
      </c>
      <c r="AD132" s="191"/>
      <c r="AE132" s="87">
        <f>AC132-AD132</f>
        <v>12000000</v>
      </c>
      <c r="AF132" s="87">
        <v>12000000</v>
      </c>
      <c r="AG132" s="191"/>
      <c r="AH132" s="87">
        <f>AF132-AG132</f>
        <v>12000000</v>
      </c>
      <c r="AI132" s="192"/>
      <c r="AJ132" s="192">
        <f>AA132+AD132+AG132</f>
        <v>0</v>
      </c>
      <c r="AK132" s="87">
        <v>12000000</v>
      </c>
      <c r="AL132" s="191"/>
      <c r="AM132" s="87">
        <f>AK132-AL132</f>
        <v>12000000</v>
      </c>
      <c r="AN132" s="87">
        <v>12000000</v>
      </c>
      <c r="AO132" s="191"/>
      <c r="AP132" s="87">
        <f>AN132-AO132</f>
        <v>12000000</v>
      </c>
      <c r="AQ132" s="87">
        <v>12000000</v>
      </c>
      <c r="AR132" s="191"/>
      <c r="AS132" s="87">
        <f>AQ132-AR132</f>
        <v>12000000</v>
      </c>
      <c r="AT132" s="192"/>
      <c r="AU132" s="192"/>
      <c r="AV132" s="87">
        <f>AQ132+AN132+AK132++AF132+AC132+Z132+U132+R132+O132+J132+G132+D132</f>
        <v>144000000</v>
      </c>
      <c r="AW132" s="87">
        <f>AR132+AO132+AL132++AG132+AD132+AA132+V132+S132+P132+K132+H132+E132</f>
        <v>63066087</v>
      </c>
      <c r="AX132" s="208">
        <f>(AV132-M132-X132-AI132-AT132)+N132+Y132+AJ132+AU132</f>
        <v>135066087</v>
      </c>
      <c r="AY132" s="16">
        <f>AW132*1.1</f>
        <v>69372695.700000003</v>
      </c>
      <c r="AZ132" s="16">
        <f>AY132*1.1</f>
        <v>76309965.270000011</v>
      </c>
      <c r="BA132" s="16">
        <f>AZ132*1.1</f>
        <v>83940961.797000021</v>
      </c>
      <c r="BB132" s="16">
        <f>BA132*1.1</f>
        <v>92335057.976700038</v>
      </c>
    </row>
    <row r="134" spans="1:54" s="89" customFormat="1" x14ac:dyDescent="0.2">
      <c r="D134" s="90" t="s">
        <v>173</v>
      </c>
      <c r="E134" s="90"/>
      <c r="F134" s="90"/>
      <c r="G134" s="90" t="s">
        <v>174</v>
      </c>
      <c r="H134" s="90"/>
      <c r="I134" s="90"/>
      <c r="J134" s="90" t="s">
        <v>175</v>
      </c>
      <c r="K134" s="90"/>
      <c r="L134" s="90"/>
      <c r="M134" s="194" t="s">
        <v>309</v>
      </c>
      <c r="N134" s="194" t="s">
        <v>300</v>
      </c>
      <c r="O134" s="91" t="s">
        <v>176</v>
      </c>
      <c r="P134" s="91"/>
      <c r="Q134" s="91"/>
      <c r="R134" s="91" t="s">
        <v>177</v>
      </c>
      <c r="S134" s="91"/>
      <c r="T134" s="91"/>
      <c r="U134" s="91" t="s">
        <v>178</v>
      </c>
      <c r="V134" s="91"/>
      <c r="W134" s="91"/>
      <c r="X134" s="194" t="s">
        <v>309</v>
      </c>
      <c r="Y134" s="194" t="s">
        <v>300</v>
      </c>
      <c r="Z134" s="91" t="s">
        <v>179</v>
      </c>
      <c r="AA134" s="91"/>
      <c r="AB134" s="91"/>
      <c r="AC134" s="91" t="s">
        <v>180</v>
      </c>
      <c r="AD134" s="91"/>
      <c r="AE134" s="91"/>
      <c r="AF134" s="91" t="s">
        <v>181</v>
      </c>
      <c r="AG134" s="91"/>
      <c r="AH134" s="91"/>
      <c r="AI134" s="91"/>
      <c r="AJ134" s="91"/>
      <c r="AK134" s="91" t="s">
        <v>182</v>
      </c>
      <c r="AL134" s="91"/>
      <c r="AM134" s="91"/>
      <c r="AN134" s="91" t="s">
        <v>183</v>
      </c>
      <c r="AO134" s="91"/>
      <c r="AP134" s="91"/>
      <c r="AQ134" s="91" t="s">
        <v>184</v>
      </c>
      <c r="AR134" s="91"/>
      <c r="AS134" s="91"/>
      <c r="AT134" s="91"/>
      <c r="AU134" s="91"/>
      <c r="AV134" s="91" t="s">
        <v>18</v>
      </c>
      <c r="AW134" s="90" t="s">
        <v>18</v>
      </c>
      <c r="AX134" s="90" t="s">
        <v>19</v>
      </c>
      <c r="AY134" s="90"/>
      <c r="AZ134" s="92"/>
      <c r="BA134" s="92"/>
      <c r="BB134" s="92"/>
    </row>
    <row r="135" spans="1:54" x14ac:dyDescent="0.2">
      <c r="B135" s="104"/>
      <c r="C135" s="89"/>
      <c r="D135" s="91" t="s">
        <v>8</v>
      </c>
      <c r="E135" s="91" t="s">
        <v>300</v>
      </c>
      <c r="F135" s="91" t="s">
        <v>310</v>
      </c>
      <c r="G135" s="91" t="s">
        <v>8</v>
      </c>
      <c r="H135" s="91" t="s">
        <v>300</v>
      </c>
      <c r="I135" s="91" t="s">
        <v>310</v>
      </c>
      <c r="J135" s="91" t="s">
        <v>8</v>
      </c>
      <c r="K135" s="91" t="s">
        <v>300</v>
      </c>
      <c r="L135" s="91" t="s">
        <v>310</v>
      </c>
      <c r="M135" s="194" t="s">
        <v>304</v>
      </c>
      <c r="N135" s="194" t="s">
        <v>304</v>
      </c>
      <c r="O135" s="91" t="s">
        <v>8</v>
      </c>
      <c r="P135" s="91" t="s">
        <v>300</v>
      </c>
      <c r="Q135" s="91" t="s">
        <v>310</v>
      </c>
      <c r="R135" s="91" t="s">
        <v>8</v>
      </c>
      <c r="S135" s="91" t="s">
        <v>300</v>
      </c>
      <c r="T135" s="91" t="s">
        <v>310</v>
      </c>
      <c r="U135" s="91" t="s">
        <v>8</v>
      </c>
      <c r="V135" s="91" t="s">
        <v>300</v>
      </c>
      <c r="W135" s="91" t="s">
        <v>310</v>
      </c>
      <c r="X135" s="194" t="s">
        <v>305</v>
      </c>
      <c r="Y135" s="194" t="s">
        <v>305</v>
      </c>
      <c r="Z135" s="91" t="s">
        <v>8</v>
      </c>
      <c r="AA135" s="91" t="s">
        <v>300</v>
      </c>
      <c r="AB135" s="91" t="s">
        <v>310</v>
      </c>
      <c r="AC135" s="91" t="s">
        <v>8</v>
      </c>
      <c r="AD135" s="91" t="s">
        <v>300</v>
      </c>
      <c r="AE135" s="91" t="s">
        <v>310</v>
      </c>
      <c r="AF135" s="91" t="s">
        <v>8</v>
      </c>
      <c r="AG135" s="91" t="s">
        <v>300</v>
      </c>
      <c r="AH135" s="91" t="s">
        <v>310</v>
      </c>
      <c r="AI135" s="91"/>
      <c r="AJ135" s="91"/>
      <c r="AK135" s="91" t="s">
        <v>8</v>
      </c>
      <c r="AL135" s="91" t="s">
        <v>300</v>
      </c>
      <c r="AM135" s="91" t="s">
        <v>310</v>
      </c>
      <c r="AN135" s="91" t="s">
        <v>8</v>
      </c>
      <c r="AO135" s="91" t="s">
        <v>300</v>
      </c>
      <c r="AP135" s="91" t="s">
        <v>310</v>
      </c>
      <c r="AQ135" s="91" t="s">
        <v>8</v>
      </c>
      <c r="AR135" s="91" t="s">
        <v>300</v>
      </c>
      <c r="AS135" s="91" t="s">
        <v>310</v>
      </c>
      <c r="AT135" s="91"/>
      <c r="AU135" s="91"/>
      <c r="AV135" s="91" t="s">
        <v>8</v>
      </c>
      <c r="AW135" s="91" t="s">
        <v>300</v>
      </c>
      <c r="AX135" s="91">
        <v>2012</v>
      </c>
      <c r="AY135" s="91" t="s">
        <v>310</v>
      </c>
    </row>
    <row r="136" spans="1:54" x14ac:dyDescent="0.2">
      <c r="A136">
        <v>1</v>
      </c>
      <c r="B136" s="70" t="s">
        <v>185</v>
      </c>
      <c r="C136" s="1"/>
      <c r="D136" s="15">
        <f t="shared" ref="D136:L136" si="223">D41+D42+D43+D74+D75+D80</f>
        <v>39250000</v>
      </c>
      <c r="E136" s="15">
        <f t="shared" si="223"/>
        <v>2500000</v>
      </c>
      <c r="F136" s="15">
        <f t="shared" si="223"/>
        <v>36750000</v>
      </c>
      <c r="G136" s="15">
        <f t="shared" si="223"/>
        <v>7250000</v>
      </c>
      <c r="H136" s="15">
        <f t="shared" si="223"/>
        <v>0</v>
      </c>
      <c r="I136" s="15">
        <f t="shared" si="223"/>
        <v>7250000</v>
      </c>
      <c r="J136" s="15">
        <f t="shared" si="223"/>
        <v>1250000</v>
      </c>
      <c r="K136" s="15">
        <f t="shared" si="223"/>
        <v>0</v>
      </c>
      <c r="L136" s="15">
        <f t="shared" si="223"/>
        <v>1250000</v>
      </c>
      <c r="M136" s="195">
        <f t="shared" ref="M136:N177" si="224">D136+G136+J136</f>
        <v>47750000</v>
      </c>
      <c r="N136" s="195">
        <f t="shared" si="224"/>
        <v>2500000</v>
      </c>
      <c r="O136" s="15">
        <f t="shared" ref="O136:W136" si="225">O41+O42+O43+O74+O75+O80</f>
        <v>51850000</v>
      </c>
      <c r="P136" s="15">
        <f t="shared" si="225"/>
        <v>0</v>
      </c>
      <c r="Q136" s="15">
        <f t="shared" si="225"/>
        <v>51850000</v>
      </c>
      <c r="R136" s="15">
        <f t="shared" si="225"/>
        <v>7250000</v>
      </c>
      <c r="S136" s="15">
        <f t="shared" si="225"/>
        <v>2500000</v>
      </c>
      <c r="T136" s="15">
        <f t="shared" si="225"/>
        <v>4750000</v>
      </c>
      <c r="U136" s="15">
        <f t="shared" si="225"/>
        <v>51250000</v>
      </c>
      <c r="V136" s="15">
        <f t="shared" si="225"/>
        <v>0</v>
      </c>
      <c r="W136" s="15">
        <f t="shared" si="225"/>
        <v>51250000</v>
      </c>
      <c r="X136" s="195">
        <f t="shared" ref="X136:Y177" si="226">O136+R136+U136</f>
        <v>110350000</v>
      </c>
      <c r="Y136" s="195">
        <f t="shared" si="226"/>
        <v>2500000</v>
      </c>
      <c r="Z136" s="15">
        <f t="shared" ref="Z136:AH136" si="227">Z41+Z42+Z43+Z74+Z75+Z80</f>
        <v>1250000</v>
      </c>
      <c r="AA136" s="15">
        <f t="shared" si="227"/>
        <v>0</v>
      </c>
      <c r="AB136" s="15">
        <f t="shared" si="227"/>
        <v>1250000</v>
      </c>
      <c r="AC136" s="15">
        <f t="shared" si="227"/>
        <v>7250000</v>
      </c>
      <c r="AD136" s="15">
        <f t="shared" si="227"/>
        <v>0</v>
      </c>
      <c r="AE136" s="15">
        <f t="shared" si="227"/>
        <v>7250000</v>
      </c>
      <c r="AF136" s="15">
        <f t="shared" si="227"/>
        <v>1250000</v>
      </c>
      <c r="AG136" s="15">
        <f t="shared" si="227"/>
        <v>0</v>
      </c>
      <c r="AH136" s="15">
        <f t="shared" si="227"/>
        <v>1250000</v>
      </c>
      <c r="AK136" s="15">
        <f t="shared" ref="AK136:AS136" si="228">AK41+AK42+AK43+AK74+AK75+AK80</f>
        <v>35850000</v>
      </c>
      <c r="AL136" s="15">
        <f t="shared" si="228"/>
        <v>0</v>
      </c>
      <c r="AM136" s="15">
        <f t="shared" si="228"/>
        <v>35850000</v>
      </c>
      <c r="AN136" s="15">
        <f t="shared" si="228"/>
        <v>7250000</v>
      </c>
      <c r="AO136" s="15">
        <f t="shared" si="228"/>
        <v>0</v>
      </c>
      <c r="AP136" s="15">
        <f t="shared" si="228"/>
        <v>7250000</v>
      </c>
      <c r="AQ136" s="15">
        <f t="shared" si="228"/>
        <v>1250000</v>
      </c>
      <c r="AR136" s="15">
        <f t="shared" si="228"/>
        <v>0</v>
      </c>
      <c r="AS136" s="15">
        <f t="shared" si="228"/>
        <v>1250000</v>
      </c>
      <c r="AV136" s="1">
        <f t="shared" ref="AV136:AW177" si="229">AQ136+AN136+AK136+AF136+AC136+Z136+U136+R136+O136+J136+G136+D136</f>
        <v>212200000</v>
      </c>
      <c r="AW136" s="36">
        <f t="shared" si="229"/>
        <v>5000000</v>
      </c>
      <c r="AX136" s="1">
        <f t="shared" ref="AX136:AX177" si="230">(AV136-M136)+N136</f>
        <v>166950000</v>
      </c>
      <c r="AY136" s="1">
        <f t="shared" ref="AY136:AY177" si="231">AS136+AP136+AM136+AH136+AE136+AB136+W136+T136+Q136+L136+I136+F136</f>
        <v>207200000</v>
      </c>
    </row>
    <row r="137" spans="1:54" x14ac:dyDescent="0.2">
      <c r="A137">
        <v>2</v>
      </c>
      <c r="B137" s="70" t="s">
        <v>146</v>
      </c>
      <c r="C137" s="1"/>
      <c r="D137" s="15">
        <f t="shared" ref="D137:L137" si="232">D104+D91</f>
        <v>2000000</v>
      </c>
      <c r="E137" s="15">
        <f t="shared" si="232"/>
        <v>19200000</v>
      </c>
      <c r="F137" s="15">
        <f t="shared" si="232"/>
        <v>-17200000</v>
      </c>
      <c r="G137" s="15">
        <f t="shared" si="232"/>
        <v>2000000</v>
      </c>
      <c r="H137" s="15">
        <f t="shared" si="232"/>
        <v>0</v>
      </c>
      <c r="I137" s="15">
        <f t="shared" si="232"/>
        <v>2000000</v>
      </c>
      <c r="J137" s="15">
        <f t="shared" si="232"/>
        <v>2000000</v>
      </c>
      <c r="K137" s="15">
        <f t="shared" si="232"/>
        <v>0</v>
      </c>
      <c r="L137" s="15">
        <f t="shared" si="232"/>
        <v>2000000</v>
      </c>
      <c r="M137" s="195">
        <f t="shared" si="224"/>
        <v>6000000</v>
      </c>
      <c r="N137" s="195">
        <f t="shared" si="224"/>
        <v>19200000</v>
      </c>
      <c r="O137" s="15">
        <f t="shared" ref="O137:W137" si="233">O104+O91</f>
        <v>8000000</v>
      </c>
      <c r="P137" s="15">
        <f t="shared" si="233"/>
        <v>0</v>
      </c>
      <c r="Q137" s="15">
        <f t="shared" si="233"/>
        <v>8000000</v>
      </c>
      <c r="R137" s="15">
        <f t="shared" si="233"/>
        <v>5000000</v>
      </c>
      <c r="S137" s="15">
        <f t="shared" si="233"/>
        <v>0</v>
      </c>
      <c r="T137" s="15">
        <f t="shared" si="233"/>
        <v>5000000</v>
      </c>
      <c r="U137" s="15">
        <f t="shared" si="233"/>
        <v>2000000</v>
      </c>
      <c r="V137" s="15">
        <f t="shared" si="233"/>
        <v>0</v>
      </c>
      <c r="W137" s="15">
        <f t="shared" si="233"/>
        <v>2000000</v>
      </c>
      <c r="X137" s="195">
        <f t="shared" si="226"/>
        <v>15000000</v>
      </c>
      <c r="Y137" s="195">
        <f t="shared" si="226"/>
        <v>0</v>
      </c>
      <c r="Z137" s="15">
        <f t="shared" ref="Z137:AH137" si="234">Z104+Z91</f>
        <v>32000000</v>
      </c>
      <c r="AA137" s="15">
        <f>AA104+AA91</f>
        <v>44800000</v>
      </c>
      <c r="AB137" s="15">
        <f t="shared" si="234"/>
        <v>-12800000</v>
      </c>
      <c r="AC137" s="15">
        <f t="shared" si="234"/>
        <v>2000000</v>
      </c>
      <c r="AD137" s="15">
        <f t="shared" si="234"/>
        <v>0</v>
      </c>
      <c r="AE137" s="15">
        <f t="shared" si="234"/>
        <v>2000000</v>
      </c>
      <c r="AF137" s="15">
        <f t="shared" si="234"/>
        <v>2000000</v>
      </c>
      <c r="AG137" s="15">
        <f t="shared" si="234"/>
        <v>0</v>
      </c>
      <c r="AH137" s="15">
        <f t="shared" si="234"/>
        <v>2000000</v>
      </c>
      <c r="AK137" s="15">
        <f t="shared" ref="AK137:AS137" si="235">AK104+AK91</f>
        <v>7700000</v>
      </c>
      <c r="AL137" s="15">
        <f t="shared" si="235"/>
        <v>0</v>
      </c>
      <c r="AM137" s="15">
        <f t="shared" si="235"/>
        <v>7700000</v>
      </c>
      <c r="AN137" s="15">
        <f t="shared" si="235"/>
        <v>3700000</v>
      </c>
      <c r="AO137" s="15">
        <f t="shared" si="235"/>
        <v>0</v>
      </c>
      <c r="AP137" s="15">
        <f t="shared" si="235"/>
        <v>3700000</v>
      </c>
      <c r="AQ137" s="15">
        <f t="shared" si="235"/>
        <v>12000000</v>
      </c>
      <c r="AR137" s="15">
        <f t="shared" si="235"/>
        <v>0</v>
      </c>
      <c r="AS137" s="15">
        <f t="shared" si="235"/>
        <v>12000000</v>
      </c>
      <c r="AV137" s="1">
        <f t="shared" si="229"/>
        <v>80400000</v>
      </c>
      <c r="AW137" s="36">
        <f t="shared" si="229"/>
        <v>64000000</v>
      </c>
      <c r="AX137" s="1">
        <f t="shared" si="230"/>
        <v>93600000</v>
      </c>
      <c r="AY137" s="1">
        <f t="shared" si="231"/>
        <v>16400000</v>
      </c>
    </row>
    <row r="138" spans="1:54" x14ac:dyDescent="0.2">
      <c r="A138">
        <v>3</v>
      </c>
      <c r="B138" s="70" t="s">
        <v>145</v>
      </c>
      <c r="D138" s="15">
        <f t="shared" ref="D138:L138" si="236">D101</f>
        <v>5534522</v>
      </c>
      <c r="E138" s="15">
        <f t="shared" si="236"/>
        <v>6410393</v>
      </c>
      <c r="F138" s="15">
        <f t="shared" si="236"/>
        <v>-875871</v>
      </c>
      <c r="G138" s="15">
        <f t="shared" si="236"/>
        <v>5534522</v>
      </c>
      <c r="H138" s="15">
        <f t="shared" si="236"/>
        <v>6088452</v>
      </c>
      <c r="I138" s="15">
        <f t="shared" si="236"/>
        <v>-553930</v>
      </c>
      <c r="J138" s="15">
        <f t="shared" si="236"/>
        <v>5534522</v>
      </c>
      <c r="K138" s="15">
        <f t="shared" si="236"/>
        <v>7241801</v>
      </c>
      <c r="L138" s="15">
        <f t="shared" si="236"/>
        <v>-1707279</v>
      </c>
      <c r="M138" s="195">
        <f t="shared" si="224"/>
        <v>16603566</v>
      </c>
      <c r="N138" s="195">
        <f t="shared" si="224"/>
        <v>19740646</v>
      </c>
      <c r="O138" s="15">
        <f t="shared" ref="O138:W138" si="237">O101</f>
        <v>5534522</v>
      </c>
      <c r="P138" s="15">
        <f t="shared" si="237"/>
        <v>5890525</v>
      </c>
      <c r="Q138" s="15">
        <f t="shared" si="237"/>
        <v>-356003</v>
      </c>
      <c r="R138" s="15">
        <f t="shared" si="237"/>
        <v>5534522</v>
      </c>
      <c r="S138" s="15">
        <f t="shared" si="237"/>
        <v>6514435</v>
      </c>
      <c r="T138" s="15">
        <f t="shared" si="237"/>
        <v>-979913</v>
      </c>
      <c r="U138" s="15">
        <f t="shared" si="237"/>
        <v>5534522</v>
      </c>
      <c r="V138" s="15">
        <f t="shared" si="237"/>
        <v>4233601</v>
      </c>
      <c r="W138" s="15">
        <f t="shared" si="237"/>
        <v>1300921</v>
      </c>
      <c r="X138" s="195">
        <f t="shared" si="226"/>
        <v>16603566</v>
      </c>
      <c r="Y138" s="195">
        <f t="shared" si="226"/>
        <v>16638561</v>
      </c>
      <c r="Z138" s="15">
        <f t="shared" ref="Z138:AH138" si="238">Z101</f>
        <v>5534522</v>
      </c>
      <c r="AA138" s="15">
        <f t="shared" si="238"/>
        <v>0</v>
      </c>
      <c r="AB138" s="15">
        <f t="shared" si="238"/>
        <v>5534522</v>
      </c>
      <c r="AC138" s="15">
        <f t="shared" si="238"/>
        <v>5534522</v>
      </c>
      <c r="AD138" s="15">
        <f t="shared" si="238"/>
        <v>0</v>
      </c>
      <c r="AE138" s="15">
        <f t="shared" si="238"/>
        <v>5534522</v>
      </c>
      <c r="AF138" s="15">
        <f t="shared" si="238"/>
        <v>5534522</v>
      </c>
      <c r="AG138" s="15">
        <f t="shared" si="238"/>
        <v>0</v>
      </c>
      <c r="AH138" s="15">
        <f t="shared" si="238"/>
        <v>5534522</v>
      </c>
      <c r="AK138" s="15">
        <f t="shared" ref="AK138:AS138" si="239">AK101</f>
        <v>5534522</v>
      </c>
      <c r="AL138" s="15">
        <f t="shared" si="239"/>
        <v>0</v>
      </c>
      <c r="AM138" s="15">
        <f t="shared" si="239"/>
        <v>5534522</v>
      </c>
      <c r="AN138" s="15">
        <f t="shared" si="239"/>
        <v>5534522</v>
      </c>
      <c r="AO138" s="15">
        <f t="shared" si="239"/>
        <v>0</v>
      </c>
      <c r="AP138" s="15">
        <f t="shared" si="239"/>
        <v>5534522</v>
      </c>
      <c r="AQ138" s="15">
        <f t="shared" si="239"/>
        <v>5534522</v>
      </c>
      <c r="AR138" s="15">
        <f t="shared" si="239"/>
        <v>0</v>
      </c>
      <c r="AS138" s="15">
        <f t="shared" si="239"/>
        <v>5534522</v>
      </c>
      <c r="AV138" s="1">
        <f t="shared" si="229"/>
        <v>66414264</v>
      </c>
      <c r="AW138" s="36">
        <f t="shared" si="229"/>
        <v>36379207</v>
      </c>
      <c r="AX138" s="1">
        <f t="shared" si="230"/>
        <v>69551344</v>
      </c>
      <c r="AY138" s="1">
        <f t="shared" si="231"/>
        <v>30035057</v>
      </c>
    </row>
    <row r="139" spans="1:54" x14ac:dyDescent="0.2">
      <c r="A139">
        <v>4</v>
      </c>
      <c r="B139" s="70" t="s">
        <v>186</v>
      </c>
      <c r="D139" s="15">
        <f t="shared" ref="D139:L139" si="240">D59</f>
        <v>639000</v>
      </c>
      <c r="E139" s="15">
        <f t="shared" si="240"/>
        <v>0</v>
      </c>
      <c r="F139" s="15">
        <f t="shared" si="240"/>
        <v>639000</v>
      </c>
      <c r="G139" s="15">
        <f t="shared" si="240"/>
        <v>639000</v>
      </c>
      <c r="H139" s="15">
        <f t="shared" si="240"/>
        <v>51443750</v>
      </c>
      <c r="I139" s="15">
        <f t="shared" si="240"/>
        <v>-50804750</v>
      </c>
      <c r="J139" s="15">
        <f t="shared" si="240"/>
        <v>639000</v>
      </c>
      <c r="K139" s="15">
        <f t="shared" si="240"/>
        <v>0</v>
      </c>
      <c r="L139" s="15">
        <f t="shared" si="240"/>
        <v>639000</v>
      </c>
      <c r="M139" s="195">
        <f t="shared" si="224"/>
        <v>1917000</v>
      </c>
      <c r="N139" s="195">
        <f t="shared" si="224"/>
        <v>51443750</v>
      </c>
      <c r="O139" s="15">
        <f t="shared" ref="O139:W139" si="241">O59</f>
        <v>639000</v>
      </c>
      <c r="P139" s="15">
        <f t="shared" si="241"/>
        <v>0</v>
      </c>
      <c r="Q139" s="15">
        <f t="shared" si="241"/>
        <v>639000</v>
      </c>
      <c r="R139" s="15">
        <f t="shared" si="241"/>
        <v>639000</v>
      </c>
      <c r="S139" s="15">
        <f t="shared" si="241"/>
        <v>0</v>
      </c>
      <c r="T139" s="15">
        <f t="shared" si="241"/>
        <v>639000</v>
      </c>
      <c r="U139" s="15">
        <f t="shared" si="241"/>
        <v>639000</v>
      </c>
      <c r="V139" s="15">
        <f t="shared" si="241"/>
        <v>0</v>
      </c>
      <c r="W139" s="15">
        <f t="shared" si="241"/>
        <v>639000</v>
      </c>
      <c r="X139" s="195">
        <f t="shared" si="226"/>
        <v>1917000</v>
      </c>
      <c r="Y139" s="195">
        <f t="shared" si="226"/>
        <v>0</v>
      </c>
      <c r="Z139" s="15">
        <f t="shared" ref="Z139:AH139" si="242">Z59</f>
        <v>639000</v>
      </c>
      <c r="AA139" s="15">
        <f t="shared" si="242"/>
        <v>0</v>
      </c>
      <c r="AB139" s="15">
        <f t="shared" si="242"/>
        <v>639000</v>
      </c>
      <c r="AC139" s="15">
        <f t="shared" si="242"/>
        <v>639000</v>
      </c>
      <c r="AD139" s="15">
        <f t="shared" si="242"/>
        <v>0</v>
      </c>
      <c r="AE139" s="15">
        <f t="shared" si="242"/>
        <v>639000</v>
      </c>
      <c r="AF139" s="15">
        <f t="shared" si="242"/>
        <v>639000</v>
      </c>
      <c r="AG139" s="15">
        <f t="shared" si="242"/>
        <v>0</v>
      </c>
      <c r="AH139" s="15">
        <f t="shared" si="242"/>
        <v>639000</v>
      </c>
      <c r="AK139" s="15">
        <f t="shared" ref="AK139:AS139" si="243">AK59</f>
        <v>639000</v>
      </c>
      <c r="AL139" s="15">
        <f t="shared" si="243"/>
        <v>0</v>
      </c>
      <c r="AM139" s="15">
        <f t="shared" si="243"/>
        <v>639000</v>
      </c>
      <c r="AN139" s="15">
        <f t="shared" si="243"/>
        <v>639000</v>
      </c>
      <c r="AO139" s="15">
        <f t="shared" si="243"/>
        <v>0</v>
      </c>
      <c r="AP139" s="15">
        <f t="shared" si="243"/>
        <v>639000</v>
      </c>
      <c r="AQ139" s="15">
        <f t="shared" si="243"/>
        <v>639000</v>
      </c>
      <c r="AR139" s="15">
        <f t="shared" si="243"/>
        <v>0</v>
      </c>
      <c r="AS139" s="15">
        <f t="shared" si="243"/>
        <v>639000</v>
      </c>
      <c r="AV139" s="1">
        <f t="shared" si="229"/>
        <v>7668000</v>
      </c>
      <c r="AW139" s="36">
        <f t="shared" si="229"/>
        <v>51443750</v>
      </c>
      <c r="AX139" s="1">
        <f t="shared" si="230"/>
        <v>57194750</v>
      </c>
      <c r="AY139" s="1">
        <f t="shared" si="231"/>
        <v>-43775750</v>
      </c>
    </row>
    <row r="140" spans="1:54" x14ac:dyDescent="0.2">
      <c r="A140">
        <v>5</v>
      </c>
      <c r="B140" s="70" t="s">
        <v>106</v>
      </c>
      <c r="D140" s="15">
        <f t="shared" ref="D140:L140" si="244">D58</f>
        <v>21700000</v>
      </c>
      <c r="E140" s="15">
        <f t="shared" si="244"/>
        <v>0</v>
      </c>
      <c r="F140" s="15">
        <f t="shared" si="244"/>
        <v>21700000</v>
      </c>
      <c r="G140" s="15">
        <f t="shared" si="244"/>
        <v>1800000</v>
      </c>
      <c r="H140" s="15">
        <f t="shared" si="244"/>
        <v>0</v>
      </c>
      <c r="I140" s="15">
        <f t="shared" si="244"/>
        <v>1800000</v>
      </c>
      <c r="J140" s="15">
        <f t="shared" si="244"/>
        <v>27680000</v>
      </c>
      <c r="K140" s="15">
        <f t="shared" si="244"/>
        <v>0</v>
      </c>
      <c r="L140" s="15">
        <f t="shared" si="244"/>
        <v>27680000</v>
      </c>
      <c r="M140" s="195">
        <f t="shared" si="224"/>
        <v>51180000</v>
      </c>
      <c r="N140" s="195">
        <f t="shared" si="224"/>
        <v>0</v>
      </c>
      <c r="O140" s="15">
        <f t="shared" ref="O140:W140" si="245">O58</f>
        <v>12825000</v>
      </c>
      <c r="P140" s="15">
        <f t="shared" si="245"/>
        <v>1930000</v>
      </c>
      <c r="Q140" s="15">
        <f t="shared" si="245"/>
        <v>10895000</v>
      </c>
      <c r="R140" s="15">
        <f t="shared" si="245"/>
        <v>0</v>
      </c>
      <c r="S140" s="15">
        <f t="shared" si="245"/>
        <v>2690000</v>
      </c>
      <c r="T140" s="15">
        <f t="shared" si="245"/>
        <v>-2690000</v>
      </c>
      <c r="U140" s="15">
        <f t="shared" si="245"/>
        <v>0</v>
      </c>
      <c r="V140" s="15">
        <f t="shared" si="245"/>
        <v>900000</v>
      </c>
      <c r="W140" s="15">
        <f t="shared" si="245"/>
        <v>-900000</v>
      </c>
      <c r="X140" s="195">
        <f t="shared" si="226"/>
        <v>12825000</v>
      </c>
      <c r="Y140" s="195">
        <f t="shared" si="226"/>
        <v>5520000</v>
      </c>
      <c r="Z140" s="15">
        <f t="shared" ref="Z140:AH140" si="246">Z58</f>
        <v>23940000</v>
      </c>
      <c r="AA140" s="15">
        <f t="shared" si="246"/>
        <v>165000</v>
      </c>
      <c r="AB140" s="15">
        <f t="shared" si="246"/>
        <v>23775000</v>
      </c>
      <c r="AC140" s="15">
        <f t="shared" si="246"/>
        <v>4500000</v>
      </c>
      <c r="AD140" s="15">
        <f t="shared" si="246"/>
        <v>200000</v>
      </c>
      <c r="AE140" s="15">
        <f t="shared" si="246"/>
        <v>4300000</v>
      </c>
      <c r="AF140" s="15">
        <f t="shared" si="246"/>
        <v>0</v>
      </c>
      <c r="AG140" s="15">
        <f t="shared" si="246"/>
        <v>1625000</v>
      </c>
      <c r="AH140" s="15">
        <f t="shared" si="246"/>
        <v>-1625000</v>
      </c>
      <c r="AK140" s="15">
        <f t="shared" ref="AK140:AS140" si="247">AK58</f>
        <v>0</v>
      </c>
      <c r="AL140" s="15">
        <f t="shared" si="247"/>
        <v>0</v>
      </c>
      <c r="AM140" s="15">
        <f t="shared" si="247"/>
        <v>0</v>
      </c>
      <c r="AN140" s="15">
        <f t="shared" si="247"/>
        <v>0</v>
      </c>
      <c r="AO140" s="15">
        <f t="shared" si="247"/>
        <v>0</v>
      </c>
      <c r="AP140" s="15">
        <f t="shared" si="247"/>
        <v>0</v>
      </c>
      <c r="AQ140" s="15">
        <f t="shared" si="247"/>
        <v>0</v>
      </c>
      <c r="AR140" s="15">
        <f t="shared" si="247"/>
        <v>0</v>
      </c>
      <c r="AS140" s="15">
        <f t="shared" si="247"/>
        <v>0</v>
      </c>
      <c r="AV140" s="1">
        <f t="shared" si="229"/>
        <v>92445000</v>
      </c>
      <c r="AW140" s="36">
        <f t="shared" si="229"/>
        <v>7510000</v>
      </c>
      <c r="AX140" s="1">
        <f t="shared" si="230"/>
        <v>41265000</v>
      </c>
      <c r="AY140" s="1">
        <f t="shared" si="231"/>
        <v>84935000</v>
      </c>
    </row>
    <row r="141" spans="1:54" x14ac:dyDescent="0.2">
      <c r="A141">
        <v>6</v>
      </c>
      <c r="B141" s="70" t="s">
        <v>187</v>
      </c>
      <c r="D141" s="15">
        <f t="shared" ref="D141:L141" si="248">D21+D61+D68+D69+D71+D72+D65+D81+D87+D95+D103+D114+D98</f>
        <v>9398000</v>
      </c>
      <c r="E141" s="15">
        <f t="shared" si="248"/>
        <v>0</v>
      </c>
      <c r="F141" s="15">
        <f t="shared" si="248"/>
        <v>9398000</v>
      </c>
      <c r="G141" s="15">
        <f t="shared" si="248"/>
        <v>34098000</v>
      </c>
      <c r="H141" s="15">
        <f t="shared" si="248"/>
        <v>0</v>
      </c>
      <c r="I141" s="15">
        <f t="shared" si="248"/>
        <v>34098000</v>
      </c>
      <c r="J141" s="15">
        <f t="shared" si="248"/>
        <v>21498000</v>
      </c>
      <c r="K141" s="15">
        <f t="shared" si="248"/>
        <v>0</v>
      </c>
      <c r="L141" s="15">
        <f t="shared" si="248"/>
        <v>21498000</v>
      </c>
      <c r="M141" s="195">
        <f t="shared" si="224"/>
        <v>64994000</v>
      </c>
      <c r="N141" s="195">
        <f t="shared" si="224"/>
        <v>0</v>
      </c>
      <c r="O141" s="15">
        <f t="shared" ref="O141:W141" si="249">O21+O61+O68+O69+O71+O72+O65+O81+O87+O95+O103+O114+O98</f>
        <v>1098000</v>
      </c>
      <c r="P141" s="15">
        <f t="shared" si="249"/>
        <v>8925000</v>
      </c>
      <c r="Q141" s="15">
        <f t="shared" si="249"/>
        <v>-7827000</v>
      </c>
      <c r="R141" s="15">
        <f t="shared" si="249"/>
        <v>67098000</v>
      </c>
      <c r="S141" s="15">
        <f t="shared" si="249"/>
        <v>0</v>
      </c>
      <c r="T141" s="15">
        <f t="shared" si="249"/>
        <v>67098000</v>
      </c>
      <c r="U141" s="15">
        <f t="shared" si="249"/>
        <v>16598000</v>
      </c>
      <c r="V141" s="15">
        <f t="shared" si="249"/>
        <v>0</v>
      </c>
      <c r="W141" s="15">
        <f t="shared" si="249"/>
        <v>16598000</v>
      </c>
      <c r="X141" s="195">
        <f t="shared" si="226"/>
        <v>84794000</v>
      </c>
      <c r="Y141" s="195">
        <f t="shared" si="226"/>
        <v>8925000</v>
      </c>
      <c r="Z141" s="15">
        <f t="shared" ref="Z141:AH141" si="250">Z21+Z61+Z68+Z69+Z71+Z72+Z65+Z81+Z87+Z95+Z103+Z114+Z98</f>
        <v>59898000</v>
      </c>
      <c r="AA141" s="15">
        <f t="shared" si="250"/>
        <v>0</v>
      </c>
      <c r="AB141" s="15">
        <f t="shared" si="250"/>
        <v>59898000</v>
      </c>
      <c r="AC141" s="15">
        <f t="shared" si="250"/>
        <v>13598000</v>
      </c>
      <c r="AD141" s="15">
        <f t="shared" si="250"/>
        <v>0</v>
      </c>
      <c r="AE141" s="15">
        <f t="shared" si="250"/>
        <v>13598000</v>
      </c>
      <c r="AF141" s="15">
        <f t="shared" si="250"/>
        <v>19898000</v>
      </c>
      <c r="AG141" s="15">
        <f t="shared" si="250"/>
        <v>0</v>
      </c>
      <c r="AH141" s="15">
        <f t="shared" si="250"/>
        <v>19898000</v>
      </c>
      <c r="AK141" s="15">
        <f t="shared" ref="AK141:AS141" si="251">AK21+AK61+AK68+AK69+AK71+AK72+AK65+AK81+AK87+AK95+AK103+AK114+AK98</f>
        <v>56598000</v>
      </c>
      <c r="AL141" s="15">
        <f t="shared" si="251"/>
        <v>0</v>
      </c>
      <c r="AM141" s="15">
        <f t="shared" si="251"/>
        <v>56598000</v>
      </c>
      <c r="AN141" s="15">
        <f t="shared" si="251"/>
        <v>75398000</v>
      </c>
      <c r="AO141" s="15">
        <f t="shared" si="251"/>
        <v>0</v>
      </c>
      <c r="AP141" s="15">
        <f t="shared" si="251"/>
        <v>75398000</v>
      </c>
      <c r="AQ141" s="15">
        <f t="shared" si="251"/>
        <v>4898000</v>
      </c>
      <c r="AR141" s="15">
        <f t="shared" si="251"/>
        <v>0</v>
      </c>
      <c r="AS141" s="15">
        <f t="shared" si="251"/>
        <v>4898000</v>
      </c>
      <c r="AV141" s="1">
        <f t="shared" si="229"/>
        <v>380076000</v>
      </c>
      <c r="AW141" s="36">
        <f t="shared" si="229"/>
        <v>8925000</v>
      </c>
      <c r="AX141" s="1">
        <f t="shared" si="230"/>
        <v>315082000</v>
      </c>
      <c r="AY141" s="1">
        <f t="shared" si="231"/>
        <v>371151000</v>
      </c>
    </row>
    <row r="142" spans="1:54" x14ac:dyDescent="0.2">
      <c r="A142">
        <v>7</v>
      </c>
      <c r="B142" s="70" t="s">
        <v>188</v>
      </c>
      <c r="D142" s="15">
        <f t="shared" ref="D142:L142" si="252">D48</f>
        <v>7425748</v>
      </c>
      <c r="E142" s="15">
        <f t="shared" si="252"/>
        <v>11910462</v>
      </c>
      <c r="F142" s="15">
        <f t="shared" si="252"/>
        <v>-4484714</v>
      </c>
      <c r="G142" s="15">
        <f t="shared" si="252"/>
        <v>7425748</v>
      </c>
      <c r="H142" s="15">
        <f t="shared" si="252"/>
        <v>5951894</v>
      </c>
      <c r="I142" s="15">
        <f t="shared" si="252"/>
        <v>1473854</v>
      </c>
      <c r="J142" s="15">
        <f t="shared" si="252"/>
        <v>7425748</v>
      </c>
      <c r="K142" s="15">
        <f t="shared" si="252"/>
        <v>29117</v>
      </c>
      <c r="L142" s="15">
        <f t="shared" si="252"/>
        <v>7396631</v>
      </c>
      <c r="M142" s="195">
        <f t="shared" si="224"/>
        <v>22277244</v>
      </c>
      <c r="N142" s="195">
        <f t="shared" si="224"/>
        <v>17891473</v>
      </c>
      <c r="O142" s="15">
        <f t="shared" ref="O142:W142" si="253">O48</f>
        <v>7425748</v>
      </c>
      <c r="P142" s="15">
        <f t="shared" si="253"/>
        <v>6428881</v>
      </c>
      <c r="Q142" s="15">
        <f t="shared" si="253"/>
        <v>996867</v>
      </c>
      <c r="R142" s="15">
        <f t="shared" si="253"/>
        <v>7425748</v>
      </c>
      <c r="S142" s="15">
        <f t="shared" si="253"/>
        <v>5848012</v>
      </c>
      <c r="T142" s="15">
        <f t="shared" si="253"/>
        <v>1577736</v>
      </c>
      <c r="U142" s="15">
        <f t="shared" si="253"/>
        <v>7425748</v>
      </c>
      <c r="V142" s="15">
        <f t="shared" si="253"/>
        <v>34208</v>
      </c>
      <c r="W142" s="15">
        <f t="shared" si="253"/>
        <v>7391540</v>
      </c>
      <c r="X142" s="195">
        <f t="shared" si="226"/>
        <v>22277244</v>
      </c>
      <c r="Y142" s="195">
        <f t="shared" si="226"/>
        <v>12311101</v>
      </c>
      <c r="Z142" s="15">
        <f t="shared" ref="Z142:AH142" si="254">Z48</f>
        <v>7425748</v>
      </c>
      <c r="AA142" s="15">
        <f t="shared" si="254"/>
        <v>8571535</v>
      </c>
      <c r="AB142" s="15">
        <f t="shared" si="254"/>
        <v>-1145787</v>
      </c>
      <c r="AC142" s="15">
        <f t="shared" si="254"/>
        <v>7425748</v>
      </c>
      <c r="AD142" s="15">
        <f t="shared" si="254"/>
        <v>7705164</v>
      </c>
      <c r="AE142" s="15">
        <f t="shared" si="254"/>
        <v>-279416</v>
      </c>
      <c r="AF142" s="15">
        <f t="shared" si="254"/>
        <v>7425748</v>
      </c>
      <c r="AG142" s="15">
        <f t="shared" si="254"/>
        <v>8998640</v>
      </c>
      <c r="AH142" s="15">
        <f t="shared" si="254"/>
        <v>-1572892</v>
      </c>
      <c r="AK142" s="15">
        <f t="shared" ref="AK142:AS142" si="255">AK48</f>
        <v>7425748</v>
      </c>
      <c r="AL142" s="15">
        <f t="shared" si="255"/>
        <v>0</v>
      </c>
      <c r="AM142" s="15">
        <f t="shared" si="255"/>
        <v>7425748</v>
      </c>
      <c r="AN142" s="15">
        <f t="shared" si="255"/>
        <v>7425748</v>
      </c>
      <c r="AO142" s="15">
        <f t="shared" si="255"/>
        <v>0</v>
      </c>
      <c r="AP142" s="15">
        <f t="shared" si="255"/>
        <v>7425748</v>
      </c>
      <c r="AQ142" s="15">
        <f t="shared" si="255"/>
        <v>7425748</v>
      </c>
      <c r="AR142" s="15">
        <f t="shared" si="255"/>
        <v>0</v>
      </c>
      <c r="AS142" s="15">
        <f t="shared" si="255"/>
        <v>7425748</v>
      </c>
      <c r="AV142" s="1">
        <f t="shared" si="229"/>
        <v>89108976</v>
      </c>
      <c r="AW142" s="36">
        <f t="shared" si="229"/>
        <v>55477913</v>
      </c>
      <c r="AX142" s="1">
        <f t="shared" si="230"/>
        <v>84723205</v>
      </c>
      <c r="AY142" s="1">
        <f t="shared" si="231"/>
        <v>33631063</v>
      </c>
    </row>
    <row r="143" spans="1:54" x14ac:dyDescent="0.2">
      <c r="A143">
        <v>8</v>
      </c>
      <c r="B143" s="70" t="s">
        <v>189</v>
      </c>
      <c r="D143" s="15">
        <f t="shared" ref="D143:L143" si="256">D14+D15+D17+D18+D30+D31+D70+D83+D89+D90+D116+D63</f>
        <v>149891595</v>
      </c>
      <c r="E143" s="15">
        <f t="shared" si="256"/>
        <v>4841677</v>
      </c>
      <c r="F143" s="15">
        <f t="shared" si="256"/>
        <v>145049918</v>
      </c>
      <c r="G143" s="15">
        <f t="shared" si="256"/>
        <v>190280931</v>
      </c>
      <c r="H143" s="15">
        <f t="shared" si="256"/>
        <v>2464150</v>
      </c>
      <c r="I143" s="15">
        <f t="shared" si="256"/>
        <v>187816781</v>
      </c>
      <c r="J143" s="15">
        <f t="shared" si="256"/>
        <v>75280931</v>
      </c>
      <c r="K143" s="15">
        <f t="shared" si="256"/>
        <v>4788846</v>
      </c>
      <c r="L143" s="15">
        <f t="shared" si="256"/>
        <v>70492085</v>
      </c>
      <c r="M143" s="195">
        <f t="shared" si="224"/>
        <v>415453457</v>
      </c>
      <c r="N143" s="195">
        <f t="shared" si="224"/>
        <v>12094673</v>
      </c>
      <c r="O143" s="15">
        <f t="shared" ref="O143:W143" si="257">O14+O15+O17+O18+O30+O31+O70+O83+O89+O90+O116+O63</f>
        <v>104891595</v>
      </c>
      <c r="P143" s="15">
        <f t="shared" si="257"/>
        <v>30659200</v>
      </c>
      <c r="Q143" s="15">
        <f t="shared" si="257"/>
        <v>74232395</v>
      </c>
      <c r="R143" s="15">
        <f t="shared" si="257"/>
        <v>76280931</v>
      </c>
      <c r="S143" s="15">
        <f t="shared" si="257"/>
        <v>55478110</v>
      </c>
      <c r="T143" s="15">
        <f t="shared" si="257"/>
        <v>20802821</v>
      </c>
      <c r="U143" s="15">
        <f t="shared" si="257"/>
        <v>76280931</v>
      </c>
      <c r="V143" s="15">
        <f t="shared" si="257"/>
        <v>43523920</v>
      </c>
      <c r="W143" s="15">
        <f t="shared" si="257"/>
        <v>32757011</v>
      </c>
      <c r="X143" s="195">
        <f t="shared" si="226"/>
        <v>257453457</v>
      </c>
      <c r="Y143" s="195">
        <f t="shared" si="226"/>
        <v>129661230</v>
      </c>
      <c r="Z143" s="15">
        <f t="shared" ref="Z143:AH143" si="258">Z14+Z15+Z17+Z18+Z30+Z31+Z70+Z83+Z89+Z90+Z116+Z63</f>
        <v>104891595</v>
      </c>
      <c r="AA143" s="15">
        <f t="shared" si="258"/>
        <v>254921103</v>
      </c>
      <c r="AB143" s="15">
        <f t="shared" si="258"/>
        <v>-150029508</v>
      </c>
      <c r="AC143" s="15">
        <f t="shared" si="258"/>
        <v>96880931</v>
      </c>
      <c r="AD143" s="15">
        <f t="shared" si="258"/>
        <v>153211800</v>
      </c>
      <c r="AE143" s="15">
        <f t="shared" si="258"/>
        <v>-56330869</v>
      </c>
      <c r="AF143" s="15">
        <f t="shared" si="258"/>
        <v>75280931</v>
      </c>
      <c r="AG143" s="15">
        <f t="shared" si="258"/>
        <v>14125000</v>
      </c>
      <c r="AH143" s="15">
        <f t="shared" si="258"/>
        <v>61155931</v>
      </c>
      <c r="AK143" s="15">
        <f t="shared" ref="AK143:AS143" si="259">AK14+AK15+AK17+AK18+AK30+AK31+AK70+AK83+AK89+AK90+AK116+AK63</f>
        <v>105891595</v>
      </c>
      <c r="AL143" s="15">
        <f t="shared" si="259"/>
        <v>0</v>
      </c>
      <c r="AM143" s="15">
        <f t="shared" si="259"/>
        <v>105891595</v>
      </c>
      <c r="AN143" s="15">
        <f t="shared" si="259"/>
        <v>75280931</v>
      </c>
      <c r="AO143" s="15">
        <f t="shared" si="259"/>
        <v>0</v>
      </c>
      <c r="AP143" s="15">
        <f t="shared" si="259"/>
        <v>75280931</v>
      </c>
      <c r="AQ143" s="15">
        <f t="shared" si="259"/>
        <v>75280931</v>
      </c>
      <c r="AR143" s="15">
        <f t="shared" si="259"/>
        <v>0</v>
      </c>
      <c r="AS143" s="15">
        <f t="shared" si="259"/>
        <v>75280931</v>
      </c>
      <c r="AV143" s="1">
        <f t="shared" si="229"/>
        <v>1206413828</v>
      </c>
      <c r="AW143" s="36">
        <f t="shared" si="229"/>
        <v>564013806</v>
      </c>
      <c r="AX143" s="1">
        <f t="shared" si="230"/>
        <v>803055044</v>
      </c>
      <c r="AY143" s="1">
        <f t="shared" si="231"/>
        <v>642400022</v>
      </c>
    </row>
    <row r="144" spans="1:54" x14ac:dyDescent="0.2">
      <c r="A144">
        <v>9</v>
      </c>
      <c r="B144" s="70" t="s">
        <v>190</v>
      </c>
      <c r="D144" s="15">
        <f t="shared" ref="D144:L144" si="260">D26+D35</f>
        <v>7673514</v>
      </c>
      <c r="E144" s="15">
        <f t="shared" si="260"/>
        <v>3298500</v>
      </c>
      <c r="F144" s="15">
        <f t="shared" si="260"/>
        <v>4375014</v>
      </c>
      <c r="G144" s="15">
        <f t="shared" si="260"/>
        <v>5073514</v>
      </c>
      <c r="H144" s="15">
        <f t="shared" si="260"/>
        <v>3890100</v>
      </c>
      <c r="I144" s="15">
        <f t="shared" si="260"/>
        <v>1183414</v>
      </c>
      <c r="J144" s="15">
        <f t="shared" si="260"/>
        <v>5073514</v>
      </c>
      <c r="K144" s="15">
        <f t="shared" si="260"/>
        <v>3403500</v>
      </c>
      <c r="L144" s="15">
        <f t="shared" si="260"/>
        <v>1670014</v>
      </c>
      <c r="M144" s="195">
        <f t="shared" si="224"/>
        <v>17820542</v>
      </c>
      <c r="N144" s="195">
        <f t="shared" si="224"/>
        <v>10592100</v>
      </c>
      <c r="O144" s="15">
        <f t="shared" ref="O144:W144" si="261">O26+O35</f>
        <v>5073514</v>
      </c>
      <c r="P144" s="15">
        <f t="shared" si="261"/>
        <v>3265050</v>
      </c>
      <c r="Q144" s="15">
        <f t="shared" si="261"/>
        <v>1808464</v>
      </c>
      <c r="R144" s="15">
        <f t="shared" si="261"/>
        <v>5073514</v>
      </c>
      <c r="S144" s="15">
        <f t="shared" si="261"/>
        <v>5497710</v>
      </c>
      <c r="T144" s="15">
        <f t="shared" si="261"/>
        <v>-424196</v>
      </c>
      <c r="U144" s="15">
        <f t="shared" si="261"/>
        <v>5073514</v>
      </c>
      <c r="V144" s="15">
        <f t="shared" si="261"/>
        <v>5357530</v>
      </c>
      <c r="W144" s="15">
        <f t="shared" si="261"/>
        <v>-284016</v>
      </c>
      <c r="X144" s="195">
        <f t="shared" si="226"/>
        <v>15220542</v>
      </c>
      <c r="Y144" s="195">
        <f t="shared" si="226"/>
        <v>14120290</v>
      </c>
      <c r="Z144" s="15">
        <f t="shared" ref="Z144:AH144" si="262">Z26+Z35</f>
        <v>5073514</v>
      </c>
      <c r="AA144" s="15">
        <f t="shared" si="262"/>
        <v>4207493</v>
      </c>
      <c r="AB144" s="15">
        <f t="shared" si="262"/>
        <v>866021</v>
      </c>
      <c r="AC144" s="15">
        <f t="shared" si="262"/>
        <v>5073514</v>
      </c>
      <c r="AD144" s="15">
        <f t="shared" si="262"/>
        <v>4199571</v>
      </c>
      <c r="AE144" s="15">
        <f t="shared" si="262"/>
        <v>873943</v>
      </c>
      <c r="AF144" s="15">
        <f t="shared" si="262"/>
        <v>5073514</v>
      </c>
      <c r="AG144" s="15">
        <f t="shared" si="262"/>
        <v>3781065</v>
      </c>
      <c r="AH144" s="15">
        <f t="shared" si="262"/>
        <v>1292449</v>
      </c>
      <c r="AK144" s="15">
        <f t="shared" ref="AK144:AS144" si="263">AK26+AK35</f>
        <v>5073514</v>
      </c>
      <c r="AL144" s="15">
        <f t="shared" si="263"/>
        <v>0</v>
      </c>
      <c r="AM144" s="15">
        <f t="shared" si="263"/>
        <v>5073514</v>
      </c>
      <c r="AN144" s="15">
        <f t="shared" si="263"/>
        <v>5073514</v>
      </c>
      <c r="AO144" s="15">
        <f t="shared" si="263"/>
        <v>0</v>
      </c>
      <c r="AP144" s="15">
        <f t="shared" si="263"/>
        <v>5073514</v>
      </c>
      <c r="AQ144" s="15">
        <f t="shared" si="263"/>
        <v>5073514</v>
      </c>
      <c r="AR144" s="15">
        <f t="shared" si="263"/>
        <v>0</v>
      </c>
      <c r="AS144" s="15">
        <f t="shared" si="263"/>
        <v>5073514</v>
      </c>
      <c r="AV144" s="1">
        <f t="shared" si="229"/>
        <v>63482168</v>
      </c>
      <c r="AW144" s="36">
        <f t="shared" si="229"/>
        <v>36900519</v>
      </c>
      <c r="AX144" s="1">
        <f t="shared" si="230"/>
        <v>56253726</v>
      </c>
      <c r="AY144" s="1">
        <f t="shared" si="231"/>
        <v>26581649</v>
      </c>
    </row>
    <row r="145" spans="1:51" x14ac:dyDescent="0.2">
      <c r="A145">
        <v>10</v>
      </c>
      <c r="B145" s="70" t="s">
        <v>154</v>
      </c>
      <c r="D145" s="15">
        <f t="shared" ref="D145:L145" si="264">D112</f>
        <v>10000000</v>
      </c>
      <c r="E145" s="15">
        <f t="shared" si="264"/>
        <v>11250000</v>
      </c>
      <c r="F145" s="15">
        <f t="shared" si="264"/>
        <v>-1250000</v>
      </c>
      <c r="G145" s="15">
        <f t="shared" si="264"/>
        <v>10000000</v>
      </c>
      <c r="H145" s="15">
        <f t="shared" si="264"/>
        <v>11250000</v>
      </c>
      <c r="I145" s="15">
        <f t="shared" si="264"/>
        <v>-1250000</v>
      </c>
      <c r="J145" s="15">
        <f t="shared" si="264"/>
        <v>10000000</v>
      </c>
      <c r="K145" s="15">
        <f t="shared" si="264"/>
        <v>11250000</v>
      </c>
      <c r="L145" s="15">
        <f t="shared" si="264"/>
        <v>-1250000</v>
      </c>
      <c r="M145" s="195">
        <f t="shared" si="224"/>
        <v>30000000</v>
      </c>
      <c r="N145" s="195">
        <f t="shared" si="224"/>
        <v>33750000</v>
      </c>
      <c r="O145" s="15">
        <f t="shared" ref="O145:W145" si="265">O112</f>
        <v>10000000</v>
      </c>
      <c r="P145" s="15">
        <f t="shared" si="265"/>
        <v>11250000</v>
      </c>
      <c r="Q145" s="15">
        <f t="shared" si="265"/>
        <v>-1250000</v>
      </c>
      <c r="R145" s="15">
        <f t="shared" si="265"/>
        <v>10000000</v>
      </c>
      <c r="S145" s="15">
        <f t="shared" si="265"/>
        <v>11250000</v>
      </c>
      <c r="T145" s="15">
        <f t="shared" si="265"/>
        <v>-1250000</v>
      </c>
      <c r="U145" s="15">
        <f t="shared" si="265"/>
        <v>10000000</v>
      </c>
      <c r="V145" s="15">
        <f t="shared" si="265"/>
        <v>11250000</v>
      </c>
      <c r="W145" s="15">
        <f t="shared" si="265"/>
        <v>-1250000</v>
      </c>
      <c r="X145" s="195">
        <f t="shared" si="226"/>
        <v>30000000</v>
      </c>
      <c r="Y145" s="195">
        <f t="shared" si="226"/>
        <v>33750000</v>
      </c>
      <c r="Z145" s="15">
        <f t="shared" ref="Z145:AH145" si="266">Z112</f>
        <v>10000000</v>
      </c>
      <c r="AA145" s="15">
        <f t="shared" si="266"/>
        <v>11250000</v>
      </c>
      <c r="AB145" s="15">
        <f t="shared" si="266"/>
        <v>-1250000</v>
      </c>
      <c r="AC145" s="15">
        <f t="shared" si="266"/>
        <v>10000000</v>
      </c>
      <c r="AD145" s="15">
        <f t="shared" si="266"/>
        <v>22500000</v>
      </c>
      <c r="AE145" s="15">
        <f t="shared" si="266"/>
        <v>-12500000</v>
      </c>
      <c r="AF145" s="15">
        <f t="shared" si="266"/>
        <v>10000000</v>
      </c>
      <c r="AG145" s="15">
        <f t="shared" si="266"/>
        <v>11250000</v>
      </c>
      <c r="AH145" s="15">
        <f t="shared" si="266"/>
        <v>-1250000</v>
      </c>
      <c r="AK145" s="15">
        <f t="shared" ref="AK145:AS145" si="267">AK112</f>
        <v>10000000</v>
      </c>
      <c r="AL145" s="15">
        <f t="shared" si="267"/>
        <v>0</v>
      </c>
      <c r="AM145" s="15">
        <f t="shared" si="267"/>
        <v>10000000</v>
      </c>
      <c r="AN145" s="15">
        <f t="shared" si="267"/>
        <v>10000000</v>
      </c>
      <c r="AO145" s="15">
        <f t="shared" si="267"/>
        <v>0</v>
      </c>
      <c r="AP145" s="15">
        <f t="shared" si="267"/>
        <v>10000000</v>
      </c>
      <c r="AQ145" s="15">
        <f t="shared" si="267"/>
        <v>10000000</v>
      </c>
      <c r="AR145" s="15">
        <f t="shared" si="267"/>
        <v>0</v>
      </c>
      <c r="AS145" s="15">
        <f t="shared" si="267"/>
        <v>10000000</v>
      </c>
      <c r="AV145" s="1">
        <f t="shared" si="229"/>
        <v>120000000</v>
      </c>
      <c r="AW145" s="36">
        <f t="shared" si="229"/>
        <v>112500000</v>
      </c>
      <c r="AX145" s="1">
        <f t="shared" si="230"/>
        <v>123750000</v>
      </c>
      <c r="AY145" s="1">
        <f t="shared" si="231"/>
        <v>7500000</v>
      </c>
    </row>
    <row r="146" spans="1:51" x14ac:dyDescent="0.2">
      <c r="A146">
        <v>11</v>
      </c>
      <c r="B146" s="70" t="s">
        <v>129</v>
      </c>
      <c r="D146" s="15">
        <f t="shared" ref="D146:L146" si="268">D82+D111</f>
        <v>1816683</v>
      </c>
      <c r="E146" s="15">
        <f t="shared" si="268"/>
        <v>5100000</v>
      </c>
      <c r="F146" s="15">
        <f t="shared" si="268"/>
        <v>-3283317</v>
      </c>
      <c r="G146" s="15">
        <f t="shared" si="268"/>
        <v>1816683</v>
      </c>
      <c r="H146" s="15">
        <f t="shared" si="268"/>
        <v>0</v>
      </c>
      <c r="I146" s="15">
        <f t="shared" si="268"/>
        <v>1816683</v>
      </c>
      <c r="J146" s="15">
        <f t="shared" si="268"/>
        <v>1816683</v>
      </c>
      <c r="K146" s="15">
        <f t="shared" si="268"/>
        <v>0</v>
      </c>
      <c r="L146" s="15">
        <f t="shared" si="268"/>
        <v>1816683</v>
      </c>
      <c r="M146" s="195">
        <f t="shared" si="224"/>
        <v>5450049</v>
      </c>
      <c r="N146" s="195">
        <f t="shared" si="224"/>
        <v>5100000</v>
      </c>
      <c r="O146" s="15">
        <f t="shared" ref="O146:W146" si="269">O82+O111</f>
        <v>81816683</v>
      </c>
      <c r="P146" s="15">
        <f t="shared" si="269"/>
        <v>0</v>
      </c>
      <c r="Q146" s="15">
        <f t="shared" si="269"/>
        <v>81816683</v>
      </c>
      <c r="R146" s="15">
        <f t="shared" si="269"/>
        <v>1816683</v>
      </c>
      <c r="S146" s="15">
        <f t="shared" si="269"/>
        <v>500000</v>
      </c>
      <c r="T146" s="15">
        <f t="shared" si="269"/>
        <v>1316683</v>
      </c>
      <c r="U146" s="15">
        <f t="shared" si="269"/>
        <v>1816683</v>
      </c>
      <c r="V146" s="15">
        <f t="shared" si="269"/>
        <v>0</v>
      </c>
      <c r="W146" s="15">
        <f t="shared" si="269"/>
        <v>1816683</v>
      </c>
      <c r="X146" s="195">
        <f t="shared" si="226"/>
        <v>85450049</v>
      </c>
      <c r="Y146" s="195">
        <f t="shared" si="226"/>
        <v>500000</v>
      </c>
      <c r="Z146" s="15">
        <f t="shared" ref="Z146:AH146" si="270">Z82+Z111</f>
        <v>1816683</v>
      </c>
      <c r="AA146" s="15">
        <f t="shared" si="270"/>
        <v>0</v>
      </c>
      <c r="AB146" s="15">
        <f t="shared" si="270"/>
        <v>1816683</v>
      </c>
      <c r="AC146" s="15">
        <f t="shared" si="270"/>
        <v>1816683</v>
      </c>
      <c r="AD146" s="15">
        <f t="shared" si="270"/>
        <v>0</v>
      </c>
      <c r="AE146" s="15">
        <f t="shared" si="270"/>
        <v>1816683</v>
      </c>
      <c r="AF146" s="15">
        <f t="shared" si="270"/>
        <v>1816683</v>
      </c>
      <c r="AG146" s="15">
        <f t="shared" si="270"/>
        <v>2000000</v>
      </c>
      <c r="AH146" s="15">
        <f t="shared" si="270"/>
        <v>-183317</v>
      </c>
      <c r="AK146" s="15">
        <f t="shared" ref="AK146:AS146" si="271">AK82+AK111</f>
        <v>1816683</v>
      </c>
      <c r="AL146" s="15">
        <f t="shared" si="271"/>
        <v>0</v>
      </c>
      <c r="AM146" s="15">
        <f t="shared" si="271"/>
        <v>1816683</v>
      </c>
      <c r="AN146" s="15">
        <f t="shared" si="271"/>
        <v>1816683</v>
      </c>
      <c r="AO146" s="15">
        <f t="shared" si="271"/>
        <v>0</v>
      </c>
      <c r="AP146" s="15">
        <f t="shared" si="271"/>
        <v>1816683</v>
      </c>
      <c r="AQ146" s="15">
        <f t="shared" si="271"/>
        <v>1816683</v>
      </c>
      <c r="AR146" s="15">
        <f t="shared" si="271"/>
        <v>0</v>
      </c>
      <c r="AS146" s="15">
        <f t="shared" si="271"/>
        <v>1816683</v>
      </c>
      <c r="AV146" s="1">
        <f t="shared" si="229"/>
        <v>101800196</v>
      </c>
      <c r="AW146" s="36">
        <f t="shared" si="229"/>
        <v>7600000</v>
      </c>
      <c r="AX146" s="1">
        <f t="shared" si="230"/>
        <v>101450147</v>
      </c>
      <c r="AY146" s="1">
        <f t="shared" si="231"/>
        <v>94200196</v>
      </c>
    </row>
    <row r="147" spans="1:51" x14ac:dyDescent="0.2">
      <c r="A147">
        <v>13</v>
      </c>
      <c r="B147" s="70" t="s">
        <v>191</v>
      </c>
      <c r="D147" s="15">
        <f t="shared" ref="D147:L147" si="272">D8</f>
        <v>0</v>
      </c>
      <c r="E147" s="15">
        <f t="shared" si="272"/>
        <v>23866911</v>
      </c>
      <c r="F147" s="15">
        <f t="shared" si="272"/>
        <v>0</v>
      </c>
      <c r="G147" s="15">
        <f t="shared" si="272"/>
        <v>0</v>
      </c>
      <c r="H147" s="15">
        <f t="shared" si="272"/>
        <v>24245397</v>
      </c>
      <c r="I147" s="15">
        <f t="shared" si="272"/>
        <v>0</v>
      </c>
      <c r="J147" s="15">
        <f t="shared" si="272"/>
        <v>0</v>
      </c>
      <c r="K147" s="15">
        <f t="shared" si="272"/>
        <v>61912561</v>
      </c>
      <c r="L147" s="15">
        <f t="shared" si="272"/>
        <v>0</v>
      </c>
      <c r="M147" s="195">
        <f t="shared" si="224"/>
        <v>0</v>
      </c>
      <c r="N147" s="195">
        <f t="shared" si="224"/>
        <v>110024869</v>
      </c>
      <c r="O147" s="15">
        <f t="shared" ref="O147:W147" si="273">O8</f>
        <v>0</v>
      </c>
      <c r="P147" s="15">
        <f t="shared" si="273"/>
        <v>4293721</v>
      </c>
      <c r="Q147" s="15">
        <f t="shared" si="273"/>
        <v>0</v>
      </c>
      <c r="R147" s="15">
        <f t="shared" si="273"/>
        <v>0</v>
      </c>
      <c r="S147" s="15">
        <f t="shared" si="273"/>
        <v>4838321</v>
      </c>
      <c r="T147" s="15">
        <f t="shared" si="273"/>
        <v>0</v>
      </c>
      <c r="U147" s="15">
        <f t="shared" si="273"/>
        <v>0</v>
      </c>
      <c r="V147" s="15">
        <f t="shared" si="273"/>
        <v>4818781</v>
      </c>
      <c r="W147" s="15">
        <f t="shared" si="273"/>
        <v>0</v>
      </c>
      <c r="X147" s="195">
        <f t="shared" si="226"/>
        <v>0</v>
      </c>
      <c r="Y147" s="195">
        <f t="shared" si="226"/>
        <v>13950823</v>
      </c>
      <c r="Z147" s="15">
        <f t="shared" ref="Z147:AH147" si="274">Z8</f>
        <v>0</v>
      </c>
      <c r="AA147" s="15">
        <f t="shared" si="274"/>
        <v>0</v>
      </c>
      <c r="AB147" s="15">
        <f t="shared" si="274"/>
        <v>0</v>
      </c>
      <c r="AC147" s="15">
        <f t="shared" si="274"/>
        <v>0</v>
      </c>
      <c r="AD147" s="15">
        <f t="shared" si="274"/>
        <v>0</v>
      </c>
      <c r="AE147" s="15">
        <f t="shared" si="274"/>
        <v>0</v>
      </c>
      <c r="AF147" s="15">
        <f t="shared" si="274"/>
        <v>0</v>
      </c>
      <c r="AG147" s="15">
        <f t="shared" si="274"/>
        <v>0</v>
      </c>
      <c r="AH147" s="15">
        <f t="shared" si="274"/>
        <v>0</v>
      </c>
      <c r="AK147" s="15">
        <f t="shared" ref="AK147:AS147" si="275">AK8</f>
        <v>0</v>
      </c>
      <c r="AL147" s="15">
        <f t="shared" si="275"/>
        <v>0</v>
      </c>
      <c r="AM147" s="15">
        <f t="shared" si="275"/>
        <v>0</v>
      </c>
      <c r="AN147" s="15">
        <f t="shared" si="275"/>
        <v>0</v>
      </c>
      <c r="AO147" s="15">
        <f t="shared" si="275"/>
        <v>0</v>
      </c>
      <c r="AP147" s="15">
        <f t="shared" si="275"/>
        <v>0</v>
      </c>
      <c r="AQ147" s="15">
        <f t="shared" si="275"/>
        <v>0</v>
      </c>
      <c r="AR147" s="15">
        <f t="shared" si="275"/>
        <v>0</v>
      </c>
      <c r="AS147" s="15">
        <f t="shared" si="275"/>
        <v>0</v>
      </c>
      <c r="AV147" s="1">
        <f t="shared" si="229"/>
        <v>0</v>
      </c>
      <c r="AW147" s="36">
        <f t="shared" si="229"/>
        <v>123975692</v>
      </c>
      <c r="AX147" s="1">
        <f t="shared" si="230"/>
        <v>110024869</v>
      </c>
      <c r="AY147" s="1">
        <f t="shared" si="231"/>
        <v>0</v>
      </c>
    </row>
    <row r="148" spans="1:51" x14ac:dyDescent="0.2">
      <c r="A148">
        <v>14</v>
      </c>
      <c r="B148" s="70" t="s">
        <v>27</v>
      </c>
      <c r="D148" s="15">
        <f t="shared" ref="D148:L148" si="276">D7</f>
        <v>0</v>
      </c>
      <c r="E148" s="15">
        <f t="shared" si="276"/>
        <v>689759</v>
      </c>
      <c r="F148" s="15">
        <f t="shared" si="276"/>
        <v>0</v>
      </c>
      <c r="G148" s="15">
        <f t="shared" si="276"/>
        <v>0</v>
      </c>
      <c r="H148" s="15">
        <f t="shared" si="276"/>
        <v>702943</v>
      </c>
      <c r="I148" s="15">
        <f t="shared" si="276"/>
        <v>0</v>
      </c>
      <c r="J148" s="15">
        <f t="shared" si="276"/>
        <v>0</v>
      </c>
      <c r="K148" s="15">
        <f t="shared" si="276"/>
        <v>661978</v>
      </c>
      <c r="L148" s="15">
        <f t="shared" si="276"/>
        <v>0</v>
      </c>
      <c r="M148" s="195">
        <f t="shared" si="224"/>
        <v>0</v>
      </c>
      <c r="N148" s="195">
        <f t="shared" si="224"/>
        <v>2054680</v>
      </c>
      <c r="O148" s="15">
        <f t="shared" ref="O148:W148" si="277">O7</f>
        <v>0</v>
      </c>
      <c r="P148" s="15">
        <f t="shared" si="277"/>
        <v>724361</v>
      </c>
      <c r="Q148" s="15">
        <f t="shared" si="277"/>
        <v>0</v>
      </c>
      <c r="R148" s="15">
        <f t="shared" si="277"/>
        <v>0</v>
      </c>
      <c r="S148" s="15">
        <f t="shared" si="277"/>
        <v>834321</v>
      </c>
      <c r="T148" s="15">
        <f t="shared" si="277"/>
        <v>0</v>
      </c>
      <c r="U148" s="15">
        <f t="shared" si="277"/>
        <v>0</v>
      </c>
      <c r="V148" s="15">
        <f t="shared" si="277"/>
        <v>830255</v>
      </c>
      <c r="W148" s="15">
        <f t="shared" si="277"/>
        <v>0</v>
      </c>
      <c r="X148" s="195">
        <f t="shared" si="226"/>
        <v>0</v>
      </c>
      <c r="Y148" s="195">
        <f t="shared" si="226"/>
        <v>2388937</v>
      </c>
      <c r="Z148" s="15">
        <f t="shared" ref="Z148:AH148" si="278">Z7</f>
        <v>0</v>
      </c>
      <c r="AA148" s="15">
        <f t="shared" si="278"/>
        <v>0</v>
      </c>
      <c r="AB148" s="15">
        <f t="shared" si="278"/>
        <v>0</v>
      </c>
      <c r="AC148" s="15">
        <f t="shared" si="278"/>
        <v>0</v>
      </c>
      <c r="AD148" s="15">
        <f t="shared" si="278"/>
        <v>0</v>
      </c>
      <c r="AE148" s="15">
        <f t="shared" si="278"/>
        <v>0</v>
      </c>
      <c r="AF148" s="15">
        <f t="shared" si="278"/>
        <v>0</v>
      </c>
      <c r="AG148" s="15">
        <f t="shared" si="278"/>
        <v>0</v>
      </c>
      <c r="AH148" s="15">
        <f t="shared" si="278"/>
        <v>0</v>
      </c>
      <c r="AK148" s="15">
        <f t="shared" ref="AK148:AS148" si="279">AK7</f>
        <v>0</v>
      </c>
      <c r="AL148" s="15">
        <f t="shared" si="279"/>
        <v>0</v>
      </c>
      <c r="AM148" s="15">
        <f t="shared" si="279"/>
        <v>0</v>
      </c>
      <c r="AN148" s="15">
        <f t="shared" si="279"/>
        <v>0</v>
      </c>
      <c r="AO148" s="15">
        <f t="shared" si="279"/>
        <v>0</v>
      </c>
      <c r="AP148" s="15">
        <f t="shared" si="279"/>
        <v>0</v>
      </c>
      <c r="AQ148" s="15">
        <f t="shared" si="279"/>
        <v>0</v>
      </c>
      <c r="AR148" s="15">
        <f t="shared" si="279"/>
        <v>0</v>
      </c>
      <c r="AS148" s="15">
        <f t="shared" si="279"/>
        <v>0</v>
      </c>
      <c r="AV148" s="1">
        <f t="shared" si="229"/>
        <v>0</v>
      </c>
      <c r="AW148" s="36">
        <f t="shared" si="229"/>
        <v>4443617</v>
      </c>
      <c r="AX148" s="1">
        <f t="shared" si="230"/>
        <v>2054680</v>
      </c>
      <c r="AY148" s="1">
        <f t="shared" si="231"/>
        <v>0</v>
      </c>
    </row>
    <row r="149" spans="1:51" x14ac:dyDescent="0.2">
      <c r="A149">
        <v>15</v>
      </c>
      <c r="B149" s="70" t="s">
        <v>192</v>
      </c>
      <c r="D149" s="15">
        <f t="shared" ref="D149:L149" si="280">D27+D29+D79+D28</f>
        <v>100000</v>
      </c>
      <c r="E149" s="15">
        <f t="shared" si="280"/>
        <v>0</v>
      </c>
      <c r="F149" s="15">
        <f t="shared" si="280"/>
        <v>100000</v>
      </c>
      <c r="G149" s="15">
        <f t="shared" si="280"/>
        <v>100000</v>
      </c>
      <c r="H149" s="15">
        <f t="shared" si="280"/>
        <v>0</v>
      </c>
      <c r="I149" s="15">
        <f t="shared" si="280"/>
        <v>100000</v>
      </c>
      <c r="J149" s="15">
        <f t="shared" si="280"/>
        <v>700000</v>
      </c>
      <c r="K149" s="15">
        <f t="shared" si="280"/>
        <v>0</v>
      </c>
      <c r="L149" s="15">
        <f t="shared" si="280"/>
        <v>700000</v>
      </c>
      <c r="M149" s="195">
        <f t="shared" si="224"/>
        <v>900000</v>
      </c>
      <c r="N149" s="195">
        <f t="shared" si="224"/>
        <v>0</v>
      </c>
      <c r="O149" s="15">
        <f t="shared" ref="O149:W149" si="281">O27+O29+O79+O28</f>
        <v>10000000</v>
      </c>
      <c r="P149" s="15">
        <f t="shared" si="281"/>
        <v>146500000</v>
      </c>
      <c r="Q149" s="15">
        <f t="shared" si="281"/>
        <v>-136500000</v>
      </c>
      <c r="R149" s="15">
        <f t="shared" si="281"/>
        <v>100000</v>
      </c>
      <c r="S149" s="15">
        <f t="shared" si="281"/>
        <v>0</v>
      </c>
      <c r="T149" s="15">
        <f t="shared" si="281"/>
        <v>100000</v>
      </c>
      <c r="U149" s="15">
        <f t="shared" si="281"/>
        <v>25100000</v>
      </c>
      <c r="V149" s="15">
        <f t="shared" si="281"/>
        <v>0</v>
      </c>
      <c r="W149" s="15">
        <f t="shared" si="281"/>
        <v>25100000</v>
      </c>
      <c r="X149" s="195">
        <f t="shared" si="226"/>
        <v>35200000</v>
      </c>
      <c r="Y149" s="195">
        <f t="shared" si="226"/>
        <v>146500000</v>
      </c>
      <c r="Z149" s="15">
        <f t="shared" ref="Z149:AH149" si="282">Z27+Z29+Z79+Z28</f>
        <v>100000</v>
      </c>
      <c r="AA149" s="15">
        <f t="shared" si="282"/>
        <v>0</v>
      </c>
      <c r="AB149" s="15">
        <f t="shared" si="282"/>
        <v>100000</v>
      </c>
      <c r="AC149" s="15">
        <f t="shared" si="282"/>
        <v>7500000</v>
      </c>
      <c r="AD149" s="15">
        <f t="shared" si="282"/>
        <v>7179487</v>
      </c>
      <c r="AE149" s="15">
        <f t="shared" si="282"/>
        <v>320513</v>
      </c>
      <c r="AF149" s="15">
        <f t="shared" si="282"/>
        <v>100000</v>
      </c>
      <c r="AG149" s="15">
        <f t="shared" si="282"/>
        <v>24404480</v>
      </c>
      <c r="AH149" s="15">
        <f t="shared" si="282"/>
        <v>-24304480</v>
      </c>
      <c r="AK149" s="15">
        <f t="shared" ref="AK149:AS149" si="283">AK27+AK29+AK79+AK28</f>
        <v>100000</v>
      </c>
      <c r="AL149" s="15">
        <f t="shared" si="283"/>
        <v>0</v>
      </c>
      <c r="AM149" s="15">
        <f t="shared" si="283"/>
        <v>100000</v>
      </c>
      <c r="AN149" s="15">
        <f t="shared" si="283"/>
        <v>100000</v>
      </c>
      <c r="AO149" s="15">
        <f t="shared" si="283"/>
        <v>0</v>
      </c>
      <c r="AP149" s="15">
        <f t="shared" si="283"/>
        <v>100000</v>
      </c>
      <c r="AQ149" s="15">
        <f t="shared" si="283"/>
        <v>25100000</v>
      </c>
      <c r="AR149" s="15">
        <f t="shared" si="283"/>
        <v>0</v>
      </c>
      <c r="AS149" s="15">
        <f t="shared" si="283"/>
        <v>25100000</v>
      </c>
      <c r="AV149" s="1">
        <f t="shared" si="229"/>
        <v>69100000</v>
      </c>
      <c r="AW149" s="36">
        <f t="shared" si="229"/>
        <v>178083967</v>
      </c>
      <c r="AX149" s="1">
        <f t="shared" si="230"/>
        <v>68200000</v>
      </c>
      <c r="AY149" s="1">
        <f t="shared" si="231"/>
        <v>-108983967</v>
      </c>
    </row>
    <row r="150" spans="1:51" x14ac:dyDescent="0.2">
      <c r="A150">
        <v>16</v>
      </c>
      <c r="B150" s="70" t="s">
        <v>100</v>
      </c>
      <c r="D150" s="15">
        <f t="shared" ref="D150:L150" si="284">D53</f>
        <v>6962154</v>
      </c>
      <c r="E150" s="15">
        <f t="shared" si="284"/>
        <v>13011291</v>
      </c>
      <c r="F150" s="15">
        <f t="shared" si="284"/>
        <v>-6049137</v>
      </c>
      <c r="G150" s="15">
        <f t="shared" si="284"/>
        <v>6962154</v>
      </c>
      <c r="H150" s="15">
        <f t="shared" si="284"/>
        <v>7051223</v>
      </c>
      <c r="I150" s="15">
        <f t="shared" si="284"/>
        <v>-89069</v>
      </c>
      <c r="J150" s="15">
        <f t="shared" si="284"/>
        <v>6962154</v>
      </c>
      <c r="K150" s="15">
        <f t="shared" si="284"/>
        <v>14677381</v>
      </c>
      <c r="L150" s="15">
        <f t="shared" si="284"/>
        <v>-7715227</v>
      </c>
      <c r="M150" s="195">
        <f t="shared" si="224"/>
        <v>20886462</v>
      </c>
      <c r="N150" s="195">
        <f t="shared" si="224"/>
        <v>34739895</v>
      </c>
      <c r="O150" s="15">
        <f t="shared" ref="O150:W150" si="285">O53</f>
        <v>6962154</v>
      </c>
      <c r="P150" s="15">
        <f t="shared" si="285"/>
        <v>6674489</v>
      </c>
      <c r="Q150" s="15">
        <f t="shared" si="285"/>
        <v>287665</v>
      </c>
      <c r="R150" s="15">
        <f t="shared" si="285"/>
        <v>6962154</v>
      </c>
      <c r="S150" s="15">
        <f t="shared" si="285"/>
        <v>10194374</v>
      </c>
      <c r="T150" s="15">
        <f t="shared" si="285"/>
        <v>-3232220</v>
      </c>
      <c r="U150" s="15">
        <f t="shared" si="285"/>
        <v>6962154</v>
      </c>
      <c r="V150" s="15">
        <f t="shared" si="285"/>
        <v>3060289</v>
      </c>
      <c r="W150" s="15">
        <f t="shared" si="285"/>
        <v>3901865</v>
      </c>
      <c r="X150" s="195">
        <f t="shared" si="226"/>
        <v>20886462</v>
      </c>
      <c r="Y150" s="195">
        <f t="shared" si="226"/>
        <v>19929152</v>
      </c>
      <c r="Z150" s="15">
        <f t="shared" ref="Z150:AH150" si="286">Z53</f>
        <v>6962154</v>
      </c>
      <c r="AA150" s="15">
        <f t="shared" si="286"/>
        <v>5543736</v>
      </c>
      <c r="AB150" s="15">
        <f t="shared" si="286"/>
        <v>1418418</v>
      </c>
      <c r="AC150" s="15">
        <f t="shared" si="286"/>
        <v>13924308</v>
      </c>
      <c r="AD150" s="15">
        <f t="shared" si="286"/>
        <v>13115407</v>
      </c>
      <c r="AE150" s="15">
        <f t="shared" si="286"/>
        <v>808901</v>
      </c>
      <c r="AF150" s="15">
        <f t="shared" si="286"/>
        <v>6962154</v>
      </c>
      <c r="AG150" s="15">
        <f t="shared" si="286"/>
        <v>3485847.83</v>
      </c>
      <c r="AH150" s="15">
        <f t="shared" si="286"/>
        <v>3476306.17</v>
      </c>
      <c r="AK150" s="15">
        <f t="shared" ref="AK150:AS150" si="287">AK53</f>
        <v>6962154</v>
      </c>
      <c r="AL150" s="15">
        <f t="shared" si="287"/>
        <v>0</v>
      </c>
      <c r="AM150" s="15">
        <f t="shared" si="287"/>
        <v>6962154</v>
      </c>
      <c r="AN150" s="15">
        <f t="shared" si="287"/>
        <v>6962154</v>
      </c>
      <c r="AO150" s="15">
        <f t="shared" si="287"/>
        <v>0</v>
      </c>
      <c r="AP150" s="15">
        <f t="shared" si="287"/>
        <v>6962154</v>
      </c>
      <c r="AQ150" s="15">
        <f t="shared" si="287"/>
        <v>13924308</v>
      </c>
      <c r="AR150" s="15">
        <f t="shared" si="287"/>
        <v>0</v>
      </c>
      <c r="AS150" s="15">
        <f t="shared" si="287"/>
        <v>13924308</v>
      </c>
      <c r="AV150" s="1">
        <f t="shared" si="229"/>
        <v>97470156</v>
      </c>
      <c r="AW150" s="36">
        <f t="shared" si="229"/>
        <v>76814037.829999998</v>
      </c>
      <c r="AX150" s="1">
        <f t="shared" si="230"/>
        <v>111323589</v>
      </c>
      <c r="AY150" s="1">
        <f t="shared" si="231"/>
        <v>20656118.170000002</v>
      </c>
    </row>
    <row r="151" spans="1:51" x14ac:dyDescent="0.2">
      <c r="A151">
        <v>17</v>
      </c>
      <c r="B151" s="70" t="s">
        <v>84</v>
      </c>
      <c r="D151" s="15">
        <f t="shared" ref="D151:L151" si="288">D25+D45+D62+D66+D88+D94+D100+D109+D97+D85</f>
        <v>4500000</v>
      </c>
      <c r="E151" s="15">
        <f t="shared" si="288"/>
        <v>0</v>
      </c>
      <c r="F151" s="15">
        <f t="shared" si="288"/>
        <v>4500000</v>
      </c>
      <c r="G151" s="15">
        <f t="shared" si="288"/>
        <v>0</v>
      </c>
      <c r="H151" s="15">
        <f t="shared" si="288"/>
        <v>6428140</v>
      </c>
      <c r="I151" s="15">
        <f t="shared" si="288"/>
        <v>-6428140</v>
      </c>
      <c r="J151" s="15">
        <f t="shared" si="288"/>
        <v>4500000</v>
      </c>
      <c r="K151" s="15">
        <f t="shared" si="288"/>
        <v>1753000</v>
      </c>
      <c r="L151" s="15">
        <f t="shared" si="288"/>
        <v>3315000</v>
      </c>
      <c r="M151" s="195">
        <f t="shared" si="224"/>
        <v>9000000</v>
      </c>
      <c r="N151" s="195">
        <f t="shared" si="224"/>
        <v>8181140</v>
      </c>
      <c r="O151" s="15">
        <f t="shared" ref="O151:W151" si="289">O25+O45+O62+O66+O88+O94+O100+O109+O97+O85</f>
        <v>0</v>
      </c>
      <c r="P151" s="15">
        <f t="shared" si="289"/>
        <v>0</v>
      </c>
      <c r="Q151" s="15">
        <f t="shared" si="289"/>
        <v>0</v>
      </c>
      <c r="R151" s="15">
        <f t="shared" si="289"/>
        <v>4500000</v>
      </c>
      <c r="S151" s="15">
        <f t="shared" si="289"/>
        <v>11105265</v>
      </c>
      <c r="T151" s="15">
        <f t="shared" si="289"/>
        <v>-4992665</v>
      </c>
      <c r="U151" s="15">
        <f t="shared" si="289"/>
        <v>0</v>
      </c>
      <c r="V151" s="15">
        <f t="shared" si="289"/>
        <v>1262499</v>
      </c>
      <c r="W151" s="15">
        <f t="shared" si="289"/>
        <v>-1262499</v>
      </c>
      <c r="X151" s="195">
        <f t="shared" si="226"/>
        <v>4500000</v>
      </c>
      <c r="Y151" s="195">
        <f t="shared" si="226"/>
        <v>12367764</v>
      </c>
      <c r="Z151" s="15">
        <f t="shared" ref="Z151:AH151" si="290">Z25+Z45+Z62+Z66+Z88+Z94+Z100+Z109+Z97+Z85</f>
        <v>4500000</v>
      </c>
      <c r="AA151" s="15">
        <f t="shared" si="290"/>
        <v>6941008</v>
      </c>
      <c r="AB151" s="15">
        <f t="shared" si="290"/>
        <v>-2441008</v>
      </c>
      <c r="AC151" s="15">
        <f t="shared" si="290"/>
        <v>0</v>
      </c>
      <c r="AD151" s="15">
        <f t="shared" si="290"/>
        <v>0</v>
      </c>
      <c r="AE151" s="15">
        <f t="shared" si="290"/>
        <v>0</v>
      </c>
      <c r="AF151" s="15">
        <f t="shared" si="290"/>
        <v>4500000</v>
      </c>
      <c r="AG151" s="15">
        <f t="shared" si="290"/>
        <v>29710148</v>
      </c>
      <c r="AH151" s="15">
        <f t="shared" si="290"/>
        <v>-25210148</v>
      </c>
      <c r="AK151" s="15">
        <f t="shared" ref="AK151:AS151" si="291">AK25+AK45+AK62+AK66+AK88+AK94+AK100+AK109+AK97+AK85</f>
        <v>0</v>
      </c>
      <c r="AL151" s="15">
        <f t="shared" si="291"/>
        <v>0</v>
      </c>
      <c r="AM151" s="15">
        <f t="shared" si="291"/>
        <v>0</v>
      </c>
      <c r="AN151" s="15">
        <f t="shared" si="291"/>
        <v>4500000</v>
      </c>
      <c r="AO151" s="15">
        <f t="shared" si="291"/>
        <v>0</v>
      </c>
      <c r="AP151" s="15">
        <f t="shared" si="291"/>
        <v>4500000</v>
      </c>
      <c r="AQ151" s="15">
        <f t="shared" si="291"/>
        <v>0</v>
      </c>
      <c r="AR151" s="15">
        <f t="shared" si="291"/>
        <v>0</v>
      </c>
      <c r="AS151" s="15">
        <f t="shared" si="291"/>
        <v>0</v>
      </c>
      <c r="AV151" s="1">
        <f t="shared" si="229"/>
        <v>27000000</v>
      </c>
      <c r="AW151" s="36">
        <f t="shared" si="229"/>
        <v>57200060</v>
      </c>
      <c r="AX151" s="1">
        <f t="shared" si="230"/>
        <v>26181140</v>
      </c>
      <c r="AY151" s="1">
        <f t="shared" si="231"/>
        <v>-28019460</v>
      </c>
    </row>
    <row r="152" spans="1:51" x14ac:dyDescent="0.2">
      <c r="A152">
        <v>18</v>
      </c>
      <c r="B152" s="70" t="s">
        <v>72</v>
      </c>
      <c r="D152" s="15">
        <f t="shared" ref="D152:L152" si="292">D37</f>
        <v>1596166</v>
      </c>
      <c r="E152" s="15">
        <f t="shared" si="292"/>
        <v>2865535</v>
      </c>
      <c r="F152" s="15">
        <f t="shared" si="292"/>
        <v>-1269369</v>
      </c>
      <c r="G152" s="15">
        <f t="shared" si="292"/>
        <v>1596166</v>
      </c>
      <c r="H152" s="15">
        <f t="shared" si="292"/>
        <v>859392</v>
      </c>
      <c r="I152" s="15">
        <f t="shared" si="292"/>
        <v>736774</v>
      </c>
      <c r="J152" s="15">
        <f t="shared" si="292"/>
        <v>1596166</v>
      </c>
      <c r="K152" s="15">
        <f t="shared" si="292"/>
        <v>2324787</v>
      </c>
      <c r="L152" s="15">
        <f t="shared" si="292"/>
        <v>-728621</v>
      </c>
      <c r="M152" s="195">
        <f t="shared" si="224"/>
        <v>4788498</v>
      </c>
      <c r="N152" s="195">
        <f t="shared" si="224"/>
        <v>6049714</v>
      </c>
      <c r="O152" s="15">
        <f t="shared" ref="O152:W152" si="293">O37</f>
        <v>1596166</v>
      </c>
      <c r="P152" s="15">
        <f t="shared" si="293"/>
        <v>1546830</v>
      </c>
      <c r="Q152" s="15">
        <f t="shared" si="293"/>
        <v>49336</v>
      </c>
      <c r="R152" s="15">
        <f t="shared" si="293"/>
        <v>1596166</v>
      </c>
      <c r="S152" s="15">
        <f t="shared" si="293"/>
        <v>1696293</v>
      </c>
      <c r="T152" s="15">
        <f t="shared" si="293"/>
        <v>-100127</v>
      </c>
      <c r="U152" s="15">
        <f t="shared" si="293"/>
        <v>1596166</v>
      </c>
      <c r="V152" s="15">
        <f t="shared" si="293"/>
        <v>2538627</v>
      </c>
      <c r="W152" s="15">
        <f t="shared" si="293"/>
        <v>-942461</v>
      </c>
      <c r="X152" s="195">
        <f t="shared" si="226"/>
        <v>4788498</v>
      </c>
      <c r="Y152" s="195">
        <f t="shared" si="226"/>
        <v>5781750</v>
      </c>
      <c r="Z152" s="15">
        <f t="shared" ref="Z152:AH152" si="294">Z37</f>
        <v>1596166</v>
      </c>
      <c r="AA152" s="15">
        <f t="shared" si="294"/>
        <v>2048422</v>
      </c>
      <c r="AB152" s="15">
        <f t="shared" si="294"/>
        <v>-452256</v>
      </c>
      <c r="AC152" s="15">
        <f t="shared" si="294"/>
        <v>1596166</v>
      </c>
      <c r="AD152" s="15">
        <f t="shared" si="294"/>
        <v>1992007</v>
      </c>
      <c r="AE152" s="15">
        <f t="shared" si="294"/>
        <v>-395841</v>
      </c>
      <c r="AF152" s="15">
        <f t="shared" si="294"/>
        <v>1596166</v>
      </c>
      <c r="AG152" s="15">
        <f t="shared" si="294"/>
        <v>1262440</v>
      </c>
      <c r="AH152" s="15">
        <f t="shared" si="294"/>
        <v>333726</v>
      </c>
      <c r="AK152" s="15">
        <f t="shared" ref="AK152:AS152" si="295">AK37</f>
        <v>1596166</v>
      </c>
      <c r="AL152" s="15">
        <f t="shared" si="295"/>
        <v>0</v>
      </c>
      <c r="AM152" s="15">
        <f t="shared" si="295"/>
        <v>1596166</v>
      </c>
      <c r="AN152" s="15">
        <f t="shared" si="295"/>
        <v>1596166</v>
      </c>
      <c r="AO152" s="15">
        <f t="shared" si="295"/>
        <v>0</v>
      </c>
      <c r="AP152" s="15">
        <f t="shared" si="295"/>
        <v>1596166</v>
      </c>
      <c r="AQ152" s="15">
        <f t="shared" si="295"/>
        <v>1596166</v>
      </c>
      <c r="AR152" s="15">
        <f t="shared" si="295"/>
        <v>0</v>
      </c>
      <c r="AS152" s="15">
        <f t="shared" si="295"/>
        <v>1596166</v>
      </c>
      <c r="AV152" s="1">
        <f t="shared" si="229"/>
        <v>19153992</v>
      </c>
      <c r="AW152" s="36">
        <f t="shared" si="229"/>
        <v>17134333</v>
      </c>
      <c r="AX152" s="1">
        <f t="shared" si="230"/>
        <v>20415208</v>
      </c>
      <c r="AY152" s="1">
        <f t="shared" si="231"/>
        <v>2019659</v>
      </c>
    </row>
    <row r="153" spans="1:51" x14ac:dyDescent="0.2">
      <c r="A153">
        <v>19</v>
      </c>
      <c r="B153" s="70" t="s">
        <v>193</v>
      </c>
      <c r="D153" s="15">
        <f t="shared" ref="D153:L153" si="296">D12+D13+D108+D76</f>
        <v>32538501</v>
      </c>
      <c r="E153" s="15">
        <f t="shared" si="296"/>
        <v>881713</v>
      </c>
      <c r="F153" s="15">
        <f t="shared" si="296"/>
        <v>31656788</v>
      </c>
      <c r="G153" s="15">
        <f t="shared" si="296"/>
        <v>32538501</v>
      </c>
      <c r="H153" s="15">
        <f t="shared" si="296"/>
        <v>4690904</v>
      </c>
      <c r="I153" s="15">
        <f t="shared" si="296"/>
        <v>27847597</v>
      </c>
      <c r="J153" s="15">
        <f t="shared" si="296"/>
        <v>32538501</v>
      </c>
      <c r="K153" s="15">
        <f t="shared" si="296"/>
        <v>8852703</v>
      </c>
      <c r="L153" s="15">
        <f t="shared" si="296"/>
        <v>23685798</v>
      </c>
      <c r="M153" s="195">
        <f t="shared" si="224"/>
        <v>97615503</v>
      </c>
      <c r="N153" s="195">
        <f t="shared" si="224"/>
        <v>14425320</v>
      </c>
      <c r="O153" s="15">
        <f t="shared" ref="O153:W153" si="297">O12+O13+O108+O76</f>
        <v>34761301</v>
      </c>
      <c r="P153" s="15">
        <f t="shared" si="297"/>
        <v>20674048</v>
      </c>
      <c r="Q153" s="15">
        <f t="shared" si="297"/>
        <v>14087253.000000004</v>
      </c>
      <c r="R153" s="15">
        <f t="shared" si="297"/>
        <v>34761301</v>
      </c>
      <c r="S153" s="15">
        <f t="shared" si="297"/>
        <v>33226290</v>
      </c>
      <c r="T153" s="15">
        <f t="shared" si="297"/>
        <v>1535011.0000000037</v>
      </c>
      <c r="U153" s="15">
        <f t="shared" si="297"/>
        <v>65761301</v>
      </c>
      <c r="V153" s="15">
        <f t="shared" si="297"/>
        <v>21573819</v>
      </c>
      <c r="W153" s="15">
        <f t="shared" si="297"/>
        <v>44187482</v>
      </c>
      <c r="X153" s="195">
        <f t="shared" si="226"/>
        <v>135283903</v>
      </c>
      <c r="Y153" s="195">
        <f t="shared" si="226"/>
        <v>75474157</v>
      </c>
      <c r="Z153" s="15">
        <f t="shared" ref="Z153:AH153" si="298">Z12+Z13+Z108+Z76</f>
        <v>34748975.047005177</v>
      </c>
      <c r="AA153" s="15">
        <f t="shared" si="298"/>
        <v>128357981</v>
      </c>
      <c r="AB153" s="15">
        <f t="shared" si="298"/>
        <v>-93609005.952994823</v>
      </c>
      <c r="AC153" s="15">
        <f t="shared" si="298"/>
        <v>384754000.04700518</v>
      </c>
      <c r="AD153" s="15">
        <f t="shared" si="298"/>
        <v>248261611</v>
      </c>
      <c r="AE153" s="15">
        <f t="shared" si="298"/>
        <v>136492389.04700518</v>
      </c>
      <c r="AF153" s="15">
        <f t="shared" si="298"/>
        <v>34748975.047005177</v>
      </c>
      <c r="AG153" s="15">
        <f t="shared" si="298"/>
        <v>9379456</v>
      </c>
      <c r="AH153" s="15">
        <f t="shared" si="298"/>
        <v>25369519.047005173</v>
      </c>
      <c r="AK153" s="15">
        <f t="shared" ref="AK153:AS153" si="299">AK12+AK13+AK108+AK76</f>
        <v>34748975.047005177</v>
      </c>
      <c r="AL153" s="15">
        <f t="shared" si="299"/>
        <v>0</v>
      </c>
      <c r="AM153" s="15">
        <f t="shared" si="299"/>
        <v>34748975.047005177</v>
      </c>
      <c r="AN153" s="15">
        <f t="shared" si="299"/>
        <v>34748975.047005177</v>
      </c>
      <c r="AO153" s="15">
        <f t="shared" si="299"/>
        <v>0</v>
      </c>
      <c r="AP153" s="15">
        <f t="shared" si="299"/>
        <v>34748975.047005177</v>
      </c>
      <c r="AQ153" s="15">
        <f t="shared" si="299"/>
        <v>34748975.047005177</v>
      </c>
      <c r="AR153" s="15">
        <f t="shared" si="299"/>
        <v>0</v>
      </c>
      <c r="AS153" s="15">
        <f t="shared" si="299"/>
        <v>34748975.047005177</v>
      </c>
      <c r="AV153" s="1">
        <f t="shared" si="229"/>
        <v>791398281.28203106</v>
      </c>
      <c r="AW153" s="1">
        <f t="shared" si="229"/>
        <v>475898525</v>
      </c>
      <c r="AX153" s="1">
        <f t="shared" si="230"/>
        <v>708208098.28203106</v>
      </c>
      <c r="AY153" s="1">
        <f t="shared" si="231"/>
        <v>315499756.28203106</v>
      </c>
    </row>
    <row r="154" spans="1:51" x14ac:dyDescent="0.2">
      <c r="A154">
        <v>20</v>
      </c>
      <c r="B154" s="70" t="s">
        <v>194</v>
      </c>
      <c r="D154" s="15">
        <f t="shared" ref="D154:L154" si="300">D92</f>
        <v>500000</v>
      </c>
      <c r="E154" s="15">
        <f t="shared" si="300"/>
        <v>0</v>
      </c>
      <c r="F154" s="15">
        <f t="shared" si="300"/>
        <v>500000</v>
      </c>
      <c r="G154" s="15">
        <f t="shared" si="300"/>
        <v>500000</v>
      </c>
      <c r="H154" s="15">
        <f t="shared" si="300"/>
        <v>0</v>
      </c>
      <c r="I154" s="15">
        <f t="shared" si="300"/>
        <v>500000</v>
      </c>
      <c r="J154" s="15">
        <f t="shared" si="300"/>
        <v>500000</v>
      </c>
      <c r="K154" s="15">
        <f t="shared" si="300"/>
        <v>0</v>
      </c>
      <c r="L154" s="15">
        <f t="shared" si="300"/>
        <v>500000</v>
      </c>
      <c r="M154" s="195">
        <f t="shared" si="224"/>
        <v>1500000</v>
      </c>
      <c r="N154" s="195">
        <f t="shared" si="224"/>
        <v>0</v>
      </c>
      <c r="O154" s="15">
        <f t="shared" ref="O154:W154" si="301">O92</f>
        <v>500000</v>
      </c>
      <c r="P154" s="15">
        <f t="shared" si="301"/>
        <v>0</v>
      </c>
      <c r="Q154" s="15">
        <f t="shared" si="301"/>
        <v>500000</v>
      </c>
      <c r="R154" s="15">
        <f t="shared" si="301"/>
        <v>500000</v>
      </c>
      <c r="S154" s="15">
        <f t="shared" si="301"/>
        <v>0</v>
      </c>
      <c r="T154" s="15">
        <f t="shared" si="301"/>
        <v>500000</v>
      </c>
      <c r="U154" s="15">
        <f t="shared" si="301"/>
        <v>500000</v>
      </c>
      <c r="V154" s="15">
        <f t="shared" si="301"/>
        <v>0</v>
      </c>
      <c r="W154" s="15">
        <f t="shared" si="301"/>
        <v>500000</v>
      </c>
      <c r="X154" s="195">
        <f t="shared" si="226"/>
        <v>1500000</v>
      </c>
      <c r="Y154" s="195">
        <f t="shared" si="226"/>
        <v>0</v>
      </c>
      <c r="Z154" s="15">
        <f t="shared" ref="Z154:AH154" si="302">Z92</f>
        <v>500000</v>
      </c>
      <c r="AA154" s="15">
        <f t="shared" si="302"/>
        <v>0</v>
      </c>
      <c r="AB154" s="15">
        <f t="shared" si="302"/>
        <v>500000</v>
      </c>
      <c r="AC154" s="15">
        <f t="shared" si="302"/>
        <v>500000</v>
      </c>
      <c r="AD154" s="15">
        <f t="shared" si="302"/>
        <v>0</v>
      </c>
      <c r="AE154" s="15">
        <f t="shared" si="302"/>
        <v>500000</v>
      </c>
      <c r="AF154" s="15">
        <f t="shared" si="302"/>
        <v>500000</v>
      </c>
      <c r="AG154" s="15">
        <f t="shared" si="302"/>
        <v>0</v>
      </c>
      <c r="AH154" s="15">
        <f t="shared" si="302"/>
        <v>500000</v>
      </c>
      <c r="AK154" s="15">
        <f t="shared" ref="AK154:AS154" si="303">AK92</f>
        <v>500000</v>
      </c>
      <c r="AL154" s="15">
        <f t="shared" si="303"/>
        <v>0</v>
      </c>
      <c r="AM154" s="15">
        <f t="shared" si="303"/>
        <v>500000</v>
      </c>
      <c r="AN154" s="15">
        <f t="shared" si="303"/>
        <v>500000</v>
      </c>
      <c r="AO154" s="15">
        <f t="shared" si="303"/>
        <v>0</v>
      </c>
      <c r="AP154" s="15">
        <f t="shared" si="303"/>
        <v>500000</v>
      </c>
      <c r="AQ154" s="15">
        <f t="shared" si="303"/>
        <v>500000</v>
      </c>
      <c r="AR154" s="15">
        <f t="shared" si="303"/>
        <v>0</v>
      </c>
      <c r="AS154" s="15">
        <f t="shared" si="303"/>
        <v>500000</v>
      </c>
      <c r="AV154" s="1">
        <f t="shared" si="229"/>
        <v>6000000</v>
      </c>
      <c r="AW154" s="36">
        <f t="shared" si="229"/>
        <v>0</v>
      </c>
      <c r="AX154" s="1">
        <f t="shared" si="230"/>
        <v>4500000</v>
      </c>
      <c r="AY154" s="1">
        <f t="shared" si="231"/>
        <v>6000000</v>
      </c>
    </row>
    <row r="155" spans="1:51" x14ac:dyDescent="0.2">
      <c r="A155">
        <v>21</v>
      </c>
      <c r="B155" s="70" t="s">
        <v>195</v>
      </c>
      <c r="D155" s="15">
        <f t="shared" ref="D155:L155" si="304">D38+D102</f>
        <v>1688027</v>
      </c>
      <c r="E155" s="15">
        <f t="shared" si="304"/>
        <v>1032691</v>
      </c>
      <c r="F155" s="15">
        <f t="shared" si="304"/>
        <v>655336</v>
      </c>
      <c r="G155" s="15">
        <f t="shared" si="304"/>
        <v>1688027</v>
      </c>
      <c r="H155" s="15">
        <f t="shared" si="304"/>
        <v>673817</v>
      </c>
      <c r="I155" s="15">
        <f t="shared" si="304"/>
        <v>1014210</v>
      </c>
      <c r="J155" s="15">
        <f t="shared" si="304"/>
        <v>1688027</v>
      </c>
      <c r="K155" s="15">
        <f t="shared" si="304"/>
        <v>1031484</v>
      </c>
      <c r="L155" s="15">
        <f t="shared" si="304"/>
        <v>656543</v>
      </c>
      <c r="M155" s="195">
        <f t="shared" si="224"/>
        <v>5064081</v>
      </c>
      <c r="N155" s="195">
        <f t="shared" si="224"/>
        <v>2737992</v>
      </c>
      <c r="O155" s="15">
        <f t="shared" ref="O155:W155" si="305">O38+O102</f>
        <v>1688027</v>
      </c>
      <c r="P155" s="15">
        <f t="shared" si="305"/>
        <v>713600</v>
      </c>
      <c r="Q155" s="15">
        <f t="shared" si="305"/>
        <v>974427</v>
      </c>
      <c r="R155" s="15">
        <f t="shared" si="305"/>
        <v>1688027</v>
      </c>
      <c r="S155" s="15">
        <f t="shared" si="305"/>
        <v>1065874</v>
      </c>
      <c r="T155" s="15">
        <f t="shared" si="305"/>
        <v>622153</v>
      </c>
      <c r="U155" s="15">
        <f t="shared" si="305"/>
        <v>1688027</v>
      </c>
      <c r="V155" s="15">
        <f t="shared" si="305"/>
        <v>760472</v>
      </c>
      <c r="W155" s="15">
        <f t="shared" si="305"/>
        <v>927555</v>
      </c>
      <c r="X155" s="195">
        <f t="shared" si="226"/>
        <v>5064081</v>
      </c>
      <c r="Y155" s="195">
        <f t="shared" si="226"/>
        <v>2539946</v>
      </c>
      <c r="Z155" s="15">
        <f t="shared" ref="Z155:AH155" si="306">Z38+Z102</f>
        <v>1688027</v>
      </c>
      <c r="AA155" s="15">
        <f t="shared" si="306"/>
        <v>0</v>
      </c>
      <c r="AB155" s="15">
        <f t="shared" si="306"/>
        <v>1688027</v>
      </c>
      <c r="AC155" s="15">
        <f t="shared" si="306"/>
        <v>1688027</v>
      </c>
      <c r="AD155" s="15">
        <f t="shared" si="306"/>
        <v>0</v>
      </c>
      <c r="AE155" s="15">
        <f t="shared" si="306"/>
        <v>1688027</v>
      </c>
      <c r="AF155" s="15">
        <f t="shared" si="306"/>
        <v>1688027</v>
      </c>
      <c r="AG155" s="15">
        <f t="shared" si="306"/>
        <v>2833000</v>
      </c>
      <c r="AH155" s="15">
        <f t="shared" si="306"/>
        <v>-1144973</v>
      </c>
      <c r="AK155" s="15">
        <f t="shared" ref="AK155:AS155" si="307">AK38+AK102</f>
        <v>1688027</v>
      </c>
      <c r="AL155" s="15">
        <f t="shared" si="307"/>
        <v>0</v>
      </c>
      <c r="AM155" s="15">
        <f t="shared" si="307"/>
        <v>1688027</v>
      </c>
      <c r="AN155" s="15">
        <f t="shared" si="307"/>
        <v>1688027</v>
      </c>
      <c r="AO155" s="15">
        <f t="shared" si="307"/>
        <v>0</v>
      </c>
      <c r="AP155" s="15">
        <f t="shared" si="307"/>
        <v>1688027</v>
      </c>
      <c r="AQ155" s="15">
        <f t="shared" si="307"/>
        <v>1688027</v>
      </c>
      <c r="AR155" s="15">
        <f t="shared" si="307"/>
        <v>0</v>
      </c>
      <c r="AS155" s="15">
        <f t="shared" si="307"/>
        <v>1688027</v>
      </c>
      <c r="AV155" s="1">
        <f t="shared" si="229"/>
        <v>20256324</v>
      </c>
      <c r="AW155" s="36">
        <f t="shared" si="229"/>
        <v>8110938</v>
      </c>
      <c r="AX155" s="1">
        <f t="shared" si="230"/>
        <v>17930235</v>
      </c>
      <c r="AY155" s="1">
        <f t="shared" si="231"/>
        <v>12145386</v>
      </c>
    </row>
    <row r="156" spans="1:51" x14ac:dyDescent="0.2">
      <c r="A156">
        <v>22</v>
      </c>
      <c r="B156" s="70" t="s">
        <v>76</v>
      </c>
      <c r="D156" s="15">
        <f t="shared" ref="D156:L156" si="308">D39</f>
        <v>1935495</v>
      </c>
      <c r="E156" s="15">
        <f t="shared" si="308"/>
        <v>0</v>
      </c>
      <c r="F156" s="15">
        <f t="shared" si="308"/>
        <v>1935495</v>
      </c>
      <c r="G156" s="15">
        <f t="shared" si="308"/>
        <v>1935495</v>
      </c>
      <c r="H156" s="15">
        <f t="shared" si="308"/>
        <v>0</v>
      </c>
      <c r="I156" s="15">
        <f t="shared" si="308"/>
        <v>1935495</v>
      </c>
      <c r="J156" s="15">
        <f t="shared" si="308"/>
        <v>1935495</v>
      </c>
      <c r="K156" s="15">
        <f t="shared" si="308"/>
        <v>0</v>
      </c>
      <c r="L156" s="15">
        <f t="shared" si="308"/>
        <v>1935495</v>
      </c>
      <c r="M156" s="195">
        <f t="shared" si="224"/>
        <v>5806485</v>
      </c>
      <c r="N156" s="195">
        <f t="shared" si="224"/>
        <v>0</v>
      </c>
      <c r="O156" s="15">
        <f t="shared" ref="O156:W156" si="309">O39</f>
        <v>1935495</v>
      </c>
      <c r="P156" s="15">
        <f t="shared" si="309"/>
        <v>0</v>
      </c>
      <c r="Q156" s="15">
        <f t="shared" si="309"/>
        <v>1935495</v>
      </c>
      <c r="R156" s="15">
        <f t="shared" si="309"/>
        <v>1935495</v>
      </c>
      <c r="S156" s="15">
        <f t="shared" si="309"/>
        <v>625000</v>
      </c>
      <c r="T156" s="15">
        <f t="shared" si="309"/>
        <v>1310495</v>
      </c>
      <c r="U156" s="15">
        <f t="shared" si="309"/>
        <v>1935495</v>
      </c>
      <c r="V156" s="15">
        <f t="shared" si="309"/>
        <v>0</v>
      </c>
      <c r="W156" s="15">
        <f t="shared" si="309"/>
        <v>1935495</v>
      </c>
      <c r="X156" s="195">
        <f t="shared" si="226"/>
        <v>5806485</v>
      </c>
      <c r="Y156" s="195">
        <f t="shared" si="226"/>
        <v>625000</v>
      </c>
      <c r="Z156" s="15">
        <f t="shared" ref="Z156:AH156" si="310">Z39</f>
        <v>1935495</v>
      </c>
      <c r="AA156" s="15">
        <f t="shared" si="310"/>
        <v>934210</v>
      </c>
      <c r="AB156" s="15">
        <f t="shared" si="310"/>
        <v>1001285</v>
      </c>
      <c r="AC156" s="15">
        <f t="shared" si="310"/>
        <v>1935495</v>
      </c>
      <c r="AD156" s="15">
        <f t="shared" si="310"/>
        <v>719825</v>
      </c>
      <c r="AE156" s="15">
        <f t="shared" si="310"/>
        <v>1215670</v>
      </c>
      <c r="AF156" s="15">
        <f t="shared" si="310"/>
        <v>1935495</v>
      </c>
      <c r="AG156" s="15">
        <f t="shared" si="310"/>
        <v>953175</v>
      </c>
      <c r="AH156" s="15">
        <f t="shared" si="310"/>
        <v>982320</v>
      </c>
      <c r="AK156" s="15">
        <f t="shared" ref="AK156:AS156" si="311">AK39</f>
        <v>1935495</v>
      </c>
      <c r="AL156" s="15">
        <f t="shared" si="311"/>
        <v>0</v>
      </c>
      <c r="AM156" s="15">
        <f t="shared" si="311"/>
        <v>1935495</v>
      </c>
      <c r="AN156" s="15">
        <f t="shared" si="311"/>
        <v>1935495</v>
      </c>
      <c r="AO156" s="15">
        <f t="shared" si="311"/>
        <v>0</v>
      </c>
      <c r="AP156" s="15">
        <f t="shared" si="311"/>
        <v>1935495</v>
      </c>
      <c r="AQ156" s="15">
        <f t="shared" si="311"/>
        <v>1935495</v>
      </c>
      <c r="AR156" s="15">
        <f t="shared" si="311"/>
        <v>0</v>
      </c>
      <c r="AS156" s="15">
        <f t="shared" si="311"/>
        <v>1935495</v>
      </c>
      <c r="AV156" s="1">
        <f t="shared" si="229"/>
        <v>23225940</v>
      </c>
      <c r="AW156" s="36">
        <f t="shared" si="229"/>
        <v>3232210</v>
      </c>
      <c r="AX156" s="1">
        <f t="shared" si="230"/>
        <v>17419455</v>
      </c>
      <c r="AY156" s="1">
        <f t="shared" si="231"/>
        <v>19993730</v>
      </c>
    </row>
    <row r="157" spans="1:51" x14ac:dyDescent="0.2">
      <c r="A157">
        <v>23</v>
      </c>
      <c r="B157" s="70" t="s">
        <v>196</v>
      </c>
      <c r="D157" s="15">
        <f t="shared" ref="D157:L157" si="312">D47</f>
        <v>110000000</v>
      </c>
      <c r="E157" s="15">
        <f t="shared" si="312"/>
        <v>107282000</v>
      </c>
      <c r="F157" s="15">
        <f t="shared" si="312"/>
        <v>2718000</v>
      </c>
      <c r="G157" s="15">
        <f t="shared" si="312"/>
        <v>110000000</v>
      </c>
      <c r="H157" s="15">
        <f t="shared" si="312"/>
        <v>107282000</v>
      </c>
      <c r="I157" s="15">
        <f t="shared" si="312"/>
        <v>2718000</v>
      </c>
      <c r="J157" s="15">
        <f t="shared" si="312"/>
        <v>110000000</v>
      </c>
      <c r="K157" s="15">
        <f t="shared" si="312"/>
        <v>107282000</v>
      </c>
      <c r="L157" s="15">
        <f t="shared" si="312"/>
        <v>2718000</v>
      </c>
      <c r="M157" s="195">
        <f t="shared" si="224"/>
        <v>330000000</v>
      </c>
      <c r="N157" s="195">
        <f t="shared" si="224"/>
        <v>321846000</v>
      </c>
      <c r="O157" s="15">
        <f t="shared" ref="O157:W157" si="313">O47</f>
        <v>110000000</v>
      </c>
      <c r="P157" s="15">
        <f t="shared" si="313"/>
        <v>107282000</v>
      </c>
      <c r="Q157" s="15">
        <f t="shared" si="313"/>
        <v>2718000</v>
      </c>
      <c r="R157" s="15">
        <f t="shared" si="313"/>
        <v>110000000</v>
      </c>
      <c r="S157" s="15">
        <f t="shared" si="313"/>
        <v>107282000</v>
      </c>
      <c r="T157" s="15">
        <f t="shared" si="313"/>
        <v>2718000</v>
      </c>
      <c r="U157" s="15">
        <f t="shared" si="313"/>
        <v>110000000</v>
      </c>
      <c r="V157" s="15">
        <f t="shared" si="313"/>
        <v>107282000</v>
      </c>
      <c r="W157" s="15">
        <f t="shared" si="313"/>
        <v>2718000</v>
      </c>
      <c r="X157" s="195">
        <f t="shared" si="226"/>
        <v>330000000</v>
      </c>
      <c r="Y157" s="195">
        <f t="shared" si="226"/>
        <v>321846000</v>
      </c>
      <c r="Z157" s="15">
        <f t="shared" ref="Z157:AH157" si="314">Z47</f>
        <v>110000000</v>
      </c>
      <c r="AA157" s="15">
        <f t="shared" si="314"/>
        <v>107282000</v>
      </c>
      <c r="AB157" s="15">
        <f t="shared" si="314"/>
        <v>2718000</v>
      </c>
      <c r="AC157" s="15">
        <f t="shared" si="314"/>
        <v>110000000</v>
      </c>
      <c r="AD157" s="15">
        <f t="shared" si="314"/>
        <v>107282000</v>
      </c>
      <c r="AE157" s="15">
        <f t="shared" si="314"/>
        <v>107282000</v>
      </c>
      <c r="AF157" s="15">
        <f t="shared" si="314"/>
        <v>107282000</v>
      </c>
      <c r="AG157" s="15">
        <f t="shared" si="314"/>
        <v>107282000</v>
      </c>
      <c r="AH157" s="15">
        <f t="shared" si="314"/>
        <v>0</v>
      </c>
      <c r="AK157" s="15">
        <f t="shared" ref="AK157:AS157" si="315">AK47</f>
        <v>110000000</v>
      </c>
      <c r="AL157" s="15">
        <f t="shared" si="315"/>
        <v>0</v>
      </c>
      <c r="AM157" s="15">
        <f t="shared" si="315"/>
        <v>110000000</v>
      </c>
      <c r="AN157" s="15">
        <f t="shared" si="315"/>
        <v>110000000</v>
      </c>
      <c r="AO157" s="15">
        <f t="shared" si="315"/>
        <v>0</v>
      </c>
      <c r="AP157" s="15">
        <f t="shared" si="315"/>
        <v>110000000</v>
      </c>
      <c r="AQ157" s="15">
        <f t="shared" si="315"/>
        <v>110000000</v>
      </c>
      <c r="AR157" s="15">
        <f t="shared" si="315"/>
        <v>0</v>
      </c>
      <c r="AS157" s="15">
        <f t="shared" si="315"/>
        <v>110000000</v>
      </c>
      <c r="AV157" s="1">
        <f t="shared" si="229"/>
        <v>1317282000</v>
      </c>
      <c r="AW157" s="36">
        <f t="shared" si="229"/>
        <v>965538000</v>
      </c>
      <c r="AX157" s="1">
        <f t="shared" si="230"/>
        <v>1309128000</v>
      </c>
      <c r="AY157" s="1">
        <f t="shared" si="231"/>
        <v>456308000</v>
      </c>
    </row>
    <row r="158" spans="1:51" x14ac:dyDescent="0.2">
      <c r="A158">
        <v>24</v>
      </c>
      <c r="B158" s="70" t="s">
        <v>83</v>
      </c>
      <c r="D158" s="15">
        <f t="shared" ref="D158:L158" si="316">D34</f>
        <v>43403360</v>
      </c>
      <c r="E158" s="15">
        <f t="shared" si="316"/>
        <v>0</v>
      </c>
      <c r="F158" s="15">
        <f t="shared" si="316"/>
        <v>43403360</v>
      </c>
      <c r="G158" s="15">
        <f t="shared" si="316"/>
        <v>0</v>
      </c>
      <c r="H158" s="15">
        <f t="shared" si="316"/>
        <v>0</v>
      </c>
      <c r="I158" s="15">
        <f t="shared" si="316"/>
        <v>0</v>
      </c>
      <c r="J158" s="15">
        <f t="shared" si="316"/>
        <v>0</v>
      </c>
      <c r="K158" s="15">
        <f t="shared" si="316"/>
        <v>0</v>
      </c>
      <c r="L158" s="15">
        <f t="shared" si="316"/>
        <v>0</v>
      </c>
      <c r="M158" s="195">
        <f t="shared" si="224"/>
        <v>43403360</v>
      </c>
      <c r="N158" s="195">
        <f t="shared" si="224"/>
        <v>0</v>
      </c>
      <c r="O158" s="15">
        <f t="shared" ref="O158:W158" si="317">O34</f>
        <v>0</v>
      </c>
      <c r="P158" s="15">
        <f t="shared" si="317"/>
        <v>0</v>
      </c>
      <c r="Q158" s="15">
        <f t="shared" si="317"/>
        <v>0</v>
      </c>
      <c r="R158" s="15">
        <f t="shared" si="317"/>
        <v>0</v>
      </c>
      <c r="S158" s="15">
        <f t="shared" si="317"/>
        <v>0</v>
      </c>
      <c r="T158" s="15">
        <f t="shared" si="317"/>
        <v>0</v>
      </c>
      <c r="U158" s="15">
        <f t="shared" si="317"/>
        <v>0</v>
      </c>
      <c r="V158" s="15">
        <f t="shared" si="317"/>
        <v>0</v>
      </c>
      <c r="W158" s="15">
        <f t="shared" si="317"/>
        <v>0</v>
      </c>
      <c r="X158" s="195">
        <f t="shared" si="226"/>
        <v>0</v>
      </c>
      <c r="Y158" s="195">
        <f t="shared" si="226"/>
        <v>0</v>
      </c>
      <c r="Z158" s="15">
        <f t="shared" ref="Z158:AH158" si="318">Z34</f>
        <v>0</v>
      </c>
      <c r="AA158" s="15">
        <f t="shared" si="318"/>
        <v>0</v>
      </c>
      <c r="AB158" s="15">
        <f t="shared" si="318"/>
        <v>0</v>
      </c>
      <c r="AC158" s="15">
        <f t="shared" si="318"/>
        <v>0</v>
      </c>
      <c r="AD158" s="15">
        <f t="shared" si="318"/>
        <v>0</v>
      </c>
      <c r="AE158" s="15">
        <f t="shared" si="318"/>
        <v>0</v>
      </c>
      <c r="AF158" s="15">
        <f t="shared" si="318"/>
        <v>0</v>
      </c>
      <c r="AG158" s="15">
        <f t="shared" si="318"/>
        <v>0</v>
      </c>
      <c r="AH158" s="15">
        <f t="shared" si="318"/>
        <v>0</v>
      </c>
      <c r="AK158" s="15">
        <f t="shared" ref="AK158:AS158" si="319">AK34</f>
        <v>0</v>
      </c>
      <c r="AL158" s="15">
        <f t="shared" si="319"/>
        <v>0</v>
      </c>
      <c r="AM158" s="15">
        <f t="shared" si="319"/>
        <v>0</v>
      </c>
      <c r="AN158" s="15">
        <f t="shared" si="319"/>
        <v>0</v>
      </c>
      <c r="AO158" s="15">
        <f t="shared" si="319"/>
        <v>0</v>
      </c>
      <c r="AP158" s="15">
        <f t="shared" si="319"/>
        <v>0</v>
      </c>
      <c r="AQ158" s="15">
        <f t="shared" si="319"/>
        <v>0</v>
      </c>
      <c r="AR158" s="15">
        <f t="shared" si="319"/>
        <v>0</v>
      </c>
      <c r="AS158" s="15">
        <f t="shared" si="319"/>
        <v>0</v>
      </c>
      <c r="AV158" s="1">
        <f t="shared" si="229"/>
        <v>43403360</v>
      </c>
      <c r="AW158" s="36">
        <f t="shared" si="229"/>
        <v>0</v>
      </c>
      <c r="AX158" s="1">
        <f t="shared" si="230"/>
        <v>0</v>
      </c>
      <c r="AY158" s="1">
        <f t="shared" si="231"/>
        <v>43403360</v>
      </c>
    </row>
    <row r="159" spans="1:51" x14ac:dyDescent="0.2">
      <c r="A159">
        <v>25</v>
      </c>
      <c r="B159" s="70" t="s">
        <v>197</v>
      </c>
      <c r="D159" s="15">
        <f t="shared" ref="D159:L159" si="320">D105+D115</f>
        <v>500000</v>
      </c>
      <c r="E159" s="15">
        <f t="shared" si="320"/>
        <v>0</v>
      </c>
      <c r="F159" s="15">
        <f t="shared" si="320"/>
        <v>500000</v>
      </c>
      <c r="G159" s="15">
        <f t="shared" si="320"/>
        <v>500000</v>
      </c>
      <c r="H159" s="15">
        <f t="shared" si="320"/>
        <v>0</v>
      </c>
      <c r="I159" s="15">
        <f t="shared" si="320"/>
        <v>500000</v>
      </c>
      <c r="J159" s="15">
        <f t="shared" si="320"/>
        <v>500000</v>
      </c>
      <c r="K159" s="15">
        <f t="shared" si="320"/>
        <v>0</v>
      </c>
      <c r="L159" s="15">
        <f t="shared" si="320"/>
        <v>500000</v>
      </c>
      <c r="M159" s="195">
        <f t="shared" si="224"/>
        <v>1500000</v>
      </c>
      <c r="N159" s="195">
        <f t="shared" si="224"/>
        <v>0</v>
      </c>
      <c r="O159" s="15">
        <f t="shared" ref="O159:W159" si="321">O105+O115</f>
        <v>500000</v>
      </c>
      <c r="P159" s="15">
        <f t="shared" si="321"/>
        <v>0</v>
      </c>
      <c r="Q159" s="15">
        <f t="shared" si="321"/>
        <v>500000</v>
      </c>
      <c r="R159" s="15">
        <f t="shared" si="321"/>
        <v>500000</v>
      </c>
      <c r="S159" s="15">
        <f t="shared" si="321"/>
        <v>0</v>
      </c>
      <c r="T159" s="15">
        <f t="shared" si="321"/>
        <v>500000</v>
      </c>
      <c r="U159" s="15">
        <f t="shared" si="321"/>
        <v>500000</v>
      </c>
      <c r="V159" s="15">
        <f t="shared" si="321"/>
        <v>174420</v>
      </c>
      <c r="W159" s="15">
        <f t="shared" si="321"/>
        <v>325580</v>
      </c>
      <c r="X159" s="195">
        <f t="shared" si="226"/>
        <v>1500000</v>
      </c>
      <c r="Y159" s="195">
        <f t="shared" si="226"/>
        <v>174420</v>
      </c>
      <c r="Z159" s="15">
        <f t="shared" ref="Z159:AH159" si="322">Z105+Z115</f>
        <v>500000</v>
      </c>
      <c r="AA159" s="15">
        <f t="shared" si="322"/>
        <v>0</v>
      </c>
      <c r="AB159" s="15">
        <f t="shared" si="322"/>
        <v>500000</v>
      </c>
      <c r="AC159" s="15">
        <f t="shared" si="322"/>
        <v>500000</v>
      </c>
      <c r="AD159" s="15">
        <f t="shared" si="322"/>
        <v>0</v>
      </c>
      <c r="AE159" s="15">
        <f t="shared" si="322"/>
        <v>500000</v>
      </c>
      <c r="AF159" s="15">
        <f t="shared" si="322"/>
        <v>500000</v>
      </c>
      <c r="AG159" s="15">
        <f t="shared" si="322"/>
        <v>0</v>
      </c>
      <c r="AH159" s="15">
        <f t="shared" si="322"/>
        <v>500000</v>
      </c>
      <c r="AK159" s="15">
        <f t="shared" ref="AK159:AS159" si="323">AK105+AK115</f>
        <v>500000</v>
      </c>
      <c r="AL159" s="15">
        <f t="shared" si="323"/>
        <v>0</v>
      </c>
      <c r="AM159" s="15">
        <f t="shared" si="323"/>
        <v>500000</v>
      </c>
      <c r="AN159" s="15">
        <f t="shared" si="323"/>
        <v>500000</v>
      </c>
      <c r="AO159" s="15">
        <f t="shared" si="323"/>
        <v>0</v>
      </c>
      <c r="AP159" s="15">
        <f t="shared" si="323"/>
        <v>500000</v>
      </c>
      <c r="AQ159" s="15">
        <f t="shared" si="323"/>
        <v>500000</v>
      </c>
      <c r="AR159" s="15">
        <f t="shared" si="323"/>
        <v>0</v>
      </c>
      <c r="AS159" s="15">
        <f t="shared" si="323"/>
        <v>500000</v>
      </c>
      <c r="AV159" s="1">
        <f t="shared" si="229"/>
        <v>6000000</v>
      </c>
      <c r="AW159" s="36">
        <f t="shared" si="229"/>
        <v>174420</v>
      </c>
      <c r="AX159" s="1">
        <f t="shared" si="230"/>
        <v>4500000</v>
      </c>
      <c r="AY159" s="1">
        <f t="shared" si="231"/>
        <v>5825580</v>
      </c>
    </row>
    <row r="160" spans="1:51" x14ac:dyDescent="0.2">
      <c r="A160">
        <v>26</v>
      </c>
      <c r="B160" s="70" t="s">
        <v>198</v>
      </c>
      <c r="D160" s="15">
        <f t="shared" ref="D160:L160" si="324">D23</f>
        <v>27511545</v>
      </c>
      <c r="E160" s="15">
        <f t="shared" si="324"/>
        <v>15955589</v>
      </c>
      <c r="F160" s="15">
        <f t="shared" si="324"/>
        <v>11555956</v>
      </c>
      <c r="G160" s="15">
        <f t="shared" si="324"/>
        <v>27511545</v>
      </c>
      <c r="H160" s="15">
        <f t="shared" si="324"/>
        <v>31090303</v>
      </c>
      <c r="I160" s="15">
        <f t="shared" si="324"/>
        <v>-3578758</v>
      </c>
      <c r="J160" s="15">
        <f t="shared" si="324"/>
        <v>27511545</v>
      </c>
      <c r="K160" s="15">
        <f t="shared" si="324"/>
        <v>7084992</v>
      </c>
      <c r="L160" s="15">
        <f t="shared" si="324"/>
        <v>20426553</v>
      </c>
      <c r="M160" s="195">
        <f t="shared" si="224"/>
        <v>82534635</v>
      </c>
      <c r="N160" s="195">
        <f t="shared" si="224"/>
        <v>54130884</v>
      </c>
      <c r="O160" s="15">
        <f t="shared" ref="O160:W160" si="325">O23</f>
        <v>27511545</v>
      </c>
      <c r="P160" s="15">
        <f t="shared" si="325"/>
        <v>20163317</v>
      </c>
      <c r="Q160" s="15">
        <f t="shared" si="325"/>
        <v>7348228</v>
      </c>
      <c r="R160" s="15">
        <f t="shared" si="325"/>
        <v>27511545</v>
      </c>
      <c r="S160" s="15">
        <f t="shared" si="325"/>
        <v>20971907</v>
      </c>
      <c r="T160" s="15">
        <f t="shared" si="325"/>
        <v>6539638</v>
      </c>
      <c r="U160" s="15">
        <f t="shared" si="325"/>
        <v>27511545</v>
      </c>
      <c r="V160" s="15">
        <f t="shared" si="325"/>
        <v>16399958</v>
      </c>
      <c r="W160" s="15">
        <f t="shared" si="325"/>
        <v>11111587</v>
      </c>
      <c r="X160" s="195">
        <f t="shared" si="226"/>
        <v>82534635</v>
      </c>
      <c r="Y160" s="195">
        <f t="shared" si="226"/>
        <v>57535182</v>
      </c>
      <c r="Z160" s="15">
        <f t="shared" ref="Z160:AH160" si="326">Z23</f>
        <v>27511545</v>
      </c>
      <c r="AA160" s="15">
        <f t="shared" si="326"/>
        <v>16035517</v>
      </c>
      <c r="AB160" s="15">
        <f t="shared" si="326"/>
        <v>11476028</v>
      </c>
      <c r="AC160" s="15">
        <f t="shared" si="326"/>
        <v>55023090</v>
      </c>
      <c r="AD160" s="15">
        <f t="shared" si="326"/>
        <v>22671755</v>
      </c>
      <c r="AE160" s="15">
        <f t="shared" si="326"/>
        <v>32351335</v>
      </c>
      <c r="AF160" s="15">
        <f t="shared" si="326"/>
        <v>27511545</v>
      </c>
      <c r="AG160" s="15">
        <f t="shared" si="326"/>
        <v>17688727</v>
      </c>
      <c r="AH160" s="15">
        <f t="shared" si="326"/>
        <v>9822818</v>
      </c>
      <c r="AK160" s="15">
        <f t="shared" ref="AK160:AS160" si="327">AK23</f>
        <v>27511545</v>
      </c>
      <c r="AL160" s="15">
        <f t="shared" si="327"/>
        <v>0</v>
      </c>
      <c r="AM160" s="15">
        <f t="shared" si="327"/>
        <v>27511545</v>
      </c>
      <c r="AN160" s="15">
        <f t="shared" si="327"/>
        <v>27511545</v>
      </c>
      <c r="AO160" s="15">
        <f t="shared" si="327"/>
        <v>0</v>
      </c>
      <c r="AP160" s="15">
        <f t="shared" si="327"/>
        <v>27511545</v>
      </c>
      <c r="AQ160" s="15">
        <f t="shared" si="327"/>
        <v>55023090</v>
      </c>
      <c r="AR160" s="15">
        <f t="shared" si="327"/>
        <v>0</v>
      </c>
      <c r="AS160" s="15">
        <f t="shared" si="327"/>
        <v>55023090</v>
      </c>
      <c r="AV160" s="1">
        <f t="shared" si="229"/>
        <v>385161630</v>
      </c>
      <c r="AW160" s="36">
        <f t="shared" si="229"/>
        <v>168062065</v>
      </c>
      <c r="AX160" s="1">
        <f t="shared" si="230"/>
        <v>356757879</v>
      </c>
      <c r="AY160" s="1">
        <f t="shared" si="231"/>
        <v>217099565</v>
      </c>
    </row>
    <row r="161" spans="1:51" x14ac:dyDescent="0.2">
      <c r="A161">
        <v>27</v>
      </c>
      <c r="B161" s="70" t="s">
        <v>86</v>
      </c>
      <c r="D161" s="15">
        <f t="shared" ref="D161:L161" si="328">D46+D110</f>
        <v>16135486</v>
      </c>
      <c r="E161" s="15">
        <f t="shared" si="328"/>
        <v>10049600</v>
      </c>
      <c r="F161" s="15">
        <f t="shared" si="328"/>
        <v>6085886</v>
      </c>
      <c r="G161" s="15">
        <f t="shared" si="328"/>
        <v>16135486</v>
      </c>
      <c r="H161" s="15">
        <f t="shared" si="328"/>
        <v>2842538</v>
      </c>
      <c r="I161" s="15">
        <f t="shared" si="328"/>
        <v>13292948</v>
      </c>
      <c r="J161" s="15">
        <f t="shared" si="328"/>
        <v>46135486</v>
      </c>
      <c r="K161" s="15">
        <f t="shared" si="328"/>
        <v>0</v>
      </c>
      <c r="L161" s="15">
        <f t="shared" si="328"/>
        <v>46135486</v>
      </c>
      <c r="M161" s="195">
        <f t="shared" si="224"/>
        <v>78406458</v>
      </c>
      <c r="N161" s="195">
        <f t="shared" si="224"/>
        <v>12892138</v>
      </c>
      <c r="O161" s="15">
        <f t="shared" ref="O161:W161" si="329">O46+O110</f>
        <v>16135486</v>
      </c>
      <c r="P161" s="15">
        <f t="shared" si="329"/>
        <v>9709322</v>
      </c>
      <c r="Q161" s="15">
        <f t="shared" si="329"/>
        <v>6426164</v>
      </c>
      <c r="R161" s="15">
        <f t="shared" si="329"/>
        <v>16135486</v>
      </c>
      <c r="S161" s="15">
        <f t="shared" si="329"/>
        <v>22460385</v>
      </c>
      <c r="T161" s="15">
        <f t="shared" si="329"/>
        <v>-6324899</v>
      </c>
      <c r="U161" s="15">
        <f t="shared" si="329"/>
        <v>16135486</v>
      </c>
      <c r="V161" s="15">
        <f t="shared" si="329"/>
        <v>0</v>
      </c>
      <c r="W161" s="15">
        <f t="shared" si="329"/>
        <v>16135486</v>
      </c>
      <c r="X161" s="195">
        <f t="shared" si="226"/>
        <v>48406458</v>
      </c>
      <c r="Y161" s="195">
        <f t="shared" si="226"/>
        <v>32169707</v>
      </c>
      <c r="Z161" s="15">
        <f t="shared" ref="Z161:AH161" si="330">Z46+Z110</f>
        <v>16135486</v>
      </c>
      <c r="AA161" s="15">
        <f t="shared" si="330"/>
        <v>0</v>
      </c>
      <c r="AB161" s="15">
        <f t="shared" si="330"/>
        <v>16135486</v>
      </c>
      <c r="AC161" s="15">
        <f t="shared" si="330"/>
        <v>46135486</v>
      </c>
      <c r="AD161" s="15">
        <f t="shared" si="330"/>
        <v>0</v>
      </c>
      <c r="AE161" s="15">
        <f t="shared" si="330"/>
        <v>46135486</v>
      </c>
      <c r="AF161" s="15">
        <f t="shared" si="330"/>
        <v>16135486</v>
      </c>
      <c r="AG161" s="15">
        <f t="shared" si="330"/>
        <v>0</v>
      </c>
      <c r="AH161" s="15">
        <f t="shared" si="330"/>
        <v>16135486</v>
      </c>
      <c r="AK161" s="15">
        <f t="shared" ref="AK161:AS161" si="331">AK46+AK110</f>
        <v>16135486</v>
      </c>
      <c r="AL161" s="15">
        <f t="shared" si="331"/>
        <v>0</v>
      </c>
      <c r="AM161" s="15">
        <f t="shared" si="331"/>
        <v>16135486</v>
      </c>
      <c r="AN161" s="15">
        <f t="shared" si="331"/>
        <v>16135486</v>
      </c>
      <c r="AO161" s="15">
        <f t="shared" si="331"/>
        <v>0</v>
      </c>
      <c r="AP161" s="15">
        <f t="shared" si="331"/>
        <v>16135486</v>
      </c>
      <c r="AQ161" s="15">
        <f t="shared" si="331"/>
        <v>16135486</v>
      </c>
      <c r="AR161" s="15">
        <f t="shared" si="331"/>
        <v>0</v>
      </c>
      <c r="AS161" s="15">
        <f t="shared" si="331"/>
        <v>16135486</v>
      </c>
      <c r="AV161" s="1">
        <f t="shared" si="229"/>
        <v>253625832</v>
      </c>
      <c r="AW161" s="36">
        <f t="shared" si="229"/>
        <v>45061845</v>
      </c>
      <c r="AX161" s="1">
        <f t="shared" si="230"/>
        <v>188111512</v>
      </c>
      <c r="AY161" s="1">
        <f t="shared" si="231"/>
        <v>208563987</v>
      </c>
    </row>
    <row r="162" spans="1:51" x14ac:dyDescent="0.2">
      <c r="A162">
        <v>28</v>
      </c>
      <c r="B162" s="70" t="s">
        <v>199</v>
      </c>
      <c r="D162" s="15">
        <f t="shared" ref="D162:L162" si="332">D16+D24+D84</f>
        <v>13500000</v>
      </c>
      <c r="E162" s="15">
        <f t="shared" si="332"/>
        <v>0</v>
      </c>
      <c r="F162" s="15">
        <f t="shared" si="332"/>
        <v>13500000</v>
      </c>
      <c r="G162" s="15">
        <f t="shared" si="332"/>
        <v>0</v>
      </c>
      <c r="H162" s="15">
        <f t="shared" si="332"/>
        <v>0</v>
      </c>
      <c r="I162" s="15">
        <f t="shared" si="332"/>
        <v>0</v>
      </c>
      <c r="J162" s="15">
        <f t="shared" si="332"/>
        <v>1000000</v>
      </c>
      <c r="K162" s="15">
        <f t="shared" si="332"/>
        <v>0</v>
      </c>
      <c r="L162" s="15">
        <f t="shared" si="332"/>
        <v>1000000</v>
      </c>
      <c r="M162" s="195">
        <f t="shared" si="224"/>
        <v>14500000</v>
      </c>
      <c r="N162" s="195">
        <f t="shared" si="224"/>
        <v>0</v>
      </c>
      <c r="O162" s="15">
        <f t="shared" ref="O162:W162" si="333">O16+O24+O84</f>
        <v>12500000</v>
      </c>
      <c r="P162" s="15">
        <f t="shared" si="333"/>
        <v>0</v>
      </c>
      <c r="Q162" s="15">
        <f t="shared" si="333"/>
        <v>12500000</v>
      </c>
      <c r="R162" s="15">
        <f t="shared" si="333"/>
        <v>1000000</v>
      </c>
      <c r="S162" s="15">
        <f t="shared" si="333"/>
        <v>0</v>
      </c>
      <c r="T162" s="15">
        <f t="shared" si="333"/>
        <v>1000000</v>
      </c>
      <c r="U162" s="15">
        <f t="shared" si="333"/>
        <v>0</v>
      </c>
      <c r="V162" s="15">
        <f t="shared" si="333"/>
        <v>0</v>
      </c>
      <c r="W162" s="15">
        <f t="shared" si="333"/>
        <v>0</v>
      </c>
      <c r="X162" s="195">
        <f t="shared" si="226"/>
        <v>13500000</v>
      </c>
      <c r="Y162" s="195">
        <f t="shared" si="226"/>
        <v>0</v>
      </c>
      <c r="Z162" s="15">
        <f t="shared" ref="Z162:AH162" si="334">Z16+Z24+Z84</f>
        <v>13950000</v>
      </c>
      <c r="AA162" s="15">
        <f t="shared" si="334"/>
        <v>0</v>
      </c>
      <c r="AB162" s="15">
        <f t="shared" si="334"/>
        <v>13950000</v>
      </c>
      <c r="AC162" s="15">
        <f t="shared" si="334"/>
        <v>3000000</v>
      </c>
      <c r="AD162" s="15">
        <f t="shared" si="334"/>
        <v>0</v>
      </c>
      <c r="AE162" s="15">
        <f t="shared" si="334"/>
        <v>3000000</v>
      </c>
      <c r="AF162" s="15">
        <f t="shared" si="334"/>
        <v>1000000</v>
      </c>
      <c r="AG162" s="15">
        <f t="shared" si="334"/>
        <v>0</v>
      </c>
      <c r="AH162" s="15">
        <f t="shared" si="334"/>
        <v>1000000</v>
      </c>
      <c r="AK162" s="15">
        <f t="shared" ref="AK162:AS162" si="335">AK16+AK24+AK84</f>
        <v>12500000</v>
      </c>
      <c r="AL162" s="15">
        <f t="shared" si="335"/>
        <v>0</v>
      </c>
      <c r="AM162" s="15">
        <f t="shared" si="335"/>
        <v>12500000</v>
      </c>
      <c r="AN162" s="15">
        <f t="shared" si="335"/>
        <v>4500000</v>
      </c>
      <c r="AO162" s="15">
        <f t="shared" si="335"/>
        <v>0</v>
      </c>
      <c r="AP162" s="15">
        <f t="shared" si="335"/>
        <v>4500000</v>
      </c>
      <c r="AQ162" s="15">
        <f t="shared" si="335"/>
        <v>0</v>
      </c>
      <c r="AR162" s="15">
        <f t="shared" si="335"/>
        <v>0</v>
      </c>
      <c r="AS162" s="15">
        <f t="shared" si="335"/>
        <v>0</v>
      </c>
      <c r="AV162" s="1">
        <f t="shared" si="229"/>
        <v>62950000</v>
      </c>
      <c r="AW162" s="36">
        <f t="shared" si="229"/>
        <v>0</v>
      </c>
      <c r="AX162" s="1">
        <f t="shared" si="230"/>
        <v>48450000</v>
      </c>
      <c r="AY162" s="1">
        <f t="shared" si="231"/>
        <v>62950000</v>
      </c>
    </row>
    <row r="163" spans="1:51" x14ac:dyDescent="0.2">
      <c r="A163">
        <v>29</v>
      </c>
      <c r="B163" s="70" t="s">
        <v>200</v>
      </c>
      <c r="D163" s="15">
        <f t="shared" ref="D163:L163" si="336">D19</f>
        <v>0</v>
      </c>
      <c r="E163" s="15">
        <f t="shared" si="336"/>
        <v>0</v>
      </c>
      <c r="F163" s="15">
        <f t="shared" si="336"/>
        <v>0</v>
      </c>
      <c r="G163" s="15">
        <f t="shared" si="336"/>
        <v>47200000</v>
      </c>
      <c r="H163" s="15">
        <f t="shared" si="336"/>
        <v>0</v>
      </c>
      <c r="I163" s="15">
        <f t="shared" si="336"/>
        <v>47200000</v>
      </c>
      <c r="J163" s="15">
        <f t="shared" si="336"/>
        <v>0</v>
      </c>
      <c r="K163" s="15">
        <f t="shared" si="336"/>
        <v>0</v>
      </c>
      <c r="L163" s="15">
        <f t="shared" si="336"/>
        <v>0</v>
      </c>
      <c r="M163" s="195">
        <f t="shared" si="224"/>
        <v>47200000</v>
      </c>
      <c r="N163" s="195">
        <f t="shared" si="224"/>
        <v>0</v>
      </c>
      <c r="O163" s="15">
        <f t="shared" ref="O163:W163" si="337">O19</f>
        <v>0</v>
      </c>
      <c r="P163" s="15">
        <f t="shared" si="337"/>
        <v>0</v>
      </c>
      <c r="Q163" s="15">
        <f t="shared" si="337"/>
        <v>0</v>
      </c>
      <c r="R163" s="15">
        <f t="shared" si="337"/>
        <v>47200000</v>
      </c>
      <c r="S163" s="15">
        <f t="shared" si="337"/>
        <v>0</v>
      </c>
      <c r="T163" s="15">
        <f t="shared" si="337"/>
        <v>47200000</v>
      </c>
      <c r="U163" s="15">
        <f t="shared" si="337"/>
        <v>0</v>
      </c>
      <c r="V163" s="15">
        <f t="shared" si="337"/>
        <v>0</v>
      </c>
      <c r="W163" s="15">
        <f t="shared" si="337"/>
        <v>0</v>
      </c>
      <c r="X163" s="195">
        <f t="shared" si="226"/>
        <v>47200000</v>
      </c>
      <c r="Y163" s="195">
        <f t="shared" si="226"/>
        <v>0</v>
      </c>
      <c r="Z163" s="15">
        <f t="shared" ref="Z163:AH163" si="338">Z19</f>
        <v>0</v>
      </c>
      <c r="AA163" s="15">
        <f t="shared" si="338"/>
        <v>0</v>
      </c>
      <c r="AB163" s="15">
        <f t="shared" si="338"/>
        <v>0</v>
      </c>
      <c r="AC163" s="15">
        <f t="shared" si="338"/>
        <v>47200000</v>
      </c>
      <c r="AD163" s="15">
        <f t="shared" si="338"/>
        <v>0</v>
      </c>
      <c r="AE163" s="15">
        <f t="shared" si="338"/>
        <v>47200000</v>
      </c>
      <c r="AF163" s="15">
        <f t="shared" si="338"/>
        <v>0</v>
      </c>
      <c r="AG163" s="15">
        <f t="shared" si="338"/>
        <v>0</v>
      </c>
      <c r="AH163" s="15">
        <f t="shared" si="338"/>
        <v>0</v>
      </c>
      <c r="AK163" s="15">
        <f t="shared" ref="AK163:AS163" si="339">AK19</f>
        <v>0</v>
      </c>
      <c r="AL163" s="15">
        <f t="shared" si="339"/>
        <v>0</v>
      </c>
      <c r="AM163" s="15">
        <f t="shared" si="339"/>
        <v>0</v>
      </c>
      <c r="AN163" s="15">
        <f t="shared" si="339"/>
        <v>47200000</v>
      </c>
      <c r="AO163" s="15">
        <f t="shared" si="339"/>
        <v>0</v>
      </c>
      <c r="AP163" s="15">
        <f t="shared" si="339"/>
        <v>47200000</v>
      </c>
      <c r="AQ163" s="15">
        <f t="shared" si="339"/>
        <v>0</v>
      </c>
      <c r="AR163" s="15">
        <f t="shared" si="339"/>
        <v>0</v>
      </c>
      <c r="AS163" s="15">
        <f t="shared" si="339"/>
        <v>0</v>
      </c>
      <c r="AV163" s="1">
        <f t="shared" si="229"/>
        <v>188800000</v>
      </c>
      <c r="AW163" s="36">
        <f t="shared" si="229"/>
        <v>0</v>
      </c>
      <c r="AX163" s="1">
        <f t="shared" si="230"/>
        <v>141600000</v>
      </c>
      <c r="AY163" s="1">
        <f t="shared" si="231"/>
        <v>188800000</v>
      </c>
    </row>
    <row r="164" spans="1:51" x14ac:dyDescent="0.2">
      <c r="A164">
        <v>30</v>
      </c>
      <c r="B164" s="70" t="s">
        <v>125</v>
      </c>
      <c r="D164" s="15">
        <f t="shared" ref="D164:L164" si="340">D77</f>
        <v>0</v>
      </c>
      <c r="E164" s="15">
        <f t="shared" si="340"/>
        <v>0</v>
      </c>
      <c r="F164" s="15">
        <f t="shared" si="340"/>
        <v>0</v>
      </c>
      <c r="G164" s="15">
        <f t="shared" si="340"/>
        <v>0</v>
      </c>
      <c r="H164" s="15">
        <f t="shared" si="340"/>
        <v>0</v>
      </c>
      <c r="I164" s="15">
        <f t="shared" si="340"/>
        <v>0</v>
      </c>
      <c r="J164" s="15">
        <f t="shared" si="340"/>
        <v>0</v>
      </c>
      <c r="K164" s="15">
        <f t="shared" si="340"/>
        <v>0</v>
      </c>
      <c r="L164" s="15">
        <f t="shared" si="340"/>
        <v>0</v>
      </c>
      <c r="M164" s="195">
        <f t="shared" si="224"/>
        <v>0</v>
      </c>
      <c r="N164" s="195">
        <f t="shared" si="224"/>
        <v>0</v>
      </c>
      <c r="O164" s="15">
        <f t="shared" ref="O164:W164" si="341">O77</f>
        <v>0</v>
      </c>
      <c r="P164" s="15">
        <f t="shared" si="341"/>
        <v>0</v>
      </c>
      <c r="Q164" s="15">
        <f t="shared" si="341"/>
        <v>0</v>
      </c>
      <c r="R164" s="15">
        <f t="shared" si="341"/>
        <v>0</v>
      </c>
      <c r="S164" s="15">
        <f t="shared" si="341"/>
        <v>0</v>
      </c>
      <c r="T164" s="15">
        <f t="shared" si="341"/>
        <v>0</v>
      </c>
      <c r="U164" s="15">
        <f t="shared" si="341"/>
        <v>35765008.5</v>
      </c>
      <c r="V164" s="15">
        <f t="shared" si="341"/>
        <v>0</v>
      </c>
      <c r="W164" s="15">
        <f t="shared" si="341"/>
        <v>35765008.5</v>
      </c>
      <c r="X164" s="195">
        <f t="shared" si="226"/>
        <v>35765008.5</v>
      </c>
      <c r="Y164" s="195">
        <f t="shared" si="226"/>
        <v>0</v>
      </c>
      <c r="Z164" s="15">
        <f t="shared" ref="Z164:AH164" si="342">Z77</f>
        <v>0</v>
      </c>
      <c r="AA164" s="15">
        <f t="shared" si="342"/>
        <v>0</v>
      </c>
      <c r="AB164" s="15">
        <f t="shared" si="342"/>
        <v>0</v>
      </c>
      <c r="AC164" s="15">
        <f t="shared" si="342"/>
        <v>0</v>
      </c>
      <c r="AD164" s="15">
        <f t="shared" si="342"/>
        <v>0</v>
      </c>
      <c r="AE164" s="15">
        <f t="shared" si="342"/>
        <v>0</v>
      </c>
      <c r="AF164" s="15">
        <f t="shared" si="342"/>
        <v>0</v>
      </c>
      <c r="AG164" s="15">
        <f t="shared" si="342"/>
        <v>0</v>
      </c>
      <c r="AH164" s="15">
        <f t="shared" si="342"/>
        <v>0</v>
      </c>
      <c r="AK164" s="15">
        <f t="shared" ref="AK164:AS164" si="343">AK77</f>
        <v>0</v>
      </c>
      <c r="AL164" s="15">
        <f t="shared" si="343"/>
        <v>0</v>
      </c>
      <c r="AM164" s="15">
        <f t="shared" si="343"/>
        <v>0</v>
      </c>
      <c r="AN164" s="15">
        <f t="shared" si="343"/>
        <v>0</v>
      </c>
      <c r="AO164" s="15">
        <f t="shared" si="343"/>
        <v>0</v>
      </c>
      <c r="AP164" s="15">
        <f t="shared" si="343"/>
        <v>0</v>
      </c>
      <c r="AQ164" s="15">
        <f t="shared" si="343"/>
        <v>0</v>
      </c>
      <c r="AR164" s="15">
        <f t="shared" si="343"/>
        <v>0</v>
      </c>
      <c r="AS164" s="15">
        <f t="shared" si="343"/>
        <v>0</v>
      </c>
      <c r="AV164" s="1">
        <f t="shared" si="229"/>
        <v>35765008.5</v>
      </c>
      <c r="AW164" s="36">
        <f t="shared" si="229"/>
        <v>0</v>
      </c>
      <c r="AX164" s="1">
        <f t="shared" si="230"/>
        <v>35765008.5</v>
      </c>
      <c r="AY164" s="1">
        <f t="shared" si="231"/>
        <v>35765008.5</v>
      </c>
    </row>
    <row r="165" spans="1:51" x14ac:dyDescent="0.2">
      <c r="A165">
        <v>31</v>
      </c>
      <c r="B165" s="70" t="s">
        <v>201</v>
      </c>
      <c r="D165" s="15">
        <f t="shared" ref="D165:L165" si="344">D51</f>
        <v>150641574</v>
      </c>
      <c r="E165" s="15">
        <f t="shared" si="344"/>
        <v>150000</v>
      </c>
      <c r="F165" s="15">
        <f t="shared" si="344"/>
        <v>150491574</v>
      </c>
      <c r="G165" s="15">
        <f t="shared" si="344"/>
        <v>141574</v>
      </c>
      <c r="H165" s="15">
        <f t="shared" si="344"/>
        <v>150000</v>
      </c>
      <c r="I165" s="15">
        <f t="shared" si="344"/>
        <v>-8426</v>
      </c>
      <c r="J165" s="15">
        <f t="shared" si="344"/>
        <v>141574</v>
      </c>
      <c r="K165" s="15">
        <f t="shared" si="344"/>
        <v>150000</v>
      </c>
      <c r="L165" s="15">
        <f t="shared" si="344"/>
        <v>-8426</v>
      </c>
      <c r="M165" s="195">
        <f t="shared" si="224"/>
        <v>150924722</v>
      </c>
      <c r="N165" s="195">
        <f t="shared" si="224"/>
        <v>450000</v>
      </c>
      <c r="O165" s="15">
        <f t="shared" ref="O165:W165" si="345">O51</f>
        <v>141574</v>
      </c>
      <c r="P165" s="15">
        <f t="shared" si="345"/>
        <v>150000</v>
      </c>
      <c r="Q165" s="15">
        <f t="shared" si="345"/>
        <v>-8426</v>
      </c>
      <c r="R165" s="15">
        <f t="shared" si="345"/>
        <v>141574</v>
      </c>
      <c r="S165" s="15">
        <f t="shared" si="345"/>
        <v>150000</v>
      </c>
      <c r="T165" s="15">
        <f t="shared" si="345"/>
        <v>-8426</v>
      </c>
      <c r="U165" s="15">
        <f t="shared" si="345"/>
        <v>141574</v>
      </c>
      <c r="V165" s="15">
        <f t="shared" si="345"/>
        <v>1170000</v>
      </c>
      <c r="W165" s="15">
        <f t="shared" si="345"/>
        <v>-1028426</v>
      </c>
      <c r="X165" s="195">
        <f t="shared" si="226"/>
        <v>424722</v>
      </c>
      <c r="Y165" s="195">
        <f t="shared" si="226"/>
        <v>1470000</v>
      </c>
      <c r="Z165" s="15">
        <f t="shared" ref="Z165:AH165" si="346">Z51</f>
        <v>141574</v>
      </c>
      <c r="AA165" s="15">
        <f t="shared" si="346"/>
        <v>0</v>
      </c>
      <c r="AB165" s="15">
        <f t="shared" si="346"/>
        <v>141574</v>
      </c>
      <c r="AC165" s="15">
        <f t="shared" si="346"/>
        <v>141574</v>
      </c>
      <c r="AD165" s="15">
        <f t="shared" si="346"/>
        <v>0</v>
      </c>
      <c r="AE165" s="15">
        <f t="shared" si="346"/>
        <v>141574</v>
      </c>
      <c r="AF165" s="15">
        <f t="shared" si="346"/>
        <v>141574</v>
      </c>
      <c r="AG165" s="15">
        <f t="shared" si="346"/>
        <v>63631500</v>
      </c>
      <c r="AH165" s="15">
        <f t="shared" si="346"/>
        <v>-63489926</v>
      </c>
      <c r="AK165" s="15">
        <f t="shared" ref="AK165:AS165" si="347">AK51</f>
        <v>141574</v>
      </c>
      <c r="AL165" s="15">
        <f t="shared" si="347"/>
        <v>0</v>
      </c>
      <c r="AM165" s="15">
        <f t="shared" si="347"/>
        <v>141574</v>
      </c>
      <c r="AN165" s="15">
        <f t="shared" si="347"/>
        <v>141574</v>
      </c>
      <c r="AO165" s="15">
        <f t="shared" si="347"/>
        <v>0</v>
      </c>
      <c r="AP165" s="15">
        <f t="shared" si="347"/>
        <v>141574</v>
      </c>
      <c r="AQ165" s="15">
        <f t="shared" si="347"/>
        <v>141574</v>
      </c>
      <c r="AR165" s="15">
        <f t="shared" si="347"/>
        <v>0</v>
      </c>
      <c r="AS165" s="15">
        <f t="shared" si="347"/>
        <v>141574</v>
      </c>
      <c r="AV165" s="1">
        <f t="shared" si="229"/>
        <v>152198888</v>
      </c>
      <c r="AW165" s="36">
        <f t="shared" si="229"/>
        <v>65551500</v>
      </c>
      <c r="AX165" s="1">
        <f t="shared" si="230"/>
        <v>1724166</v>
      </c>
      <c r="AY165" s="1">
        <f t="shared" si="231"/>
        <v>86647388</v>
      </c>
    </row>
    <row r="166" spans="1:51" x14ac:dyDescent="0.2">
      <c r="A166">
        <v>32</v>
      </c>
      <c r="B166" s="70" t="s">
        <v>202</v>
      </c>
      <c r="D166" s="15">
        <f t="shared" ref="D166:L166" si="348">D20</f>
        <v>0</v>
      </c>
      <c r="E166" s="15">
        <f t="shared" si="348"/>
        <v>0</v>
      </c>
      <c r="F166" s="15">
        <f t="shared" si="348"/>
        <v>0</v>
      </c>
      <c r="G166" s="15">
        <f t="shared" si="348"/>
        <v>0</v>
      </c>
      <c r="H166" s="15">
        <f t="shared" si="348"/>
        <v>0</v>
      </c>
      <c r="I166" s="15">
        <f t="shared" si="348"/>
        <v>0</v>
      </c>
      <c r="J166" s="15">
        <f t="shared" si="348"/>
        <v>0</v>
      </c>
      <c r="K166" s="15">
        <f t="shared" si="348"/>
        <v>0</v>
      </c>
      <c r="L166" s="15">
        <f t="shared" si="348"/>
        <v>0</v>
      </c>
      <c r="M166" s="195">
        <f t="shared" si="224"/>
        <v>0</v>
      </c>
      <c r="N166" s="195">
        <f t="shared" si="224"/>
        <v>0</v>
      </c>
      <c r="O166" s="15">
        <f t="shared" ref="O166:W166" si="349">O20</f>
        <v>0</v>
      </c>
      <c r="P166" s="15">
        <f t="shared" si="349"/>
        <v>0</v>
      </c>
      <c r="Q166" s="15">
        <f t="shared" si="349"/>
        <v>0</v>
      </c>
      <c r="R166" s="15">
        <f t="shared" si="349"/>
        <v>0</v>
      </c>
      <c r="S166" s="15">
        <f t="shared" si="349"/>
        <v>0</v>
      </c>
      <c r="T166" s="15">
        <f t="shared" si="349"/>
        <v>0</v>
      </c>
      <c r="U166" s="15">
        <f t="shared" si="349"/>
        <v>0</v>
      </c>
      <c r="V166" s="15">
        <f t="shared" si="349"/>
        <v>0</v>
      </c>
      <c r="W166" s="15">
        <f t="shared" si="349"/>
        <v>0</v>
      </c>
      <c r="X166" s="195">
        <f t="shared" si="226"/>
        <v>0</v>
      </c>
      <c r="Y166" s="195">
        <f t="shared" si="226"/>
        <v>0</v>
      </c>
      <c r="Z166" s="15">
        <f t="shared" ref="Z166:AH166" si="350">Z20</f>
        <v>0</v>
      </c>
      <c r="AA166" s="15">
        <f t="shared" si="350"/>
        <v>0</v>
      </c>
      <c r="AB166" s="15">
        <f t="shared" si="350"/>
        <v>0</v>
      </c>
      <c r="AC166" s="15">
        <f t="shared" si="350"/>
        <v>0</v>
      </c>
      <c r="AD166" s="15">
        <f t="shared" si="350"/>
        <v>0</v>
      </c>
      <c r="AE166" s="15">
        <f t="shared" si="350"/>
        <v>0</v>
      </c>
      <c r="AF166" s="15">
        <f t="shared" si="350"/>
        <v>0</v>
      </c>
      <c r="AG166" s="15">
        <f t="shared" si="350"/>
        <v>0</v>
      </c>
      <c r="AH166" s="15">
        <f t="shared" si="350"/>
        <v>0</v>
      </c>
      <c r="AK166" s="15">
        <f t="shared" ref="AK166:AS166" si="351">AK20</f>
        <v>0</v>
      </c>
      <c r="AL166" s="15">
        <f t="shared" si="351"/>
        <v>0</v>
      </c>
      <c r="AM166" s="15">
        <f t="shared" si="351"/>
        <v>0</v>
      </c>
      <c r="AN166" s="15">
        <f t="shared" si="351"/>
        <v>0</v>
      </c>
      <c r="AO166" s="15">
        <f t="shared" si="351"/>
        <v>0</v>
      </c>
      <c r="AP166" s="15">
        <f t="shared" si="351"/>
        <v>0</v>
      </c>
      <c r="AQ166" s="15">
        <f t="shared" si="351"/>
        <v>0</v>
      </c>
      <c r="AR166" s="15">
        <f t="shared" si="351"/>
        <v>0</v>
      </c>
      <c r="AS166" s="15">
        <f t="shared" si="351"/>
        <v>0</v>
      </c>
      <c r="AV166" s="1">
        <f t="shared" si="229"/>
        <v>0</v>
      </c>
      <c r="AW166" s="36">
        <f t="shared" si="229"/>
        <v>0</v>
      </c>
      <c r="AX166" s="1">
        <f t="shared" si="230"/>
        <v>0</v>
      </c>
      <c r="AY166" s="1">
        <f t="shared" si="231"/>
        <v>0</v>
      </c>
    </row>
    <row r="167" spans="1:51" x14ac:dyDescent="0.2">
      <c r="A167">
        <v>33</v>
      </c>
      <c r="B167" s="70" t="s">
        <v>150</v>
      </c>
      <c r="D167" s="15">
        <f t="shared" ref="D167:L167" si="352">D6+D10+D107</f>
        <v>479129562</v>
      </c>
      <c r="E167" s="15">
        <f t="shared" si="352"/>
        <v>453956980</v>
      </c>
      <c r="F167" s="15">
        <f t="shared" si="352"/>
        <v>25172582</v>
      </c>
      <c r="G167" s="15">
        <f t="shared" si="352"/>
        <v>479129562</v>
      </c>
      <c r="H167" s="15">
        <f t="shared" si="352"/>
        <v>460304308</v>
      </c>
      <c r="I167" s="15">
        <f t="shared" si="352"/>
        <v>18825254</v>
      </c>
      <c r="J167" s="15">
        <f t="shared" si="352"/>
        <v>479129562</v>
      </c>
      <c r="K167" s="15">
        <f t="shared" si="352"/>
        <v>487688209</v>
      </c>
      <c r="L167" s="15">
        <f t="shared" si="352"/>
        <v>-8558647</v>
      </c>
      <c r="M167" s="195">
        <f t="shared" si="224"/>
        <v>1437388686</v>
      </c>
      <c r="N167" s="195">
        <f t="shared" si="224"/>
        <v>1401949497</v>
      </c>
      <c r="O167" s="15">
        <f t="shared" ref="O167:W167" si="353">O6+O10+O107</f>
        <v>523585562.00000006</v>
      </c>
      <c r="P167" s="15">
        <f t="shared" si="353"/>
        <v>473789613</v>
      </c>
      <c r="Q167" s="15">
        <f t="shared" si="353"/>
        <v>49795949.00000006</v>
      </c>
      <c r="R167" s="15">
        <f t="shared" si="353"/>
        <v>523585562.00000006</v>
      </c>
      <c r="S167" s="15">
        <f t="shared" si="353"/>
        <v>517095343</v>
      </c>
      <c r="T167" s="15">
        <f t="shared" si="353"/>
        <v>6490219.0000000596</v>
      </c>
      <c r="U167" s="15">
        <f t="shared" si="353"/>
        <v>523585562.00000006</v>
      </c>
      <c r="V167" s="15">
        <f t="shared" si="353"/>
        <v>511366381</v>
      </c>
      <c r="W167" s="15">
        <f t="shared" si="353"/>
        <v>12219181.00000006</v>
      </c>
      <c r="X167" s="195">
        <f t="shared" si="226"/>
        <v>1570756686.0000002</v>
      </c>
      <c r="Y167" s="195">
        <f t="shared" si="226"/>
        <v>1502251337</v>
      </c>
      <c r="Z167" s="15">
        <f t="shared" ref="Z167:AH167" si="354">Z6+Z10+Z107</f>
        <v>523339042.94010341</v>
      </c>
      <c r="AA167" s="15">
        <f t="shared" si="354"/>
        <v>524433461</v>
      </c>
      <c r="AB167" s="15">
        <f t="shared" si="354"/>
        <v>-1094418.0598965883</v>
      </c>
      <c r="AC167" s="15">
        <f t="shared" si="354"/>
        <v>1045678085.8802068</v>
      </c>
      <c r="AD167" s="15">
        <f t="shared" si="354"/>
        <v>1196878109</v>
      </c>
      <c r="AE167" s="15">
        <f t="shared" si="354"/>
        <v>-151200023.11979318</v>
      </c>
      <c r="AF167" s="15">
        <f t="shared" si="354"/>
        <v>523339042.94010341</v>
      </c>
      <c r="AG167" s="15">
        <f t="shared" si="354"/>
        <v>526082318</v>
      </c>
      <c r="AH167" s="15">
        <f t="shared" si="354"/>
        <v>-2743275.0598965883</v>
      </c>
      <c r="AK167" s="15">
        <f t="shared" ref="AK167:AS167" si="355">AK6+AK10+AK107</f>
        <v>523339042.94010341</v>
      </c>
      <c r="AL167" s="15">
        <f t="shared" si="355"/>
        <v>0</v>
      </c>
      <c r="AM167" s="15">
        <f t="shared" si="355"/>
        <v>523339042.94010341</v>
      </c>
      <c r="AN167" s="15">
        <f t="shared" si="355"/>
        <v>523339042.94010341</v>
      </c>
      <c r="AO167" s="15">
        <f t="shared" si="355"/>
        <v>0</v>
      </c>
      <c r="AP167" s="15">
        <f t="shared" si="355"/>
        <v>523339042.94010341</v>
      </c>
      <c r="AQ167" s="15">
        <f t="shared" si="355"/>
        <v>1045678085.8802068</v>
      </c>
      <c r="AR167" s="15">
        <f t="shared" si="355"/>
        <v>0</v>
      </c>
      <c r="AS167" s="15">
        <f t="shared" si="355"/>
        <v>1045678085.8802068</v>
      </c>
      <c r="AV167" s="1">
        <f t="shared" si="229"/>
        <v>7192857715.5208273</v>
      </c>
      <c r="AW167" s="36">
        <f t="shared" si="229"/>
        <v>5151594722</v>
      </c>
      <c r="AX167" s="1">
        <f t="shared" si="230"/>
        <v>7157418526.5208273</v>
      </c>
      <c r="AY167" s="1">
        <f t="shared" si="231"/>
        <v>2041262993.5208273</v>
      </c>
    </row>
    <row r="168" spans="1:51" x14ac:dyDescent="0.2">
      <c r="A168">
        <v>34</v>
      </c>
      <c r="B168" s="70" t="s">
        <v>203</v>
      </c>
      <c r="D168" s="15">
        <f t="shared" ref="D168:L168" si="356">D50</f>
        <v>0</v>
      </c>
      <c r="E168" s="15">
        <f t="shared" si="356"/>
        <v>24983274</v>
      </c>
      <c r="F168" s="15">
        <f t="shared" si="356"/>
        <v>-24983274</v>
      </c>
      <c r="G168" s="15">
        <f t="shared" si="356"/>
        <v>88005600</v>
      </c>
      <c r="H168" s="15">
        <f t="shared" si="356"/>
        <v>23371450</v>
      </c>
      <c r="I168" s="15">
        <f t="shared" si="356"/>
        <v>64634150</v>
      </c>
      <c r="J168" s="15">
        <f t="shared" si="356"/>
        <v>0</v>
      </c>
      <c r="K168" s="15">
        <f t="shared" si="356"/>
        <v>24983274</v>
      </c>
      <c r="L168" s="15">
        <f t="shared" si="356"/>
        <v>-24983274</v>
      </c>
      <c r="M168" s="195">
        <f t="shared" si="224"/>
        <v>88005600</v>
      </c>
      <c r="N168" s="195">
        <f t="shared" si="224"/>
        <v>73337998</v>
      </c>
      <c r="O168" s="15">
        <f t="shared" ref="O168:W168" si="357">O50</f>
        <v>0</v>
      </c>
      <c r="P168" s="15">
        <f t="shared" si="357"/>
        <v>24177362</v>
      </c>
      <c r="Q168" s="15">
        <f t="shared" si="357"/>
        <v>-24177362</v>
      </c>
      <c r="R168" s="15">
        <f t="shared" si="357"/>
        <v>88005600</v>
      </c>
      <c r="S168" s="15">
        <f t="shared" si="357"/>
        <v>24983274</v>
      </c>
      <c r="T168" s="15">
        <f t="shared" si="357"/>
        <v>63022326</v>
      </c>
      <c r="U168" s="15">
        <f t="shared" si="357"/>
        <v>0</v>
      </c>
      <c r="V168" s="15">
        <f t="shared" si="357"/>
        <v>24177362</v>
      </c>
      <c r="W168" s="15">
        <f t="shared" si="357"/>
        <v>-24177362</v>
      </c>
      <c r="X168" s="195">
        <f t="shared" si="226"/>
        <v>88005600</v>
      </c>
      <c r="Y168" s="195">
        <f t="shared" si="226"/>
        <v>73337998</v>
      </c>
      <c r="Z168" s="15">
        <f t="shared" ref="Z168:AH168" si="358">Z50</f>
        <v>0</v>
      </c>
      <c r="AA168" s="15">
        <f t="shared" si="358"/>
        <v>24711717</v>
      </c>
      <c r="AB168" s="15">
        <f t="shared" si="358"/>
        <v>-24711717</v>
      </c>
      <c r="AC168" s="15">
        <f t="shared" si="358"/>
        <v>88005600</v>
      </c>
      <c r="AD168" s="15">
        <f t="shared" si="358"/>
        <v>24711717.390000001</v>
      </c>
      <c r="AE168" s="15">
        <f t="shared" si="358"/>
        <v>63293882.609999999</v>
      </c>
      <c r="AF168" s="15">
        <f t="shared" si="358"/>
        <v>0</v>
      </c>
      <c r="AG168" s="15">
        <f t="shared" si="358"/>
        <v>23914565.219999999</v>
      </c>
      <c r="AH168" s="15">
        <f t="shared" si="358"/>
        <v>-23914565.219999999</v>
      </c>
      <c r="AK168" s="15">
        <f t="shared" ref="AK168:AS168" si="359">AK50</f>
        <v>0</v>
      </c>
      <c r="AL168" s="15">
        <f t="shared" si="359"/>
        <v>0</v>
      </c>
      <c r="AM168" s="15">
        <f t="shared" si="359"/>
        <v>0</v>
      </c>
      <c r="AN168" s="15">
        <f t="shared" si="359"/>
        <v>88005600</v>
      </c>
      <c r="AO168" s="15">
        <f t="shared" si="359"/>
        <v>0</v>
      </c>
      <c r="AP168" s="15">
        <f t="shared" si="359"/>
        <v>88005600</v>
      </c>
      <c r="AQ168" s="15">
        <f t="shared" si="359"/>
        <v>0</v>
      </c>
      <c r="AR168" s="15">
        <f t="shared" si="359"/>
        <v>0</v>
      </c>
      <c r="AS168" s="15">
        <f t="shared" si="359"/>
        <v>0</v>
      </c>
      <c r="AV168" s="1">
        <f t="shared" si="229"/>
        <v>352022400</v>
      </c>
      <c r="AW168" s="36">
        <f t="shared" si="229"/>
        <v>220013995.61000001</v>
      </c>
      <c r="AX168" s="1">
        <f t="shared" si="230"/>
        <v>337354798</v>
      </c>
      <c r="AY168" s="1">
        <f t="shared" si="231"/>
        <v>132008404.38999999</v>
      </c>
    </row>
    <row r="169" spans="1:51" x14ac:dyDescent="0.2">
      <c r="A169">
        <v>35</v>
      </c>
      <c r="B169" s="70" t="s">
        <v>110</v>
      </c>
      <c r="D169" s="15">
        <f t="shared" ref="D169:L169" si="360">D60</f>
        <v>15930000</v>
      </c>
      <c r="E169" s="15">
        <f t="shared" si="360"/>
        <v>0</v>
      </c>
      <c r="F169" s="15">
        <f t="shared" si="360"/>
        <v>15930000</v>
      </c>
      <c r="G169" s="15">
        <f t="shared" si="360"/>
        <v>15930000</v>
      </c>
      <c r="H169" s="15">
        <f t="shared" si="360"/>
        <v>0</v>
      </c>
      <c r="I169" s="15">
        <f t="shared" si="360"/>
        <v>15930000</v>
      </c>
      <c r="J169" s="15">
        <f t="shared" si="360"/>
        <v>15930000</v>
      </c>
      <c r="K169" s="15">
        <f t="shared" si="360"/>
        <v>0</v>
      </c>
      <c r="L169" s="15">
        <f t="shared" si="360"/>
        <v>15930000</v>
      </c>
      <c r="M169" s="195">
        <f t="shared" si="224"/>
        <v>47790000</v>
      </c>
      <c r="N169" s="195">
        <f t="shared" si="224"/>
        <v>0</v>
      </c>
      <c r="O169" s="15">
        <f t="shared" ref="O169:W169" si="361">O60</f>
        <v>15930000</v>
      </c>
      <c r="P169" s="15">
        <f t="shared" si="361"/>
        <v>0</v>
      </c>
      <c r="Q169" s="15">
        <f t="shared" si="361"/>
        <v>15930000</v>
      </c>
      <c r="R169" s="15">
        <f t="shared" si="361"/>
        <v>15930000</v>
      </c>
      <c r="S169" s="15">
        <f t="shared" si="361"/>
        <v>0</v>
      </c>
      <c r="T169" s="15">
        <f t="shared" si="361"/>
        <v>15930000</v>
      </c>
      <c r="U169" s="15">
        <f t="shared" si="361"/>
        <v>20826000</v>
      </c>
      <c r="V169" s="15">
        <f t="shared" si="361"/>
        <v>0</v>
      </c>
      <c r="W169" s="15">
        <f t="shared" si="361"/>
        <v>20826000</v>
      </c>
      <c r="X169" s="195">
        <f t="shared" si="226"/>
        <v>52686000</v>
      </c>
      <c r="Y169" s="195">
        <f t="shared" si="226"/>
        <v>0</v>
      </c>
      <c r="Z169" s="15">
        <f t="shared" ref="Z169:AH169" si="362">Z60</f>
        <v>15930000</v>
      </c>
      <c r="AA169" s="15">
        <f t="shared" si="362"/>
        <v>4828170</v>
      </c>
      <c r="AB169" s="15">
        <f t="shared" si="362"/>
        <v>11101830</v>
      </c>
      <c r="AC169" s="15">
        <f t="shared" si="362"/>
        <v>15930000</v>
      </c>
      <c r="AD169" s="15">
        <f t="shared" si="362"/>
        <v>0</v>
      </c>
      <c r="AE169" s="15">
        <f t="shared" si="362"/>
        <v>15930000</v>
      </c>
      <c r="AF169" s="15">
        <f t="shared" si="362"/>
        <v>15930000</v>
      </c>
      <c r="AG169" s="15">
        <f t="shared" si="362"/>
        <v>0</v>
      </c>
      <c r="AH169" s="15">
        <f t="shared" si="362"/>
        <v>15930000</v>
      </c>
      <c r="AK169" s="15">
        <f t="shared" ref="AK169:AS169" si="363">AK60</f>
        <v>15930000</v>
      </c>
      <c r="AL169" s="15">
        <f t="shared" si="363"/>
        <v>0</v>
      </c>
      <c r="AM169" s="15">
        <f t="shared" si="363"/>
        <v>15930000</v>
      </c>
      <c r="AN169" s="15">
        <f t="shared" si="363"/>
        <v>33930000</v>
      </c>
      <c r="AO169" s="15">
        <f t="shared" si="363"/>
        <v>0</v>
      </c>
      <c r="AP169" s="15">
        <f t="shared" si="363"/>
        <v>33930000</v>
      </c>
      <c r="AQ169" s="15">
        <f t="shared" si="363"/>
        <v>15930000</v>
      </c>
      <c r="AR169" s="15">
        <f t="shared" si="363"/>
        <v>0</v>
      </c>
      <c r="AS169" s="15">
        <f t="shared" si="363"/>
        <v>15930000</v>
      </c>
      <c r="AV169" s="1">
        <f t="shared" si="229"/>
        <v>214056000</v>
      </c>
      <c r="AW169" s="36">
        <f t="shared" si="229"/>
        <v>4828170</v>
      </c>
      <c r="AX169" s="1">
        <f t="shared" si="230"/>
        <v>166266000</v>
      </c>
      <c r="AY169" s="1">
        <f t="shared" si="231"/>
        <v>209227830</v>
      </c>
    </row>
    <row r="170" spans="1:51" x14ac:dyDescent="0.2">
      <c r="A170">
        <v>36</v>
      </c>
      <c r="B170" s="70" t="s">
        <v>204</v>
      </c>
      <c r="D170" s="15">
        <f t="shared" ref="D170:L170" si="364">D52</f>
        <v>0</v>
      </c>
      <c r="E170" s="15">
        <f t="shared" si="364"/>
        <v>0</v>
      </c>
      <c r="F170" s="15">
        <f t="shared" si="364"/>
        <v>0</v>
      </c>
      <c r="G170" s="15">
        <f t="shared" si="364"/>
        <v>1500000</v>
      </c>
      <c r="H170" s="15">
        <f t="shared" si="364"/>
        <v>0</v>
      </c>
      <c r="I170" s="15">
        <f t="shared" si="364"/>
        <v>1500000</v>
      </c>
      <c r="J170" s="15">
        <f t="shared" si="364"/>
        <v>0</v>
      </c>
      <c r="K170" s="15">
        <f t="shared" si="364"/>
        <v>409091</v>
      </c>
      <c r="L170" s="15">
        <f t="shared" si="364"/>
        <v>-409091</v>
      </c>
      <c r="M170" s="195">
        <f t="shared" si="224"/>
        <v>1500000</v>
      </c>
      <c r="N170" s="195">
        <f t="shared" si="224"/>
        <v>409091</v>
      </c>
      <c r="O170" s="15">
        <f t="shared" ref="O170:W170" si="365">O52</f>
        <v>0</v>
      </c>
      <c r="P170" s="15">
        <f t="shared" si="365"/>
        <v>0</v>
      </c>
      <c r="Q170" s="15">
        <f t="shared" si="365"/>
        <v>0</v>
      </c>
      <c r="R170" s="15">
        <f t="shared" si="365"/>
        <v>1500000</v>
      </c>
      <c r="S170" s="15">
        <f t="shared" si="365"/>
        <v>0</v>
      </c>
      <c r="T170" s="15">
        <f t="shared" si="365"/>
        <v>1500000</v>
      </c>
      <c r="U170" s="15">
        <f t="shared" si="365"/>
        <v>0</v>
      </c>
      <c r="V170" s="15">
        <f t="shared" si="365"/>
        <v>0</v>
      </c>
      <c r="W170" s="15">
        <f t="shared" si="365"/>
        <v>0</v>
      </c>
      <c r="X170" s="195">
        <f t="shared" si="226"/>
        <v>1500000</v>
      </c>
      <c r="Y170" s="195">
        <f t="shared" si="226"/>
        <v>0</v>
      </c>
      <c r="Z170" s="15">
        <f t="shared" ref="Z170:AH170" si="366">Z52</f>
        <v>0</v>
      </c>
      <c r="AA170" s="15">
        <f t="shared" si="366"/>
        <v>0</v>
      </c>
      <c r="AB170" s="15">
        <f t="shared" si="366"/>
        <v>0</v>
      </c>
      <c r="AC170" s="15">
        <f t="shared" si="366"/>
        <v>1500000</v>
      </c>
      <c r="AD170" s="15">
        <f t="shared" si="366"/>
        <v>0</v>
      </c>
      <c r="AE170" s="15">
        <f t="shared" si="366"/>
        <v>1500000</v>
      </c>
      <c r="AF170" s="15">
        <f t="shared" si="366"/>
        <v>0</v>
      </c>
      <c r="AG170" s="15">
        <f t="shared" si="366"/>
        <v>409091</v>
      </c>
      <c r="AH170" s="15">
        <f t="shared" si="366"/>
        <v>-409091</v>
      </c>
      <c r="AK170" s="15">
        <f t="shared" ref="AK170:AS170" si="367">AK52</f>
        <v>0</v>
      </c>
      <c r="AL170" s="15">
        <f t="shared" si="367"/>
        <v>0</v>
      </c>
      <c r="AM170" s="15">
        <f t="shared" si="367"/>
        <v>0</v>
      </c>
      <c r="AN170" s="15">
        <f t="shared" si="367"/>
        <v>1500000</v>
      </c>
      <c r="AO170" s="15">
        <f t="shared" si="367"/>
        <v>0</v>
      </c>
      <c r="AP170" s="15">
        <f t="shared" si="367"/>
        <v>1500000</v>
      </c>
      <c r="AQ170" s="15">
        <f t="shared" si="367"/>
        <v>0</v>
      </c>
      <c r="AR170" s="15">
        <f t="shared" si="367"/>
        <v>0</v>
      </c>
      <c r="AS170" s="15">
        <f t="shared" si="367"/>
        <v>0</v>
      </c>
      <c r="AV170" s="1">
        <f t="shared" si="229"/>
        <v>6000000</v>
      </c>
      <c r="AW170" s="36">
        <f t="shared" si="229"/>
        <v>818182</v>
      </c>
      <c r="AX170" s="1">
        <f t="shared" si="230"/>
        <v>4909091</v>
      </c>
      <c r="AY170" s="1">
        <f t="shared" si="231"/>
        <v>5181818</v>
      </c>
    </row>
    <row r="171" spans="1:51" x14ac:dyDescent="0.2">
      <c r="A171">
        <v>37</v>
      </c>
      <c r="B171" s="70" t="s">
        <v>70</v>
      </c>
      <c r="D171" s="15">
        <f t="shared" ref="D171:L171" si="368">D36</f>
        <v>2000000</v>
      </c>
      <c r="E171" s="15">
        <f t="shared" si="368"/>
        <v>500000</v>
      </c>
      <c r="F171" s="15">
        <f t="shared" si="368"/>
        <v>1500000</v>
      </c>
      <c r="G171" s="15">
        <f t="shared" si="368"/>
        <v>12366822</v>
      </c>
      <c r="H171" s="15">
        <f t="shared" si="368"/>
        <v>92050000</v>
      </c>
      <c r="I171" s="15">
        <f t="shared" si="368"/>
        <v>-79683178</v>
      </c>
      <c r="J171" s="15">
        <f t="shared" si="368"/>
        <v>2000000</v>
      </c>
      <c r="K171" s="15">
        <f t="shared" si="368"/>
        <v>555000</v>
      </c>
      <c r="L171" s="15">
        <f t="shared" si="368"/>
        <v>1445000</v>
      </c>
      <c r="M171" s="195">
        <f t="shared" si="224"/>
        <v>16366822</v>
      </c>
      <c r="N171" s="195">
        <f t="shared" si="224"/>
        <v>93105000</v>
      </c>
      <c r="O171" s="15">
        <f t="shared" ref="O171:W171" si="369">O36</f>
        <v>12366822</v>
      </c>
      <c r="P171" s="15">
        <f t="shared" si="369"/>
        <v>500000</v>
      </c>
      <c r="Q171" s="15">
        <f t="shared" si="369"/>
        <v>11866822</v>
      </c>
      <c r="R171" s="15">
        <f t="shared" si="369"/>
        <v>2000000</v>
      </c>
      <c r="S171" s="15">
        <f t="shared" si="369"/>
        <v>7035000</v>
      </c>
      <c r="T171" s="15">
        <f t="shared" si="369"/>
        <v>-5035000</v>
      </c>
      <c r="U171" s="15">
        <f t="shared" si="369"/>
        <v>12366822</v>
      </c>
      <c r="V171" s="15">
        <f t="shared" si="369"/>
        <v>8937200</v>
      </c>
      <c r="W171" s="15">
        <f t="shared" si="369"/>
        <v>3429622</v>
      </c>
      <c r="X171" s="195">
        <f t="shared" si="226"/>
        <v>26733644</v>
      </c>
      <c r="Y171" s="195">
        <f t="shared" si="226"/>
        <v>16472200</v>
      </c>
      <c r="Z171" s="15">
        <f t="shared" ref="Z171:AH171" si="370">Z36</f>
        <v>2000000</v>
      </c>
      <c r="AA171" s="15">
        <f t="shared" si="370"/>
        <v>6450500</v>
      </c>
      <c r="AB171" s="15">
        <f t="shared" si="370"/>
        <v>-4450500</v>
      </c>
      <c r="AC171" s="15">
        <f t="shared" si="370"/>
        <v>12366822</v>
      </c>
      <c r="AD171" s="15">
        <f t="shared" si="370"/>
        <v>0</v>
      </c>
      <c r="AE171" s="15">
        <f t="shared" si="370"/>
        <v>12366822</v>
      </c>
      <c r="AF171" s="15">
        <f t="shared" si="370"/>
        <v>2000000</v>
      </c>
      <c r="AG171" s="15">
        <f t="shared" si="370"/>
        <v>2501000</v>
      </c>
      <c r="AH171" s="15">
        <f t="shared" si="370"/>
        <v>-501000</v>
      </c>
      <c r="AK171" s="15">
        <f t="shared" ref="AK171:AS171" si="371">AK36</f>
        <v>12366822</v>
      </c>
      <c r="AL171" s="15">
        <f t="shared" si="371"/>
        <v>0</v>
      </c>
      <c r="AM171" s="15">
        <f t="shared" si="371"/>
        <v>12366822</v>
      </c>
      <c r="AN171" s="15">
        <f t="shared" si="371"/>
        <v>2000000</v>
      </c>
      <c r="AO171" s="15">
        <f t="shared" si="371"/>
        <v>0</v>
      </c>
      <c r="AP171" s="15">
        <f t="shared" si="371"/>
        <v>2000000</v>
      </c>
      <c r="AQ171" s="15">
        <f t="shared" si="371"/>
        <v>12366822</v>
      </c>
      <c r="AR171" s="15">
        <f t="shared" si="371"/>
        <v>0</v>
      </c>
      <c r="AS171" s="15">
        <f t="shared" si="371"/>
        <v>12366822</v>
      </c>
      <c r="AV171" s="1">
        <f t="shared" si="229"/>
        <v>86200932</v>
      </c>
      <c r="AW171" s="36">
        <f t="shared" si="229"/>
        <v>118528700</v>
      </c>
      <c r="AX171" s="1">
        <f t="shared" si="230"/>
        <v>162939110</v>
      </c>
      <c r="AY171" s="1">
        <f t="shared" si="231"/>
        <v>-32327768</v>
      </c>
    </row>
    <row r="172" spans="1:51" x14ac:dyDescent="0.2">
      <c r="A172">
        <v>38</v>
      </c>
      <c r="B172" s="70" t="s">
        <v>205</v>
      </c>
      <c r="D172" s="15">
        <f t="shared" ref="D172:L172" si="372">D49</f>
        <v>33891169</v>
      </c>
      <c r="E172" s="15">
        <f t="shared" si="372"/>
        <v>34572194</v>
      </c>
      <c r="F172" s="15">
        <f t="shared" si="372"/>
        <v>-681025</v>
      </c>
      <c r="G172" s="15">
        <f t="shared" si="372"/>
        <v>33891169</v>
      </c>
      <c r="H172" s="15">
        <f t="shared" si="372"/>
        <v>24988357</v>
      </c>
      <c r="I172" s="15">
        <f t="shared" si="372"/>
        <v>8902812</v>
      </c>
      <c r="J172" s="15">
        <f t="shared" si="372"/>
        <v>33891169</v>
      </c>
      <c r="K172" s="15">
        <f t="shared" si="372"/>
        <v>40485128</v>
      </c>
      <c r="L172" s="15">
        <f t="shared" si="372"/>
        <v>-6593959</v>
      </c>
      <c r="M172" s="195">
        <f t="shared" si="224"/>
        <v>101673507</v>
      </c>
      <c r="N172" s="195">
        <f t="shared" si="224"/>
        <v>100045679</v>
      </c>
      <c r="O172" s="15">
        <f t="shared" ref="O172:W172" si="373">O49</f>
        <v>33891169</v>
      </c>
      <c r="P172" s="15">
        <f t="shared" si="373"/>
        <v>32975070</v>
      </c>
      <c r="Q172" s="15">
        <f t="shared" si="373"/>
        <v>916099</v>
      </c>
      <c r="R172" s="15">
        <f t="shared" si="373"/>
        <v>33891169</v>
      </c>
      <c r="S172" s="15">
        <f t="shared" si="373"/>
        <v>34175164</v>
      </c>
      <c r="T172" s="15">
        <f t="shared" si="373"/>
        <v>-283995</v>
      </c>
      <c r="U172" s="15">
        <f t="shared" si="373"/>
        <v>33891169</v>
      </c>
      <c r="V172" s="15">
        <f t="shared" si="373"/>
        <v>19262225</v>
      </c>
      <c r="W172" s="15">
        <f t="shared" si="373"/>
        <v>14628944</v>
      </c>
      <c r="X172" s="195">
        <f t="shared" si="226"/>
        <v>101673507</v>
      </c>
      <c r="Y172" s="195">
        <f t="shared" si="226"/>
        <v>86412459</v>
      </c>
      <c r="Z172" s="15">
        <f t="shared" ref="Z172:AH172" si="374">Z49</f>
        <v>33891169</v>
      </c>
      <c r="AA172" s="15">
        <f t="shared" si="374"/>
        <v>35656595</v>
      </c>
      <c r="AB172" s="15">
        <f t="shared" si="374"/>
        <v>-1765426</v>
      </c>
      <c r="AC172" s="15">
        <f t="shared" si="374"/>
        <v>33891169</v>
      </c>
      <c r="AD172" s="15">
        <f t="shared" si="374"/>
        <v>33368582</v>
      </c>
      <c r="AE172" s="15">
        <f t="shared" si="374"/>
        <v>522587</v>
      </c>
      <c r="AF172" s="15">
        <f t="shared" si="374"/>
        <v>33891169</v>
      </c>
      <c r="AG172" s="15">
        <f t="shared" si="374"/>
        <v>39742225</v>
      </c>
      <c r="AH172" s="15">
        <f t="shared" si="374"/>
        <v>-5851056</v>
      </c>
      <c r="AK172" s="15">
        <f t="shared" ref="AK172:AS172" si="375">AK49</f>
        <v>33891169</v>
      </c>
      <c r="AL172" s="15">
        <f t="shared" si="375"/>
        <v>0</v>
      </c>
      <c r="AM172" s="15">
        <f t="shared" si="375"/>
        <v>33891169</v>
      </c>
      <c r="AN172" s="15">
        <f t="shared" si="375"/>
        <v>33891169</v>
      </c>
      <c r="AO172" s="15">
        <f t="shared" si="375"/>
        <v>0</v>
      </c>
      <c r="AP172" s="15">
        <f t="shared" si="375"/>
        <v>33891169</v>
      </c>
      <c r="AQ172" s="15">
        <f t="shared" si="375"/>
        <v>33891169</v>
      </c>
      <c r="AR172" s="15">
        <f t="shared" si="375"/>
        <v>0</v>
      </c>
      <c r="AS172" s="15">
        <f t="shared" si="375"/>
        <v>33891169</v>
      </c>
      <c r="AV172" s="1">
        <f t="shared" si="229"/>
        <v>406694028</v>
      </c>
      <c r="AW172" s="36">
        <f t="shared" si="229"/>
        <v>295225540</v>
      </c>
      <c r="AX172" s="1">
        <f t="shared" si="230"/>
        <v>405066200</v>
      </c>
      <c r="AY172" s="1">
        <f t="shared" si="231"/>
        <v>111468488</v>
      </c>
    </row>
    <row r="173" spans="1:51" x14ac:dyDescent="0.2">
      <c r="A173">
        <v>39</v>
      </c>
      <c r="B173" s="70" t="s">
        <v>206</v>
      </c>
      <c r="D173" s="15">
        <f t="shared" ref="D173:L173" si="376">D9</f>
        <v>19508200</v>
      </c>
      <c r="E173" s="15">
        <f t="shared" si="376"/>
        <v>0</v>
      </c>
      <c r="F173" s="15">
        <f t="shared" si="376"/>
        <v>19508200</v>
      </c>
      <c r="G173" s="15">
        <f t="shared" si="376"/>
        <v>19508200</v>
      </c>
      <c r="H173" s="15">
        <f t="shared" si="376"/>
        <v>0</v>
      </c>
      <c r="I173" s="15">
        <f t="shared" si="376"/>
        <v>19508200</v>
      </c>
      <c r="J173" s="15">
        <f t="shared" si="376"/>
        <v>19508200</v>
      </c>
      <c r="K173" s="15">
        <f t="shared" si="376"/>
        <v>0</v>
      </c>
      <c r="L173" s="15">
        <f t="shared" si="376"/>
        <v>19508200</v>
      </c>
      <c r="M173" s="195">
        <f t="shared" si="224"/>
        <v>58524600</v>
      </c>
      <c r="N173" s="195">
        <f t="shared" si="224"/>
        <v>0</v>
      </c>
      <c r="O173" s="15">
        <f t="shared" ref="O173:W173" si="377">O9</f>
        <v>21797684.000000004</v>
      </c>
      <c r="P173" s="15">
        <f t="shared" si="377"/>
        <v>20566563</v>
      </c>
      <c r="Q173" s="15">
        <f t="shared" si="377"/>
        <v>1231121.0000000037</v>
      </c>
      <c r="R173" s="15">
        <f t="shared" si="377"/>
        <v>21797684.000000004</v>
      </c>
      <c r="S173" s="15">
        <f t="shared" si="377"/>
        <v>23178114</v>
      </c>
      <c r="T173" s="15">
        <f t="shared" si="377"/>
        <v>-1380429.9999999963</v>
      </c>
      <c r="U173" s="15">
        <f t="shared" si="377"/>
        <v>21797684.000000004</v>
      </c>
      <c r="V173" s="15">
        <f t="shared" si="377"/>
        <v>23081557</v>
      </c>
      <c r="W173" s="15">
        <f t="shared" si="377"/>
        <v>-1283872.9999999963</v>
      </c>
      <c r="X173" s="195">
        <f t="shared" si="226"/>
        <v>65393052.000000015</v>
      </c>
      <c r="Y173" s="195">
        <f t="shared" si="226"/>
        <v>66826234</v>
      </c>
      <c r="Z173" s="15">
        <f t="shared" ref="Z173:AH173" si="378">Z9</f>
        <v>21784988.268415324</v>
      </c>
      <c r="AA173" s="15">
        <f t="shared" si="378"/>
        <v>0</v>
      </c>
      <c r="AB173" s="15">
        <f t="shared" si="378"/>
        <v>21784988.268415324</v>
      </c>
      <c r="AC173" s="15">
        <f t="shared" si="378"/>
        <v>21784988.268415324</v>
      </c>
      <c r="AD173" s="15">
        <f t="shared" si="378"/>
        <v>23586197</v>
      </c>
      <c r="AE173" s="15">
        <f t="shared" si="378"/>
        <v>-1801208.7315846756</v>
      </c>
      <c r="AF173" s="15">
        <f t="shared" si="378"/>
        <v>21784988.268415324</v>
      </c>
      <c r="AG173" s="15">
        <f t="shared" si="378"/>
        <v>23586198</v>
      </c>
      <c r="AH173" s="15">
        <f t="shared" si="378"/>
        <v>-1801209.7315846756</v>
      </c>
      <c r="AK173" s="15">
        <f t="shared" ref="AK173:AS173" si="379">AK9</f>
        <v>21784988.268415324</v>
      </c>
      <c r="AL173" s="15">
        <f t="shared" si="379"/>
        <v>0</v>
      </c>
      <c r="AM173" s="15">
        <f t="shared" si="379"/>
        <v>21784988.268415324</v>
      </c>
      <c r="AN173" s="15">
        <f t="shared" si="379"/>
        <v>21784988.268415324</v>
      </c>
      <c r="AO173" s="15">
        <f t="shared" si="379"/>
        <v>0</v>
      </c>
      <c r="AP173" s="15">
        <f t="shared" si="379"/>
        <v>21784988.268415324</v>
      </c>
      <c r="AQ173" s="15">
        <f t="shared" si="379"/>
        <v>21784988.268415324</v>
      </c>
      <c r="AR173" s="15">
        <f t="shared" si="379"/>
        <v>0</v>
      </c>
      <c r="AS173" s="15">
        <f t="shared" si="379"/>
        <v>21784988.268415324</v>
      </c>
      <c r="AV173" s="1">
        <f t="shared" si="229"/>
        <v>254627581.61049196</v>
      </c>
      <c r="AW173" s="36">
        <f t="shared" si="229"/>
        <v>113998629</v>
      </c>
      <c r="AX173" s="1">
        <f t="shared" si="230"/>
        <v>196102981.61049196</v>
      </c>
      <c r="AY173" s="1">
        <f t="shared" si="231"/>
        <v>140628952.61049193</v>
      </c>
    </row>
    <row r="174" spans="1:51" x14ac:dyDescent="0.2">
      <c r="A174">
        <v>40</v>
      </c>
      <c r="B174" s="70" t="s">
        <v>207</v>
      </c>
      <c r="D174" s="15">
        <f t="shared" ref="D174:L174" si="380">D113</f>
        <v>11496331</v>
      </c>
      <c r="E174" s="15">
        <f t="shared" si="380"/>
        <v>5386492</v>
      </c>
      <c r="F174" s="15">
        <f t="shared" si="380"/>
        <v>6109839</v>
      </c>
      <c r="G174" s="15">
        <f t="shared" si="380"/>
        <v>11496331</v>
      </c>
      <c r="H174" s="15">
        <f t="shared" si="380"/>
        <v>4547841</v>
      </c>
      <c r="I174" s="15">
        <f t="shared" si="380"/>
        <v>6948490</v>
      </c>
      <c r="J174" s="15">
        <f t="shared" si="380"/>
        <v>11496331</v>
      </c>
      <c r="K174" s="15">
        <f t="shared" si="380"/>
        <v>4861485</v>
      </c>
      <c r="L174" s="15">
        <f t="shared" si="380"/>
        <v>6634846</v>
      </c>
      <c r="M174" s="195">
        <f t="shared" si="224"/>
        <v>34488993</v>
      </c>
      <c r="N174" s="195">
        <f t="shared" si="224"/>
        <v>14795818</v>
      </c>
      <c r="O174" s="15">
        <f t="shared" ref="O174:W174" si="381">O113</f>
        <v>11496331</v>
      </c>
      <c r="P174" s="15">
        <f t="shared" si="381"/>
        <v>5154390</v>
      </c>
      <c r="Q174" s="15">
        <f t="shared" si="381"/>
        <v>6341941</v>
      </c>
      <c r="R174" s="15">
        <f t="shared" si="381"/>
        <v>11496331</v>
      </c>
      <c r="S174" s="15">
        <f t="shared" si="381"/>
        <v>7073243</v>
      </c>
      <c r="T174" s="15">
        <f t="shared" si="381"/>
        <v>4423088</v>
      </c>
      <c r="U174" s="15">
        <f t="shared" si="381"/>
        <v>11496331</v>
      </c>
      <c r="V174" s="15">
        <f t="shared" si="381"/>
        <v>10162500</v>
      </c>
      <c r="W174" s="15">
        <f t="shared" si="381"/>
        <v>1333831</v>
      </c>
      <c r="X174" s="195">
        <f t="shared" si="226"/>
        <v>34488993</v>
      </c>
      <c r="Y174" s="195">
        <f t="shared" si="226"/>
        <v>22390133</v>
      </c>
      <c r="Z174" s="15">
        <f t="shared" ref="Z174:AH174" si="382">Z113</f>
        <v>11496331</v>
      </c>
      <c r="AA174" s="15">
        <f t="shared" si="382"/>
        <v>12722380</v>
      </c>
      <c r="AB174" s="15">
        <f t="shared" si="382"/>
        <v>-1226049</v>
      </c>
      <c r="AC174" s="15">
        <f t="shared" si="382"/>
        <v>11496331</v>
      </c>
      <c r="AD174" s="15">
        <f t="shared" si="382"/>
        <v>4563839</v>
      </c>
      <c r="AE174" s="15">
        <f t="shared" si="382"/>
        <v>6932492</v>
      </c>
      <c r="AF174" s="15">
        <f t="shared" si="382"/>
        <v>11496331</v>
      </c>
      <c r="AG174" s="15">
        <f t="shared" si="382"/>
        <v>22239618.850000001</v>
      </c>
      <c r="AH174" s="15">
        <f t="shared" si="382"/>
        <v>-10743287.850000001</v>
      </c>
      <c r="AK174" s="15">
        <f t="shared" ref="AK174:AS174" si="383">AK113</f>
        <v>11496331</v>
      </c>
      <c r="AL174" s="15">
        <f t="shared" si="383"/>
        <v>0</v>
      </c>
      <c r="AM174" s="15">
        <f t="shared" si="383"/>
        <v>11496331</v>
      </c>
      <c r="AN174" s="15">
        <f t="shared" si="383"/>
        <v>11496331</v>
      </c>
      <c r="AO174" s="15">
        <f t="shared" si="383"/>
        <v>0</v>
      </c>
      <c r="AP174" s="15">
        <f t="shared" si="383"/>
        <v>11496331</v>
      </c>
      <c r="AQ174" s="15">
        <f t="shared" si="383"/>
        <v>11496331</v>
      </c>
      <c r="AR174" s="15">
        <f t="shared" si="383"/>
        <v>0</v>
      </c>
      <c r="AS174" s="15">
        <f t="shared" si="383"/>
        <v>11496331</v>
      </c>
      <c r="AV174" s="1">
        <f t="shared" si="229"/>
        <v>137955972</v>
      </c>
      <c r="AW174" s="36">
        <f t="shared" si="229"/>
        <v>76711788.849999994</v>
      </c>
      <c r="AX174" s="1">
        <f t="shared" si="230"/>
        <v>118262797</v>
      </c>
      <c r="AY174" s="1">
        <f t="shared" si="231"/>
        <v>61244183.149999999</v>
      </c>
    </row>
    <row r="175" spans="1:51" s="21" customFormat="1" x14ac:dyDescent="0.2">
      <c r="A175">
        <v>41</v>
      </c>
      <c r="B175" s="70" t="s">
        <v>208</v>
      </c>
      <c r="C175"/>
      <c r="D175" s="15">
        <f t="shared" ref="D175:L175" si="384">D33+D54+D55</f>
        <v>14307502</v>
      </c>
      <c r="E175" s="15">
        <f t="shared" si="384"/>
        <v>20253563</v>
      </c>
      <c r="F175" s="15">
        <f t="shared" si="384"/>
        <v>-5946061</v>
      </c>
      <c r="G175" s="15">
        <f t="shared" si="384"/>
        <v>3307502</v>
      </c>
      <c r="H175" s="15">
        <f t="shared" si="384"/>
        <v>10750593</v>
      </c>
      <c r="I175" s="15">
        <f t="shared" si="384"/>
        <v>-7443091</v>
      </c>
      <c r="J175" s="15">
        <f t="shared" si="384"/>
        <v>9307502</v>
      </c>
      <c r="K175" s="15">
        <f t="shared" si="384"/>
        <v>25518817</v>
      </c>
      <c r="L175" s="15">
        <f t="shared" si="384"/>
        <v>-16211315</v>
      </c>
      <c r="M175" s="195">
        <f t="shared" si="224"/>
        <v>26922506</v>
      </c>
      <c r="N175" s="195">
        <f t="shared" si="224"/>
        <v>56522973</v>
      </c>
      <c r="O175" s="15">
        <f t="shared" ref="O175:W175" si="385">O33+O54+O55</f>
        <v>3307502</v>
      </c>
      <c r="P175" s="15">
        <f t="shared" si="385"/>
        <v>10503594</v>
      </c>
      <c r="Q175" s="15">
        <f t="shared" si="385"/>
        <v>-7196092</v>
      </c>
      <c r="R175" s="15">
        <f t="shared" si="385"/>
        <v>6307502</v>
      </c>
      <c r="S175" s="15">
        <f t="shared" si="385"/>
        <v>9550346</v>
      </c>
      <c r="T175" s="15">
        <f t="shared" si="385"/>
        <v>-3242844</v>
      </c>
      <c r="U175" s="15">
        <f t="shared" si="385"/>
        <v>3307502</v>
      </c>
      <c r="V175" s="15">
        <f t="shared" si="385"/>
        <v>13080328</v>
      </c>
      <c r="W175" s="15">
        <f t="shared" si="385"/>
        <v>-9772826</v>
      </c>
      <c r="X175" s="195">
        <f t="shared" si="226"/>
        <v>12922506</v>
      </c>
      <c r="Y175" s="195">
        <f t="shared" si="226"/>
        <v>33134268</v>
      </c>
      <c r="Z175" s="15">
        <f t="shared" ref="Z175:AH175" si="386">Z33+Z54+Z55</f>
        <v>4023553.2251694337</v>
      </c>
      <c r="AA175" s="15">
        <f t="shared" si="386"/>
        <v>6815174</v>
      </c>
      <c r="AB175" s="15">
        <f t="shared" si="386"/>
        <v>-2791620.7748305663</v>
      </c>
      <c r="AC175" s="15">
        <f t="shared" si="386"/>
        <v>3307502</v>
      </c>
      <c r="AD175" s="15">
        <f t="shared" si="386"/>
        <v>1535860</v>
      </c>
      <c r="AE175" s="15">
        <f t="shared" si="386"/>
        <v>1771642</v>
      </c>
      <c r="AF175" s="15">
        <f t="shared" si="386"/>
        <v>3307502</v>
      </c>
      <c r="AG175" s="15">
        <f t="shared" si="386"/>
        <v>3095020.74</v>
      </c>
      <c r="AH175" s="15">
        <f t="shared" si="386"/>
        <v>212481.25999999978</v>
      </c>
      <c r="AI175" s="1"/>
      <c r="AJ175" s="1"/>
      <c r="AK175" s="15">
        <f t="shared" ref="AK175:AS175" si="387">AK33+AK54+AK55</f>
        <v>3307502</v>
      </c>
      <c r="AL175" s="15">
        <f t="shared" si="387"/>
        <v>0</v>
      </c>
      <c r="AM175" s="15">
        <f t="shared" si="387"/>
        <v>3307502</v>
      </c>
      <c r="AN175" s="15">
        <f t="shared" si="387"/>
        <v>3307502</v>
      </c>
      <c r="AO175" s="15">
        <f t="shared" si="387"/>
        <v>0</v>
      </c>
      <c r="AP175" s="15">
        <f t="shared" si="387"/>
        <v>3307502</v>
      </c>
      <c r="AQ175" s="15">
        <f t="shared" si="387"/>
        <v>3307502</v>
      </c>
      <c r="AR175" s="15">
        <f t="shared" si="387"/>
        <v>0</v>
      </c>
      <c r="AS175" s="15">
        <f t="shared" si="387"/>
        <v>3307502</v>
      </c>
      <c r="AT175" s="1"/>
      <c r="AU175" s="1"/>
      <c r="AV175" s="1">
        <f t="shared" si="229"/>
        <v>60406075.225169435</v>
      </c>
      <c r="AW175" s="36">
        <f t="shared" si="229"/>
        <v>101103295.74000001</v>
      </c>
      <c r="AX175" s="1">
        <f t="shared" si="230"/>
        <v>90006542.225169435</v>
      </c>
      <c r="AY175" s="1">
        <f t="shared" si="231"/>
        <v>-40697220.514830567</v>
      </c>
    </row>
    <row r="176" spans="1:51" x14ac:dyDescent="0.2">
      <c r="A176">
        <v>42</v>
      </c>
      <c r="B176" s="70" t="s">
        <v>209</v>
      </c>
      <c r="D176" s="15">
        <f t="shared" ref="D176:L176" si="388">D40</f>
        <v>53200000</v>
      </c>
      <c r="E176" s="15">
        <f t="shared" si="388"/>
        <v>0</v>
      </c>
      <c r="F176" s="15">
        <f t="shared" si="388"/>
        <v>53200000</v>
      </c>
      <c r="G176" s="15">
        <f t="shared" si="388"/>
        <v>0</v>
      </c>
      <c r="H176" s="15">
        <f t="shared" si="388"/>
        <v>0</v>
      </c>
      <c r="I176" s="15">
        <f t="shared" si="388"/>
        <v>0</v>
      </c>
      <c r="J176" s="15">
        <f t="shared" si="388"/>
        <v>26600000</v>
      </c>
      <c r="K176" s="15">
        <f t="shared" si="388"/>
        <v>0</v>
      </c>
      <c r="L176" s="15">
        <f t="shared" si="388"/>
        <v>26600000</v>
      </c>
      <c r="M176" s="195">
        <f t="shared" si="224"/>
        <v>79800000</v>
      </c>
      <c r="N176" s="195">
        <f t="shared" si="224"/>
        <v>0</v>
      </c>
      <c r="O176" s="15">
        <f t="shared" ref="O176:W176" si="389">O40</f>
        <v>0</v>
      </c>
      <c r="P176" s="15">
        <f t="shared" si="389"/>
        <v>0</v>
      </c>
      <c r="Q176" s="15">
        <f t="shared" si="389"/>
        <v>0</v>
      </c>
      <c r="R176" s="15">
        <f t="shared" si="389"/>
        <v>0</v>
      </c>
      <c r="S176" s="15">
        <f t="shared" si="389"/>
        <v>0</v>
      </c>
      <c r="T176" s="15">
        <f t="shared" si="389"/>
        <v>0</v>
      </c>
      <c r="U176" s="15">
        <f t="shared" si="389"/>
        <v>0</v>
      </c>
      <c r="V176" s="15">
        <f t="shared" si="389"/>
        <v>0</v>
      </c>
      <c r="W176" s="15">
        <f t="shared" si="389"/>
        <v>0</v>
      </c>
      <c r="X176" s="195">
        <f t="shared" si="226"/>
        <v>0</v>
      </c>
      <c r="Y176" s="195">
        <f t="shared" si="226"/>
        <v>0</v>
      </c>
      <c r="Z176" s="15">
        <f t="shared" ref="Z176:AH176" si="390">Z40</f>
        <v>0</v>
      </c>
      <c r="AA176" s="15">
        <f t="shared" si="390"/>
        <v>0</v>
      </c>
      <c r="AB176" s="15">
        <f t="shared" si="390"/>
        <v>0</v>
      </c>
      <c r="AC176" s="15">
        <f t="shared" si="390"/>
        <v>0</v>
      </c>
      <c r="AD176" s="15">
        <f t="shared" si="390"/>
        <v>0</v>
      </c>
      <c r="AE176" s="15">
        <f t="shared" si="390"/>
        <v>0</v>
      </c>
      <c r="AF176" s="15">
        <f t="shared" si="390"/>
        <v>0</v>
      </c>
      <c r="AG176" s="15">
        <f t="shared" si="390"/>
        <v>0</v>
      </c>
      <c r="AH176" s="15">
        <f t="shared" si="390"/>
        <v>0</v>
      </c>
      <c r="AK176" s="15">
        <f t="shared" ref="AK176:AS176" si="391">AK40</f>
        <v>0</v>
      </c>
      <c r="AL176" s="15">
        <f t="shared" si="391"/>
        <v>0</v>
      </c>
      <c r="AM176" s="15">
        <f t="shared" si="391"/>
        <v>0</v>
      </c>
      <c r="AN176" s="15">
        <f t="shared" si="391"/>
        <v>0</v>
      </c>
      <c r="AO176" s="15">
        <f t="shared" si="391"/>
        <v>0</v>
      </c>
      <c r="AP176" s="15">
        <f t="shared" si="391"/>
        <v>0</v>
      </c>
      <c r="AQ176" s="15">
        <f t="shared" si="391"/>
        <v>0</v>
      </c>
      <c r="AR176" s="15">
        <f t="shared" si="391"/>
        <v>0</v>
      </c>
      <c r="AS176" s="15">
        <f t="shared" si="391"/>
        <v>0</v>
      </c>
      <c r="AV176" s="1">
        <f t="shared" si="229"/>
        <v>79800000</v>
      </c>
      <c r="AW176" s="36">
        <f t="shared" si="229"/>
        <v>0</v>
      </c>
      <c r="AX176" s="1">
        <f t="shared" si="230"/>
        <v>0</v>
      </c>
      <c r="AY176" s="1">
        <f t="shared" si="231"/>
        <v>79800000</v>
      </c>
    </row>
    <row r="177" spans="1:54" x14ac:dyDescent="0.2">
      <c r="A177">
        <v>43</v>
      </c>
      <c r="B177" s="70" t="s">
        <v>210</v>
      </c>
      <c r="D177" s="15">
        <f t="shared" ref="D177:L177" si="392">D120+D121</f>
        <v>163878900</v>
      </c>
      <c r="E177" s="15">
        <f t="shared" si="392"/>
        <v>163878900</v>
      </c>
      <c r="F177" s="15">
        <f t="shared" si="392"/>
        <v>0</v>
      </c>
      <c r="G177" s="15">
        <f t="shared" si="392"/>
        <v>163878900</v>
      </c>
      <c r="H177" s="15">
        <f t="shared" si="392"/>
        <v>163878900</v>
      </c>
      <c r="I177" s="15">
        <f t="shared" si="392"/>
        <v>0</v>
      </c>
      <c r="J177" s="15">
        <f t="shared" si="392"/>
        <v>163878900</v>
      </c>
      <c r="K177" s="15">
        <f t="shared" si="392"/>
        <v>163878900</v>
      </c>
      <c r="L177" s="15">
        <f t="shared" si="392"/>
        <v>0</v>
      </c>
      <c r="M177" s="195">
        <f t="shared" si="224"/>
        <v>491636700</v>
      </c>
      <c r="N177" s="195">
        <f t="shared" si="224"/>
        <v>491636700</v>
      </c>
      <c r="O177" s="15">
        <f t="shared" ref="O177:W177" si="393">O120+O121</f>
        <v>163878900</v>
      </c>
      <c r="P177" s="15">
        <f t="shared" si="393"/>
        <v>163878900</v>
      </c>
      <c r="Q177" s="15">
        <f t="shared" si="393"/>
        <v>0</v>
      </c>
      <c r="R177" s="15">
        <f t="shared" si="393"/>
        <v>163878900</v>
      </c>
      <c r="S177" s="15">
        <f t="shared" si="393"/>
        <v>163878900</v>
      </c>
      <c r="T177" s="15">
        <f t="shared" si="393"/>
        <v>0</v>
      </c>
      <c r="U177" s="15">
        <f t="shared" si="393"/>
        <v>163878900</v>
      </c>
      <c r="V177" s="15">
        <f t="shared" si="393"/>
        <v>163878900</v>
      </c>
      <c r="W177" s="15">
        <f t="shared" si="393"/>
        <v>0</v>
      </c>
      <c r="X177" s="195">
        <f t="shared" si="226"/>
        <v>491636700</v>
      </c>
      <c r="Y177" s="195">
        <f t="shared" si="226"/>
        <v>491636700</v>
      </c>
      <c r="Z177" s="15">
        <f t="shared" ref="Z177:AH177" si="394">Z120+Z121</f>
        <v>163878900</v>
      </c>
      <c r="AA177" s="15">
        <f t="shared" si="394"/>
        <v>0</v>
      </c>
      <c r="AB177" s="15">
        <f t="shared" si="394"/>
        <v>163878900</v>
      </c>
      <c r="AC177" s="15">
        <f t="shared" si="394"/>
        <v>163878900</v>
      </c>
      <c r="AD177" s="15">
        <f t="shared" si="394"/>
        <v>0</v>
      </c>
      <c r="AE177" s="15">
        <f t="shared" si="394"/>
        <v>163878900</v>
      </c>
      <c r="AF177" s="15">
        <f t="shared" si="394"/>
        <v>163878900</v>
      </c>
      <c r="AG177" s="15">
        <f t="shared" si="394"/>
        <v>0</v>
      </c>
      <c r="AH177" s="15">
        <f t="shared" si="394"/>
        <v>163878900</v>
      </c>
      <c r="AK177" s="15">
        <f t="shared" ref="AK177:AS177" si="395">AK120+AK121</f>
        <v>163878900</v>
      </c>
      <c r="AL177" s="15">
        <f t="shared" si="395"/>
        <v>0</v>
      </c>
      <c r="AM177" s="15">
        <f t="shared" si="395"/>
        <v>163878900</v>
      </c>
      <c r="AN177" s="15">
        <f t="shared" si="395"/>
        <v>163878900</v>
      </c>
      <c r="AO177" s="15">
        <f t="shared" si="395"/>
        <v>0</v>
      </c>
      <c r="AP177" s="15">
        <f t="shared" si="395"/>
        <v>163878900</v>
      </c>
      <c r="AQ177" s="15">
        <f t="shared" si="395"/>
        <v>163878900</v>
      </c>
      <c r="AR177" s="15">
        <f t="shared" si="395"/>
        <v>0</v>
      </c>
      <c r="AS177" s="15">
        <f t="shared" si="395"/>
        <v>163878900</v>
      </c>
      <c r="AV177" s="1">
        <f t="shared" si="229"/>
        <v>1966546800</v>
      </c>
      <c r="AW177" s="36">
        <f t="shared" si="229"/>
        <v>983273400</v>
      </c>
      <c r="AX177" s="1">
        <f t="shared" si="230"/>
        <v>1966546800</v>
      </c>
      <c r="AY177" s="1">
        <f t="shared" si="231"/>
        <v>983273400</v>
      </c>
    </row>
    <row r="178" spans="1:54" x14ac:dyDescent="0.2">
      <c r="A178" s="21"/>
      <c r="B178" s="93" t="s">
        <v>211</v>
      </c>
      <c r="C178" s="93"/>
      <c r="D178" s="93">
        <f t="shared" ref="D178:AH178" si="396">SUM(D136:D177)</f>
        <v>1460183034</v>
      </c>
      <c r="E178" s="93">
        <f t="shared" si="396"/>
        <v>943827524</v>
      </c>
      <c r="F178" s="93">
        <f t="shared" si="396"/>
        <v>540912180</v>
      </c>
      <c r="G178" s="93">
        <f t="shared" si="396"/>
        <v>1341741432</v>
      </c>
      <c r="H178" s="93">
        <f t="shared" si="396"/>
        <v>1046996452</v>
      </c>
      <c r="I178" s="93">
        <f t="shared" si="396"/>
        <v>319693320</v>
      </c>
      <c r="J178" s="93">
        <f t="shared" si="396"/>
        <v>1155649010</v>
      </c>
      <c r="K178" s="93">
        <f t="shared" si="396"/>
        <v>980824054</v>
      </c>
      <c r="L178" s="93">
        <f t="shared" si="396"/>
        <v>237967495</v>
      </c>
      <c r="M178" s="198">
        <f t="shared" si="396"/>
        <v>3957573476</v>
      </c>
      <c r="N178" s="198">
        <f t="shared" si="396"/>
        <v>2971648030</v>
      </c>
      <c r="O178" s="93">
        <f t="shared" si="396"/>
        <v>1299639780</v>
      </c>
      <c r="P178" s="93">
        <f t="shared" si="396"/>
        <v>1118325836</v>
      </c>
      <c r="Q178" s="93">
        <f t="shared" si="396"/>
        <v>186332026.00000006</v>
      </c>
      <c r="R178" s="93">
        <f t="shared" si="396"/>
        <v>1309042894</v>
      </c>
      <c r="S178" s="93">
        <f t="shared" si="396"/>
        <v>1091697681</v>
      </c>
      <c r="T178" s="93">
        <f t="shared" si="396"/>
        <v>224630455.00000006</v>
      </c>
      <c r="U178" s="93">
        <f t="shared" si="396"/>
        <v>1261365124.5</v>
      </c>
      <c r="V178" s="93">
        <f t="shared" si="396"/>
        <v>999116832</v>
      </c>
      <c r="W178" s="93">
        <f t="shared" si="396"/>
        <v>267897328.50000006</v>
      </c>
      <c r="X178" s="198">
        <f t="shared" si="396"/>
        <v>3870047798.5</v>
      </c>
      <c r="Y178" s="198">
        <f t="shared" si="396"/>
        <v>3209140349</v>
      </c>
      <c r="Z178" s="93">
        <f t="shared" si="396"/>
        <v>1249082468.4806933</v>
      </c>
      <c r="AA178" s="93">
        <f t="shared" si="396"/>
        <v>1206676002</v>
      </c>
      <c r="AB178" s="93">
        <f t="shared" si="396"/>
        <v>42406466.480693355</v>
      </c>
      <c r="AC178" s="93">
        <f t="shared" si="396"/>
        <v>2226455942.1956272</v>
      </c>
      <c r="AD178" s="93">
        <f t="shared" si="396"/>
        <v>1873682931.3900001</v>
      </c>
      <c r="AE178" s="93">
        <f t="shared" si="396"/>
        <v>457337010.80562735</v>
      </c>
      <c r="AF178" s="93">
        <f t="shared" si="396"/>
        <v>1109147753.2555239</v>
      </c>
      <c r="AG178" s="93">
        <f t="shared" si="396"/>
        <v>943980515.63999999</v>
      </c>
      <c r="AH178" s="93">
        <f t="shared" si="396"/>
        <v>165167237.6155239</v>
      </c>
      <c r="AI178" s="93"/>
      <c r="AJ178" s="93"/>
      <c r="AK178" s="93">
        <f t="shared" ref="AK178:AS178" si="397">SUM(AK136:AK177)</f>
        <v>1236843239.2555239</v>
      </c>
      <c r="AL178" s="93">
        <f t="shared" si="397"/>
        <v>0</v>
      </c>
      <c r="AM178" s="93">
        <f t="shared" si="397"/>
        <v>1236843239.2555239</v>
      </c>
      <c r="AN178" s="93">
        <f t="shared" si="397"/>
        <v>1333271353.2555239</v>
      </c>
      <c r="AO178" s="93">
        <f t="shared" si="397"/>
        <v>0</v>
      </c>
      <c r="AP178" s="93">
        <f t="shared" si="397"/>
        <v>1333271353.2555239</v>
      </c>
      <c r="AQ178" s="93">
        <f t="shared" si="397"/>
        <v>1693545317.1956272</v>
      </c>
      <c r="AR178" s="93">
        <f t="shared" si="397"/>
        <v>0</v>
      </c>
      <c r="AS178" s="93">
        <f t="shared" si="397"/>
        <v>1693545317.1956272</v>
      </c>
      <c r="AT178" s="93"/>
      <c r="AU178" s="93"/>
      <c r="AV178" s="93">
        <f>SUM(AV136:AV177)</f>
        <v>16675967348.138521</v>
      </c>
      <c r="AW178" s="93">
        <f>SUM(AW136:AW177)</f>
        <v>10205127828.029999</v>
      </c>
      <c r="AX178" s="93">
        <f>SUM(AX136:AX177)</f>
        <v>15690041902.138521</v>
      </c>
      <c r="AY178" s="93">
        <f>SUM(AY136:AY177)</f>
        <v>6706003429.1085196</v>
      </c>
    </row>
    <row r="179" spans="1:54" x14ac:dyDescent="0.2">
      <c r="B179" s="70" t="s">
        <v>212</v>
      </c>
      <c r="D179" s="15">
        <f t="shared" ref="D179:L179" si="398">D125+D126+D127</f>
        <v>9650000</v>
      </c>
      <c r="E179" s="15">
        <f t="shared" si="398"/>
        <v>9650000</v>
      </c>
      <c r="F179" s="15">
        <f t="shared" si="398"/>
        <v>0</v>
      </c>
      <c r="G179" s="15">
        <f t="shared" si="398"/>
        <v>9650000</v>
      </c>
      <c r="H179" s="15">
        <f t="shared" si="398"/>
        <v>9650000</v>
      </c>
      <c r="I179" s="15">
        <f t="shared" si="398"/>
        <v>0</v>
      </c>
      <c r="J179" s="15">
        <f t="shared" si="398"/>
        <v>9650000</v>
      </c>
      <c r="K179" s="15">
        <f t="shared" si="398"/>
        <v>9650000</v>
      </c>
      <c r="L179" s="15">
        <f t="shared" si="398"/>
        <v>0</v>
      </c>
      <c r="M179" s="195">
        <f>D179+G179+J179</f>
        <v>28950000</v>
      </c>
      <c r="N179" s="195">
        <f>E179+H179+K179</f>
        <v>28950000</v>
      </c>
      <c r="O179" s="15">
        <f t="shared" ref="O179:W179" si="399">O125+O126+O127</f>
        <v>9650000</v>
      </c>
      <c r="P179" s="15">
        <f t="shared" si="399"/>
        <v>9650000</v>
      </c>
      <c r="Q179" s="15">
        <f t="shared" si="399"/>
        <v>0</v>
      </c>
      <c r="R179" s="15">
        <f t="shared" si="399"/>
        <v>9650000</v>
      </c>
      <c r="S179" s="15">
        <f t="shared" si="399"/>
        <v>9650000</v>
      </c>
      <c r="T179" s="15">
        <f t="shared" si="399"/>
        <v>0</v>
      </c>
      <c r="U179" s="15">
        <f t="shared" si="399"/>
        <v>9650000</v>
      </c>
      <c r="V179" s="15">
        <f t="shared" si="399"/>
        <v>9650000</v>
      </c>
      <c r="W179" s="15">
        <f t="shared" si="399"/>
        <v>0</v>
      </c>
      <c r="X179" s="195">
        <f>O179+R179+U179</f>
        <v>28950000</v>
      </c>
      <c r="Y179" s="195">
        <f>P179+S179+V179</f>
        <v>28950000</v>
      </c>
      <c r="Z179" s="15">
        <f t="shared" ref="Z179:AH179" si="400">Z125+Z126+Z127</f>
        <v>9650000</v>
      </c>
      <c r="AA179" s="15">
        <f t="shared" si="400"/>
        <v>0</v>
      </c>
      <c r="AB179" s="15">
        <f t="shared" si="400"/>
        <v>9650000</v>
      </c>
      <c r="AC179" s="15">
        <f t="shared" si="400"/>
        <v>9650000</v>
      </c>
      <c r="AD179" s="15">
        <f t="shared" si="400"/>
        <v>0</v>
      </c>
      <c r="AE179" s="15">
        <f t="shared" si="400"/>
        <v>9650000</v>
      </c>
      <c r="AF179" s="15">
        <f t="shared" si="400"/>
        <v>9650000</v>
      </c>
      <c r="AG179" s="15">
        <f t="shared" si="400"/>
        <v>0</v>
      </c>
      <c r="AH179" s="15">
        <f t="shared" si="400"/>
        <v>9650000</v>
      </c>
      <c r="AK179" s="15">
        <f t="shared" ref="AK179:AS179" si="401">AK125+AK126+AK127</f>
        <v>9650000</v>
      </c>
      <c r="AL179" s="15">
        <f t="shared" si="401"/>
        <v>0</v>
      </c>
      <c r="AM179" s="15">
        <f t="shared" si="401"/>
        <v>9650000</v>
      </c>
      <c r="AN179" s="15">
        <f t="shared" si="401"/>
        <v>9650000</v>
      </c>
      <c r="AO179" s="15">
        <f t="shared" si="401"/>
        <v>0</v>
      </c>
      <c r="AP179" s="15">
        <f t="shared" si="401"/>
        <v>9650000</v>
      </c>
      <c r="AQ179" s="15">
        <f t="shared" si="401"/>
        <v>9650000</v>
      </c>
      <c r="AR179" s="15">
        <f t="shared" si="401"/>
        <v>0</v>
      </c>
      <c r="AS179" s="15">
        <f t="shared" si="401"/>
        <v>9650000</v>
      </c>
      <c r="AV179" s="1">
        <f>AQ179+AN179+AK179+AF179+AC179+Z179+U179+R179+O179+J179+G179+D179</f>
        <v>115800000</v>
      </c>
      <c r="AW179" s="36">
        <f>AR179+AO179+AL179+AG179+AD179+AA179+V179+S179+P179+K179+H179+E179</f>
        <v>57900000</v>
      </c>
      <c r="AX179" s="1">
        <f>(AV179-M179)+N179</f>
        <v>115800000</v>
      </c>
      <c r="AY179" s="1">
        <f>AS179+AP179+AM179+AH179+AE179+AB179+W179+T179+Q179+L179+I179+F179</f>
        <v>57900000</v>
      </c>
    </row>
    <row r="180" spans="1:54" x14ac:dyDescent="0.2">
      <c r="B180" s="70"/>
      <c r="D180" s="15"/>
      <c r="E180" s="15"/>
      <c r="F180" s="15"/>
      <c r="G180" s="15"/>
      <c r="H180" s="15"/>
      <c r="I180" s="15"/>
      <c r="J180" s="15"/>
      <c r="K180" s="15"/>
      <c r="L180" s="15"/>
      <c r="M180" s="200"/>
      <c r="N180" s="200"/>
      <c r="O180" s="15"/>
      <c r="P180" s="15"/>
      <c r="Q180" s="15"/>
      <c r="R180" s="15"/>
      <c r="S180" s="15"/>
      <c r="T180" s="15"/>
      <c r="U180" s="15"/>
      <c r="V180" s="15"/>
      <c r="W180" s="15"/>
      <c r="X180" s="200"/>
      <c r="Y180" s="200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201"/>
      <c r="AX180" s="1">
        <f>(AV180-M180)+N180</f>
        <v>0</v>
      </c>
      <c r="AY180" s="15"/>
    </row>
    <row r="181" spans="1:54" s="2" customFormat="1" x14ac:dyDescent="0.2">
      <c r="B181" s="96" t="s">
        <v>24</v>
      </c>
      <c r="D181" s="21">
        <f t="shared" ref="D181:AH181" si="402">D178-D179</f>
        <v>1450533034</v>
      </c>
      <c r="E181" s="21">
        <f t="shared" si="402"/>
        <v>934177524</v>
      </c>
      <c r="F181" s="21">
        <f t="shared" si="402"/>
        <v>540912180</v>
      </c>
      <c r="G181" s="21">
        <f t="shared" si="402"/>
        <v>1332091432</v>
      </c>
      <c r="H181" s="21">
        <f t="shared" si="402"/>
        <v>1037346452</v>
      </c>
      <c r="I181" s="21">
        <f t="shared" si="402"/>
        <v>319693320</v>
      </c>
      <c r="J181" s="21">
        <f t="shared" si="402"/>
        <v>1145999010</v>
      </c>
      <c r="K181" s="21">
        <f t="shared" si="402"/>
        <v>971174054</v>
      </c>
      <c r="L181" s="21">
        <f t="shared" si="402"/>
        <v>237967495</v>
      </c>
      <c r="M181" s="198">
        <f t="shared" si="402"/>
        <v>3928623476</v>
      </c>
      <c r="N181" s="198">
        <f t="shared" si="402"/>
        <v>2942698030</v>
      </c>
      <c r="O181" s="21">
        <f t="shared" si="402"/>
        <v>1289989780</v>
      </c>
      <c r="P181" s="21">
        <f t="shared" si="402"/>
        <v>1108675836</v>
      </c>
      <c r="Q181" s="21">
        <f t="shared" si="402"/>
        <v>186332026.00000006</v>
      </c>
      <c r="R181" s="21">
        <f t="shared" si="402"/>
        <v>1299392894</v>
      </c>
      <c r="S181" s="21">
        <f t="shared" si="402"/>
        <v>1082047681</v>
      </c>
      <c r="T181" s="21">
        <f t="shared" si="402"/>
        <v>224630455.00000006</v>
      </c>
      <c r="U181" s="21">
        <f t="shared" si="402"/>
        <v>1251715124.5</v>
      </c>
      <c r="V181" s="21">
        <f t="shared" si="402"/>
        <v>989466832</v>
      </c>
      <c r="W181" s="21">
        <f t="shared" si="402"/>
        <v>267897328.50000006</v>
      </c>
      <c r="X181" s="198">
        <f t="shared" si="402"/>
        <v>3841097798.5</v>
      </c>
      <c r="Y181" s="198">
        <f t="shared" si="402"/>
        <v>3180190349</v>
      </c>
      <c r="Z181" s="21">
        <f t="shared" si="402"/>
        <v>1239432468.4806933</v>
      </c>
      <c r="AA181" s="21">
        <f t="shared" si="402"/>
        <v>1206676002</v>
      </c>
      <c r="AB181" s="21">
        <f t="shared" si="402"/>
        <v>32756466.480693355</v>
      </c>
      <c r="AC181" s="21">
        <f t="shared" si="402"/>
        <v>2216805942.1956272</v>
      </c>
      <c r="AD181" s="21">
        <f t="shared" si="402"/>
        <v>1873682931.3900001</v>
      </c>
      <c r="AE181" s="21">
        <f t="shared" si="402"/>
        <v>447687010.80562735</v>
      </c>
      <c r="AF181" s="21">
        <f t="shared" si="402"/>
        <v>1099497753.2555239</v>
      </c>
      <c r="AG181" s="21">
        <f t="shared" si="402"/>
        <v>943980515.63999999</v>
      </c>
      <c r="AH181" s="21">
        <f t="shared" si="402"/>
        <v>155517237.6155239</v>
      </c>
      <c r="AI181" s="21"/>
      <c r="AJ181" s="21"/>
      <c r="AK181" s="21">
        <f t="shared" ref="AK181:AS181" si="403">AK178-AK179</f>
        <v>1227193239.2555239</v>
      </c>
      <c r="AL181" s="21">
        <f t="shared" si="403"/>
        <v>0</v>
      </c>
      <c r="AM181" s="21">
        <f t="shared" si="403"/>
        <v>1227193239.2555239</v>
      </c>
      <c r="AN181" s="21">
        <f t="shared" si="403"/>
        <v>1323621353.2555239</v>
      </c>
      <c r="AO181" s="21">
        <f t="shared" si="403"/>
        <v>0</v>
      </c>
      <c r="AP181" s="21">
        <f t="shared" si="403"/>
        <v>1323621353.2555239</v>
      </c>
      <c r="AQ181" s="21">
        <f t="shared" si="403"/>
        <v>1683895317.1956272</v>
      </c>
      <c r="AR181" s="21">
        <f t="shared" si="403"/>
        <v>0</v>
      </c>
      <c r="AS181" s="21">
        <f t="shared" si="403"/>
        <v>1683895317.1956272</v>
      </c>
      <c r="AT181" s="21"/>
      <c r="AU181" s="21"/>
      <c r="AV181" s="21">
        <f>AV178-AV179</f>
        <v>16560167348.138521</v>
      </c>
      <c r="AW181" s="21">
        <f>AW178-AW179</f>
        <v>10147227828.029999</v>
      </c>
      <c r="AX181" s="21">
        <f>AX178-AX179</f>
        <v>15574241902.138521</v>
      </c>
      <c r="AY181" s="21">
        <f>AY178-AY179</f>
        <v>6648103429.1085196</v>
      </c>
      <c r="AZ181" s="21"/>
      <c r="BA181" s="21"/>
      <c r="BB181" s="21"/>
    </row>
    <row r="183" spans="1:54" x14ac:dyDescent="0.2">
      <c r="O183" s="1">
        <v>2875095042.2660265</v>
      </c>
      <c r="P183" s="1">
        <v>1953390439</v>
      </c>
      <c r="Q183" s="1">
        <v>926722685.26602674</v>
      </c>
      <c r="R183" s="1">
        <v>2824325190.2660265</v>
      </c>
      <c r="S183" s="1">
        <v>1899546751</v>
      </c>
      <c r="T183" s="1">
        <v>932063681.26602674</v>
      </c>
      <c r="U183" s="1">
        <v>2670818386.7660265</v>
      </c>
      <c r="V183" s="1">
        <v>1916114651</v>
      </c>
      <c r="W183" s="1">
        <v>760352771.76602685</v>
      </c>
      <c r="X183" s="1">
        <v>8370238619.2980804</v>
      </c>
      <c r="Y183" s="1">
        <v>5769051841</v>
      </c>
      <c r="Z183" s="1">
        <v>2793837730.7467198</v>
      </c>
      <c r="AA183" s="1">
        <v>2158823308.8299999</v>
      </c>
      <c r="AB183" s="1">
        <v>635014421.91672003</v>
      </c>
      <c r="AC183" s="1">
        <v>4777729924.7016544</v>
      </c>
      <c r="AD183" s="1">
        <v>3228334766.0900002</v>
      </c>
      <c r="AE183" s="1">
        <v>1653959158.6116545</v>
      </c>
      <c r="AF183" s="1">
        <v>2380744015.5215507</v>
      </c>
      <c r="AG183" s="1">
        <v>2143734504.4200001</v>
      </c>
      <c r="AH183" s="1">
        <v>237009511.10155064</v>
      </c>
      <c r="AI183" s="1">
        <v>0</v>
      </c>
      <c r="AJ183" s="1">
        <v>0</v>
      </c>
      <c r="AK183" s="1">
        <v>2743768501.5215502</v>
      </c>
      <c r="AL183" s="1">
        <v>0</v>
      </c>
      <c r="AM183" s="1">
        <v>2743768501.5215502</v>
      </c>
      <c r="AN183" s="1">
        <v>2851377649.5215502</v>
      </c>
      <c r="AO183" s="1">
        <v>0</v>
      </c>
      <c r="AP183" s="1">
        <v>2851377649.5215502</v>
      </c>
      <c r="AQ183" s="1">
        <v>3682834740.701654</v>
      </c>
      <c r="AR183" s="1">
        <v>0</v>
      </c>
      <c r="AS183" s="1">
        <v>3682834740.701654</v>
      </c>
      <c r="AT183" s="1">
        <v>0</v>
      </c>
      <c r="AU183" s="1">
        <v>0</v>
      </c>
      <c r="AW183" s="1">
        <v>20485590288.34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scale="26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3" zoomScale="64" zoomScaleNormal="64" zoomScaleSheetLayoutView="70" workbookViewId="0">
      <selection activeCell="P56" sqref="P56"/>
    </sheetView>
  </sheetViews>
  <sheetFormatPr defaultColWidth="11.5703125" defaultRowHeight="12.75" x14ac:dyDescent="0.2"/>
  <cols>
    <col min="1" max="1" width="4.28515625" style="89" customWidth="1"/>
    <col min="2" max="2" width="35.42578125" customWidth="1"/>
    <col min="3" max="3" width="16.42578125" customWidth="1"/>
    <col min="4" max="5" width="18.140625" customWidth="1"/>
    <col min="6" max="9" width="0" hidden="1" customWidth="1"/>
  </cols>
  <sheetData>
    <row r="1" spans="1:9" ht="15" x14ac:dyDescent="0.25">
      <c r="A1" s="122" t="s">
        <v>2</v>
      </c>
      <c r="B1" s="122" t="s">
        <v>4</v>
      </c>
      <c r="C1" s="123" t="s">
        <v>8</v>
      </c>
      <c r="D1" s="123" t="s">
        <v>19</v>
      </c>
      <c r="E1" s="123" t="s">
        <v>8</v>
      </c>
      <c r="F1" s="123" t="s">
        <v>8</v>
      </c>
      <c r="G1" s="123" t="s">
        <v>8</v>
      </c>
      <c r="H1" s="123" t="s">
        <v>8</v>
      </c>
      <c r="I1" s="123" t="s">
        <v>8</v>
      </c>
    </row>
    <row r="2" spans="1:9" ht="15" x14ac:dyDescent="0.25">
      <c r="A2" s="122"/>
      <c r="B2" s="122"/>
      <c r="C2" s="124">
        <v>2011</v>
      </c>
      <c r="D2" s="124">
        <v>2011</v>
      </c>
      <c r="E2" s="125">
        <v>2012</v>
      </c>
      <c r="F2" s="125">
        <v>2013</v>
      </c>
      <c r="G2" s="125">
        <v>2014</v>
      </c>
      <c r="H2" s="125">
        <v>2015</v>
      </c>
      <c r="I2" s="125">
        <v>2016</v>
      </c>
    </row>
    <row r="3" spans="1:9" ht="15" hidden="1" x14ac:dyDescent="0.25">
      <c r="A3" s="126"/>
      <c r="B3" s="114" t="s">
        <v>224</v>
      </c>
      <c r="C3" s="114">
        <v>11664237154.0749</v>
      </c>
      <c r="D3" s="127">
        <v>10235890810.257324</v>
      </c>
      <c r="E3" s="116">
        <v>13277756535.881559</v>
      </c>
      <c r="F3" s="116">
        <v>14605532189.469717</v>
      </c>
      <c r="G3" s="116">
        <v>16066085408.416691</v>
      </c>
      <c r="H3" s="116">
        <v>17672693949.258362</v>
      </c>
      <c r="I3" s="116">
        <v>19439963344.1842</v>
      </c>
    </row>
    <row r="4" spans="1:9" ht="15" hidden="1" x14ac:dyDescent="0.25">
      <c r="A4" s="126"/>
      <c r="B4" s="114" t="s">
        <v>225</v>
      </c>
      <c r="C4" s="114">
        <v>1491651084.6164999</v>
      </c>
      <c r="D4" s="127">
        <v>596147659.55103779</v>
      </c>
      <c r="E4" s="117">
        <v>1963479067.6900311</v>
      </c>
      <c r="F4" s="116">
        <v>2159826974.4590344</v>
      </c>
      <c r="G4" s="116">
        <v>2375809671.9049382</v>
      </c>
      <c r="H4" s="116">
        <v>2613390639.0954323</v>
      </c>
      <c r="I4" s="116">
        <v>2874729703.0049758</v>
      </c>
    </row>
    <row r="5" spans="1:9" ht="15" hidden="1" x14ac:dyDescent="0.25">
      <c r="A5" s="128"/>
      <c r="B5" s="118" t="s">
        <v>51</v>
      </c>
      <c r="C5" s="115">
        <v>319879968.68444502</v>
      </c>
      <c r="D5" s="127">
        <v>388020231.10068434</v>
      </c>
      <c r="E5" s="115">
        <v>476781630</v>
      </c>
      <c r="F5" s="116">
        <v>524459793.00000006</v>
      </c>
      <c r="G5" s="116">
        <v>576905772.30000007</v>
      </c>
      <c r="H5" s="116">
        <v>634596349.53000009</v>
      </c>
      <c r="I5" s="116">
        <v>698055984.48300016</v>
      </c>
    </row>
    <row r="6" spans="1:9" ht="15" hidden="1" x14ac:dyDescent="0.25">
      <c r="A6" s="128"/>
      <c r="B6" s="114" t="s">
        <v>226</v>
      </c>
      <c r="C6" s="115">
        <v>13475768207.375845</v>
      </c>
      <c r="D6" s="127">
        <v>11220058700.909046</v>
      </c>
      <c r="E6" s="115">
        <v>15718017233.57159</v>
      </c>
      <c r="F6" s="115">
        <v>17289818956.928753</v>
      </c>
      <c r="G6" s="115">
        <v>19018800852.621628</v>
      </c>
      <c r="H6" s="115">
        <v>20920680937.883793</v>
      </c>
      <c r="I6" s="115">
        <v>23012749031.672176</v>
      </c>
    </row>
    <row r="7" spans="1:9" ht="15" hidden="1" x14ac:dyDescent="0.25">
      <c r="A7" s="128"/>
      <c r="B7" s="114"/>
      <c r="C7" s="115"/>
      <c r="D7" s="127"/>
      <c r="E7" s="115"/>
      <c r="F7" s="115"/>
      <c r="G7" s="115"/>
      <c r="H7" s="115"/>
      <c r="I7" s="115"/>
    </row>
    <row r="8" spans="1:9" ht="15" hidden="1" x14ac:dyDescent="0.25">
      <c r="A8" s="129"/>
      <c r="B8" s="118" t="s">
        <v>227</v>
      </c>
      <c r="C8" s="114">
        <v>376994891.09200001</v>
      </c>
      <c r="D8" s="127">
        <v>71649893.713599831</v>
      </c>
      <c r="E8" s="117">
        <v>476306792</v>
      </c>
      <c r="F8" s="116">
        <v>523937471.20000005</v>
      </c>
      <c r="G8" s="116">
        <v>576331218.32000005</v>
      </c>
      <c r="H8" s="116">
        <v>633964340.15200007</v>
      </c>
      <c r="I8" s="116">
        <v>697360774.16720009</v>
      </c>
    </row>
    <row r="9" spans="1:9" ht="15" hidden="1" x14ac:dyDescent="0.25">
      <c r="A9" s="129"/>
      <c r="B9" s="118" t="s">
        <v>83</v>
      </c>
      <c r="C9" s="114">
        <v>1196644964</v>
      </c>
      <c r="D9" s="127">
        <v>420701296.53955233</v>
      </c>
      <c r="E9" s="114">
        <v>904612940</v>
      </c>
      <c r="F9" s="116">
        <v>995074234.00000012</v>
      </c>
      <c r="G9" s="116">
        <v>1094581657.4000003</v>
      </c>
      <c r="H9" s="116">
        <v>1204039823.1400006</v>
      </c>
      <c r="I9" s="116">
        <v>1324443805.4540007</v>
      </c>
    </row>
    <row r="10" spans="1:9" ht="15" hidden="1" x14ac:dyDescent="0.25">
      <c r="A10" s="126"/>
      <c r="B10" s="114" t="s">
        <v>103</v>
      </c>
      <c r="C10" s="114">
        <v>3990133111.1999998</v>
      </c>
      <c r="D10" s="127">
        <v>2862719794.2468195</v>
      </c>
      <c r="E10" s="114">
        <v>4197462863.2251697</v>
      </c>
      <c r="F10" s="116">
        <v>4617209149.5476866</v>
      </c>
      <c r="G10" s="116">
        <v>5078930064.5024557</v>
      </c>
      <c r="H10" s="116">
        <v>5586823070.9527016</v>
      </c>
      <c r="I10" s="116">
        <v>6145505378.0479727</v>
      </c>
    </row>
    <row r="11" spans="1:9" ht="15" hidden="1" x14ac:dyDescent="0.25">
      <c r="A11" s="129"/>
      <c r="B11" s="114" t="s">
        <v>228</v>
      </c>
      <c r="C11" s="114">
        <v>5563772966.2919998</v>
      </c>
      <c r="D11" s="127">
        <v>3355070984.4999714</v>
      </c>
      <c r="E11" s="114">
        <v>5578382595.2251701</v>
      </c>
      <c r="F11" s="114">
        <v>6136220854.7476864</v>
      </c>
      <c r="G11" s="114">
        <v>6749842940.222456</v>
      </c>
      <c r="H11" s="114">
        <v>7424827234.2447023</v>
      </c>
      <c r="I11" s="114">
        <v>8167309957.6691732</v>
      </c>
    </row>
    <row r="12" spans="1:9" ht="15" hidden="1" x14ac:dyDescent="0.25">
      <c r="A12" s="129"/>
      <c r="B12" s="114"/>
      <c r="C12" s="114"/>
      <c r="D12" s="127"/>
      <c r="E12" s="119"/>
      <c r="F12" s="119"/>
      <c r="G12" s="119"/>
      <c r="H12" s="119"/>
      <c r="I12" s="119"/>
    </row>
    <row r="13" spans="1:9" ht="15" hidden="1" x14ac:dyDescent="0.25">
      <c r="A13" s="128"/>
      <c r="B13" s="118" t="s">
        <v>114</v>
      </c>
      <c r="C13" s="114">
        <v>243509400</v>
      </c>
      <c r="D13" s="127">
        <v>230117440.81668115</v>
      </c>
      <c r="E13" s="114">
        <v>642011000</v>
      </c>
      <c r="F13" s="116">
        <v>706212100</v>
      </c>
      <c r="G13" s="116">
        <v>776833310.00000012</v>
      </c>
      <c r="H13" s="116">
        <v>854516641.00000024</v>
      </c>
      <c r="I13" s="116">
        <v>939968305.10000038</v>
      </c>
    </row>
    <row r="14" spans="1:9" ht="15" hidden="1" x14ac:dyDescent="0.25">
      <c r="A14" s="129"/>
      <c r="B14" s="118" t="s">
        <v>115</v>
      </c>
      <c r="C14" s="114">
        <v>30070000</v>
      </c>
      <c r="D14" s="127">
        <v>0</v>
      </c>
      <c r="E14" s="114">
        <v>21600000</v>
      </c>
      <c r="F14" s="116">
        <v>23760000.000000004</v>
      </c>
      <c r="G14" s="116">
        <v>26136000.000000007</v>
      </c>
      <c r="H14" s="116">
        <v>28749600.000000011</v>
      </c>
      <c r="I14" s="116">
        <v>31624560.000000015</v>
      </c>
    </row>
    <row r="15" spans="1:9" ht="15" hidden="1" x14ac:dyDescent="0.25">
      <c r="A15" s="129"/>
      <c r="B15" s="114" t="s">
        <v>229</v>
      </c>
      <c r="C15" s="114">
        <v>273579400</v>
      </c>
      <c r="D15" s="127">
        <v>230117440.81668115</v>
      </c>
      <c r="E15" s="114">
        <v>663611000</v>
      </c>
      <c r="F15" s="114">
        <v>729972100</v>
      </c>
      <c r="G15" s="114">
        <v>802969310.00000012</v>
      </c>
      <c r="H15" s="114">
        <v>883266241.00000024</v>
      </c>
      <c r="I15" s="114">
        <v>971592865.10000038</v>
      </c>
    </row>
    <row r="16" spans="1:9" ht="15" hidden="1" x14ac:dyDescent="0.25">
      <c r="A16" s="129"/>
      <c r="B16" s="114"/>
      <c r="C16" s="114"/>
      <c r="D16" s="127"/>
      <c r="E16" s="114"/>
      <c r="F16" s="114"/>
      <c r="G16" s="114"/>
      <c r="H16" s="114"/>
      <c r="I16" s="114"/>
    </row>
    <row r="17" spans="1:9" ht="15" hidden="1" x14ac:dyDescent="0.25">
      <c r="A17" s="129"/>
      <c r="B17" s="118" t="s">
        <v>230</v>
      </c>
      <c r="C17" s="114">
        <v>342376000</v>
      </c>
      <c r="D17" s="127">
        <v>19816310.773799144</v>
      </c>
      <c r="E17" s="114">
        <v>599452000</v>
      </c>
      <c r="F17" s="116">
        <v>659397200</v>
      </c>
      <c r="G17" s="116">
        <v>725336920</v>
      </c>
      <c r="H17" s="116">
        <v>797870612.00000012</v>
      </c>
      <c r="I17" s="116">
        <v>877657673.20000017</v>
      </c>
    </row>
    <row r="18" spans="1:9" ht="15" hidden="1" x14ac:dyDescent="0.25">
      <c r="A18" s="129"/>
      <c r="B18" s="118" t="s">
        <v>126</v>
      </c>
      <c r="C18" s="114">
        <v>1548509300</v>
      </c>
      <c r="D18" s="127">
        <v>204439564.29603204</v>
      </c>
      <c r="E18" s="114">
        <v>277290508.5</v>
      </c>
      <c r="F18" s="116">
        <v>305019559.35000002</v>
      </c>
      <c r="G18" s="116">
        <v>335521515.28500003</v>
      </c>
      <c r="H18" s="116">
        <v>369073666.81350005</v>
      </c>
      <c r="I18" s="116">
        <v>405981033.4948501</v>
      </c>
    </row>
    <row r="19" spans="1:9" ht="15" hidden="1" x14ac:dyDescent="0.25">
      <c r="A19" s="129"/>
      <c r="B19" s="118" t="s">
        <v>231</v>
      </c>
      <c r="C19" s="114">
        <v>1890885300</v>
      </c>
      <c r="D19" s="127">
        <v>224255875.06983119</v>
      </c>
      <c r="E19" s="114">
        <v>876742508.5</v>
      </c>
      <c r="F19" s="114">
        <v>964416759.35000002</v>
      </c>
      <c r="G19" s="114">
        <v>1060858435.2850001</v>
      </c>
      <c r="H19" s="114">
        <v>1166944278.8135002</v>
      </c>
      <c r="I19" s="114">
        <v>1283638706.6948502</v>
      </c>
    </row>
    <row r="20" spans="1:9" ht="15" x14ac:dyDescent="0.25">
      <c r="A20" s="129">
        <v>1</v>
      </c>
      <c r="B20" s="114" t="s">
        <v>232</v>
      </c>
      <c r="C20" s="114">
        <v>21204005873.667847</v>
      </c>
      <c r="D20" s="127">
        <v>15029503001.29553</v>
      </c>
      <c r="E20" s="114" t="e">
        <f>#REF!</f>
        <v>#REF!</v>
      </c>
      <c r="F20" s="114">
        <v>25120428671.02644</v>
      </c>
      <c r="G20" s="114">
        <v>27632471538.129082</v>
      </c>
      <c r="H20" s="114">
        <v>30395718691.941994</v>
      </c>
      <c r="I20" s="114">
        <v>33435290561.1362</v>
      </c>
    </row>
    <row r="21" spans="1:9" ht="15" x14ac:dyDescent="0.25">
      <c r="A21" s="129"/>
      <c r="B21" s="114"/>
      <c r="C21" s="114"/>
      <c r="D21" s="127"/>
      <c r="E21" s="114"/>
      <c r="F21" s="114"/>
      <c r="G21" s="114"/>
      <c r="H21" s="114"/>
      <c r="I21" s="114"/>
    </row>
    <row r="22" spans="1:9" ht="15" x14ac:dyDescent="0.25">
      <c r="A22" s="129">
        <v>2</v>
      </c>
      <c r="B22" s="118" t="s">
        <v>233</v>
      </c>
      <c r="C22" s="114">
        <v>585930000</v>
      </c>
      <c r="D22" s="127">
        <v>201132404.89385524</v>
      </c>
      <c r="E22" s="114" t="e">
        <f>#REF!</f>
        <v>#REF!</v>
      </c>
      <c r="F22" s="116">
        <v>746130000.00000012</v>
      </c>
      <c r="G22" s="116">
        <v>820743000.00000024</v>
      </c>
      <c r="H22" s="116">
        <v>902817300.00000036</v>
      </c>
      <c r="I22" s="116">
        <v>993099030.00000048</v>
      </c>
    </row>
    <row r="23" spans="1:9" ht="15" x14ac:dyDescent="0.25">
      <c r="A23" s="129"/>
      <c r="B23" s="118"/>
      <c r="C23" s="114"/>
      <c r="D23" s="127"/>
      <c r="E23" s="119"/>
      <c r="F23" s="119"/>
      <c r="G23" s="119"/>
      <c r="H23" s="119"/>
      <c r="I23" s="119"/>
    </row>
    <row r="24" spans="1:9" ht="15" x14ac:dyDescent="0.25">
      <c r="A24" s="129">
        <v>3</v>
      </c>
      <c r="B24" s="118" t="s">
        <v>234</v>
      </c>
      <c r="C24" s="114">
        <v>501080992</v>
      </c>
      <c r="D24" s="127">
        <v>28810211.485864356</v>
      </c>
      <c r="E24" s="114" t="e">
        <f>#REF!</f>
        <v>#REF!</v>
      </c>
      <c r="F24" s="116">
        <v>472859200.00000006</v>
      </c>
      <c r="G24" s="116">
        <v>520145120.00000012</v>
      </c>
      <c r="H24" s="116">
        <v>572159632.00000012</v>
      </c>
      <c r="I24" s="116">
        <v>629375595.20000017</v>
      </c>
    </row>
    <row r="25" spans="1:9" ht="15" x14ac:dyDescent="0.25">
      <c r="A25" s="129"/>
      <c r="B25" s="118"/>
      <c r="C25" s="114"/>
      <c r="D25" s="127"/>
      <c r="E25" s="119"/>
      <c r="F25" s="119"/>
      <c r="G25" s="119"/>
      <c r="H25" s="119"/>
      <c r="I25" s="119"/>
    </row>
    <row r="26" spans="1:9" ht="15" x14ac:dyDescent="0.25">
      <c r="A26" s="129">
        <v>4</v>
      </c>
      <c r="B26" s="118" t="s">
        <v>235</v>
      </c>
      <c r="C26" s="114">
        <v>202943000</v>
      </c>
      <c r="D26" s="127">
        <v>302226967.37900263</v>
      </c>
      <c r="E26" s="114" t="e">
        <f>#REF!</f>
        <v>#REF!</v>
      </c>
      <c r="F26" s="116">
        <v>225849800.00000003</v>
      </c>
      <c r="G26" s="116">
        <v>248434780.00000006</v>
      </c>
      <c r="H26" s="116">
        <v>273278258.00000006</v>
      </c>
      <c r="I26" s="116">
        <v>300606083.80000007</v>
      </c>
    </row>
    <row r="27" spans="1:9" ht="15" x14ac:dyDescent="0.25">
      <c r="A27" s="129"/>
      <c r="B27" s="118"/>
      <c r="C27" s="114"/>
      <c r="D27" s="127"/>
      <c r="E27" s="114"/>
      <c r="F27" s="114"/>
      <c r="G27" s="114"/>
      <c r="H27" s="114"/>
      <c r="I27" s="114"/>
    </row>
    <row r="28" spans="1:9" ht="15" x14ac:dyDescent="0.25">
      <c r="A28" s="129">
        <v>5</v>
      </c>
      <c r="B28" s="118" t="s">
        <v>236</v>
      </c>
      <c r="C28" s="114">
        <v>690525296</v>
      </c>
      <c r="D28" s="127">
        <v>302226967.37900263</v>
      </c>
      <c r="E28" s="114" t="e">
        <f>#REF!</f>
        <v>#REF!</v>
      </c>
      <c r="F28" s="116">
        <v>417372346.60000002</v>
      </c>
      <c r="G28" s="116">
        <v>459109581.26000005</v>
      </c>
      <c r="H28" s="116">
        <v>505020539.3860001</v>
      </c>
      <c r="I28" s="116">
        <v>555522593.3246001</v>
      </c>
    </row>
    <row r="29" spans="1:9" ht="15" x14ac:dyDescent="0.25">
      <c r="A29" s="129"/>
      <c r="B29" s="118"/>
      <c r="C29" s="114"/>
      <c r="D29" s="127"/>
      <c r="E29" s="119"/>
      <c r="F29" s="119"/>
      <c r="G29" s="119"/>
      <c r="H29" s="119"/>
      <c r="I29" s="119"/>
    </row>
    <row r="30" spans="1:9" ht="15" x14ac:dyDescent="0.25">
      <c r="A30" s="129">
        <v>6</v>
      </c>
      <c r="B30" s="118" t="s">
        <v>238</v>
      </c>
      <c r="C30" s="114">
        <v>15781770086.35</v>
      </c>
      <c r="D30" s="127">
        <v>11051221390.837797</v>
      </c>
      <c r="E30" s="114" t="e">
        <f>#REF!</f>
        <v>#REF!</v>
      </c>
      <c r="F30" s="116">
        <v>12293527142.6</v>
      </c>
      <c r="G30" s="116">
        <v>13522879856.860001</v>
      </c>
      <c r="H30" s="116">
        <v>14875167842.546001</v>
      </c>
      <c r="I30" s="116">
        <v>16362684626.800602</v>
      </c>
    </row>
    <row r="31" spans="1:9" ht="30" x14ac:dyDescent="0.25">
      <c r="A31" s="129"/>
      <c r="B31" s="130" t="s">
        <v>160</v>
      </c>
      <c r="C31" s="114">
        <v>38966255248.017845</v>
      </c>
      <c r="D31" s="127">
        <v>26915120943.271057</v>
      </c>
      <c r="E31" s="114" t="e">
        <f>#REF!</f>
        <v>#REF!</v>
      </c>
      <c r="F31" s="114">
        <v>39276167160.22644</v>
      </c>
      <c r="G31" s="114">
        <v>43203783876.249084</v>
      </c>
      <c r="H31" s="114">
        <v>47524162263.873993</v>
      </c>
      <c r="I31" s="114">
        <v>52276578490.261398</v>
      </c>
    </row>
    <row r="32" spans="1:9" ht="15" x14ac:dyDescent="0.25">
      <c r="A32" s="131"/>
      <c r="B32" s="118"/>
      <c r="C32" s="114"/>
      <c r="D32" s="127"/>
      <c r="E32" s="119"/>
      <c r="F32" s="119"/>
      <c r="G32" s="119"/>
      <c r="H32" s="119"/>
      <c r="I32" s="119"/>
    </row>
    <row r="33" spans="1:9" ht="15" x14ac:dyDescent="0.25">
      <c r="A33" s="129">
        <v>7</v>
      </c>
      <c r="B33" s="132" t="s">
        <v>239</v>
      </c>
      <c r="C33" s="120">
        <v>2776673746.2222199</v>
      </c>
      <c r="D33" s="137">
        <v>2479522104.0140457</v>
      </c>
      <c r="E33" s="120" t="e">
        <f>#REF!</f>
        <v>#REF!</v>
      </c>
      <c r="F33" s="116">
        <v>4401350085</v>
      </c>
      <c r="G33" s="116">
        <v>4841485093.5</v>
      </c>
      <c r="H33" s="116">
        <v>5325633602.8500004</v>
      </c>
      <c r="I33" s="116">
        <v>5858196963.1350012</v>
      </c>
    </row>
    <row r="34" spans="1:9" ht="30" x14ac:dyDescent="0.25">
      <c r="A34" s="129"/>
      <c r="B34" s="133" t="s">
        <v>165</v>
      </c>
      <c r="C34" s="120">
        <v>41742928994.240067</v>
      </c>
      <c r="D34" s="137">
        <v>29394643047.285103</v>
      </c>
      <c r="E34" s="120" t="e">
        <f>#REF!</f>
        <v>#REF!</v>
      </c>
      <c r="F34" s="114">
        <v>43677517245.22644</v>
      </c>
      <c r="G34" s="114">
        <v>48045268969.749084</v>
      </c>
      <c r="H34" s="114">
        <v>52849795866.723991</v>
      </c>
      <c r="I34" s="114">
        <v>58134775453.3964</v>
      </c>
    </row>
    <row r="35" spans="1:9" ht="14.25" x14ac:dyDescent="0.2">
      <c r="A35" s="128"/>
      <c r="B35" s="134"/>
      <c r="C35" s="121"/>
      <c r="D35" s="137"/>
      <c r="E35" s="121"/>
      <c r="F35" s="115"/>
      <c r="G35" s="115"/>
      <c r="H35" s="115"/>
      <c r="I35" s="115"/>
    </row>
    <row r="36" spans="1:9" ht="15" x14ac:dyDescent="0.25">
      <c r="A36" s="129">
        <v>8</v>
      </c>
      <c r="B36" s="132" t="s">
        <v>170</v>
      </c>
      <c r="C36" s="120">
        <v>2240550000</v>
      </c>
      <c r="D36" s="137">
        <v>2240550000</v>
      </c>
      <c r="E36" s="120" t="e">
        <f>#REF!</f>
        <v>#REF!</v>
      </c>
      <c r="F36" s="114">
        <v>2240550000</v>
      </c>
      <c r="G36" s="114">
        <v>2240550000</v>
      </c>
      <c r="H36" s="114">
        <v>2240550000</v>
      </c>
      <c r="I36" s="114">
        <v>2240550000</v>
      </c>
    </row>
    <row r="37" spans="1:9" ht="15" x14ac:dyDescent="0.2">
      <c r="A37" s="128"/>
      <c r="B37" s="134"/>
      <c r="C37" s="120"/>
      <c r="D37" s="137"/>
      <c r="E37" s="121"/>
      <c r="F37" s="115"/>
      <c r="G37" s="115"/>
      <c r="H37" s="115"/>
      <c r="I37" s="115"/>
    </row>
    <row r="38" spans="1:9" s="136" customFormat="1" ht="30" x14ac:dyDescent="0.2">
      <c r="A38" s="135">
        <v>9</v>
      </c>
      <c r="B38" s="133" t="s">
        <v>24</v>
      </c>
      <c r="C38" s="120">
        <v>39502378994.240067</v>
      </c>
      <c r="D38" s="137">
        <v>27154093047.285103</v>
      </c>
      <c r="E38" s="120" t="e">
        <f>#REF!</f>
        <v>#REF!</v>
      </c>
      <c r="F38" s="120">
        <v>41436967245.22644</v>
      </c>
      <c r="G38" s="120">
        <v>45804718969.749084</v>
      </c>
      <c r="H38" s="120">
        <v>50609245866.723991</v>
      </c>
      <c r="I38" s="120">
        <v>55894225453.3964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scale="47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10"/>
  <sheetViews>
    <sheetView showGridLines="0" topLeftCell="N1" zoomScale="70" zoomScaleNormal="70" zoomScaleSheetLayoutView="70" workbookViewId="0">
      <selection activeCell="AC8" sqref="AC8"/>
    </sheetView>
  </sheetViews>
  <sheetFormatPr defaultColWidth="11.5703125" defaultRowHeight="12.75" x14ac:dyDescent="0.2"/>
  <cols>
    <col min="1" max="1" width="3.85546875" style="421" customWidth="1"/>
    <col min="2" max="2" width="18" style="421" customWidth="1"/>
    <col min="3" max="3" width="53" style="421" customWidth="1"/>
    <col min="4" max="4" width="14" style="422" bestFit="1" customWidth="1"/>
    <col min="5" max="5" width="14" style="422" customWidth="1"/>
    <col min="6" max="6" width="14" style="422" bestFit="1" customWidth="1"/>
    <col min="7" max="7" width="14" style="422" customWidth="1"/>
    <col min="8" max="8" width="14" style="422" bestFit="1" customWidth="1"/>
    <col min="9" max="9" width="14" style="422" customWidth="1"/>
    <col min="10" max="10" width="14" style="422" bestFit="1" customWidth="1"/>
    <col min="11" max="11" width="14" style="422" customWidth="1"/>
    <col min="12" max="15" width="14.42578125" style="422" customWidth="1"/>
    <col min="16" max="16" width="14" style="422" bestFit="1" customWidth="1"/>
    <col min="17" max="17" width="14" style="422" customWidth="1"/>
    <col min="18" max="18" width="14" style="422" bestFit="1" customWidth="1"/>
    <col min="19" max="19" width="14" style="422" customWidth="1"/>
    <col min="20" max="20" width="14" style="422" bestFit="1" customWidth="1"/>
    <col min="21" max="21" width="14" style="422" customWidth="1"/>
    <col min="22" max="22" width="14" style="422" bestFit="1" customWidth="1"/>
    <col min="23" max="23" width="14" style="422" customWidth="1"/>
    <col min="24" max="24" width="14" style="422" bestFit="1" customWidth="1"/>
    <col min="25" max="25" width="14" style="422" customWidth="1"/>
    <col min="26" max="26" width="14" style="422" bestFit="1" customWidth="1"/>
    <col min="27" max="27" width="14" style="422" customWidth="1"/>
    <col min="28" max="28" width="16.28515625" style="422" customWidth="1"/>
    <col min="29" max="29" width="15.5703125" style="422" bestFit="1" customWidth="1"/>
    <col min="30" max="16384" width="11.5703125" style="421"/>
  </cols>
  <sheetData>
    <row r="1" spans="1:29" x14ac:dyDescent="0.2">
      <c r="A1" s="420" t="s">
        <v>240</v>
      </c>
      <c r="B1" s="420"/>
    </row>
    <row r="2" spans="1:29" x14ac:dyDescent="0.2">
      <c r="A2" s="420" t="s">
        <v>1</v>
      </c>
      <c r="B2" s="420"/>
    </row>
    <row r="4" spans="1:29" s="142" customFormat="1" x14ac:dyDescent="0.2">
      <c r="A4" s="334" t="s">
        <v>2</v>
      </c>
      <c r="B4" s="334" t="s">
        <v>354</v>
      </c>
      <c r="C4" s="341" t="s">
        <v>4</v>
      </c>
      <c r="D4" s="627" t="s">
        <v>5</v>
      </c>
      <c r="E4" s="628"/>
      <c r="F4" s="627" t="s">
        <v>6</v>
      </c>
      <c r="G4" s="628"/>
      <c r="H4" s="627" t="s">
        <v>7</v>
      </c>
      <c r="I4" s="628"/>
      <c r="J4" s="454" t="s">
        <v>9</v>
      </c>
      <c r="K4" s="454"/>
      <c r="L4" s="339" t="s">
        <v>10</v>
      </c>
      <c r="M4" s="339"/>
      <c r="N4" s="339" t="s">
        <v>11</v>
      </c>
      <c r="O4" s="339"/>
      <c r="P4" s="339" t="s">
        <v>12</v>
      </c>
      <c r="Q4" s="339"/>
      <c r="R4" s="339" t="s">
        <v>13</v>
      </c>
      <c r="S4" s="339"/>
      <c r="T4" s="339" t="s">
        <v>14</v>
      </c>
      <c r="U4" s="339"/>
      <c r="V4" s="339" t="s">
        <v>15</v>
      </c>
      <c r="W4" s="339"/>
      <c r="X4" s="339" t="s">
        <v>16</v>
      </c>
      <c r="Y4" s="339"/>
      <c r="Z4" s="339" t="s">
        <v>17</v>
      </c>
      <c r="AA4" s="339"/>
      <c r="AB4" s="339" t="s">
        <v>18</v>
      </c>
      <c r="AC4" s="424" t="s">
        <v>18</v>
      </c>
    </row>
    <row r="5" spans="1:29" s="142" customFormat="1" x14ac:dyDescent="0.2">
      <c r="A5" s="336"/>
      <c r="B5" s="336" t="s">
        <v>355</v>
      </c>
      <c r="C5" s="336"/>
      <c r="D5" s="425" t="s">
        <v>20</v>
      </c>
      <c r="E5" s="426" t="s">
        <v>302</v>
      </c>
      <c r="F5" s="425" t="s">
        <v>20</v>
      </c>
      <c r="G5" s="426" t="s">
        <v>302</v>
      </c>
      <c r="H5" s="425" t="s">
        <v>20</v>
      </c>
      <c r="I5" s="426" t="s">
        <v>302</v>
      </c>
      <c r="J5" s="425" t="s">
        <v>20</v>
      </c>
      <c r="K5" s="426" t="s">
        <v>302</v>
      </c>
      <c r="L5" s="425" t="s">
        <v>20</v>
      </c>
      <c r="M5" s="426" t="s">
        <v>302</v>
      </c>
      <c r="N5" s="425" t="s">
        <v>20</v>
      </c>
      <c r="O5" s="426" t="s">
        <v>302</v>
      </c>
      <c r="P5" s="425" t="s">
        <v>20</v>
      </c>
      <c r="Q5" s="426" t="s">
        <v>302</v>
      </c>
      <c r="R5" s="425" t="s">
        <v>20</v>
      </c>
      <c r="S5" s="426" t="s">
        <v>302</v>
      </c>
      <c r="T5" s="425" t="s">
        <v>20</v>
      </c>
      <c r="U5" s="426" t="s">
        <v>302</v>
      </c>
      <c r="V5" s="425" t="s">
        <v>20</v>
      </c>
      <c r="W5" s="426" t="s">
        <v>302</v>
      </c>
      <c r="X5" s="425" t="s">
        <v>20</v>
      </c>
      <c r="Y5" s="426" t="s">
        <v>302</v>
      </c>
      <c r="Z5" s="425" t="s">
        <v>20</v>
      </c>
      <c r="AA5" s="426" t="s">
        <v>302</v>
      </c>
      <c r="AB5" s="425" t="s">
        <v>241</v>
      </c>
      <c r="AC5" s="427" t="s">
        <v>382</v>
      </c>
    </row>
    <row r="6" spans="1:29" ht="16.899999999999999" customHeight="1" x14ac:dyDescent="0.2">
      <c r="A6" s="428">
        <v>1</v>
      </c>
      <c r="B6" s="429" t="s">
        <v>150</v>
      </c>
      <c r="C6" s="430" t="s">
        <v>22</v>
      </c>
      <c r="D6" s="422">
        <v>35000000</v>
      </c>
      <c r="E6" s="431">
        <v>32236800</v>
      </c>
      <c r="F6" s="422">
        <v>35000000</v>
      </c>
      <c r="G6" s="431">
        <v>32236800</v>
      </c>
      <c r="H6" s="422">
        <v>35000000</v>
      </c>
      <c r="I6" s="431">
        <v>32236800</v>
      </c>
      <c r="J6" s="422">
        <v>35000000</v>
      </c>
      <c r="K6" s="431">
        <v>32236800</v>
      </c>
      <c r="L6" s="422">
        <v>35000000</v>
      </c>
      <c r="M6" s="431">
        <v>32236800</v>
      </c>
      <c r="N6" s="422">
        <v>35000000</v>
      </c>
      <c r="O6" s="431">
        <v>32236800</v>
      </c>
      <c r="P6" s="422">
        <v>35000000</v>
      </c>
      <c r="Q6" s="431">
        <v>32236800</v>
      </c>
      <c r="R6" s="422">
        <v>52500000</v>
      </c>
      <c r="S6" s="431">
        <v>32236800</v>
      </c>
      <c r="T6" s="422">
        <v>35000000</v>
      </c>
      <c r="U6" s="431">
        <v>32236800</v>
      </c>
      <c r="V6" s="422">
        <v>35000000</v>
      </c>
      <c r="W6" s="431">
        <v>32236800</v>
      </c>
      <c r="X6" s="422">
        <v>35000000</v>
      </c>
      <c r="Y6" s="431">
        <v>32236800</v>
      </c>
      <c r="Z6" s="422">
        <v>35000000</v>
      </c>
      <c r="AA6" s="431">
        <v>32236800</v>
      </c>
      <c r="AB6" s="432">
        <f>Z6+X6+V6+T6+R6+P6+N6+L6+J6+H6+F6+D6</f>
        <v>437500000</v>
      </c>
      <c r="AC6" s="433">
        <f>E6+G6+I6+K6+M6+O6+Q6+S6+U6+W6+Y6+AA6</f>
        <v>386841600</v>
      </c>
    </row>
    <row r="7" spans="1:29" s="438" customFormat="1" ht="16.899999999999999" customHeight="1" x14ac:dyDescent="0.2">
      <c r="A7" s="434"/>
      <c r="B7" s="435"/>
      <c r="C7" s="436" t="s">
        <v>23</v>
      </c>
      <c r="D7" s="437">
        <f t="shared" ref="D7:AC7" si="0">SUM(D6:D6)</f>
        <v>35000000</v>
      </c>
      <c r="E7" s="437">
        <f>SUM(E6:E6)</f>
        <v>32236800</v>
      </c>
      <c r="F7" s="437">
        <f t="shared" si="0"/>
        <v>35000000</v>
      </c>
      <c r="G7" s="437">
        <f t="shared" si="0"/>
        <v>32236800</v>
      </c>
      <c r="H7" s="437">
        <f t="shared" si="0"/>
        <v>35000000</v>
      </c>
      <c r="I7" s="437">
        <f t="shared" si="0"/>
        <v>32236800</v>
      </c>
      <c r="J7" s="437">
        <f t="shared" si="0"/>
        <v>35000000</v>
      </c>
      <c r="K7" s="437">
        <f>SUM(K6:K6)</f>
        <v>32236800</v>
      </c>
      <c r="L7" s="437">
        <f t="shared" si="0"/>
        <v>35000000</v>
      </c>
      <c r="M7" s="437">
        <f>SUM(M6:M6)</f>
        <v>32236800</v>
      </c>
      <c r="N7" s="437">
        <f t="shared" si="0"/>
        <v>35000000</v>
      </c>
      <c r="O7" s="437">
        <f>SUM(O6:O6)</f>
        <v>32236800</v>
      </c>
      <c r="P7" s="437">
        <f t="shared" si="0"/>
        <v>35000000</v>
      </c>
      <c r="Q7" s="437">
        <f>SUM(Q6:Q6)</f>
        <v>32236800</v>
      </c>
      <c r="R7" s="437">
        <f t="shared" si="0"/>
        <v>52500000</v>
      </c>
      <c r="S7" s="437">
        <f>SUM(S6:S6)</f>
        <v>32236800</v>
      </c>
      <c r="T7" s="437">
        <f t="shared" si="0"/>
        <v>35000000</v>
      </c>
      <c r="U7" s="437">
        <f>SUM(U6:U6)</f>
        <v>32236800</v>
      </c>
      <c r="V7" s="437">
        <f t="shared" si="0"/>
        <v>35000000</v>
      </c>
      <c r="W7" s="437">
        <f>SUM(W6:W6)</f>
        <v>32236800</v>
      </c>
      <c r="X7" s="437">
        <f t="shared" si="0"/>
        <v>35000000</v>
      </c>
      <c r="Y7" s="437">
        <f>SUM(Y6:Y6)</f>
        <v>32236800</v>
      </c>
      <c r="Z7" s="437">
        <f t="shared" si="0"/>
        <v>35000000</v>
      </c>
      <c r="AA7" s="437">
        <f>SUM(AA6:AA6)</f>
        <v>32236800</v>
      </c>
      <c r="AB7" s="437">
        <f>SUM(AB6:AB6)</f>
        <v>437500000</v>
      </c>
      <c r="AC7" s="437">
        <f t="shared" si="0"/>
        <v>386841600</v>
      </c>
    </row>
    <row r="8" spans="1:29" s="444" customFormat="1" ht="16.899999999999999" customHeight="1" x14ac:dyDescent="0.2">
      <c r="A8" s="439"/>
      <c r="B8" s="440"/>
      <c r="C8" s="441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  <c r="AA8" s="442"/>
      <c r="AB8" s="442"/>
      <c r="AC8" s="443"/>
    </row>
    <row r="9" spans="1:29" ht="16.899999999999999" customHeight="1" x14ac:dyDescent="0.2">
      <c r="A9" s="445"/>
      <c r="B9" s="446"/>
      <c r="C9" s="447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9"/>
    </row>
    <row r="10" spans="1:29" s="420" customFormat="1" ht="16.899999999999999" customHeight="1" x14ac:dyDescent="0.2">
      <c r="A10" s="450"/>
      <c r="B10" s="451"/>
      <c r="C10" s="452" t="s">
        <v>24</v>
      </c>
      <c r="D10" s="453">
        <f t="shared" ref="D10:AC10" si="1">D7</f>
        <v>35000000</v>
      </c>
      <c r="E10" s="453">
        <f t="shared" si="1"/>
        <v>32236800</v>
      </c>
      <c r="F10" s="453">
        <f t="shared" si="1"/>
        <v>35000000</v>
      </c>
      <c r="G10" s="453">
        <f t="shared" si="1"/>
        <v>32236800</v>
      </c>
      <c r="H10" s="453">
        <f t="shared" si="1"/>
        <v>35000000</v>
      </c>
      <c r="I10" s="453">
        <f t="shared" si="1"/>
        <v>32236800</v>
      </c>
      <c r="J10" s="453">
        <f t="shared" si="1"/>
        <v>35000000</v>
      </c>
      <c r="K10" s="453">
        <f t="shared" si="1"/>
        <v>32236800</v>
      </c>
      <c r="L10" s="453">
        <f t="shared" si="1"/>
        <v>35000000</v>
      </c>
      <c r="M10" s="453">
        <f t="shared" si="1"/>
        <v>32236800</v>
      </c>
      <c r="N10" s="453">
        <f t="shared" si="1"/>
        <v>35000000</v>
      </c>
      <c r="O10" s="453">
        <f t="shared" si="1"/>
        <v>32236800</v>
      </c>
      <c r="P10" s="453">
        <f t="shared" si="1"/>
        <v>35000000</v>
      </c>
      <c r="Q10" s="453">
        <f t="shared" si="1"/>
        <v>32236800</v>
      </c>
      <c r="R10" s="453">
        <f t="shared" si="1"/>
        <v>52500000</v>
      </c>
      <c r="S10" s="453">
        <f t="shared" si="1"/>
        <v>32236800</v>
      </c>
      <c r="T10" s="453">
        <f t="shared" si="1"/>
        <v>35000000</v>
      </c>
      <c r="U10" s="453">
        <f t="shared" si="1"/>
        <v>32236800</v>
      </c>
      <c r="V10" s="453">
        <f t="shared" si="1"/>
        <v>35000000</v>
      </c>
      <c r="W10" s="453">
        <f t="shared" si="1"/>
        <v>32236800</v>
      </c>
      <c r="X10" s="453">
        <f t="shared" si="1"/>
        <v>35000000</v>
      </c>
      <c r="Y10" s="453">
        <f t="shared" si="1"/>
        <v>32236800</v>
      </c>
      <c r="Z10" s="453">
        <f t="shared" si="1"/>
        <v>35000000</v>
      </c>
      <c r="AA10" s="453">
        <f t="shared" si="1"/>
        <v>32236800</v>
      </c>
      <c r="AB10" s="453">
        <f>AB7</f>
        <v>437500000</v>
      </c>
      <c r="AC10" s="453">
        <f t="shared" si="1"/>
        <v>386841600</v>
      </c>
    </row>
  </sheetData>
  <sheetProtection selectLockedCells="1" selectUnlockedCells="1"/>
  <mergeCells count="3">
    <mergeCell ref="D4:E4"/>
    <mergeCell ref="F4:G4"/>
    <mergeCell ref="H4:I4"/>
  </mergeCells>
  <pageMargins left="0.78749999999999998" right="0.78749999999999998" top="1.0527777777777778" bottom="1.0527777777777778" header="0.78749999999999998" footer="0.78749999999999998"/>
  <pageSetup scale="15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0"/>
  <sheetViews>
    <sheetView showGridLines="0" zoomScale="80" zoomScaleNormal="80" zoomScaleSheetLayoutView="70" workbookViewId="0">
      <pane xSplit="3" ySplit="5" topLeftCell="U6" activePane="bottomRight" state="frozen"/>
      <selection pane="topRight" activeCell="D1" sqref="D1"/>
      <selection pane="bottomLeft" activeCell="A6" sqref="A6"/>
      <selection pane="bottomRight" activeCell="AC7" sqref="AC7"/>
    </sheetView>
  </sheetViews>
  <sheetFormatPr defaultColWidth="11.5703125" defaultRowHeight="12.75" x14ac:dyDescent="0.2"/>
  <cols>
    <col min="1" max="1" width="3.85546875" style="421" customWidth="1"/>
    <col min="2" max="2" width="21" style="421" customWidth="1"/>
    <col min="3" max="3" width="53" style="421" customWidth="1"/>
    <col min="4" max="4" width="13.7109375" style="422" bestFit="1" customWidth="1"/>
    <col min="5" max="5" width="13.7109375" style="422" customWidth="1"/>
    <col min="6" max="6" width="13.7109375" style="422" bestFit="1" customWidth="1"/>
    <col min="7" max="7" width="13.7109375" style="422" customWidth="1"/>
    <col min="8" max="8" width="13.7109375" style="422" bestFit="1" customWidth="1"/>
    <col min="9" max="15" width="13.7109375" style="422" customWidth="1"/>
    <col min="16" max="16" width="13.7109375" style="422" bestFit="1" customWidth="1"/>
    <col min="17" max="19" width="13.7109375" style="422" customWidth="1"/>
    <col min="20" max="20" width="13.7109375" style="422" bestFit="1" customWidth="1"/>
    <col min="21" max="21" width="13.7109375" style="422" customWidth="1"/>
    <col min="22" max="22" width="13.7109375" style="422" bestFit="1" customWidth="1"/>
    <col min="23" max="23" width="13.7109375" style="422" customWidth="1"/>
    <col min="24" max="24" width="13.7109375" style="422" bestFit="1" customWidth="1"/>
    <col min="25" max="25" width="13.7109375" style="422" customWidth="1"/>
    <col min="26" max="26" width="13.7109375" style="422" bestFit="1" customWidth="1"/>
    <col min="27" max="27" width="13.7109375" style="422" customWidth="1"/>
    <col min="28" max="28" width="16.28515625" style="422" customWidth="1"/>
    <col min="29" max="29" width="11.5703125" style="422" customWidth="1"/>
    <col min="30" max="32" width="11.5703125" style="422" hidden="1" customWidth="1"/>
    <col min="33" max="16384" width="11.5703125" style="421"/>
  </cols>
  <sheetData>
    <row r="1" spans="1:32" x14ac:dyDescent="0.2">
      <c r="A1" s="420" t="s">
        <v>240</v>
      </c>
      <c r="B1" s="420"/>
    </row>
    <row r="2" spans="1:32" x14ac:dyDescent="0.2">
      <c r="A2" s="420" t="s">
        <v>25</v>
      </c>
      <c r="B2" s="420"/>
    </row>
    <row r="4" spans="1:32" s="142" customFormat="1" x14ac:dyDescent="0.2">
      <c r="A4" s="334" t="s">
        <v>2</v>
      </c>
      <c r="B4" s="334" t="s">
        <v>354</v>
      </c>
      <c r="C4" s="334" t="s">
        <v>4</v>
      </c>
      <c r="D4" s="629" t="s">
        <v>5</v>
      </c>
      <c r="E4" s="630"/>
      <c r="F4" s="629" t="s">
        <v>6</v>
      </c>
      <c r="G4" s="630"/>
      <c r="H4" s="629" t="s">
        <v>7</v>
      </c>
      <c r="I4" s="630"/>
      <c r="J4" s="423" t="s">
        <v>9</v>
      </c>
      <c r="K4" s="423"/>
      <c r="L4" s="423" t="s">
        <v>10</v>
      </c>
      <c r="M4" s="423"/>
      <c r="N4" s="423" t="s">
        <v>11</v>
      </c>
      <c r="O4" s="423"/>
      <c r="P4" s="423" t="s">
        <v>12</v>
      </c>
      <c r="Q4" s="423"/>
      <c r="R4" s="423" t="s">
        <v>13</v>
      </c>
      <c r="S4" s="423"/>
      <c r="T4" s="423" t="s">
        <v>14</v>
      </c>
      <c r="U4" s="423"/>
      <c r="V4" s="423" t="s">
        <v>15</v>
      </c>
      <c r="W4" s="423"/>
      <c r="X4" s="423" t="s">
        <v>16</v>
      </c>
      <c r="Y4" s="423"/>
      <c r="Z4" s="423" t="s">
        <v>17</v>
      </c>
      <c r="AA4" s="423"/>
      <c r="AB4" s="423" t="s">
        <v>18</v>
      </c>
      <c r="AC4" s="424" t="s">
        <v>300</v>
      </c>
      <c r="AD4" s="424" t="s">
        <v>19</v>
      </c>
      <c r="AE4" s="424" t="s">
        <v>19</v>
      </c>
      <c r="AF4" s="424" t="s">
        <v>19</v>
      </c>
    </row>
    <row r="5" spans="1:32" s="142" customFormat="1" x14ac:dyDescent="0.2">
      <c r="A5" s="336"/>
      <c r="B5" s="336" t="s">
        <v>355</v>
      </c>
      <c r="C5" s="336"/>
      <c r="D5" s="425" t="s">
        <v>20</v>
      </c>
      <c r="E5" s="426" t="s">
        <v>302</v>
      </c>
      <c r="F5" s="425" t="s">
        <v>20</v>
      </c>
      <c r="G5" s="426" t="s">
        <v>302</v>
      </c>
      <c r="H5" s="425" t="s">
        <v>20</v>
      </c>
      <c r="I5" s="426" t="s">
        <v>302</v>
      </c>
      <c r="J5" s="425" t="s">
        <v>20</v>
      </c>
      <c r="K5" s="426" t="s">
        <v>302</v>
      </c>
      <c r="L5" s="425" t="s">
        <v>20</v>
      </c>
      <c r="M5" s="426" t="s">
        <v>302</v>
      </c>
      <c r="N5" s="425" t="s">
        <v>20</v>
      </c>
      <c r="O5" s="426" t="s">
        <v>302</v>
      </c>
      <c r="P5" s="425" t="s">
        <v>20</v>
      </c>
      <c r="Q5" s="426" t="s">
        <v>302</v>
      </c>
      <c r="R5" s="425" t="s">
        <v>20</v>
      </c>
      <c r="S5" s="426" t="s">
        <v>302</v>
      </c>
      <c r="T5" s="425" t="s">
        <v>20</v>
      </c>
      <c r="U5" s="426" t="s">
        <v>302</v>
      </c>
      <c r="V5" s="425" t="s">
        <v>20</v>
      </c>
      <c r="W5" s="426" t="s">
        <v>302</v>
      </c>
      <c r="X5" s="425" t="s">
        <v>20</v>
      </c>
      <c r="Y5" s="426" t="s">
        <v>302</v>
      </c>
      <c r="Z5" s="425" t="s">
        <v>20</v>
      </c>
      <c r="AA5" s="426" t="s">
        <v>302</v>
      </c>
      <c r="AB5" s="425" t="s">
        <v>241</v>
      </c>
      <c r="AC5" s="427">
        <v>2013</v>
      </c>
      <c r="AD5" s="427">
        <v>2014</v>
      </c>
      <c r="AE5" s="427">
        <v>2015</v>
      </c>
      <c r="AF5" s="427">
        <v>2016</v>
      </c>
    </row>
    <row r="6" spans="1:32" ht="16.899999999999999" customHeight="1" x14ac:dyDescent="0.2">
      <c r="A6" s="428">
        <v>1</v>
      </c>
      <c r="B6" s="429" t="s">
        <v>150</v>
      </c>
      <c r="C6" s="430" t="s">
        <v>22</v>
      </c>
      <c r="D6" s="422">
        <v>40000000</v>
      </c>
      <c r="E6" s="431">
        <v>37359063</v>
      </c>
      <c r="F6" s="422">
        <v>40000000</v>
      </c>
      <c r="G6" s="431">
        <v>37359063</v>
      </c>
      <c r="H6" s="422">
        <v>40000000</v>
      </c>
      <c r="I6" s="431">
        <v>37359063</v>
      </c>
      <c r="J6" s="422">
        <v>40000000</v>
      </c>
      <c r="K6" s="431">
        <v>37359063</v>
      </c>
      <c r="L6" s="422">
        <v>40000000</v>
      </c>
      <c r="M6" s="431">
        <v>37359063</v>
      </c>
      <c r="N6" s="422">
        <v>40000000</v>
      </c>
      <c r="O6" s="431">
        <v>37359063</v>
      </c>
      <c r="P6" s="422">
        <v>40000000</v>
      </c>
      <c r="Q6" s="431">
        <v>37359063</v>
      </c>
      <c r="R6" s="422">
        <v>60000000</v>
      </c>
      <c r="S6" s="431">
        <v>37359063</v>
      </c>
      <c r="T6" s="422">
        <v>40000000</v>
      </c>
      <c r="U6" s="431">
        <v>37359063</v>
      </c>
      <c r="V6" s="422">
        <v>40000000</v>
      </c>
      <c r="W6" s="431">
        <v>37359063</v>
      </c>
      <c r="X6" s="422">
        <v>40000000</v>
      </c>
      <c r="Y6" s="431">
        <v>37359063</v>
      </c>
      <c r="Z6" s="422">
        <v>40000000</v>
      </c>
      <c r="AA6" s="431">
        <v>37359063</v>
      </c>
      <c r="AB6" s="432">
        <f>Z6+X6+V6+T6+R6+P6+N6+L6+J6+H6+F6+D6</f>
        <v>500000000</v>
      </c>
      <c r="AC6" s="433">
        <f>E6+G6+I6+K6+M6+O6+Q6+S6+U6+W6+Y6+AA6</f>
        <v>448308756</v>
      </c>
      <c r="AD6" s="433">
        <f>AC6*1.1</f>
        <v>493139631.60000002</v>
      </c>
      <c r="AE6" s="433">
        <f>AD6*1.1</f>
        <v>542453594.76000011</v>
      </c>
      <c r="AF6" s="433">
        <f>AE6*1.1</f>
        <v>596698954.23600018</v>
      </c>
    </row>
    <row r="7" spans="1:32" s="438" customFormat="1" ht="16.899999999999999" customHeight="1" x14ac:dyDescent="0.2">
      <c r="A7" s="434"/>
      <c r="B7" s="435"/>
      <c r="C7" s="436" t="s">
        <v>23</v>
      </c>
      <c r="D7" s="437">
        <f t="shared" ref="D7:AF7" si="0">D6</f>
        <v>40000000</v>
      </c>
      <c r="E7" s="437">
        <f t="shared" si="0"/>
        <v>37359063</v>
      </c>
      <c r="F7" s="437">
        <f t="shared" si="0"/>
        <v>40000000</v>
      </c>
      <c r="G7" s="437">
        <f t="shared" si="0"/>
        <v>37359063</v>
      </c>
      <c r="H7" s="437">
        <f t="shared" si="0"/>
        <v>40000000</v>
      </c>
      <c r="I7" s="437">
        <f t="shared" si="0"/>
        <v>37359063</v>
      </c>
      <c r="J7" s="437">
        <f t="shared" si="0"/>
        <v>40000000</v>
      </c>
      <c r="K7" s="437">
        <f t="shared" si="0"/>
        <v>37359063</v>
      </c>
      <c r="L7" s="437">
        <f t="shared" si="0"/>
        <v>40000000</v>
      </c>
      <c r="M7" s="437">
        <f t="shared" si="0"/>
        <v>37359063</v>
      </c>
      <c r="N7" s="437">
        <f t="shared" si="0"/>
        <v>40000000</v>
      </c>
      <c r="O7" s="437">
        <f t="shared" si="0"/>
        <v>37359063</v>
      </c>
      <c r="P7" s="437">
        <f t="shared" si="0"/>
        <v>40000000</v>
      </c>
      <c r="Q7" s="437">
        <f t="shared" si="0"/>
        <v>37359063</v>
      </c>
      <c r="R7" s="437">
        <f t="shared" si="0"/>
        <v>60000000</v>
      </c>
      <c r="S7" s="437">
        <f t="shared" si="0"/>
        <v>37359063</v>
      </c>
      <c r="T7" s="437">
        <f t="shared" si="0"/>
        <v>40000000</v>
      </c>
      <c r="U7" s="437">
        <f t="shared" si="0"/>
        <v>37359063</v>
      </c>
      <c r="V7" s="437">
        <f t="shared" si="0"/>
        <v>40000000</v>
      </c>
      <c r="W7" s="437">
        <f t="shared" si="0"/>
        <v>37359063</v>
      </c>
      <c r="X7" s="437">
        <f t="shared" si="0"/>
        <v>40000000</v>
      </c>
      <c r="Y7" s="437">
        <f t="shared" si="0"/>
        <v>37359063</v>
      </c>
      <c r="Z7" s="437">
        <f t="shared" si="0"/>
        <v>40000000</v>
      </c>
      <c r="AA7" s="437">
        <f t="shared" si="0"/>
        <v>37359063</v>
      </c>
      <c r="AB7" s="437">
        <f t="shared" si="0"/>
        <v>500000000</v>
      </c>
      <c r="AC7" s="437">
        <f t="shared" si="0"/>
        <v>448308756</v>
      </c>
      <c r="AD7" s="437">
        <f t="shared" si="0"/>
        <v>493139631.60000002</v>
      </c>
      <c r="AE7" s="437">
        <f t="shared" si="0"/>
        <v>542453594.76000011</v>
      </c>
      <c r="AF7" s="437">
        <f t="shared" si="0"/>
        <v>596698954.23600018</v>
      </c>
    </row>
    <row r="8" spans="1:32" s="444" customFormat="1" ht="16.899999999999999" customHeight="1" x14ac:dyDescent="0.2">
      <c r="A8" s="439"/>
      <c r="B8" s="440"/>
      <c r="C8" s="441"/>
      <c r="D8" s="442"/>
      <c r="E8" s="442"/>
      <c r="F8" s="442"/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  <c r="AA8" s="442"/>
      <c r="AB8" s="442"/>
      <c r="AC8" s="443"/>
      <c r="AD8" s="443"/>
      <c r="AE8" s="443"/>
      <c r="AF8" s="443"/>
    </row>
    <row r="9" spans="1:32" ht="16.899999999999999" customHeight="1" x14ac:dyDescent="0.2">
      <c r="A9" s="445"/>
      <c r="B9" s="446"/>
      <c r="C9" s="447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9"/>
      <c r="AD9" s="449"/>
      <c r="AE9" s="449"/>
      <c r="AF9" s="449"/>
    </row>
    <row r="10" spans="1:32" s="420" customFormat="1" ht="16.899999999999999" customHeight="1" x14ac:dyDescent="0.2">
      <c r="A10" s="450"/>
      <c r="B10" s="451"/>
      <c r="C10" s="452" t="s">
        <v>24</v>
      </c>
      <c r="D10" s="453">
        <f t="shared" ref="D10:AF10" si="1">D7</f>
        <v>40000000</v>
      </c>
      <c r="E10" s="453">
        <f t="shared" si="1"/>
        <v>37359063</v>
      </c>
      <c r="F10" s="453">
        <f t="shared" si="1"/>
        <v>40000000</v>
      </c>
      <c r="G10" s="453">
        <f t="shared" si="1"/>
        <v>37359063</v>
      </c>
      <c r="H10" s="453">
        <f t="shared" si="1"/>
        <v>40000000</v>
      </c>
      <c r="I10" s="453">
        <f t="shared" si="1"/>
        <v>37359063</v>
      </c>
      <c r="J10" s="453">
        <f t="shared" si="1"/>
        <v>40000000</v>
      </c>
      <c r="K10" s="453">
        <f t="shared" si="1"/>
        <v>37359063</v>
      </c>
      <c r="L10" s="453">
        <f t="shared" si="1"/>
        <v>40000000</v>
      </c>
      <c r="M10" s="453">
        <f t="shared" si="1"/>
        <v>37359063</v>
      </c>
      <c r="N10" s="453">
        <f t="shared" si="1"/>
        <v>40000000</v>
      </c>
      <c r="O10" s="453">
        <f t="shared" si="1"/>
        <v>37359063</v>
      </c>
      <c r="P10" s="453">
        <f t="shared" si="1"/>
        <v>40000000</v>
      </c>
      <c r="Q10" s="453">
        <f t="shared" si="1"/>
        <v>37359063</v>
      </c>
      <c r="R10" s="453">
        <f t="shared" si="1"/>
        <v>60000000</v>
      </c>
      <c r="S10" s="453">
        <f t="shared" si="1"/>
        <v>37359063</v>
      </c>
      <c r="T10" s="453">
        <f t="shared" si="1"/>
        <v>40000000</v>
      </c>
      <c r="U10" s="453">
        <f t="shared" si="1"/>
        <v>37359063</v>
      </c>
      <c r="V10" s="453">
        <f t="shared" si="1"/>
        <v>40000000</v>
      </c>
      <c r="W10" s="453">
        <f t="shared" si="1"/>
        <v>37359063</v>
      </c>
      <c r="X10" s="453">
        <f t="shared" si="1"/>
        <v>40000000</v>
      </c>
      <c r="Y10" s="453">
        <f t="shared" si="1"/>
        <v>37359063</v>
      </c>
      <c r="Z10" s="453">
        <f t="shared" si="1"/>
        <v>40000000</v>
      </c>
      <c r="AA10" s="453">
        <f t="shared" si="1"/>
        <v>37359063</v>
      </c>
      <c r="AB10" s="453">
        <f t="shared" si="1"/>
        <v>500000000</v>
      </c>
      <c r="AC10" s="453">
        <f t="shared" si="1"/>
        <v>448308756</v>
      </c>
      <c r="AD10" s="453">
        <f t="shared" si="1"/>
        <v>493139631.60000002</v>
      </c>
      <c r="AE10" s="453">
        <f t="shared" si="1"/>
        <v>542453594.76000011</v>
      </c>
      <c r="AF10" s="453">
        <f t="shared" si="1"/>
        <v>596698954.23600018</v>
      </c>
    </row>
  </sheetData>
  <sheetProtection selectLockedCells="1" selectUnlockedCells="1"/>
  <mergeCells count="3">
    <mergeCell ref="D4:E4"/>
    <mergeCell ref="F4:G4"/>
    <mergeCell ref="H4:I4"/>
  </mergeCells>
  <pageMargins left="0.78749999999999998" right="0.78749999999999998" top="1.0527777777777778" bottom="1.0527777777777778" header="0.78749999999999998" footer="0.78749999999999998"/>
  <pageSetup scale="10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185"/>
  <sheetViews>
    <sheetView showGridLines="0" zoomScale="80" zoomScaleNormal="80" zoomScaleSheetLayoutView="70" workbookViewId="0">
      <pane xSplit="3" ySplit="5" topLeftCell="U45" activePane="bottomRight" state="frozen"/>
      <selection pane="topRight" activeCell="M1" sqref="M1"/>
      <selection pane="bottomLeft" activeCell="A108" sqref="A108"/>
      <selection pane="bottomRight" activeCell="X68" sqref="X68"/>
    </sheetView>
  </sheetViews>
  <sheetFormatPr defaultColWidth="11.5703125" defaultRowHeight="12.75" x14ac:dyDescent="0.2"/>
  <cols>
    <col min="1" max="1" width="3.85546875" style="455" customWidth="1"/>
    <col min="2" max="2" width="24.140625" style="455" customWidth="1"/>
    <col min="3" max="3" width="53" style="455" customWidth="1"/>
    <col min="4" max="5" width="17.28515625" style="456" customWidth="1"/>
    <col min="6" max="7" width="17" style="456" customWidth="1"/>
    <col min="8" max="9" width="17.28515625" style="456" customWidth="1"/>
    <col min="10" max="11" width="16.85546875" style="456" customWidth="1"/>
    <col min="12" max="13" width="17.28515625" style="456" customWidth="1"/>
    <col min="14" max="15" width="17.42578125" style="456" customWidth="1"/>
    <col min="16" max="17" width="16.85546875" style="456" customWidth="1"/>
    <col min="18" max="19" width="17.28515625" style="456" customWidth="1"/>
    <col min="20" max="23" width="16.85546875" style="456" customWidth="1"/>
    <col min="24" max="24" width="16.85546875" style="456" bestFit="1" customWidth="1"/>
    <col min="25" max="25" width="16.85546875" style="456" customWidth="1"/>
    <col min="26" max="26" width="17.28515625" style="456" bestFit="1" customWidth="1"/>
    <col min="27" max="27" width="17.28515625" style="456" customWidth="1"/>
    <col min="28" max="28" width="18.140625" style="456" customWidth="1"/>
    <col min="29" max="29" width="15.28515625" style="455" bestFit="1" customWidth="1"/>
    <col min="30" max="30" width="14.85546875" style="455" bestFit="1" customWidth="1"/>
    <col min="31" max="16384" width="11.5703125" style="455"/>
  </cols>
  <sheetData>
    <row r="1" spans="1:29" x14ac:dyDescent="0.2">
      <c r="A1" s="420" t="s">
        <v>240</v>
      </c>
      <c r="B1" s="420"/>
      <c r="N1" s="456">
        <f>N6-H6</f>
        <v>80140000</v>
      </c>
      <c r="P1" s="456">
        <f>N1*3</f>
        <v>240420000</v>
      </c>
    </row>
    <row r="2" spans="1:29" x14ac:dyDescent="0.2">
      <c r="A2" s="420" t="s">
        <v>25</v>
      </c>
      <c r="B2" s="420"/>
    </row>
    <row r="4" spans="1:29" s="142" customFormat="1" x14ac:dyDescent="0.2">
      <c r="A4" s="334" t="s">
        <v>2</v>
      </c>
      <c r="B4" s="334" t="s">
        <v>354</v>
      </c>
      <c r="C4" s="341" t="s">
        <v>4</v>
      </c>
      <c r="D4" s="627" t="s">
        <v>5</v>
      </c>
      <c r="E4" s="632"/>
      <c r="F4" s="631" t="s">
        <v>6</v>
      </c>
      <c r="G4" s="632"/>
      <c r="H4" s="631" t="s">
        <v>7</v>
      </c>
      <c r="I4" s="632"/>
      <c r="J4" s="633" t="s">
        <v>9</v>
      </c>
      <c r="K4" s="634"/>
      <c r="L4" s="633" t="s">
        <v>10</v>
      </c>
      <c r="M4" s="634"/>
      <c r="N4" s="633" t="s">
        <v>11</v>
      </c>
      <c r="O4" s="634"/>
      <c r="P4" s="631" t="s">
        <v>12</v>
      </c>
      <c r="Q4" s="632"/>
      <c r="R4" s="631" t="s">
        <v>13</v>
      </c>
      <c r="S4" s="632"/>
      <c r="T4" s="631" t="s">
        <v>14</v>
      </c>
      <c r="U4" s="632"/>
      <c r="V4" s="631" t="s">
        <v>15</v>
      </c>
      <c r="W4" s="632"/>
      <c r="X4" s="631" t="s">
        <v>16</v>
      </c>
      <c r="Y4" s="632"/>
      <c r="Z4" s="631" t="s">
        <v>17</v>
      </c>
      <c r="AA4" s="632"/>
      <c r="AB4" s="457" t="s">
        <v>18</v>
      </c>
      <c r="AC4" s="576" t="s">
        <v>18</v>
      </c>
    </row>
    <row r="5" spans="1:29" s="142" customFormat="1" x14ac:dyDescent="0.2">
      <c r="A5" s="336"/>
      <c r="B5" s="336" t="s">
        <v>355</v>
      </c>
      <c r="C5" s="336"/>
      <c r="D5" s="425" t="s">
        <v>20</v>
      </c>
      <c r="E5" s="426" t="s">
        <v>302</v>
      </c>
      <c r="F5" s="425" t="s">
        <v>20</v>
      </c>
      <c r="G5" s="426" t="s">
        <v>302</v>
      </c>
      <c r="H5" s="425" t="s">
        <v>20</v>
      </c>
      <c r="I5" s="426" t="s">
        <v>302</v>
      </c>
      <c r="J5" s="337" t="s">
        <v>20</v>
      </c>
      <c r="K5" s="419" t="s">
        <v>302</v>
      </c>
      <c r="L5" s="337" t="s">
        <v>20</v>
      </c>
      <c r="M5" s="419" t="s">
        <v>302</v>
      </c>
      <c r="N5" s="337" t="s">
        <v>20</v>
      </c>
      <c r="O5" s="419" t="s">
        <v>302</v>
      </c>
      <c r="P5" s="425" t="s">
        <v>20</v>
      </c>
      <c r="Q5" s="426" t="s">
        <v>302</v>
      </c>
      <c r="R5" s="425" t="s">
        <v>20</v>
      </c>
      <c r="S5" s="426" t="s">
        <v>302</v>
      </c>
      <c r="T5" s="425" t="s">
        <v>20</v>
      </c>
      <c r="U5" s="426" t="s">
        <v>302</v>
      </c>
      <c r="V5" s="425" t="s">
        <v>20</v>
      </c>
      <c r="W5" s="426" t="s">
        <v>302</v>
      </c>
      <c r="X5" s="425" t="s">
        <v>20</v>
      </c>
      <c r="Y5" s="426" t="s">
        <v>302</v>
      </c>
      <c r="Z5" s="425" t="s">
        <v>20</v>
      </c>
      <c r="AA5" s="426" t="s">
        <v>302</v>
      </c>
      <c r="AB5" s="425" t="s">
        <v>241</v>
      </c>
      <c r="AC5" s="576" t="s">
        <v>382</v>
      </c>
    </row>
    <row r="6" spans="1:29" ht="16.899999999999999" customHeight="1" x14ac:dyDescent="0.2">
      <c r="A6" s="428">
        <v>1</v>
      </c>
      <c r="B6" s="429" t="s">
        <v>21</v>
      </c>
      <c r="C6" s="459" t="s">
        <v>22</v>
      </c>
      <c r="D6" s="460">
        <v>400700000</v>
      </c>
      <c r="E6" s="461">
        <f>453310105+148290284</f>
        <v>601600389</v>
      </c>
      <c r="F6" s="462">
        <f>D6</f>
        <v>400700000</v>
      </c>
      <c r="G6" s="461">
        <v>450029023</v>
      </c>
      <c r="H6" s="462">
        <f>F6</f>
        <v>400700000</v>
      </c>
      <c r="I6" s="462">
        <v>449429699</v>
      </c>
      <c r="J6" s="343">
        <f>((D6*1.2)-H10)</f>
        <v>480840000</v>
      </c>
      <c r="K6" s="343">
        <v>329663819</v>
      </c>
      <c r="L6" s="343">
        <f>(D6*1.2)-L10</f>
        <v>480840000</v>
      </c>
      <c r="M6" s="343">
        <v>327610325</v>
      </c>
      <c r="N6" s="343">
        <f>L6</f>
        <v>480840000</v>
      </c>
      <c r="O6" s="343">
        <v>327382612</v>
      </c>
      <c r="P6" s="460">
        <f>N6</f>
        <v>480840000</v>
      </c>
      <c r="Q6" s="460">
        <v>458562025</v>
      </c>
      <c r="R6" s="460">
        <f>P6*2.75</f>
        <v>1322310000</v>
      </c>
      <c r="S6" s="460">
        <v>478028334</v>
      </c>
      <c r="T6" s="460">
        <f>P6</f>
        <v>480840000</v>
      </c>
      <c r="U6" s="460">
        <v>488726139</v>
      </c>
      <c r="V6" s="460">
        <f>P6</f>
        <v>480840000</v>
      </c>
      <c r="W6" s="460">
        <v>486803193</v>
      </c>
      <c r="X6" s="460">
        <f>T6</f>
        <v>480840000</v>
      </c>
      <c r="Y6" s="460">
        <v>488270565</v>
      </c>
      <c r="Z6" s="460">
        <f>X6</f>
        <v>480840000</v>
      </c>
      <c r="AA6" s="460">
        <v>489661610</v>
      </c>
      <c r="AB6" s="463">
        <f>Z6+X6+V6+T6+R6+P6+N6+L6+J6+H6+F6+D6</f>
        <v>6371130000</v>
      </c>
      <c r="AC6" s="575">
        <f>E6+G6+I6+K6+M6+O6+Q6+S6+U6+W6+Y6+AA6</f>
        <v>5375767733</v>
      </c>
    </row>
    <row r="7" spans="1:29" ht="16.899999999999999" customHeight="1" x14ac:dyDescent="0.2">
      <c r="A7" s="445">
        <v>2</v>
      </c>
      <c r="B7" s="464" t="s">
        <v>26</v>
      </c>
      <c r="C7" s="465" t="s">
        <v>27</v>
      </c>
      <c r="D7" s="466">
        <v>750000</v>
      </c>
      <c r="E7" s="461">
        <v>530559</v>
      </c>
      <c r="F7" s="466">
        <f>D7</f>
        <v>750000</v>
      </c>
      <c r="G7" s="461">
        <v>528420</v>
      </c>
      <c r="H7" s="466">
        <f>F7</f>
        <v>750000</v>
      </c>
      <c r="I7" s="466">
        <v>524199</v>
      </c>
      <c r="J7" s="345">
        <f>H7</f>
        <v>750000</v>
      </c>
      <c r="K7" s="345">
        <v>547343</v>
      </c>
      <c r="L7" s="345">
        <f>J7</f>
        <v>750000</v>
      </c>
      <c r="M7" s="345">
        <v>548193</v>
      </c>
      <c r="N7" s="345">
        <f>L7</f>
        <v>750000</v>
      </c>
      <c r="O7" s="345">
        <v>554139</v>
      </c>
      <c r="P7" s="466">
        <f>N7</f>
        <v>750000</v>
      </c>
      <c r="Q7" s="466">
        <v>558784</v>
      </c>
      <c r="R7" s="466">
        <f>P7</f>
        <v>750000</v>
      </c>
      <c r="S7" s="466">
        <v>592209</v>
      </c>
      <c r="T7" s="466">
        <f>R7</f>
        <v>750000</v>
      </c>
      <c r="U7" s="466">
        <v>600725</v>
      </c>
      <c r="V7" s="466">
        <f>T7</f>
        <v>750000</v>
      </c>
      <c r="W7" s="466">
        <v>601112</v>
      </c>
      <c r="X7" s="466">
        <f>V7</f>
        <v>750000</v>
      </c>
      <c r="Y7" s="466">
        <v>601205</v>
      </c>
      <c r="Z7" s="466">
        <f t="shared" ref="Z7" si="0">X7</f>
        <v>750000</v>
      </c>
      <c r="AA7" s="466">
        <v>601205</v>
      </c>
      <c r="AB7" s="467">
        <f>Z7+X7+V7+T7+R7+P7+N7+L7+J7+H7+F7+D7</f>
        <v>9000000</v>
      </c>
      <c r="AC7" s="575">
        <f t="shared" ref="AC6:AC37" si="1">E7+G7+I7+K7+M7+O7+Q7+S7+U7+W7+Y7+AA7</f>
        <v>6788093</v>
      </c>
    </row>
    <row r="8" spans="1:29" ht="16.899999999999999" customHeight="1" x14ac:dyDescent="0.2">
      <c r="A8" s="445">
        <v>3</v>
      </c>
      <c r="B8" s="464" t="s">
        <v>28</v>
      </c>
      <c r="C8" s="465" t="s">
        <v>29</v>
      </c>
      <c r="D8" s="466">
        <v>500000</v>
      </c>
      <c r="E8" s="461"/>
      <c r="F8" s="466">
        <f>D8</f>
        <v>500000</v>
      </c>
      <c r="G8" s="461"/>
      <c r="H8" s="466">
        <f>F8</f>
        <v>500000</v>
      </c>
      <c r="I8" s="466"/>
      <c r="J8" s="345">
        <f>H8</f>
        <v>500000</v>
      </c>
      <c r="K8" s="345"/>
      <c r="L8" s="345">
        <f>J8</f>
        <v>500000</v>
      </c>
      <c r="M8" s="345"/>
      <c r="N8" s="345">
        <f>L8</f>
        <v>500000</v>
      </c>
      <c r="O8" s="345"/>
      <c r="P8" s="466">
        <f>N8</f>
        <v>500000</v>
      </c>
      <c r="Q8" s="466">
        <v>0</v>
      </c>
      <c r="R8" s="466">
        <f>P8</f>
        <v>500000</v>
      </c>
      <c r="S8" s="466">
        <v>0</v>
      </c>
      <c r="T8" s="466">
        <f>R8</f>
        <v>500000</v>
      </c>
      <c r="U8" s="466">
        <v>0</v>
      </c>
      <c r="V8" s="466">
        <f>T8</f>
        <v>500000</v>
      </c>
      <c r="W8" s="466">
        <v>0</v>
      </c>
      <c r="X8" s="466">
        <f>V8</f>
        <v>500000</v>
      </c>
      <c r="Y8" s="466">
        <v>0</v>
      </c>
      <c r="Z8" s="466">
        <f t="shared" ref="Z8" si="2">X8</f>
        <v>500000</v>
      </c>
      <c r="AA8" s="466">
        <v>0</v>
      </c>
      <c r="AB8" s="467">
        <f>Z8+X8+V8+T8+R8+P8+N8+L8+J8+H8+F8+D8</f>
        <v>6000000</v>
      </c>
      <c r="AC8" s="575">
        <f t="shared" si="1"/>
        <v>0</v>
      </c>
    </row>
    <row r="9" spans="1:29" ht="16.899999999999999" customHeight="1" x14ac:dyDescent="0.2">
      <c r="A9" s="445">
        <v>4</v>
      </c>
      <c r="B9" s="464" t="s">
        <v>30</v>
      </c>
      <c r="C9" s="465" t="s">
        <v>31</v>
      </c>
      <c r="D9" s="466">
        <v>25000000</v>
      </c>
      <c r="E9" s="461">
        <v>20092069</v>
      </c>
      <c r="F9" s="466">
        <v>25000000</v>
      </c>
      <c r="G9" s="461">
        <v>20030675</v>
      </c>
      <c r="H9" s="466">
        <v>25000000</v>
      </c>
      <c r="I9" s="466">
        <v>19909484</v>
      </c>
      <c r="J9" s="345">
        <v>25000000</v>
      </c>
      <c r="K9" s="345">
        <v>20748915</v>
      </c>
      <c r="L9" s="345">
        <v>25000000</v>
      </c>
      <c r="M9" s="345">
        <v>20773324</v>
      </c>
      <c r="N9" s="345">
        <v>25000000</v>
      </c>
      <c r="O9" s="345">
        <v>20994042</v>
      </c>
      <c r="P9" s="466">
        <v>25000000</v>
      </c>
      <c r="Q9" s="466">
        <v>21077397</v>
      </c>
      <c r="R9" s="466">
        <v>25000000</v>
      </c>
      <c r="S9" s="466">
        <v>22047539</v>
      </c>
      <c r="T9" s="466">
        <v>25000000</v>
      </c>
      <c r="U9" s="466">
        <v>22292023</v>
      </c>
      <c r="V9" s="466">
        <v>25000000</v>
      </c>
      <c r="W9" s="466">
        <v>22303136</v>
      </c>
      <c r="X9" s="466">
        <v>25000000</v>
      </c>
      <c r="Y9" s="466">
        <v>22305803</v>
      </c>
      <c r="Z9" s="466">
        <v>25000000</v>
      </c>
      <c r="AA9" s="466">
        <v>22305803</v>
      </c>
      <c r="AB9" s="467">
        <f>Z9+X9+V9+T9+R9+P9+N9+L9+J9+H9+F9+D9</f>
        <v>300000000</v>
      </c>
      <c r="AC9" s="575">
        <f t="shared" si="1"/>
        <v>254880210</v>
      </c>
    </row>
    <row r="10" spans="1:29" s="456" customFormat="1" ht="16.899999999999999" customHeight="1" x14ac:dyDescent="0.2">
      <c r="A10" s="445">
        <v>5</v>
      </c>
      <c r="B10" s="464" t="s">
        <v>21</v>
      </c>
      <c r="C10" s="469" t="s">
        <v>32</v>
      </c>
      <c r="D10" s="468">
        <v>0</v>
      </c>
      <c r="E10" s="468"/>
      <c r="F10" s="468">
        <f>D10</f>
        <v>0</v>
      </c>
      <c r="G10" s="468"/>
      <c r="H10" s="468">
        <f>F10</f>
        <v>0</v>
      </c>
      <c r="I10" s="468"/>
      <c r="J10" s="348">
        <f>H10</f>
        <v>0</v>
      </c>
      <c r="K10" s="348"/>
      <c r="L10" s="348">
        <f>J10</f>
        <v>0</v>
      </c>
      <c r="M10" s="348"/>
      <c r="N10" s="348">
        <f>L10</f>
        <v>0</v>
      </c>
      <c r="O10" s="348"/>
      <c r="P10" s="468">
        <v>7000000</v>
      </c>
      <c r="Q10" s="468">
        <v>0</v>
      </c>
      <c r="R10" s="468">
        <v>0</v>
      </c>
      <c r="S10" s="468"/>
      <c r="T10" s="468">
        <f>R10</f>
        <v>0</v>
      </c>
      <c r="U10" s="468"/>
      <c r="V10" s="468">
        <v>7500000</v>
      </c>
      <c r="W10" s="468">
        <v>0</v>
      </c>
      <c r="X10" s="468">
        <v>0</v>
      </c>
      <c r="Y10" s="468">
        <v>0</v>
      </c>
      <c r="Z10" s="468">
        <v>0</v>
      </c>
      <c r="AA10" s="468"/>
      <c r="AB10" s="467">
        <f>Z10+X10+V10+T10+R10+P10+N10+L10+J10+H10+F10+D10</f>
        <v>14500000</v>
      </c>
      <c r="AC10" s="575">
        <f t="shared" si="1"/>
        <v>0</v>
      </c>
    </row>
    <row r="11" spans="1:29" s="438" customFormat="1" ht="16.899999999999999" customHeight="1" x14ac:dyDescent="0.2">
      <c r="A11" s="434"/>
      <c r="B11" s="435"/>
      <c r="C11" s="470" t="s">
        <v>23</v>
      </c>
      <c r="D11" s="471">
        <f t="shared" ref="D11:N11" si="3">SUM(D6:D10)</f>
        <v>426950000</v>
      </c>
      <c r="E11" s="471">
        <f t="shared" si="3"/>
        <v>622223017</v>
      </c>
      <c r="F11" s="471">
        <f t="shared" si="3"/>
        <v>426950000</v>
      </c>
      <c r="G11" s="471">
        <f t="shared" si="3"/>
        <v>470588118</v>
      </c>
      <c r="H11" s="471">
        <f t="shared" si="3"/>
        <v>426950000</v>
      </c>
      <c r="I11" s="471">
        <f t="shared" si="3"/>
        <v>469863382</v>
      </c>
      <c r="J11" s="350">
        <f t="shared" si="3"/>
        <v>507090000</v>
      </c>
      <c r="K11" s="350">
        <f>SUM(K6:K10)</f>
        <v>350960077</v>
      </c>
      <c r="L11" s="350">
        <f t="shared" si="3"/>
        <v>507090000</v>
      </c>
      <c r="M11" s="350">
        <f t="shared" si="3"/>
        <v>348931842</v>
      </c>
      <c r="N11" s="350">
        <f t="shared" si="3"/>
        <v>507090000</v>
      </c>
      <c r="O11" s="350">
        <f>SUM(O6:O10)</f>
        <v>348930793</v>
      </c>
      <c r="P11" s="471">
        <f t="shared" ref="P11:Z11" si="4">SUM(P6:P10)</f>
        <v>514090000</v>
      </c>
      <c r="Q11" s="350">
        <f>SUM(Q6:Q10)</f>
        <v>480198206</v>
      </c>
      <c r="R11" s="471">
        <f t="shared" si="4"/>
        <v>1348560000</v>
      </c>
      <c r="S11" s="350">
        <f>SUM(S6:S10)</f>
        <v>500668082</v>
      </c>
      <c r="T11" s="471">
        <f t="shared" si="4"/>
        <v>507090000</v>
      </c>
      <c r="U11" s="350">
        <f>SUM(U6:U10)</f>
        <v>511618887</v>
      </c>
      <c r="V11" s="471">
        <f t="shared" si="4"/>
        <v>514590000</v>
      </c>
      <c r="W11" s="350">
        <f>SUM(W6:W10)</f>
        <v>509707441</v>
      </c>
      <c r="X11" s="471">
        <f t="shared" si="4"/>
        <v>507090000</v>
      </c>
      <c r="Y11" s="350">
        <f>SUM(Y6:Y10)</f>
        <v>511177573</v>
      </c>
      <c r="Z11" s="471">
        <f t="shared" si="4"/>
        <v>507090000</v>
      </c>
      <c r="AA11" s="350">
        <f>SUM(AA6:AA10)</f>
        <v>512568618</v>
      </c>
      <c r="AB11" s="471">
        <f>SUM(AB6:AB10)</f>
        <v>6700630000</v>
      </c>
      <c r="AC11" s="575">
        <f t="shared" si="1"/>
        <v>5637436036</v>
      </c>
    </row>
    <row r="12" spans="1:29" s="456" customFormat="1" ht="16.899999999999999" customHeight="1" x14ac:dyDescent="0.2">
      <c r="A12" s="473">
        <v>1</v>
      </c>
      <c r="B12" s="444" t="s">
        <v>33</v>
      </c>
      <c r="C12" s="474" t="s">
        <v>34</v>
      </c>
      <c r="D12" s="468">
        <f t="shared" ref="D12:P12" si="5">0.05*D6</f>
        <v>20035000</v>
      </c>
      <c r="E12" s="468">
        <v>4410039</v>
      </c>
      <c r="F12" s="468">
        <f t="shared" si="5"/>
        <v>20035000</v>
      </c>
      <c r="G12" s="468">
        <v>20612231</v>
      </c>
      <c r="H12" s="468">
        <f t="shared" si="5"/>
        <v>20035000</v>
      </c>
      <c r="I12" s="468">
        <v>15067501</v>
      </c>
      <c r="J12" s="348">
        <f t="shared" ref="J12:N12" si="6">0.05*J6</f>
        <v>24042000</v>
      </c>
      <c r="K12" s="348">
        <v>8625600</v>
      </c>
      <c r="L12" s="348">
        <f t="shared" si="6"/>
        <v>24042000</v>
      </c>
      <c r="M12" s="348">
        <v>6865590</v>
      </c>
      <c r="N12" s="348">
        <f t="shared" si="6"/>
        <v>24042000</v>
      </c>
      <c r="O12" s="348">
        <v>13402614</v>
      </c>
      <c r="P12" s="468">
        <f t="shared" si="5"/>
        <v>24042000</v>
      </c>
      <c r="Q12" s="468">
        <v>15035897</v>
      </c>
      <c r="R12" s="468">
        <f>P12</f>
        <v>24042000</v>
      </c>
      <c r="S12" s="468">
        <v>9872354</v>
      </c>
      <c r="T12" s="468">
        <f>0.05*T6</f>
        <v>24042000</v>
      </c>
      <c r="U12" s="468">
        <v>5642000</v>
      </c>
      <c r="V12" s="468">
        <f>0.05*V6</f>
        <v>24042000</v>
      </c>
      <c r="W12" s="468">
        <v>46396050</v>
      </c>
      <c r="X12" s="468">
        <f>0.05*X6</f>
        <v>24042000</v>
      </c>
      <c r="Y12" s="468">
        <v>19643628</v>
      </c>
      <c r="Z12" s="468">
        <f>X12</f>
        <v>24042000</v>
      </c>
      <c r="AA12" s="556">
        <v>18450990</v>
      </c>
      <c r="AB12" s="467">
        <f>Z12+X12+V12+T12+R12+P12+N12+L12+J12+H12+F12+D12</f>
        <v>276483000</v>
      </c>
      <c r="AC12" s="575">
        <f t="shared" si="1"/>
        <v>184024494</v>
      </c>
    </row>
    <row r="13" spans="1:29" s="456" customFormat="1" ht="16.899999999999999" customHeight="1" x14ac:dyDescent="0.2">
      <c r="A13" s="473">
        <v>2</v>
      </c>
      <c r="B13" s="444" t="s">
        <v>33</v>
      </c>
      <c r="C13" s="475" t="s">
        <v>35</v>
      </c>
      <c r="D13" s="468"/>
      <c r="E13" s="468"/>
      <c r="F13" s="468"/>
      <c r="G13" s="468"/>
      <c r="H13" s="468"/>
      <c r="I13" s="468"/>
      <c r="J13" s="348"/>
      <c r="K13" s="348"/>
      <c r="L13" s="348"/>
      <c r="M13" s="348"/>
      <c r="N13" s="348">
        <v>40000000</v>
      </c>
      <c r="O13" s="348"/>
      <c r="P13" s="468">
        <v>0</v>
      </c>
      <c r="Q13" s="468">
        <v>0</v>
      </c>
      <c r="R13" s="468"/>
      <c r="S13" s="468"/>
      <c r="T13" s="468"/>
      <c r="U13" s="468"/>
      <c r="V13" s="468"/>
      <c r="W13" s="468"/>
      <c r="X13" s="468"/>
      <c r="Y13" s="468"/>
      <c r="Z13" s="468"/>
      <c r="AA13" s="468"/>
      <c r="AB13" s="467">
        <f t="shared" ref="AB13:AB21" si="7">Z13+X13+V13+T13+R13+P13+N13+L13+J13+H13+F13+D13</f>
        <v>40000000</v>
      </c>
      <c r="AC13" s="575">
        <f t="shared" si="1"/>
        <v>0</v>
      </c>
    </row>
    <row r="14" spans="1:29" s="456" customFormat="1" ht="16.899999999999999" customHeight="1" x14ac:dyDescent="0.2">
      <c r="A14" s="473">
        <v>3</v>
      </c>
      <c r="B14" s="476" t="s">
        <v>36</v>
      </c>
      <c r="C14" s="477" t="s">
        <v>37</v>
      </c>
      <c r="D14" s="468"/>
      <c r="E14" s="468"/>
      <c r="F14" s="468"/>
      <c r="G14" s="468"/>
      <c r="H14" s="468">
        <v>45000000</v>
      </c>
      <c r="I14" s="468"/>
      <c r="J14" s="348"/>
      <c r="K14" s="348"/>
      <c r="L14" s="348"/>
      <c r="M14" s="348"/>
      <c r="N14" s="348"/>
      <c r="O14" s="348"/>
      <c r="P14" s="468">
        <v>0</v>
      </c>
      <c r="Q14" s="468">
        <v>0</v>
      </c>
      <c r="R14" s="468"/>
      <c r="S14" s="468"/>
      <c r="T14" s="468"/>
      <c r="U14" s="468"/>
      <c r="V14" s="468"/>
      <c r="W14" s="468"/>
      <c r="X14" s="468"/>
      <c r="Y14" s="468"/>
      <c r="Z14" s="468"/>
      <c r="AA14" s="468"/>
      <c r="AB14" s="467">
        <f t="shared" si="7"/>
        <v>45000000</v>
      </c>
      <c r="AC14" s="575">
        <f t="shared" si="1"/>
        <v>0</v>
      </c>
    </row>
    <row r="15" spans="1:29" s="456" customFormat="1" ht="16.899999999999999" customHeight="1" x14ac:dyDescent="0.2">
      <c r="A15" s="473">
        <v>4</v>
      </c>
      <c r="B15" s="476" t="s">
        <v>36</v>
      </c>
      <c r="C15" s="478" t="s">
        <v>38</v>
      </c>
      <c r="D15" s="468">
        <v>2000000</v>
      </c>
      <c r="E15" s="468"/>
      <c r="F15" s="468">
        <f>D15</f>
        <v>2000000</v>
      </c>
      <c r="G15" s="468"/>
      <c r="H15" s="468">
        <f>F15</f>
        <v>2000000</v>
      </c>
      <c r="I15" s="468"/>
      <c r="J15" s="348">
        <f>H15</f>
        <v>2000000</v>
      </c>
      <c r="K15" s="348"/>
      <c r="L15" s="348">
        <f>J15</f>
        <v>2000000</v>
      </c>
      <c r="M15" s="348"/>
      <c r="N15" s="348">
        <f>L15</f>
        <v>2000000</v>
      </c>
      <c r="O15" s="348"/>
      <c r="P15" s="468">
        <f>N15</f>
        <v>2000000</v>
      </c>
      <c r="Q15" s="468">
        <v>0</v>
      </c>
      <c r="R15" s="468">
        <f>P15</f>
        <v>2000000</v>
      </c>
      <c r="S15" s="468"/>
      <c r="T15" s="468">
        <f>R15</f>
        <v>2000000</v>
      </c>
      <c r="U15" s="468"/>
      <c r="V15" s="468">
        <f>T15</f>
        <v>2000000</v>
      </c>
      <c r="W15" s="468">
        <v>5450000</v>
      </c>
      <c r="X15" s="468">
        <f>V15</f>
        <v>2000000</v>
      </c>
      <c r="Y15" s="468">
        <v>4203000</v>
      </c>
      <c r="Z15" s="468">
        <f t="shared" ref="Z15" si="8">X15</f>
        <v>2000000</v>
      </c>
      <c r="AA15" s="468">
        <v>8750500</v>
      </c>
      <c r="AB15" s="467">
        <f t="shared" si="7"/>
        <v>24000000</v>
      </c>
      <c r="AC15" s="575">
        <f t="shared" si="1"/>
        <v>18403500</v>
      </c>
    </row>
    <row r="16" spans="1:29" s="456" customFormat="1" ht="16.899999999999999" customHeight="1" x14ac:dyDescent="0.2">
      <c r="A16" s="473">
        <v>5</v>
      </c>
      <c r="B16" s="476" t="s">
        <v>39</v>
      </c>
      <c r="C16" s="478" t="s">
        <v>40</v>
      </c>
      <c r="D16" s="468">
        <v>1000000</v>
      </c>
      <c r="E16" s="468"/>
      <c r="F16" s="468">
        <f>D16</f>
        <v>1000000</v>
      </c>
      <c r="G16" s="468"/>
      <c r="H16" s="468">
        <f>F16</f>
        <v>1000000</v>
      </c>
      <c r="I16" s="468"/>
      <c r="J16" s="348">
        <f>H16</f>
        <v>1000000</v>
      </c>
      <c r="K16" s="348"/>
      <c r="L16" s="348">
        <f>J16</f>
        <v>1000000</v>
      </c>
      <c r="M16" s="348"/>
      <c r="N16" s="348">
        <f>L16</f>
        <v>1000000</v>
      </c>
      <c r="O16" s="348"/>
      <c r="P16" s="468">
        <f>N16</f>
        <v>1000000</v>
      </c>
      <c r="Q16" s="468">
        <v>0</v>
      </c>
      <c r="R16" s="468">
        <f>P16</f>
        <v>1000000</v>
      </c>
      <c r="S16" s="468"/>
      <c r="T16" s="468">
        <f>R16</f>
        <v>1000000</v>
      </c>
      <c r="U16" s="468"/>
      <c r="V16" s="468">
        <f>T16</f>
        <v>1000000</v>
      </c>
      <c r="W16" s="468"/>
      <c r="X16" s="468">
        <f>V16</f>
        <v>1000000</v>
      </c>
      <c r="Y16" s="468"/>
      <c r="Z16" s="468">
        <f t="shared" ref="Z16" si="9">X16</f>
        <v>1000000</v>
      </c>
      <c r="AA16" s="468"/>
      <c r="AB16" s="467">
        <f t="shared" si="7"/>
        <v>12000000</v>
      </c>
      <c r="AC16" s="575">
        <f t="shared" si="1"/>
        <v>0</v>
      </c>
    </row>
    <row r="17" spans="1:29" s="456" customFormat="1" ht="16.899999999999999" customHeight="1" x14ac:dyDescent="0.2">
      <c r="A17" s="473">
        <v>6</v>
      </c>
      <c r="B17" s="476" t="s">
        <v>36</v>
      </c>
      <c r="C17" s="475" t="s">
        <v>41</v>
      </c>
      <c r="D17" s="468"/>
      <c r="E17" s="468"/>
      <c r="F17" s="468"/>
      <c r="G17" s="468"/>
      <c r="H17" s="468"/>
      <c r="I17" s="468"/>
      <c r="J17" s="348"/>
      <c r="K17" s="348"/>
      <c r="L17" s="348"/>
      <c r="M17" s="348"/>
      <c r="N17" s="348"/>
      <c r="O17" s="348"/>
      <c r="P17" s="468">
        <v>0</v>
      </c>
      <c r="Q17" s="468">
        <v>0</v>
      </c>
      <c r="R17" s="468">
        <v>20000000</v>
      </c>
      <c r="S17" s="468">
        <f>200000*52</f>
        <v>10400000</v>
      </c>
      <c r="T17" s="468"/>
      <c r="U17" s="468"/>
      <c r="V17" s="468"/>
      <c r="W17" s="468"/>
      <c r="X17" s="468"/>
      <c r="Y17" s="468"/>
      <c r="Z17" s="468"/>
      <c r="AA17" s="468"/>
      <c r="AB17" s="467">
        <f t="shared" si="7"/>
        <v>20000000</v>
      </c>
      <c r="AC17" s="575">
        <f t="shared" si="1"/>
        <v>10400000</v>
      </c>
    </row>
    <row r="18" spans="1:29" s="456" customFormat="1" ht="16.899999999999999" customHeight="1" x14ac:dyDescent="0.2">
      <c r="A18" s="479">
        <v>7</v>
      </c>
      <c r="B18" s="480" t="s">
        <v>36</v>
      </c>
      <c r="C18" s="475" t="s">
        <v>42</v>
      </c>
      <c r="D18" s="468"/>
      <c r="E18" s="468"/>
      <c r="F18" s="468"/>
      <c r="G18" s="468"/>
      <c r="H18" s="468"/>
      <c r="I18" s="468"/>
      <c r="J18" s="348"/>
      <c r="K18" s="348"/>
      <c r="L18" s="348"/>
      <c r="M18" s="348"/>
      <c r="N18" s="348"/>
      <c r="O18" s="348"/>
      <c r="P18" s="468">
        <v>0</v>
      </c>
      <c r="Q18" s="468">
        <v>0</v>
      </c>
      <c r="R18" s="468">
        <v>25000000</v>
      </c>
      <c r="S18" s="468">
        <v>0</v>
      </c>
      <c r="T18" s="468"/>
      <c r="U18" s="468"/>
      <c r="V18" s="468"/>
      <c r="W18" s="468"/>
      <c r="X18" s="468"/>
      <c r="Y18" s="468"/>
      <c r="Z18" s="468"/>
      <c r="AA18" s="468"/>
      <c r="AB18" s="467">
        <f t="shared" si="7"/>
        <v>25000000</v>
      </c>
      <c r="AC18" s="575">
        <f t="shared" si="1"/>
        <v>0</v>
      </c>
    </row>
    <row r="19" spans="1:29" s="456" customFormat="1" ht="16.899999999999999" customHeight="1" x14ac:dyDescent="0.2">
      <c r="A19" s="479">
        <v>8</v>
      </c>
      <c r="B19" s="480" t="s">
        <v>43</v>
      </c>
      <c r="C19" s="474" t="s">
        <v>44</v>
      </c>
      <c r="D19" s="468">
        <v>0</v>
      </c>
      <c r="E19" s="481"/>
      <c r="F19" s="481">
        <f>D19</f>
        <v>0</v>
      </c>
      <c r="G19" s="481"/>
      <c r="H19" s="481">
        <f>F19</f>
        <v>0</v>
      </c>
      <c r="I19" s="481"/>
      <c r="J19" s="353">
        <f>H19</f>
        <v>0</v>
      </c>
      <c r="K19" s="353"/>
      <c r="L19" s="353">
        <f>J19</f>
        <v>0</v>
      </c>
      <c r="M19" s="353"/>
      <c r="N19" s="353">
        <f>L19</f>
        <v>0</v>
      </c>
      <c r="O19" s="353"/>
      <c r="P19" s="481">
        <f>N19</f>
        <v>0</v>
      </c>
      <c r="Q19" s="481">
        <v>0</v>
      </c>
      <c r="R19" s="481">
        <f>P19</f>
        <v>0</v>
      </c>
      <c r="S19" s="481">
        <v>0</v>
      </c>
      <c r="T19" s="481">
        <f>R19</f>
        <v>0</v>
      </c>
      <c r="U19" s="481"/>
      <c r="V19" s="481">
        <f>T19</f>
        <v>0</v>
      </c>
      <c r="W19" s="481">
        <v>0</v>
      </c>
      <c r="X19" s="481">
        <f>V19</f>
        <v>0</v>
      </c>
      <c r="Y19" s="481">
        <v>48000000</v>
      </c>
      <c r="Z19" s="481">
        <f t="shared" ref="Z19" si="10">X19</f>
        <v>0</v>
      </c>
      <c r="AA19" s="481">
        <v>30050000</v>
      </c>
      <c r="AB19" s="467">
        <f t="shared" si="7"/>
        <v>0</v>
      </c>
      <c r="AC19" s="575">
        <f t="shared" si="1"/>
        <v>78050000</v>
      </c>
    </row>
    <row r="20" spans="1:29" s="456" customFormat="1" ht="16.899999999999999" customHeight="1" x14ac:dyDescent="0.2">
      <c r="A20" s="479">
        <v>9</v>
      </c>
      <c r="B20" s="482" t="s">
        <v>45</v>
      </c>
      <c r="C20" s="474" t="s">
        <v>46</v>
      </c>
      <c r="D20" s="468">
        <v>0</v>
      </c>
      <c r="E20" s="468"/>
      <c r="F20" s="468">
        <v>150000000</v>
      </c>
      <c r="G20" s="468"/>
      <c r="H20" s="468">
        <v>0</v>
      </c>
      <c r="I20" s="468"/>
      <c r="J20" s="348">
        <v>35000000</v>
      </c>
      <c r="K20" s="348"/>
      <c r="L20" s="348">
        <v>0</v>
      </c>
      <c r="M20" s="348"/>
      <c r="N20" s="348">
        <v>0</v>
      </c>
      <c r="O20" s="348"/>
      <c r="P20" s="468">
        <v>0</v>
      </c>
      <c r="Q20" s="468">
        <v>0</v>
      </c>
      <c r="R20" s="468">
        <v>0</v>
      </c>
      <c r="S20" s="468">
        <v>0</v>
      </c>
      <c r="T20" s="468">
        <v>0</v>
      </c>
      <c r="U20" s="468"/>
      <c r="V20" s="468">
        <v>0</v>
      </c>
      <c r="W20" s="468"/>
      <c r="X20" s="468">
        <v>0</v>
      </c>
      <c r="Y20" s="468"/>
      <c r="Z20" s="468">
        <v>0</v>
      </c>
      <c r="AA20" s="468"/>
      <c r="AB20" s="467">
        <f t="shared" si="7"/>
        <v>185000000</v>
      </c>
      <c r="AC20" s="575">
        <f t="shared" si="1"/>
        <v>0</v>
      </c>
    </row>
    <row r="21" spans="1:29" s="456" customFormat="1" ht="16.899999999999999" customHeight="1" x14ac:dyDescent="0.2">
      <c r="A21" s="479">
        <v>10</v>
      </c>
      <c r="B21" s="482" t="s">
        <v>47</v>
      </c>
      <c r="C21" s="474" t="s">
        <v>48</v>
      </c>
      <c r="D21" s="468"/>
      <c r="E21" s="468"/>
      <c r="F21" s="468"/>
      <c r="G21" s="468"/>
      <c r="H21" s="468"/>
      <c r="I21" s="468"/>
      <c r="J21" s="348"/>
      <c r="K21" s="348"/>
      <c r="L21" s="348"/>
      <c r="M21" s="348"/>
      <c r="N21" s="348"/>
      <c r="O21" s="348"/>
      <c r="P21" s="468"/>
      <c r="Q21" s="468">
        <v>0</v>
      </c>
      <c r="R21" s="468"/>
      <c r="S21" s="468">
        <v>0</v>
      </c>
      <c r="T21" s="468"/>
      <c r="U21" s="468"/>
      <c r="V21" s="468"/>
      <c r="W21" s="468"/>
      <c r="X21" s="468"/>
      <c r="Y21" s="468"/>
      <c r="Z21" s="468"/>
      <c r="AA21" s="468"/>
      <c r="AB21" s="467">
        <f t="shared" si="7"/>
        <v>0</v>
      </c>
      <c r="AC21" s="575">
        <f t="shared" si="1"/>
        <v>0</v>
      </c>
    </row>
    <row r="22" spans="1:29" s="438" customFormat="1" ht="16.899999999999999" customHeight="1" x14ac:dyDescent="0.2">
      <c r="A22" s="483"/>
      <c r="B22" s="484"/>
      <c r="C22" s="470" t="s">
        <v>49</v>
      </c>
      <c r="D22" s="485">
        <f t="shared" ref="D22:O22" si="11">SUM(D12:D21)</f>
        <v>23035000</v>
      </c>
      <c r="E22" s="485">
        <f t="shared" si="11"/>
        <v>4410039</v>
      </c>
      <c r="F22" s="485">
        <f t="shared" si="11"/>
        <v>173035000</v>
      </c>
      <c r="G22" s="485">
        <f t="shared" si="11"/>
        <v>20612231</v>
      </c>
      <c r="H22" s="485">
        <f t="shared" si="11"/>
        <v>68035000</v>
      </c>
      <c r="I22" s="485">
        <f t="shared" si="11"/>
        <v>15067501</v>
      </c>
      <c r="J22" s="354">
        <f t="shared" si="11"/>
        <v>62042000</v>
      </c>
      <c r="K22" s="354">
        <f t="shared" si="11"/>
        <v>8625600</v>
      </c>
      <c r="L22" s="354">
        <f t="shared" si="11"/>
        <v>27042000</v>
      </c>
      <c r="M22" s="354">
        <f t="shared" si="11"/>
        <v>6865590</v>
      </c>
      <c r="N22" s="354">
        <f t="shared" si="11"/>
        <v>67042000</v>
      </c>
      <c r="O22" s="354">
        <f t="shared" si="11"/>
        <v>13402614</v>
      </c>
      <c r="P22" s="485">
        <f t="shared" ref="P22:AB22" si="12">SUM(P12:P21)</f>
        <v>27042000</v>
      </c>
      <c r="Q22" s="485">
        <f t="shared" si="12"/>
        <v>15035897</v>
      </c>
      <c r="R22" s="485">
        <f t="shared" si="12"/>
        <v>72042000</v>
      </c>
      <c r="S22" s="485">
        <f t="shared" si="12"/>
        <v>20272354</v>
      </c>
      <c r="T22" s="485">
        <f t="shared" si="12"/>
        <v>27042000</v>
      </c>
      <c r="U22" s="485">
        <f t="shared" si="12"/>
        <v>5642000</v>
      </c>
      <c r="V22" s="485">
        <f t="shared" si="12"/>
        <v>27042000</v>
      </c>
      <c r="W22" s="485">
        <f t="shared" si="12"/>
        <v>51846050</v>
      </c>
      <c r="X22" s="485">
        <f t="shared" si="12"/>
        <v>27042000</v>
      </c>
      <c r="Y22" s="485">
        <f t="shared" si="12"/>
        <v>71846628</v>
      </c>
      <c r="Z22" s="485">
        <f t="shared" si="12"/>
        <v>27042000</v>
      </c>
      <c r="AA22" s="485">
        <f t="shared" si="12"/>
        <v>57251490</v>
      </c>
      <c r="AB22" s="485">
        <f t="shared" si="12"/>
        <v>627483000</v>
      </c>
      <c r="AC22" s="575">
        <f t="shared" si="1"/>
        <v>290877994</v>
      </c>
    </row>
    <row r="23" spans="1:29" ht="16.899999999999999" customHeight="1" x14ac:dyDescent="0.2">
      <c r="A23" s="447">
        <v>1</v>
      </c>
      <c r="B23" s="482" t="s">
        <v>50</v>
      </c>
      <c r="C23" s="486" t="s">
        <v>51</v>
      </c>
      <c r="D23" s="487">
        <v>8500000</v>
      </c>
      <c r="E23" s="531">
        <v>0</v>
      </c>
      <c r="F23" s="487">
        <f>D23</f>
        <v>8500000</v>
      </c>
      <c r="G23" s="487">
        <f>E23</f>
        <v>0</v>
      </c>
      <c r="H23" s="487">
        <f>F23</f>
        <v>8500000</v>
      </c>
      <c r="I23" s="487">
        <f>E23</f>
        <v>0</v>
      </c>
      <c r="J23" s="355">
        <f t="shared" ref="J23:O23" si="13">H23</f>
        <v>8500000</v>
      </c>
      <c r="K23" s="355">
        <f t="shared" si="13"/>
        <v>0</v>
      </c>
      <c r="L23" s="355">
        <f t="shared" si="13"/>
        <v>8500000</v>
      </c>
      <c r="M23" s="355">
        <f t="shared" si="13"/>
        <v>0</v>
      </c>
      <c r="N23" s="355">
        <f t="shared" si="13"/>
        <v>8500000</v>
      </c>
      <c r="O23" s="355">
        <f t="shared" si="13"/>
        <v>0</v>
      </c>
      <c r="P23" s="487">
        <f>N23</f>
        <v>8500000</v>
      </c>
      <c r="Q23" s="487"/>
      <c r="R23" s="487">
        <f>P23</f>
        <v>8500000</v>
      </c>
      <c r="S23" s="487"/>
      <c r="T23" s="487">
        <f>R23</f>
        <v>8500000</v>
      </c>
      <c r="U23" s="487"/>
      <c r="V23" s="487">
        <f>T23</f>
        <v>8500000</v>
      </c>
      <c r="W23" s="487"/>
      <c r="X23" s="487">
        <f>V23</f>
        <v>8500000</v>
      </c>
      <c r="Y23" s="487"/>
      <c r="Z23" s="487">
        <f t="shared" ref="Z23" si="14">X23</f>
        <v>8500000</v>
      </c>
      <c r="AA23" s="487"/>
      <c r="AB23" s="487">
        <f t="shared" ref="AB23:AB31" si="15">Z23+X23+V23+T23+R23+P23+N23+L23+J23+H23+F23+D23</f>
        <v>102000000</v>
      </c>
      <c r="AC23" s="575">
        <f t="shared" si="1"/>
        <v>0</v>
      </c>
    </row>
    <row r="24" spans="1:29" ht="16.899999999999999" customHeight="1" x14ac:dyDescent="0.2">
      <c r="A24" s="447">
        <v>1</v>
      </c>
      <c r="B24" s="480" t="s">
        <v>39</v>
      </c>
      <c r="C24" s="475" t="s">
        <v>52</v>
      </c>
      <c r="D24" s="468"/>
      <c r="E24" s="468"/>
      <c r="F24" s="468"/>
      <c r="G24" s="468"/>
      <c r="H24" s="468"/>
      <c r="I24" s="468"/>
      <c r="J24" s="348">
        <v>25000000</v>
      </c>
      <c r="K24" s="348"/>
      <c r="L24" s="348"/>
      <c r="M24" s="348"/>
      <c r="N24" s="348"/>
      <c r="O24" s="348"/>
      <c r="P24" s="468">
        <v>0</v>
      </c>
      <c r="Q24" s="468">
        <v>0</v>
      </c>
      <c r="R24" s="468"/>
      <c r="S24" s="468"/>
      <c r="T24" s="468"/>
      <c r="U24" s="468"/>
      <c r="V24" s="468"/>
      <c r="W24" s="468"/>
      <c r="X24" s="468"/>
      <c r="Y24" s="468"/>
      <c r="Z24" s="468"/>
      <c r="AA24" s="468"/>
      <c r="AB24" s="467">
        <f t="shared" si="15"/>
        <v>25000000</v>
      </c>
      <c r="AC24" s="575">
        <f t="shared" si="1"/>
        <v>0</v>
      </c>
    </row>
    <row r="25" spans="1:29" ht="16.899999999999999" customHeight="1" x14ac:dyDescent="0.2">
      <c r="A25" s="447">
        <v>2</v>
      </c>
      <c r="B25" s="480" t="s">
        <v>53</v>
      </c>
      <c r="C25" s="475" t="s">
        <v>54</v>
      </c>
      <c r="D25" s="468"/>
      <c r="E25" s="468"/>
      <c r="F25" s="468"/>
      <c r="G25" s="468"/>
      <c r="H25" s="468"/>
      <c r="I25" s="468"/>
      <c r="J25" s="348"/>
      <c r="K25" s="348"/>
      <c r="L25" s="348"/>
      <c r="M25" s="348"/>
      <c r="N25" s="348"/>
      <c r="O25" s="348"/>
      <c r="P25" s="468">
        <v>0</v>
      </c>
      <c r="Q25" s="468">
        <v>0</v>
      </c>
      <c r="R25" s="468"/>
      <c r="S25" s="468"/>
      <c r="T25" s="468"/>
      <c r="U25" s="468"/>
      <c r="V25" s="468"/>
      <c r="W25" s="468"/>
      <c r="X25" s="468">
        <v>20000000</v>
      </c>
      <c r="Y25" s="468"/>
      <c r="Z25" s="468">
        <f>X25</f>
        <v>20000000</v>
      </c>
      <c r="AA25" s="468"/>
      <c r="AB25" s="467">
        <f t="shared" si="15"/>
        <v>40000000</v>
      </c>
      <c r="AC25" s="575">
        <f t="shared" si="1"/>
        <v>0</v>
      </c>
    </row>
    <row r="26" spans="1:29" ht="16.899999999999999" customHeight="1" x14ac:dyDescent="0.2">
      <c r="A26" s="445">
        <v>3</v>
      </c>
      <c r="B26" s="476" t="s">
        <v>55</v>
      </c>
      <c r="C26" s="475" t="s">
        <v>56</v>
      </c>
      <c r="D26" s="468"/>
      <c r="E26" s="468"/>
      <c r="F26" s="468"/>
      <c r="G26" s="468"/>
      <c r="H26" s="468"/>
      <c r="I26" s="468"/>
      <c r="J26" s="348"/>
      <c r="K26" s="348"/>
      <c r="L26" s="348"/>
      <c r="M26" s="348"/>
      <c r="N26" s="348"/>
      <c r="O26" s="348"/>
      <c r="P26" s="468">
        <v>0</v>
      </c>
      <c r="Q26" s="468">
        <v>0</v>
      </c>
      <c r="R26" s="468"/>
      <c r="S26" s="468"/>
      <c r="T26" s="468"/>
      <c r="U26" s="468"/>
      <c r="V26" s="468">
        <v>5000000</v>
      </c>
      <c r="W26" s="468"/>
      <c r="X26" s="468"/>
      <c r="Y26" s="468"/>
      <c r="Z26" s="468"/>
      <c r="AA26" s="468"/>
      <c r="AB26" s="467">
        <f t="shared" si="15"/>
        <v>5000000</v>
      </c>
      <c r="AC26" s="575">
        <f t="shared" si="1"/>
        <v>0</v>
      </c>
    </row>
    <row r="27" spans="1:29" ht="16.899999999999999" customHeight="1" x14ac:dyDescent="0.2">
      <c r="A27" s="445">
        <v>4</v>
      </c>
      <c r="B27" s="464" t="s">
        <v>57</v>
      </c>
      <c r="C27" s="475" t="s">
        <v>58</v>
      </c>
      <c r="D27" s="468"/>
      <c r="E27" s="468"/>
      <c r="F27" s="468"/>
      <c r="G27" s="468"/>
      <c r="H27" s="468">
        <v>500000</v>
      </c>
      <c r="I27" s="468">
        <v>500000</v>
      </c>
      <c r="J27" s="348"/>
      <c r="K27" s="348"/>
      <c r="L27" s="348"/>
      <c r="M27" s="348"/>
      <c r="N27" s="348">
        <f>H27</f>
        <v>500000</v>
      </c>
      <c r="O27" s="348"/>
      <c r="P27" s="468">
        <v>0</v>
      </c>
      <c r="Q27" s="468">
        <v>0</v>
      </c>
      <c r="R27" s="468"/>
      <c r="S27" s="468"/>
      <c r="T27" s="468">
        <f>N27</f>
        <v>500000</v>
      </c>
      <c r="U27" s="468"/>
      <c r="V27" s="468"/>
      <c r="W27" s="468"/>
      <c r="X27" s="468"/>
      <c r="Y27" s="468"/>
      <c r="Z27" s="468">
        <f>T27</f>
        <v>500000</v>
      </c>
      <c r="AA27" s="468"/>
      <c r="AB27" s="467">
        <f t="shared" si="15"/>
        <v>2000000</v>
      </c>
      <c r="AC27" s="575">
        <f t="shared" si="1"/>
        <v>500000</v>
      </c>
    </row>
    <row r="28" spans="1:29" ht="16.899999999999999" customHeight="1" x14ac:dyDescent="0.2">
      <c r="A28" s="445">
        <v>5</v>
      </c>
      <c r="B28" s="464" t="s">
        <v>57</v>
      </c>
      <c r="C28" s="475" t="s">
        <v>59</v>
      </c>
      <c r="D28" s="468"/>
      <c r="E28" s="468"/>
      <c r="F28" s="468"/>
      <c r="G28" s="468"/>
      <c r="H28" s="468"/>
      <c r="I28" s="468"/>
      <c r="J28" s="348"/>
      <c r="K28" s="348"/>
      <c r="L28" s="348"/>
      <c r="M28" s="348"/>
      <c r="N28" s="348"/>
      <c r="O28" s="348"/>
      <c r="P28" s="468">
        <v>0</v>
      </c>
      <c r="Q28" s="468">
        <v>0</v>
      </c>
      <c r="R28" s="468"/>
      <c r="S28" s="468"/>
      <c r="T28" s="468"/>
      <c r="U28" s="468"/>
      <c r="V28" s="468"/>
      <c r="W28" s="468"/>
      <c r="X28" s="468"/>
      <c r="Y28" s="468"/>
      <c r="Z28" s="468"/>
      <c r="AA28" s="468"/>
      <c r="AB28" s="467">
        <f t="shared" si="15"/>
        <v>0</v>
      </c>
      <c r="AC28" s="575">
        <f t="shared" si="1"/>
        <v>0</v>
      </c>
    </row>
    <row r="29" spans="1:29" ht="16.899999999999999" customHeight="1" x14ac:dyDescent="0.2">
      <c r="A29" s="445">
        <v>6</v>
      </c>
      <c r="B29" s="464" t="s">
        <v>57</v>
      </c>
      <c r="C29" s="475" t="s">
        <v>60</v>
      </c>
      <c r="D29" s="468">
        <v>100000</v>
      </c>
      <c r="E29" s="468"/>
      <c r="F29" s="468">
        <f>D29</f>
        <v>100000</v>
      </c>
      <c r="G29" s="468"/>
      <c r="H29" s="468">
        <f>F29</f>
        <v>100000</v>
      </c>
      <c r="I29" s="468"/>
      <c r="J29" s="348">
        <f>H29</f>
        <v>100000</v>
      </c>
      <c r="K29" s="348"/>
      <c r="L29" s="348">
        <f>J29</f>
        <v>100000</v>
      </c>
      <c r="M29" s="348"/>
      <c r="N29" s="348">
        <f>L29</f>
        <v>100000</v>
      </c>
      <c r="O29" s="348"/>
      <c r="P29" s="468">
        <f>N29</f>
        <v>100000</v>
      </c>
      <c r="Q29" s="468">
        <v>0</v>
      </c>
      <c r="R29" s="468">
        <f>P29</f>
        <v>100000</v>
      </c>
      <c r="S29" s="468"/>
      <c r="T29" s="468">
        <f>R29</f>
        <v>100000</v>
      </c>
      <c r="U29" s="468"/>
      <c r="V29" s="468">
        <f>T29</f>
        <v>100000</v>
      </c>
      <c r="W29" s="468"/>
      <c r="X29" s="468">
        <f>V29</f>
        <v>100000</v>
      </c>
      <c r="Y29" s="468"/>
      <c r="Z29" s="468">
        <f t="shared" ref="Z29" si="16">X29</f>
        <v>100000</v>
      </c>
      <c r="AA29" s="468"/>
      <c r="AB29" s="467">
        <f t="shared" si="15"/>
        <v>1200000</v>
      </c>
      <c r="AC29" s="575">
        <f t="shared" si="1"/>
        <v>0</v>
      </c>
    </row>
    <row r="30" spans="1:29" ht="16.899999999999999" customHeight="1" x14ac:dyDescent="0.2">
      <c r="A30" s="445">
        <v>7</v>
      </c>
      <c r="B30" s="464" t="s">
        <v>36</v>
      </c>
      <c r="C30" s="475" t="s">
        <v>61</v>
      </c>
      <c r="D30" s="468"/>
      <c r="E30" s="468"/>
      <c r="F30" s="468"/>
      <c r="G30" s="468"/>
      <c r="H30" s="468"/>
      <c r="I30" s="468"/>
      <c r="J30" s="348"/>
      <c r="K30" s="348"/>
      <c r="L30" s="348"/>
      <c r="M30" s="348"/>
      <c r="N30" s="348"/>
      <c r="O30" s="348"/>
      <c r="P30" s="468"/>
      <c r="Q30" s="468">
        <v>0</v>
      </c>
      <c r="R30" s="468">
        <v>1500000</v>
      </c>
      <c r="S30" s="468"/>
      <c r="T30" s="468"/>
      <c r="U30" s="468"/>
      <c r="V30" s="468"/>
      <c r="W30" s="468"/>
      <c r="X30" s="468"/>
      <c r="Y30" s="468"/>
      <c r="Z30" s="468"/>
      <c r="AA30" s="468"/>
      <c r="AB30" s="467">
        <f t="shared" si="15"/>
        <v>1500000</v>
      </c>
      <c r="AC30" s="575">
        <f t="shared" si="1"/>
        <v>0</v>
      </c>
    </row>
    <row r="31" spans="1:29" s="492" customFormat="1" ht="41.25" customHeight="1" x14ac:dyDescent="0.2">
      <c r="A31" s="488">
        <v>8</v>
      </c>
      <c r="B31" s="489" t="s">
        <v>36</v>
      </c>
      <c r="C31" s="490" t="s">
        <v>62</v>
      </c>
      <c r="D31" s="491">
        <v>1500000</v>
      </c>
      <c r="E31" s="491"/>
      <c r="F31" s="491">
        <v>1500000</v>
      </c>
      <c r="G31" s="491"/>
      <c r="H31" s="491">
        <v>1500000</v>
      </c>
      <c r="I31" s="491"/>
      <c r="J31" s="357">
        <v>1500000</v>
      </c>
      <c r="K31" s="357"/>
      <c r="L31" s="357">
        <v>1500000</v>
      </c>
      <c r="M31" s="357"/>
      <c r="N31" s="357">
        <f>1500000*2</f>
        <v>3000000</v>
      </c>
      <c r="O31" s="357"/>
      <c r="P31" s="491">
        <v>1500000</v>
      </c>
      <c r="Q31" s="491">
        <v>0</v>
      </c>
      <c r="R31" s="491">
        <v>1500000</v>
      </c>
      <c r="S31" s="491"/>
      <c r="T31" s="491">
        <v>1500000</v>
      </c>
      <c r="U31" s="491"/>
      <c r="V31" s="491">
        <v>1500000</v>
      </c>
      <c r="W31" s="491">
        <v>1200000</v>
      </c>
      <c r="X31" s="491">
        <v>1500000</v>
      </c>
      <c r="Y31" s="491">
        <v>0</v>
      </c>
      <c r="Z31" s="491">
        <v>1500000</v>
      </c>
      <c r="AA31" s="491">
        <v>0</v>
      </c>
      <c r="AB31" s="467">
        <f t="shared" si="15"/>
        <v>19500000</v>
      </c>
      <c r="AC31" s="575">
        <f t="shared" si="1"/>
        <v>1200000</v>
      </c>
    </row>
    <row r="32" spans="1:29" s="420" customFormat="1" ht="16.899999999999999" customHeight="1" x14ac:dyDescent="0.2">
      <c r="A32" s="493"/>
      <c r="B32" s="444"/>
      <c r="C32" s="486" t="s">
        <v>63</v>
      </c>
      <c r="D32" s="494">
        <f t="shared" ref="D32:O32" si="17">SUM(D24:D31)</f>
        <v>1600000</v>
      </c>
      <c r="E32" s="494">
        <f t="shared" si="17"/>
        <v>0</v>
      </c>
      <c r="F32" s="494">
        <f t="shared" si="17"/>
        <v>1600000</v>
      </c>
      <c r="G32" s="494">
        <f t="shared" si="17"/>
        <v>0</v>
      </c>
      <c r="H32" s="494">
        <f t="shared" si="17"/>
        <v>2100000</v>
      </c>
      <c r="I32" s="494">
        <f t="shared" si="17"/>
        <v>500000</v>
      </c>
      <c r="J32" s="358">
        <f t="shared" si="17"/>
        <v>26600000</v>
      </c>
      <c r="K32" s="358">
        <f t="shared" si="17"/>
        <v>0</v>
      </c>
      <c r="L32" s="358">
        <f t="shared" si="17"/>
        <v>1600000</v>
      </c>
      <c r="M32" s="358">
        <f t="shared" si="17"/>
        <v>0</v>
      </c>
      <c r="N32" s="358">
        <f t="shared" si="17"/>
        <v>3600000</v>
      </c>
      <c r="O32" s="358">
        <f t="shared" si="17"/>
        <v>0</v>
      </c>
      <c r="P32" s="494">
        <f t="shared" ref="P32:AB32" si="18">SUM(P24:P31)</f>
        <v>1600000</v>
      </c>
      <c r="Q32" s="494">
        <f t="shared" si="18"/>
        <v>0</v>
      </c>
      <c r="R32" s="494">
        <f t="shared" si="18"/>
        <v>3100000</v>
      </c>
      <c r="S32" s="494">
        <f t="shared" si="18"/>
        <v>0</v>
      </c>
      <c r="T32" s="494">
        <f t="shared" si="18"/>
        <v>2100000</v>
      </c>
      <c r="U32" s="494">
        <f t="shared" si="18"/>
        <v>0</v>
      </c>
      <c r="V32" s="494">
        <f t="shared" si="18"/>
        <v>6600000</v>
      </c>
      <c r="W32" s="494">
        <f t="shared" si="18"/>
        <v>1200000</v>
      </c>
      <c r="X32" s="494">
        <f t="shared" si="18"/>
        <v>21600000</v>
      </c>
      <c r="Y32" s="494">
        <f t="shared" si="18"/>
        <v>0</v>
      </c>
      <c r="Z32" s="494">
        <f t="shared" si="18"/>
        <v>22100000</v>
      </c>
      <c r="AA32" s="494">
        <f t="shared" si="18"/>
        <v>0</v>
      </c>
      <c r="AB32" s="494">
        <f t="shared" si="18"/>
        <v>94200000</v>
      </c>
      <c r="AC32" s="575">
        <f t="shared" si="1"/>
        <v>1700000</v>
      </c>
    </row>
    <row r="33" spans="1:29" ht="16.899999999999999" customHeight="1" x14ac:dyDescent="0.2">
      <c r="A33" s="445">
        <v>1</v>
      </c>
      <c r="B33" s="464" t="s">
        <v>64</v>
      </c>
      <c r="C33" s="475" t="s">
        <v>65</v>
      </c>
      <c r="D33" s="468">
        <v>4500000</v>
      </c>
      <c r="E33" s="468">
        <v>3368387.3000000003</v>
      </c>
      <c r="F33" s="468">
        <f t="shared" ref="F33:F39" si="19">D33</f>
        <v>4500000</v>
      </c>
      <c r="G33" s="468">
        <v>5599461.5200000005</v>
      </c>
      <c r="H33" s="468">
        <f t="shared" ref="H33:H39" si="20">F33</f>
        <v>4500000</v>
      </c>
      <c r="I33" s="468">
        <v>4558382.3</v>
      </c>
      <c r="J33" s="348">
        <f t="shared" ref="J33:J39" si="21">H33</f>
        <v>4500000</v>
      </c>
      <c r="K33" s="348">
        <v>5591779</v>
      </c>
      <c r="L33" s="348">
        <f t="shared" ref="L33:L39" si="22">J33</f>
        <v>4500000</v>
      </c>
      <c r="M33" s="348">
        <v>7671032</v>
      </c>
      <c r="N33" s="348">
        <f t="shared" ref="N33:N39" si="23">L33</f>
        <v>4500000</v>
      </c>
      <c r="O33" s="348">
        <v>5725347</v>
      </c>
      <c r="P33" s="468">
        <f t="shared" ref="P33:P39" si="24">N33</f>
        <v>4500000</v>
      </c>
      <c r="Q33" s="468">
        <v>3789200</v>
      </c>
      <c r="R33" s="468">
        <f t="shared" ref="R33:R39" si="25">P33</f>
        <v>4500000</v>
      </c>
      <c r="S33" s="468">
        <v>4200560</v>
      </c>
      <c r="T33" s="468">
        <f t="shared" ref="T33:T39" si="26">R33</f>
        <v>4500000</v>
      </c>
      <c r="U33" s="468">
        <v>4560000</v>
      </c>
      <c r="V33" s="468">
        <f t="shared" ref="V33:V39" si="27">T33</f>
        <v>4500000</v>
      </c>
      <c r="W33" s="468">
        <v>6230400</v>
      </c>
      <c r="X33" s="468">
        <f t="shared" ref="X33:X39" si="28">V33</f>
        <v>4500000</v>
      </c>
      <c r="Y33" s="468">
        <v>5470000</v>
      </c>
      <c r="Z33" s="468">
        <f t="shared" ref="Z33" si="29">X33</f>
        <v>4500000</v>
      </c>
      <c r="AA33" s="468">
        <v>6102000</v>
      </c>
      <c r="AB33" s="467">
        <f>Z33+X33+V33+T33+R33+P33+N33+L33+J33+H33+F33+D33</f>
        <v>54000000</v>
      </c>
      <c r="AC33" s="575">
        <f t="shared" si="1"/>
        <v>62866549.120000005</v>
      </c>
    </row>
    <row r="34" spans="1:29" ht="16.899999999999999" customHeight="1" x14ac:dyDescent="0.2">
      <c r="A34" s="445">
        <v>2</v>
      </c>
      <c r="B34" s="464" t="s">
        <v>66</v>
      </c>
      <c r="C34" s="475" t="s">
        <v>67</v>
      </c>
      <c r="D34" s="468">
        <v>1000000</v>
      </c>
      <c r="E34" s="468"/>
      <c r="F34" s="468">
        <f t="shared" si="19"/>
        <v>1000000</v>
      </c>
      <c r="G34" s="468"/>
      <c r="H34" s="468">
        <f t="shared" si="20"/>
        <v>1000000</v>
      </c>
      <c r="I34" s="468"/>
      <c r="J34" s="348">
        <f t="shared" si="21"/>
        <v>1000000</v>
      </c>
      <c r="K34" s="348"/>
      <c r="L34" s="348">
        <f t="shared" si="22"/>
        <v>1000000</v>
      </c>
      <c r="M34" s="348"/>
      <c r="N34" s="348">
        <f t="shared" si="23"/>
        <v>1000000</v>
      </c>
      <c r="O34" s="348"/>
      <c r="P34" s="468">
        <f t="shared" si="24"/>
        <v>1000000</v>
      </c>
      <c r="Q34" s="468">
        <v>0</v>
      </c>
      <c r="R34" s="468">
        <f t="shared" si="25"/>
        <v>1000000</v>
      </c>
      <c r="S34" s="468">
        <v>0</v>
      </c>
      <c r="T34" s="468">
        <f t="shared" si="26"/>
        <v>1000000</v>
      </c>
      <c r="U34" s="468">
        <v>0</v>
      </c>
      <c r="V34" s="468">
        <f t="shared" si="27"/>
        <v>1000000</v>
      </c>
      <c r="W34" s="468">
        <v>672000</v>
      </c>
      <c r="X34" s="468">
        <f t="shared" si="28"/>
        <v>1000000</v>
      </c>
      <c r="Y34" s="468">
        <v>781500</v>
      </c>
      <c r="Z34" s="468">
        <f t="shared" ref="Z34" si="30">X34</f>
        <v>1000000</v>
      </c>
      <c r="AA34" s="468">
        <v>546300</v>
      </c>
      <c r="AB34" s="467">
        <f t="shared" ref="AB33:AB43" si="31">Z34+X34+V34+T34+R34+P34+N34+L34+J34+H34+F34+D34</f>
        <v>12000000</v>
      </c>
      <c r="AC34" s="575">
        <f t="shared" si="1"/>
        <v>1999800</v>
      </c>
    </row>
    <row r="35" spans="1:29" ht="16.899999999999999" customHeight="1" x14ac:dyDescent="0.2">
      <c r="A35" s="445">
        <v>3</v>
      </c>
      <c r="B35" s="464" t="s">
        <v>55</v>
      </c>
      <c r="C35" s="475" t="s">
        <v>68</v>
      </c>
      <c r="D35" s="468">
        <v>1000000</v>
      </c>
      <c r="E35" s="468">
        <v>30000</v>
      </c>
      <c r="F35" s="468">
        <f t="shared" si="19"/>
        <v>1000000</v>
      </c>
      <c r="G35" s="468">
        <v>2305000</v>
      </c>
      <c r="H35" s="468">
        <f t="shared" si="20"/>
        <v>1000000</v>
      </c>
      <c r="I35" s="468">
        <v>489500</v>
      </c>
      <c r="J35" s="348">
        <f t="shared" si="21"/>
        <v>1000000</v>
      </c>
      <c r="K35" s="348">
        <v>526050</v>
      </c>
      <c r="L35" s="348">
        <f t="shared" si="22"/>
        <v>1000000</v>
      </c>
      <c r="M35" s="348">
        <v>212500</v>
      </c>
      <c r="N35" s="348">
        <f t="shared" si="23"/>
        <v>1000000</v>
      </c>
      <c r="O35" s="348">
        <v>178000</v>
      </c>
      <c r="P35" s="468">
        <f t="shared" si="24"/>
        <v>1000000</v>
      </c>
      <c r="Q35" s="468">
        <v>17000</v>
      </c>
      <c r="R35" s="468">
        <f t="shared" si="25"/>
        <v>1000000</v>
      </c>
      <c r="S35" s="468">
        <v>0</v>
      </c>
      <c r="T35" s="468">
        <f t="shared" si="26"/>
        <v>1000000</v>
      </c>
      <c r="U35" s="468">
        <v>0</v>
      </c>
      <c r="V35" s="468">
        <f t="shared" si="27"/>
        <v>1000000</v>
      </c>
      <c r="W35" s="468">
        <v>254700</v>
      </c>
      <c r="X35" s="468">
        <f t="shared" si="28"/>
        <v>1000000</v>
      </c>
      <c r="Y35" s="468">
        <v>890000</v>
      </c>
      <c r="Z35" s="468">
        <f t="shared" ref="Z35" si="32">X35</f>
        <v>1000000</v>
      </c>
      <c r="AA35" s="468">
        <v>259000</v>
      </c>
      <c r="AB35" s="467">
        <f t="shared" si="31"/>
        <v>12000000</v>
      </c>
      <c r="AC35" s="575">
        <f t="shared" si="1"/>
        <v>5161750</v>
      </c>
    </row>
    <row r="36" spans="1:29" ht="16.899999999999999" customHeight="1" x14ac:dyDescent="0.2">
      <c r="A36" s="445">
        <v>4</v>
      </c>
      <c r="B36" s="464" t="s">
        <v>69</v>
      </c>
      <c r="C36" s="475" t="s">
        <v>70</v>
      </c>
      <c r="D36" s="468">
        <v>5500000</v>
      </c>
      <c r="E36" s="468">
        <v>10481430</v>
      </c>
      <c r="F36" s="468">
        <f t="shared" si="19"/>
        <v>5500000</v>
      </c>
      <c r="G36" s="468">
        <v>7583300</v>
      </c>
      <c r="H36" s="468">
        <f t="shared" si="20"/>
        <v>5500000</v>
      </c>
      <c r="I36" s="468">
        <v>9263890</v>
      </c>
      <c r="J36" s="348">
        <f t="shared" si="21"/>
        <v>5500000</v>
      </c>
      <c r="K36" s="348">
        <v>10917810</v>
      </c>
      <c r="L36" s="348">
        <f t="shared" si="22"/>
        <v>5500000</v>
      </c>
      <c r="M36" s="348">
        <v>12687150</v>
      </c>
      <c r="N36" s="348">
        <f t="shared" si="23"/>
        <v>5500000</v>
      </c>
      <c r="O36" s="348">
        <v>2150510</v>
      </c>
      <c r="P36" s="468">
        <f t="shared" si="24"/>
        <v>5500000</v>
      </c>
      <c r="Q36" s="468">
        <v>9578920</v>
      </c>
      <c r="R36" s="468">
        <f t="shared" si="25"/>
        <v>5500000</v>
      </c>
      <c r="S36" s="468">
        <v>12500200</v>
      </c>
      <c r="T36" s="468">
        <f t="shared" si="26"/>
        <v>5500000</v>
      </c>
      <c r="U36" s="468">
        <v>8200500</v>
      </c>
      <c r="V36" s="468">
        <f t="shared" si="27"/>
        <v>5500000</v>
      </c>
      <c r="W36" s="468">
        <v>10245600</v>
      </c>
      <c r="X36" s="468">
        <f t="shared" si="28"/>
        <v>5500000</v>
      </c>
      <c r="Y36" s="468">
        <v>5043200</v>
      </c>
      <c r="Z36" s="468">
        <f t="shared" ref="Z36:Z39" si="33">X36</f>
        <v>5500000</v>
      </c>
      <c r="AA36" s="468">
        <v>11967300</v>
      </c>
      <c r="AB36" s="467">
        <f t="shared" si="31"/>
        <v>66000000</v>
      </c>
      <c r="AC36" s="575">
        <f t="shared" si="1"/>
        <v>110619810</v>
      </c>
    </row>
    <row r="37" spans="1:29" ht="16.899999999999999" customHeight="1" x14ac:dyDescent="0.2">
      <c r="A37" s="445">
        <v>5</v>
      </c>
      <c r="B37" s="464" t="s">
        <v>71</v>
      </c>
      <c r="C37" s="475" t="s">
        <v>72</v>
      </c>
      <c r="D37" s="468">
        <v>4500000</v>
      </c>
      <c r="E37" s="495">
        <v>4368193.4399999995</v>
      </c>
      <c r="F37" s="468">
        <f t="shared" si="19"/>
        <v>4500000</v>
      </c>
      <c r="G37" s="468">
        <v>10775332.33</v>
      </c>
      <c r="H37" s="468">
        <f t="shared" si="20"/>
        <v>4500000</v>
      </c>
      <c r="I37" s="468">
        <v>2843148.99</v>
      </c>
      <c r="J37" s="348">
        <f t="shared" si="21"/>
        <v>4500000</v>
      </c>
      <c r="K37" s="348">
        <v>11227033</v>
      </c>
      <c r="L37" s="348">
        <f t="shared" si="22"/>
        <v>4500000</v>
      </c>
      <c r="M37" s="348">
        <v>8315840</v>
      </c>
      <c r="N37" s="348">
        <f t="shared" si="23"/>
        <v>4500000</v>
      </c>
      <c r="O37" s="348">
        <v>4400875</v>
      </c>
      <c r="P37" s="468">
        <f t="shared" si="24"/>
        <v>4500000</v>
      </c>
      <c r="Q37" s="468">
        <v>8560230</v>
      </c>
      <c r="R37" s="468">
        <f t="shared" si="25"/>
        <v>4500000</v>
      </c>
      <c r="S37" s="468">
        <v>15620031</v>
      </c>
      <c r="T37" s="468">
        <f t="shared" si="26"/>
        <v>4500000</v>
      </c>
      <c r="U37" s="468">
        <v>6575800</v>
      </c>
      <c r="V37" s="468">
        <f t="shared" si="27"/>
        <v>4500000</v>
      </c>
      <c r="W37" s="468">
        <v>10974500</v>
      </c>
      <c r="X37" s="468">
        <f t="shared" si="28"/>
        <v>4500000</v>
      </c>
      <c r="Y37" s="468">
        <v>8712000</v>
      </c>
      <c r="Z37" s="468">
        <f t="shared" si="33"/>
        <v>4500000</v>
      </c>
      <c r="AA37" s="468">
        <v>8275410</v>
      </c>
      <c r="AB37" s="467">
        <f t="shared" si="31"/>
        <v>54000000</v>
      </c>
      <c r="AC37" s="575">
        <f t="shared" si="1"/>
        <v>100648393.75999999</v>
      </c>
    </row>
    <row r="38" spans="1:29" ht="16.899999999999999" customHeight="1" x14ac:dyDescent="0.2">
      <c r="A38" s="445">
        <v>6</v>
      </c>
      <c r="B38" s="464" t="s">
        <v>73</v>
      </c>
      <c r="C38" s="475" t="s">
        <v>74</v>
      </c>
      <c r="D38" s="468">
        <v>1000000</v>
      </c>
      <c r="E38" s="468">
        <v>285000</v>
      </c>
      <c r="F38" s="468">
        <f t="shared" si="19"/>
        <v>1000000</v>
      </c>
      <c r="G38" s="468"/>
      <c r="H38" s="468">
        <f t="shared" si="20"/>
        <v>1000000</v>
      </c>
      <c r="I38" s="468">
        <v>150000</v>
      </c>
      <c r="J38" s="348">
        <f t="shared" si="21"/>
        <v>1000000</v>
      </c>
      <c r="K38" s="348">
        <v>484500</v>
      </c>
      <c r="L38" s="348">
        <f t="shared" si="22"/>
        <v>1000000</v>
      </c>
      <c r="M38" s="348">
        <v>1648500</v>
      </c>
      <c r="N38" s="348">
        <f t="shared" si="23"/>
        <v>1000000</v>
      </c>
      <c r="O38" s="348">
        <v>150000</v>
      </c>
      <c r="P38" s="468">
        <f t="shared" si="24"/>
        <v>1000000</v>
      </c>
      <c r="Q38" s="468">
        <v>635800</v>
      </c>
      <c r="R38" s="468">
        <f t="shared" si="25"/>
        <v>1000000</v>
      </c>
      <c r="S38" s="468">
        <v>635800</v>
      </c>
      <c r="T38" s="468">
        <f t="shared" si="26"/>
        <v>1000000</v>
      </c>
      <c r="U38" s="468">
        <v>635800</v>
      </c>
      <c r="V38" s="468">
        <f t="shared" si="27"/>
        <v>1000000</v>
      </c>
      <c r="W38" s="468">
        <v>400000</v>
      </c>
      <c r="X38" s="468">
        <f t="shared" si="28"/>
        <v>1000000</v>
      </c>
      <c r="Y38" s="468">
        <v>150000</v>
      </c>
      <c r="Z38" s="468">
        <f t="shared" si="33"/>
        <v>1000000</v>
      </c>
      <c r="AA38" s="468">
        <v>555000</v>
      </c>
      <c r="AB38" s="467">
        <f t="shared" si="31"/>
        <v>12000000</v>
      </c>
      <c r="AC38" s="575">
        <f t="shared" ref="AC38:AC69" si="34">E38+G38+I38+K38+M38+O38+Q38+S38+U38+W38+Y38+AA38</f>
        <v>5730400</v>
      </c>
    </row>
    <row r="39" spans="1:29" ht="16.899999999999999" customHeight="1" x14ac:dyDescent="0.2">
      <c r="A39" s="445">
        <v>7</v>
      </c>
      <c r="B39" s="464" t="s">
        <v>75</v>
      </c>
      <c r="C39" s="475" t="s">
        <v>76</v>
      </c>
      <c r="D39" s="468">
        <v>6000000</v>
      </c>
      <c r="E39" s="468">
        <v>6018689</v>
      </c>
      <c r="F39" s="468">
        <f t="shared" si="19"/>
        <v>6000000</v>
      </c>
      <c r="G39" s="468">
        <v>9130588</v>
      </c>
      <c r="H39" s="468">
        <f t="shared" si="20"/>
        <v>6000000</v>
      </c>
      <c r="I39" s="468">
        <v>2400477</v>
      </c>
      <c r="J39" s="348">
        <f t="shared" si="21"/>
        <v>6000000</v>
      </c>
      <c r="K39" s="348">
        <v>5401463</v>
      </c>
      <c r="L39" s="348">
        <f t="shared" si="22"/>
        <v>6000000</v>
      </c>
      <c r="M39" s="348">
        <f>10913608-978671-183500</f>
        <v>9751437</v>
      </c>
      <c r="N39" s="348">
        <f t="shared" si="23"/>
        <v>6000000</v>
      </c>
      <c r="O39" s="348">
        <f>18035875-1967944-8350780</f>
        <v>7717151</v>
      </c>
      <c r="P39" s="468">
        <f t="shared" si="24"/>
        <v>6000000</v>
      </c>
      <c r="Q39" s="468">
        <v>3265000</v>
      </c>
      <c r="R39" s="468">
        <f t="shared" si="25"/>
        <v>6000000</v>
      </c>
      <c r="S39" s="468">
        <v>3001500</v>
      </c>
      <c r="T39" s="468">
        <f t="shared" si="26"/>
        <v>6000000</v>
      </c>
      <c r="U39" s="468">
        <v>3456200</v>
      </c>
      <c r="V39" s="468">
        <f t="shared" si="27"/>
        <v>6000000</v>
      </c>
      <c r="W39" s="468">
        <v>620000</v>
      </c>
      <c r="X39" s="468">
        <f t="shared" si="28"/>
        <v>6000000</v>
      </c>
      <c r="Y39" s="468">
        <v>714500</v>
      </c>
      <c r="Z39" s="468">
        <f t="shared" si="33"/>
        <v>6000000</v>
      </c>
      <c r="AA39" s="468">
        <v>627200</v>
      </c>
      <c r="AB39" s="467">
        <f t="shared" si="31"/>
        <v>72000000</v>
      </c>
      <c r="AC39" s="575">
        <f t="shared" si="34"/>
        <v>52104205</v>
      </c>
    </row>
    <row r="40" spans="1:29" ht="16.899999999999999" customHeight="1" x14ac:dyDescent="0.2">
      <c r="A40" s="445">
        <v>8</v>
      </c>
      <c r="B40" s="464" t="s">
        <v>77</v>
      </c>
      <c r="C40" s="475" t="s">
        <v>78</v>
      </c>
      <c r="D40" s="468"/>
      <c r="E40" s="468"/>
      <c r="F40" s="468"/>
      <c r="G40" s="468"/>
      <c r="H40" s="468">
        <v>25000000</v>
      </c>
      <c r="I40" s="468">
        <v>3680000</v>
      </c>
      <c r="J40" s="348"/>
      <c r="K40" s="348"/>
      <c r="L40" s="348"/>
      <c r="M40" s="348"/>
      <c r="N40" s="348"/>
      <c r="O40" s="348"/>
      <c r="P40" s="468">
        <v>0</v>
      </c>
      <c r="Q40" s="468">
        <v>0</v>
      </c>
      <c r="R40" s="468">
        <v>0</v>
      </c>
      <c r="S40" s="468">
        <v>0</v>
      </c>
      <c r="T40" s="468">
        <v>0</v>
      </c>
      <c r="U40" s="468">
        <v>0</v>
      </c>
      <c r="V40" s="468"/>
      <c r="W40" s="468">
        <v>0</v>
      </c>
      <c r="X40" s="468"/>
      <c r="Y40" s="468">
        <v>920000</v>
      </c>
      <c r="Z40" s="468"/>
      <c r="AA40" s="468">
        <v>920000</v>
      </c>
      <c r="AB40" s="467">
        <f t="shared" si="31"/>
        <v>25000000</v>
      </c>
      <c r="AC40" s="575">
        <f t="shared" si="34"/>
        <v>5520000</v>
      </c>
    </row>
    <row r="41" spans="1:29" ht="16.899999999999999" customHeight="1" x14ac:dyDescent="0.2">
      <c r="A41" s="445">
        <v>9</v>
      </c>
      <c r="B41" s="464" t="s">
        <v>79</v>
      </c>
      <c r="C41" s="474" t="s">
        <v>80</v>
      </c>
      <c r="D41" s="468"/>
      <c r="E41" s="468"/>
      <c r="F41" s="468"/>
      <c r="G41" s="468"/>
      <c r="H41" s="468"/>
      <c r="I41" s="468"/>
      <c r="J41" s="348"/>
      <c r="K41" s="348"/>
      <c r="L41" s="348"/>
      <c r="M41" s="348"/>
      <c r="N41" s="348">
        <v>8000000</v>
      </c>
      <c r="O41" s="348"/>
      <c r="P41" s="468">
        <v>0</v>
      </c>
      <c r="Q41" s="468">
        <v>0</v>
      </c>
      <c r="R41" s="468">
        <v>0</v>
      </c>
      <c r="S41" s="468">
        <v>0</v>
      </c>
      <c r="T41" s="468">
        <v>0</v>
      </c>
      <c r="U41" s="468">
        <v>0</v>
      </c>
      <c r="V41" s="468"/>
      <c r="W41" s="468"/>
      <c r="X41" s="468"/>
      <c r="Y41" s="468"/>
      <c r="Z41" s="468"/>
      <c r="AA41" s="468"/>
      <c r="AB41" s="467">
        <f t="shared" si="31"/>
        <v>8000000</v>
      </c>
      <c r="AC41" s="575">
        <f t="shared" si="34"/>
        <v>0</v>
      </c>
    </row>
    <row r="42" spans="1:29" ht="16.899999999999999" customHeight="1" x14ac:dyDescent="0.2">
      <c r="A42" s="445">
        <v>10</v>
      </c>
      <c r="B42" s="464" t="s">
        <v>79</v>
      </c>
      <c r="C42" s="474" t="s">
        <v>81</v>
      </c>
      <c r="D42" s="468"/>
      <c r="E42" s="468"/>
      <c r="F42" s="468"/>
      <c r="G42" s="468"/>
      <c r="H42" s="468"/>
      <c r="I42" s="468"/>
      <c r="J42" s="348"/>
      <c r="K42" s="348"/>
      <c r="L42" s="348"/>
      <c r="M42" s="348"/>
      <c r="N42" s="348"/>
      <c r="O42" s="348"/>
      <c r="P42" s="468">
        <v>0</v>
      </c>
      <c r="Q42" s="468">
        <v>0</v>
      </c>
      <c r="R42" s="468">
        <v>0</v>
      </c>
      <c r="S42" s="468">
        <v>0</v>
      </c>
      <c r="T42" s="468">
        <v>0</v>
      </c>
      <c r="U42" s="468">
        <v>0</v>
      </c>
      <c r="V42" s="468">
        <v>15000000</v>
      </c>
      <c r="W42" s="468"/>
      <c r="X42" s="468"/>
      <c r="Y42" s="468"/>
      <c r="Z42" s="468"/>
      <c r="AA42" s="468">
        <v>42700000</v>
      </c>
      <c r="AB42" s="467">
        <f t="shared" si="31"/>
        <v>15000000</v>
      </c>
      <c r="AC42" s="575">
        <f t="shared" si="34"/>
        <v>42700000</v>
      </c>
    </row>
    <row r="43" spans="1:29" ht="16.899999999999999" customHeight="1" x14ac:dyDescent="0.2">
      <c r="A43" s="445">
        <v>11</v>
      </c>
      <c r="B43" s="464" t="s">
        <v>79</v>
      </c>
      <c r="C43" s="474" t="s">
        <v>82</v>
      </c>
      <c r="D43" s="496"/>
      <c r="E43" s="496"/>
      <c r="F43" s="468"/>
      <c r="G43" s="468"/>
      <c r="H43" s="468"/>
      <c r="I43" s="468"/>
      <c r="J43" s="348"/>
      <c r="K43" s="348"/>
      <c r="L43" s="348"/>
      <c r="M43" s="348"/>
      <c r="N43" s="348"/>
      <c r="O43" s="348"/>
      <c r="P43" s="468">
        <v>0</v>
      </c>
      <c r="Q43" s="468">
        <v>0</v>
      </c>
      <c r="R43" s="468">
        <v>0</v>
      </c>
      <c r="S43" s="468">
        <v>0</v>
      </c>
      <c r="T43" s="468">
        <v>0</v>
      </c>
      <c r="U43" s="468">
        <v>0</v>
      </c>
      <c r="V43" s="468">
        <v>15000000</v>
      </c>
      <c r="W43" s="468"/>
      <c r="X43" s="468"/>
      <c r="Y43" s="468"/>
      <c r="Z43" s="468"/>
      <c r="AA43" s="468"/>
      <c r="AB43" s="467">
        <f t="shared" si="31"/>
        <v>15000000</v>
      </c>
      <c r="AC43" s="575">
        <f t="shared" si="34"/>
        <v>0</v>
      </c>
    </row>
    <row r="44" spans="1:29" s="420" customFormat="1" ht="16.899999999999999" customHeight="1" x14ac:dyDescent="0.2">
      <c r="A44" s="493"/>
      <c r="B44" s="464"/>
      <c r="C44" s="486" t="s">
        <v>83</v>
      </c>
      <c r="D44" s="487">
        <f t="shared" ref="D44:O44" si="35">SUM(D33:D43)</f>
        <v>23500000</v>
      </c>
      <c r="E44" s="487">
        <f t="shared" si="35"/>
        <v>24551699.740000002</v>
      </c>
      <c r="F44" s="487">
        <f t="shared" si="35"/>
        <v>23500000</v>
      </c>
      <c r="G44" s="487">
        <f t="shared" si="35"/>
        <v>35393681.850000001</v>
      </c>
      <c r="H44" s="487">
        <f t="shared" si="35"/>
        <v>48500000</v>
      </c>
      <c r="I44" s="487">
        <f t="shared" si="35"/>
        <v>23385398.289999999</v>
      </c>
      <c r="J44" s="355">
        <f t="shared" si="35"/>
        <v>23500000</v>
      </c>
      <c r="K44" s="355">
        <f t="shared" si="35"/>
        <v>34148635</v>
      </c>
      <c r="L44" s="355">
        <f t="shared" si="35"/>
        <v>23500000</v>
      </c>
      <c r="M44" s="355">
        <f t="shared" si="35"/>
        <v>40286459</v>
      </c>
      <c r="N44" s="355">
        <f t="shared" si="35"/>
        <v>31500000</v>
      </c>
      <c r="O44" s="355">
        <f t="shared" si="35"/>
        <v>20321883</v>
      </c>
      <c r="P44" s="487">
        <f t="shared" ref="P44:AB44" si="36">SUM(P33:P43)</f>
        <v>23500000</v>
      </c>
      <c r="Q44" s="487">
        <f>SUM(Q33:Q43)</f>
        <v>25846150</v>
      </c>
      <c r="R44" s="487">
        <f t="shared" si="36"/>
        <v>23500000</v>
      </c>
      <c r="S44" s="487">
        <f t="shared" si="36"/>
        <v>35958091</v>
      </c>
      <c r="T44" s="487">
        <f t="shared" si="36"/>
        <v>23500000</v>
      </c>
      <c r="U44" s="487">
        <f t="shared" si="36"/>
        <v>23428300</v>
      </c>
      <c r="V44" s="487">
        <f t="shared" si="36"/>
        <v>53500000</v>
      </c>
      <c r="W44" s="487">
        <f t="shared" si="36"/>
        <v>29397200</v>
      </c>
      <c r="X44" s="487">
        <f t="shared" si="36"/>
        <v>23500000</v>
      </c>
      <c r="Y44" s="487">
        <f t="shared" si="36"/>
        <v>22681200</v>
      </c>
      <c r="Z44" s="487">
        <f t="shared" si="36"/>
        <v>23500000</v>
      </c>
      <c r="AA44" s="487">
        <f t="shared" si="36"/>
        <v>71952210</v>
      </c>
      <c r="AB44" s="487">
        <f t="shared" si="36"/>
        <v>345000000</v>
      </c>
      <c r="AC44" s="575">
        <f t="shared" si="34"/>
        <v>387350907.88</v>
      </c>
    </row>
    <row r="45" spans="1:29" s="420" customFormat="1" ht="16.899999999999999" customHeight="1" x14ac:dyDescent="0.2">
      <c r="A45" s="445">
        <v>12</v>
      </c>
      <c r="B45" s="464" t="s">
        <v>53</v>
      </c>
      <c r="C45" s="475" t="s">
        <v>84</v>
      </c>
      <c r="D45" s="468">
        <v>15000000</v>
      </c>
      <c r="E45" s="468">
        <v>33897980</v>
      </c>
      <c r="F45" s="468">
        <f>D45</f>
        <v>15000000</v>
      </c>
      <c r="G45" s="468">
        <v>45586324</v>
      </c>
      <c r="H45" s="468">
        <f>F45</f>
        <v>15000000</v>
      </c>
      <c r="I45" s="468">
        <v>12572886</v>
      </c>
      <c r="J45" s="348">
        <f>H45</f>
        <v>15000000</v>
      </c>
      <c r="K45" s="348">
        <v>9370000</v>
      </c>
      <c r="L45" s="348">
        <f>J45</f>
        <v>15000000</v>
      </c>
      <c r="M45" s="348">
        <v>51363248</v>
      </c>
      <c r="N45" s="348">
        <f>L45</f>
        <v>15000000</v>
      </c>
      <c r="O45" s="348">
        <v>68870203</v>
      </c>
      <c r="P45" s="468">
        <f>N45</f>
        <v>15000000</v>
      </c>
      <c r="Q45" s="468">
        <v>26700600</v>
      </c>
      <c r="R45" s="468">
        <f>P45</f>
        <v>15000000</v>
      </c>
      <c r="S45" s="468">
        <v>24300265</v>
      </c>
      <c r="T45" s="468">
        <f>R45</f>
        <v>15000000</v>
      </c>
      <c r="U45" s="468">
        <v>25998536</v>
      </c>
      <c r="V45" s="468">
        <f>T45</f>
        <v>15000000</v>
      </c>
      <c r="W45" s="468">
        <v>89560700</v>
      </c>
      <c r="X45" s="468">
        <f>V45</f>
        <v>15000000</v>
      </c>
      <c r="Y45" s="468">
        <v>92345000</v>
      </c>
      <c r="Z45" s="468">
        <f t="shared" ref="Z45" si="37">X45</f>
        <v>15000000</v>
      </c>
      <c r="AA45" s="468">
        <v>127890450</v>
      </c>
      <c r="AB45" s="467">
        <f t="shared" ref="AB45:AB55" si="38">Z45+X45+V45+T45+R45+P45+N45+L45+J45+H45+F45+D45</f>
        <v>180000000</v>
      </c>
      <c r="AC45" s="575">
        <f t="shared" si="34"/>
        <v>608456192</v>
      </c>
    </row>
    <row r="46" spans="1:29" s="420" customFormat="1" ht="16.899999999999999" customHeight="1" x14ac:dyDescent="0.2">
      <c r="A46" s="445">
        <v>13</v>
      </c>
      <c r="B46" s="464" t="s">
        <v>85</v>
      </c>
      <c r="C46" s="475" t="s">
        <v>86</v>
      </c>
      <c r="D46" s="468"/>
      <c r="E46" s="468"/>
      <c r="F46" s="468"/>
      <c r="G46" s="468"/>
      <c r="H46" s="468"/>
      <c r="I46" s="468"/>
      <c r="J46" s="348"/>
      <c r="K46" s="348">
        <v>6124525</v>
      </c>
      <c r="L46" s="348"/>
      <c r="M46" s="348">
        <v>0</v>
      </c>
      <c r="N46" s="348">
        <v>30000000</v>
      </c>
      <c r="O46" s="348">
        <v>3839696</v>
      </c>
      <c r="P46" s="468">
        <v>0</v>
      </c>
      <c r="Q46" s="468">
        <v>28472722.176666666</v>
      </c>
      <c r="R46" s="468">
        <v>0</v>
      </c>
      <c r="S46" s="468">
        <f>Q46</f>
        <v>28472722.176666666</v>
      </c>
      <c r="T46" s="468">
        <v>0</v>
      </c>
      <c r="U46" s="468">
        <f>S46</f>
        <v>28472722.176666666</v>
      </c>
      <c r="V46" s="468">
        <v>30000000</v>
      </c>
      <c r="W46" s="468">
        <v>61340500</v>
      </c>
      <c r="X46" s="468"/>
      <c r="Y46" s="468">
        <v>34760000</v>
      </c>
      <c r="Z46" s="468"/>
      <c r="AA46" s="468">
        <v>9875600</v>
      </c>
      <c r="AB46" s="467">
        <f t="shared" si="38"/>
        <v>60000000</v>
      </c>
      <c r="AC46" s="575">
        <f t="shared" si="34"/>
        <v>201358487.52999997</v>
      </c>
    </row>
    <row r="47" spans="1:29" ht="16.899999999999999" customHeight="1" x14ac:dyDescent="0.2">
      <c r="A47" s="445">
        <v>14</v>
      </c>
      <c r="B47" s="464" t="s">
        <v>87</v>
      </c>
      <c r="C47" s="497" t="s">
        <v>88</v>
      </c>
      <c r="D47" s="468">
        <v>65500000</v>
      </c>
      <c r="E47" s="468">
        <v>51230000</v>
      </c>
      <c r="F47" s="468">
        <f t="shared" ref="F47:F53" si="39">D47</f>
        <v>65500000</v>
      </c>
      <c r="G47" s="468">
        <v>51230000</v>
      </c>
      <c r="H47" s="468">
        <f t="shared" ref="H47:H53" si="40">F47</f>
        <v>65500000</v>
      </c>
      <c r="I47" s="468">
        <v>51230000</v>
      </c>
      <c r="J47" s="348">
        <f t="shared" ref="J47:J53" si="41">H47</f>
        <v>65500000</v>
      </c>
      <c r="K47" s="348">
        <v>51230000</v>
      </c>
      <c r="L47" s="348">
        <f t="shared" ref="L47:L53" si="42">J47</f>
        <v>65500000</v>
      </c>
      <c r="M47" s="348">
        <v>106230000</v>
      </c>
      <c r="N47" s="348">
        <f t="shared" ref="N47:N53" si="43">L47</f>
        <v>65500000</v>
      </c>
      <c r="O47" s="348">
        <v>55000000</v>
      </c>
      <c r="P47" s="468">
        <f t="shared" ref="P47:P53" si="44">N47</f>
        <v>65500000</v>
      </c>
      <c r="Q47" s="468">
        <v>34150000</v>
      </c>
      <c r="R47" s="468">
        <f t="shared" ref="R47:R53" si="45">P47</f>
        <v>65500000</v>
      </c>
      <c r="S47" s="468">
        <f>Q47</f>
        <v>34150000</v>
      </c>
      <c r="T47" s="468">
        <f t="shared" ref="T47:T53" si="46">R47</f>
        <v>65500000</v>
      </c>
      <c r="U47" s="468">
        <f>S47</f>
        <v>34150000</v>
      </c>
      <c r="V47" s="468">
        <f t="shared" ref="V47:V53" si="47">T47</f>
        <v>65500000</v>
      </c>
      <c r="W47" s="468">
        <v>51230000</v>
      </c>
      <c r="X47" s="468">
        <f t="shared" ref="X47:X53" si="48">V47</f>
        <v>65500000</v>
      </c>
      <c r="Y47" s="468">
        <v>51230000</v>
      </c>
      <c r="Z47" s="468">
        <f t="shared" ref="Z47" si="49">X47</f>
        <v>65500000</v>
      </c>
      <c r="AA47" s="468">
        <v>51230000</v>
      </c>
      <c r="AB47" s="467">
        <f t="shared" si="38"/>
        <v>786000000</v>
      </c>
      <c r="AC47" s="575">
        <f t="shared" si="34"/>
        <v>622290000</v>
      </c>
    </row>
    <row r="48" spans="1:29" ht="16.899999999999999" customHeight="1" x14ac:dyDescent="0.2">
      <c r="A48" s="445">
        <v>15</v>
      </c>
      <c r="B48" s="464" t="s">
        <v>89</v>
      </c>
      <c r="C48" s="475" t="s">
        <v>90</v>
      </c>
      <c r="D48" s="468">
        <v>6500000</v>
      </c>
      <c r="E48" s="468">
        <v>2424976</v>
      </c>
      <c r="F48" s="468">
        <f t="shared" si="39"/>
        <v>6500000</v>
      </c>
      <c r="G48" s="468">
        <v>2774829</v>
      </c>
      <c r="H48" s="468">
        <f t="shared" si="40"/>
        <v>6500000</v>
      </c>
      <c r="I48" s="468"/>
      <c r="J48" s="348">
        <f t="shared" si="41"/>
        <v>6500000</v>
      </c>
      <c r="K48" s="348">
        <v>2594637</v>
      </c>
      <c r="L48" s="348">
        <f t="shared" si="42"/>
        <v>6500000</v>
      </c>
      <c r="M48" s="348">
        <v>2335653</v>
      </c>
      <c r="N48" s="348">
        <f t="shared" si="43"/>
        <v>6500000</v>
      </c>
      <c r="O48" s="348">
        <v>5937535</v>
      </c>
      <c r="P48" s="468">
        <f t="shared" si="44"/>
        <v>6500000</v>
      </c>
      <c r="Q48" s="468">
        <v>1950000</v>
      </c>
      <c r="R48" s="468">
        <f t="shared" si="45"/>
        <v>6500000</v>
      </c>
      <c r="S48" s="468">
        <f>Q48</f>
        <v>1950000</v>
      </c>
      <c r="T48" s="468">
        <f t="shared" si="46"/>
        <v>6500000</v>
      </c>
      <c r="U48" s="468">
        <f>S48</f>
        <v>1950000</v>
      </c>
      <c r="V48" s="468">
        <f t="shared" si="47"/>
        <v>6500000</v>
      </c>
      <c r="W48" s="468">
        <v>4788764</v>
      </c>
      <c r="X48" s="468">
        <f t="shared" si="48"/>
        <v>6500000</v>
      </c>
      <c r="Y48" s="468">
        <v>2498433</v>
      </c>
      <c r="Z48" s="468">
        <f t="shared" ref="Z48:Z53" si="50">X48</f>
        <v>6500000</v>
      </c>
      <c r="AA48" s="468">
        <v>9007846</v>
      </c>
      <c r="AB48" s="467">
        <f t="shared" si="38"/>
        <v>78000000</v>
      </c>
      <c r="AC48" s="575">
        <f t="shared" si="34"/>
        <v>38212673</v>
      </c>
    </row>
    <row r="49" spans="1:29" ht="16.899999999999999" customHeight="1" x14ac:dyDescent="0.2">
      <c r="A49" s="445">
        <v>16</v>
      </c>
      <c r="B49" s="464" t="s">
        <v>91</v>
      </c>
      <c r="C49" s="475" t="s">
        <v>92</v>
      </c>
      <c r="D49" s="468">
        <v>20000000</v>
      </c>
      <c r="E49" s="468">
        <v>20536110</v>
      </c>
      <c r="F49" s="468">
        <f t="shared" si="39"/>
        <v>20000000</v>
      </c>
      <c r="G49" s="468">
        <v>21171690</v>
      </c>
      <c r="H49" s="468">
        <f t="shared" si="40"/>
        <v>20000000</v>
      </c>
      <c r="I49" s="468">
        <v>14667032</v>
      </c>
      <c r="J49" s="348">
        <f t="shared" si="41"/>
        <v>20000000</v>
      </c>
      <c r="K49" s="348">
        <v>21436451</v>
      </c>
      <c r="L49" s="348">
        <f t="shared" si="42"/>
        <v>20000000</v>
      </c>
      <c r="M49" s="348">
        <v>23837297</v>
      </c>
      <c r="N49" s="348">
        <f t="shared" si="43"/>
        <v>20000000</v>
      </c>
      <c r="O49" s="348">
        <v>19402079</v>
      </c>
      <c r="P49" s="468">
        <f t="shared" si="44"/>
        <v>20000000</v>
      </c>
      <c r="Q49" s="468">
        <v>25478030</v>
      </c>
      <c r="R49" s="468">
        <f t="shared" si="45"/>
        <v>20000000</v>
      </c>
      <c r="S49" s="468">
        <v>18560142</v>
      </c>
      <c r="T49" s="468">
        <f t="shared" si="46"/>
        <v>20000000</v>
      </c>
      <c r="U49" s="468">
        <v>27523100</v>
      </c>
      <c r="V49" s="468">
        <f t="shared" si="47"/>
        <v>20000000</v>
      </c>
      <c r="W49" s="468">
        <v>66750584.119999997</v>
      </c>
      <c r="X49" s="468">
        <f t="shared" si="48"/>
        <v>20000000</v>
      </c>
      <c r="Y49" s="468">
        <v>22008068</v>
      </c>
      <c r="Z49" s="468">
        <f t="shared" si="50"/>
        <v>20000000</v>
      </c>
      <c r="AA49" s="468">
        <v>27560200</v>
      </c>
      <c r="AB49" s="467">
        <f t="shared" si="38"/>
        <v>240000000</v>
      </c>
      <c r="AC49" s="575">
        <f t="shared" si="34"/>
        <v>308930783.12</v>
      </c>
    </row>
    <row r="50" spans="1:29" ht="16.899999999999999" customHeight="1" x14ac:dyDescent="0.2">
      <c r="A50" s="445">
        <v>17</v>
      </c>
      <c r="B50" s="464" t="s">
        <v>93</v>
      </c>
      <c r="C50" s="475" t="s">
        <v>94</v>
      </c>
      <c r="D50" s="468">
        <v>23000000</v>
      </c>
      <c r="E50" s="468">
        <v>10394356.620000001</v>
      </c>
      <c r="F50" s="468">
        <f t="shared" si="39"/>
        <v>23000000</v>
      </c>
      <c r="G50" s="468">
        <v>9388451.1400000006</v>
      </c>
      <c r="H50" s="468">
        <f t="shared" si="40"/>
        <v>23000000</v>
      </c>
      <c r="I50" s="468">
        <v>10394356.629999999</v>
      </c>
      <c r="J50" s="348">
        <f t="shared" si="41"/>
        <v>23000000</v>
      </c>
      <c r="K50" s="348">
        <v>9964989</v>
      </c>
      <c r="L50" s="348">
        <f t="shared" si="42"/>
        <v>23000000</v>
      </c>
      <c r="M50" s="348">
        <v>10297155</v>
      </c>
      <c r="N50" s="348">
        <f t="shared" si="43"/>
        <v>23000000</v>
      </c>
      <c r="O50" s="348">
        <v>9964989</v>
      </c>
      <c r="P50" s="468">
        <f t="shared" si="44"/>
        <v>23000000</v>
      </c>
      <c r="Q50" s="468">
        <v>10198807.946666667</v>
      </c>
      <c r="R50" s="468">
        <f t="shared" si="45"/>
        <v>23000000</v>
      </c>
      <c r="S50" s="468">
        <f>Q50</f>
        <v>10198807.946666667</v>
      </c>
      <c r="T50" s="468">
        <f t="shared" si="46"/>
        <v>23000000</v>
      </c>
      <c r="U50" s="468">
        <f>S50</f>
        <v>10198807.946666667</v>
      </c>
      <c r="V50" s="468">
        <f t="shared" si="47"/>
        <v>23000000</v>
      </c>
      <c r="W50" s="468">
        <v>10364345.4</v>
      </c>
      <c r="X50" s="468">
        <f t="shared" si="48"/>
        <v>23000000</v>
      </c>
      <c r="Y50" s="468">
        <v>10030011.67</v>
      </c>
      <c r="Z50" s="468">
        <f t="shared" si="50"/>
        <v>23000000</v>
      </c>
      <c r="AA50" s="468">
        <v>10364345.4</v>
      </c>
      <c r="AB50" s="467">
        <f t="shared" si="38"/>
        <v>276000000</v>
      </c>
      <c r="AC50" s="575">
        <f t="shared" si="34"/>
        <v>121759423.70000003</v>
      </c>
    </row>
    <row r="51" spans="1:29" s="492" customFormat="1" ht="24" customHeight="1" x14ac:dyDescent="0.2">
      <c r="A51" s="445">
        <v>18</v>
      </c>
      <c r="B51" s="489" t="s">
        <v>95</v>
      </c>
      <c r="C51" s="469" t="s">
        <v>366</v>
      </c>
      <c r="D51" s="491">
        <v>1000000</v>
      </c>
      <c r="E51" s="491">
        <v>4879060</v>
      </c>
      <c r="F51" s="491">
        <f t="shared" si="39"/>
        <v>1000000</v>
      </c>
      <c r="G51" s="491">
        <v>2425400</v>
      </c>
      <c r="H51" s="491">
        <f t="shared" si="40"/>
        <v>1000000</v>
      </c>
      <c r="I51" s="491">
        <v>492400</v>
      </c>
      <c r="J51" s="360">
        <f t="shared" si="41"/>
        <v>1000000</v>
      </c>
      <c r="K51" s="360">
        <v>117000</v>
      </c>
      <c r="L51" s="360">
        <f t="shared" si="42"/>
        <v>1000000</v>
      </c>
      <c r="M51" s="360">
        <v>415600</v>
      </c>
      <c r="N51" s="360">
        <f t="shared" si="43"/>
        <v>1000000</v>
      </c>
      <c r="O51" s="360">
        <v>726400</v>
      </c>
      <c r="P51" s="491">
        <f t="shared" si="44"/>
        <v>1000000</v>
      </c>
      <c r="Q51" s="491">
        <v>2482600</v>
      </c>
      <c r="R51" s="491">
        <f t="shared" si="45"/>
        <v>1000000</v>
      </c>
      <c r="S51" s="491">
        <v>2482600</v>
      </c>
      <c r="T51" s="491">
        <f t="shared" si="46"/>
        <v>1000000</v>
      </c>
      <c r="U51" s="491">
        <v>2482600</v>
      </c>
      <c r="V51" s="491">
        <f t="shared" si="47"/>
        <v>1000000</v>
      </c>
      <c r="W51" s="491">
        <v>1278900</v>
      </c>
      <c r="X51" s="491">
        <f t="shared" si="48"/>
        <v>1000000</v>
      </c>
      <c r="Y51" s="491">
        <v>945800</v>
      </c>
      <c r="Z51" s="491">
        <f t="shared" si="50"/>
        <v>1000000</v>
      </c>
      <c r="AA51" s="491">
        <v>3760400</v>
      </c>
      <c r="AB51" s="467">
        <f t="shared" si="38"/>
        <v>12000000</v>
      </c>
      <c r="AC51" s="575">
        <f t="shared" si="34"/>
        <v>22488760</v>
      </c>
    </row>
    <row r="52" spans="1:29" ht="16.899999999999999" customHeight="1" x14ac:dyDescent="0.2">
      <c r="A52" s="445">
        <v>19</v>
      </c>
      <c r="B52" s="464" t="s">
        <v>97</v>
      </c>
      <c r="C52" s="475" t="s">
        <v>98</v>
      </c>
      <c r="D52" s="468">
        <v>2500000</v>
      </c>
      <c r="E52" s="481"/>
      <c r="F52" s="481">
        <f t="shared" si="39"/>
        <v>2500000</v>
      </c>
      <c r="G52" s="481">
        <v>9818182</v>
      </c>
      <c r="H52" s="468">
        <f t="shared" si="40"/>
        <v>2500000</v>
      </c>
      <c r="I52" s="468">
        <v>2010000</v>
      </c>
      <c r="J52" s="348">
        <f t="shared" si="41"/>
        <v>2500000</v>
      </c>
      <c r="K52" s="352">
        <v>3000000</v>
      </c>
      <c r="L52" s="353">
        <f t="shared" si="42"/>
        <v>2500000</v>
      </c>
      <c r="M52" s="353">
        <v>1560000</v>
      </c>
      <c r="N52" s="348">
        <f t="shared" si="43"/>
        <v>2500000</v>
      </c>
      <c r="O52" s="348"/>
      <c r="P52" s="468">
        <f t="shared" si="44"/>
        <v>2500000</v>
      </c>
      <c r="Q52" s="481">
        <v>520000</v>
      </c>
      <c r="R52" s="481">
        <f t="shared" si="45"/>
        <v>2500000</v>
      </c>
      <c r="S52" s="481">
        <f>Q52</f>
        <v>520000</v>
      </c>
      <c r="T52" s="468">
        <f t="shared" si="46"/>
        <v>2500000</v>
      </c>
      <c r="U52" s="468">
        <f>S52</f>
        <v>520000</v>
      </c>
      <c r="V52" s="468">
        <f t="shared" si="47"/>
        <v>2500000</v>
      </c>
      <c r="W52" s="481">
        <v>0</v>
      </c>
      <c r="X52" s="481">
        <f t="shared" si="48"/>
        <v>2500000</v>
      </c>
      <c r="Y52" s="481">
        <v>2345000</v>
      </c>
      <c r="Z52" s="468">
        <f t="shared" si="50"/>
        <v>2500000</v>
      </c>
      <c r="AA52" s="468">
        <v>1780000</v>
      </c>
      <c r="AB52" s="467">
        <f t="shared" si="38"/>
        <v>30000000</v>
      </c>
      <c r="AC52" s="575">
        <f t="shared" si="34"/>
        <v>22073182</v>
      </c>
    </row>
    <row r="53" spans="1:29" ht="16.5" customHeight="1" x14ac:dyDescent="0.2">
      <c r="A53" s="445">
        <v>20</v>
      </c>
      <c r="B53" s="464" t="s">
        <v>99</v>
      </c>
      <c r="C53" s="475" t="s">
        <v>100</v>
      </c>
      <c r="D53" s="468">
        <v>10000000</v>
      </c>
      <c r="E53" s="468">
        <v>6381175</v>
      </c>
      <c r="F53" s="468">
        <f t="shared" si="39"/>
        <v>10000000</v>
      </c>
      <c r="G53" s="468">
        <v>17778378</v>
      </c>
      <c r="H53" s="468">
        <f t="shared" si="40"/>
        <v>10000000</v>
      </c>
      <c r="I53" s="468">
        <v>5636688</v>
      </c>
      <c r="J53" s="348">
        <f t="shared" si="41"/>
        <v>10000000</v>
      </c>
      <c r="K53" s="348">
        <v>10424149</v>
      </c>
      <c r="L53" s="348">
        <f t="shared" si="42"/>
        <v>10000000</v>
      </c>
      <c r="M53" s="348">
        <v>8417700</v>
      </c>
      <c r="N53" s="348">
        <f t="shared" si="43"/>
        <v>10000000</v>
      </c>
      <c r="O53" s="348">
        <v>7467644</v>
      </c>
      <c r="P53" s="468">
        <f t="shared" si="44"/>
        <v>10000000</v>
      </c>
      <c r="Q53" s="468">
        <v>10750600</v>
      </c>
      <c r="R53" s="468">
        <f t="shared" si="45"/>
        <v>10000000</v>
      </c>
      <c r="S53" s="468">
        <v>9400600</v>
      </c>
      <c r="T53" s="468">
        <f t="shared" si="46"/>
        <v>10000000</v>
      </c>
      <c r="U53" s="468">
        <v>11980230</v>
      </c>
      <c r="V53" s="468">
        <f t="shared" si="47"/>
        <v>10000000</v>
      </c>
      <c r="W53" s="468">
        <v>28450600</v>
      </c>
      <c r="X53" s="468">
        <f t="shared" si="48"/>
        <v>10000000</v>
      </c>
      <c r="Y53" s="468">
        <v>21890400</v>
      </c>
      <c r="Z53" s="468">
        <f t="shared" si="50"/>
        <v>10000000</v>
      </c>
      <c r="AA53" s="468">
        <v>24612000</v>
      </c>
      <c r="AB53" s="467">
        <f t="shared" si="38"/>
        <v>120000000</v>
      </c>
      <c r="AC53" s="575">
        <f t="shared" si="34"/>
        <v>163190164</v>
      </c>
    </row>
    <row r="54" spans="1:29" ht="16.899999999999999" customHeight="1" x14ac:dyDescent="0.2">
      <c r="A54" s="445">
        <v>21</v>
      </c>
      <c r="B54" s="464" t="s">
        <v>64</v>
      </c>
      <c r="C54" s="475" t="s">
        <v>101</v>
      </c>
      <c r="D54" s="468">
        <v>40000000</v>
      </c>
      <c r="E54" s="468"/>
      <c r="F54" s="468"/>
      <c r="G54" s="468"/>
      <c r="H54" s="468"/>
      <c r="I54" s="468"/>
      <c r="J54" s="348"/>
      <c r="K54" s="348"/>
      <c r="L54" s="348"/>
      <c r="M54" s="348"/>
      <c r="N54" s="348"/>
      <c r="O54" s="352"/>
      <c r="P54" s="481">
        <v>0</v>
      </c>
      <c r="Q54" s="481">
        <v>0</v>
      </c>
      <c r="R54" s="468">
        <v>0</v>
      </c>
      <c r="S54" s="468">
        <v>0</v>
      </c>
      <c r="T54" s="468">
        <v>0</v>
      </c>
      <c r="U54" s="468">
        <v>0</v>
      </c>
      <c r="V54" s="468">
        <v>0</v>
      </c>
      <c r="W54" s="468"/>
      <c r="X54" s="468"/>
      <c r="Y54" s="468"/>
      <c r="Z54" s="468"/>
      <c r="AA54" s="468"/>
      <c r="AB54" s="467">
        <f t="shared" si="38"/>
        <v>40000000</v>
      </c>
      <c r="AC54" s="575">
        <f t="shared" si="34"/>
        <v>0</v>
      </c>
    </row>
    <row r="55" spans="1:29" ht="16.899999999999999" customHeight="1" x14ac:dyDescent="0.2">
      <c r="A55" s="445">
        <v>22</v>
      </c>
      <c r="B55" s="464" t="s">
        <v>64</v>
      </c>
      <c r="C55" s="475" t="s">
        <v>102</v>
      </c>
      <c r="D55" s="468">
        <v>20000000</v>
      </c>
      <c r="E55" s="468"/>
      <c r="F55" s="468">
        <v>2500000</v>
      </c>
      <c r="G55" s="468"/>
      <c r="H55" s="468"/>
      <c r="I55" s="468"/>
      <c r="J55" s="348"/>
      <c r="K55" s="348"/>
      <c r="L55" s="348"/>
      <c r="M55" s="348"/>
      <c r="N55" s="348"/>
      <c r="O55" s="348"/>
      <c r="P55" s="468">
        <f>F55</f>
        <v>2500000</v>
      </c>
      <c r="Q55" s="468">
        <v>0</v>
      </c>
      <c r="R55" s="468">
        <f>P55</f>
        <v>2500000</v>
      </c>
      <c r="S55" s="468">
        <v>0</v>
      </c>
      <c r="T55" s="468">
        <v>0</v>
      </c>
      <c r="U55" s="468">
        <v>0</v>
      </c>
      <c r="V55" s="468">
        <v>0</v>
      </c>
      <c r="W55" s="468"/>
      <c r="X55" s="468"/>
      <c r="Y55" s="468"/>
      <c r="Z55" s="468"/>
      <c r="AA55" s="468"/>
      <c r="AB55" s="467">
        <f t="shared" si="38"/>
        <v>27500000</v>
      </c>
      <c r="AC55" s="575">
        <f t="shared" si="34"/>
        <v>0</v>
      </c>
    </row>
    <row r="56" spans="1:29" s="438" customFormat="1" ht="16.899999999999999" customHeight="1" x14ac:dyDescent="0.2">
      <c r="A56" s="434"/>
      <c r="B56" s="464"/>
      <c r="C56" s="470" t="s">
        <v>103</v>
      </c>
      <c r="D56" s="487">
        <f t="shared" ref="D56:O56" si="51">SUM(D45:D55)</f>
        <v>203500000</v>
      </c>
      <c r="E56" s="487">
        <f t="shared" si="51"/>
        <v>129743657.62</v>
      </c>
      <c r="F56" s="487">
        <f t="shared" si="51"/>
        <v>146000000</v>
      </c>
      <c r="G56" s="487">
        <f t="shared" si="51"/>
        <v>160173254.13999999</v>
      </c>
      <c r="H56" s="487">
        <f t="shared" si="51"/>
        <v>143500000</v>
      </c>
      <c r="I56" s="487">
        <f t="shared" si="51"/>
        <v>97003362.629999995</v>
      </c>
      <c r="J56" s="355">
        <f t="shared" si="51"/>
        <v>143500000</v>
      </c>
      <c r="K56" s="355">
        <f t="shared" si="51"/>
        <v>114261751</v>
      </c>
      <c r="L56" s="355">
        <f t="shared" si="51"/>
        <v>143500000</v>
      </c>
      <c r="M56" s="355">
        <f t="shared" si="51"/>
        <v>204456653</v>
      </c>
      <c r="N56" s="355">
        <f t="shared" si="51"/>
        <v>173500000</v>
      </c>
      <c r="O56" s="355">
        <f t="shared" si="51"/>
        <v>171208546</v>
      </c>
      <c r="P56" s="487">
        <f t="shared" ref="P56:AB56" si="52">SUM(P45:P55)</f>
        <v>146000000</v>
      </c>
      <c r="Q56" s="487">
        <f t="shared" ref="Q56" si="53">SUM(Q45:Q55)</f>
        <v>140703360.12333333</v>
      </c>
      <c r="R56" s="487">
        <f t="shared" si="52"/>
        <v>146000000</v>
      </c>
      <c r="S56" s="487">
        <f t="shared" ref="S56" si="54">SUM(S45:S55)</f>
        <v>130035137.12333333</v>
      </c>
      <c r="T56" s="487">
        <f t="shared" si="52"/>
        <v>143500000</v>
      </c>
      <c r="U56" s="487">
        <f t="shared" ref="U56" si="55">SUM(U45:U55)</f>
        <v>143275996.12333333</v>
      </c>
      <c r="V56" s="487">
        <f t="shared" si="52"/>
        <v>173500000</v>
      </c>
      <c r="W56" s="487">
        <f t="shared" ref="W56" si="56">SUM(W45:W55)</f>
        <v>313764393.51999998</v>
      </c>
      <c r="X56" s="487">
        <f t="shared" si="52"/>
        <v>143500000</v>
      </c>
      <c r="Y56" s="487">
        <f t="shared" ref="Y56" si="57">SUM(Y45:Y55)</f>
        <v>238052712.66999999</v>
      </c>
      <c r="Z56" s="487">
        <f t="shared" si="52"/>
        <v>143500000</v>
      </c>
      <c r="AA56" s="487">
        <f t="shared" ref="AA56" si="58">SUM(AA45:AA55)</f>
        <v>266080841.40000001</v>
      </c>
      <c r="AB56" s="487">
        <f t="shared" si="52"/>
        <v>1849500000</v>
      </c>
      <c r="AC56" s="575">
        <f t="shared" si="34"/>
        <v>2108759665.3500004</v>
      </c>
    </row>
    <row r="57" spans="1:29" s="420" customFormat="1" ht="16.899999999999999" customHeight="1" x14ac:dyDescent="0.2">
      <c r="A57" s="493"/>
      <c r="B57" s="444"/>
      <c r="C57" s="486" t="s">
        <v>104</v>
      </c>
      <c r="D57" s="494">
        <f t="shared" ref="D57:O57" si="59">D56+D44</f>
        <v>227000000</v>
      </c>
      <c r="E57" s="494">
        <f t="shared" si="59"/>
        <v>154295357.36000001</v>
      </c>
      <c r="F57" s="494">
        <f t="shared" si="59"/>
        <v>169500000</v>
      </c>
      <c r="G57" s="494">
        <f t="shared" si="59"/>
        <v>195566935.98999998</v>
      </c>
      <c r="H57" s="494">
        <f t="shared" si="59"/>
        <v>192000000</v>
      </c>
      <c r="I57" s="494">
        <f t="shared" si="59"/>
        <v>120388760.91999999</v>
      </c>
      <c r="J57" s="358">
        <f t="shared" si="59"/>
        <v>167000000</v>
      </c>
      <c r="K57" s="358">
        <f t="shared" si="59"/>
        <v>148410386</v>
      </c>
      <c r="L57" s="358">
        <f t="shared" si="59"/>
        <v>167000000</v>
      </c>
      <c r="M57" s="358">
        <f t="shared" si="59"/>
        <v>244743112</v>
      </c>
      <c r="N57" s="358">
        <f t="shared" si="59"/>
        <v>205000000</v>
      </c>
      <c r="O57" s="358">
        <f t="shared" si="59"/>
        <v>191530429</v>
      </c>
      <c r="P57" s="494">
        <f t="shared" ref="P57:AB57" si="60">P56+P44</f>
        <v>169500000</v>
      </c>
      <c r="Q57" s="494">
        <f t="shared" ref="Q57" si="61">Q56+Q44</f>
        <v>166549510.12333333</v>
      </c>
      <c r="R57" s="494">
        <f t="shared" si="60"/>
        <v>169500000</v>
      </c>
      <c r="S57" s="494">
        <f t="shared" ref="S57" si="62">S56+S44</f>
        <v>165993228.12333333</v>
      </c>
      <c r="T57" s="494">
        <f t="shared" si="60"/>
        <v>167000000</v>
      </c>
      <c r="U57" s="494">
        <f t="shared" ref="U57" si="63">U56+U44</f>
        <v>166704296.12333333</v>
      </c>
      <c r="V57" s="494">
        <f t="shared" si="60"/>
        <v>227000000</v>
      </c>
      <c r="W57" s="494">
        <f t="shared" ref="W57" si="64">W56+W44</f>
        <v>343161593.51999998</v>
      </c>
      <c r="X57" s="494">
        <f t="shared" si="60"/>
        <v>167000000</v>
      </c>
      <c r="Y57" s="494">
        <f t="shared" ref="Y57" si="65">Y56+Y44</f>
        <v>260733912.66999999</v>
      </c>
      <c r="Z57" s="494">
        <f t="shared" si="60"/>
        <v>167000000</v>
      </c>
      <c r="AA57" s="494">
        <f t="shared" ref="AA57" si="66">AA56+AA44</f>
        <v>338033051.39999998</v>
      </c>
      <c r="AB57" s="494">
        <f t="shared" si="60"/>
        <v>2194500000</v>
      </c>
      <c r="AC57" s="575">
        <f t="shared" si="34"/>
        <v>2496110573.2300005</v>
      </c>
    </row>
    <row r="58" spans="1:29" ht="16.899999999999999" customHeight="1" x14ac:dyDescent="0.2">
      <c r="A58" s="445">
        <v>1</v>
      </c>
      <c r="B58" s="464" t="s">
        <v>105</v>
      </c>
      <c r="C58" s="475" t="s">
        <v>106</v>
      </c>
      <c r="D58" s="468">
        <f>+'Expenses ICT'!B10</f>
        <v>0</v>
      </c>
      <c r="E58" s="468">
        <v>850000</v>
      </c>
      <c r="F58" s="468">
        <f>+'Expenses ICT'!C10</f>
        <v>2850000</v>
      </c>
      <c r="G58" s="468"/>
      <c r="H58" s="468">
        <f>+'Expenses ICT'!D10</f>
        <v>0</v>
      </c>
      <c r="I58" s="468"/>
      <c r="J58" s="348">
        <v>0</v>
      </c>
      <c r="K58" s="348">
        <v>750000</v>
      </c>
      <c r="L58" s="348">
        <v>0</v>
      </c>
      <c r="M58" s="348">
        <v>0</v>
      </c>
      <c r="N58" s="348">
        <v>2850000</v>
      </c>
      <c r="O58" s="348">
        <v>358000</v>
      </c>
      <c r="P58" s="468">
        <f>+'Expenses ICT'!H10</f>
        <v>0</v>
      </c>
      <c r="Q58" s="456">
        <v>0</v>
      </c>
      <c r="R58" s="468">
        <f>+'Expenses ICT'!I10</f>
        <v>0</v>
      </c>
      <c r="S58" s="468">
        <v>7920000</v>
      </c>
      <c r="T58" s="468">
        <f>+'Expenses ICT'!J10</f>
        <v>0</v>
      </c>
      <c r="U58" s="468">
        <v>0</v>
      </c>
      <c r="V58" s="468">
        <f>+'Expenses ICT'!K10</f>
        <v>0</v>
      </c>
      <c r="W58" s="468">
        <v>2450000</v>
      </c>
      <c r="X58" s="468">
        <f>+'Expenses ICT'!L10</f>
        <v>0</v>
      </c>
      <c r="Y58" s="468">
        <v>2670000</v>
      </c>
      <c r="Z58" s="468">
        <f>+'Expenses ICT'!M10</f>
        <v>0</v>
      </c>
      <c r="AA58" s="468"/>
      <c r="AB58" s="467">
        <f t="shared" ref="AB58:AB63" si="67">Z58+X58+V58+T58+R58+P58+N58+L58+J58+H58+F58+D58</f>
        <v>5700000</v>
      </c>
      <c r="AC58" s="575">
        <f t="shared" si="34"/>
        <v>14998000</v>
      </c>
    </row>
    <row r="59" spans="1:29" ht="16.899999999999999" customHeight="1" x14ac:dyDescent="0.2">
      <c r="A59" s="445">
        <v>2</v>
      </c>
      <c r="B59" s="464" t="s">
        <v>107</v>
      </c>
      <c r="C59" s="475" t="s">
        <v>108</v>
      </c>
      <c r="D59" s="468">
        <f>+'Expenses ICT'!B9</f>
        <v>674500</v>
      </c>
      <c r="E59" s="468">
        <v>75000</v>
      </c>
      <c r="F59" s="468">
        <f>+'Expenses ICT'!C9</f>
        <v>674500</v>
      </c>
      <c r="G59" s="468"/>
      <c r="H59" s="468">
        <f>+'Expenses ICT'!D9</f>
        <v>674500</v>
      </c>
      <c r="I59" s="468">
        <v>165000</v>
      </c>
      <c r="J59" s="348">
        <v>674500</v>
      </c>
      <c r="K59" s="348">
        <v>0</v>
      </c>
      <c r="L59" s="348">
        <v>674500</v>
      </c>
      <c r="M59" s="348">
        <v>0</v>
      </c>
      <c r="N59" s="348">
        <v>674500</v>
      </c>
      <c r="O59" s="348">
        <v>450000</v>
      </c>
      <c r="P59" s="468">
        <f>+'Expenses ICT'!H9</f>
        <v>674500</v>
      </c>
      <c r="Q59" s="468"/>
      <c r="R59" s="468">
        <f>+'Expenses ICT'!I9</f>
        <v>674500</v>
      </c>
      <c r="S59" s="468"/>
      <c r="T59" s="468">
        <f>+'Expenses ICT'!J9</f>
        <v>674500</v>
      </c>
      <c r="U59" s="468"/>
      <c r="V59" s="468">
        <f>+'Expenses ICT'!K9</f>
        <v>674500</v>
      </c>
      <c r="W59" s="468"/>
      <c r="X59" s="468">
        <f>+'Expenses ICT'!L9</f>
        <v>674500</v>
      </c>
      <c r="Y59" s="468"/>
      <c r="Z59" s="468">
        <f>+'Expenses ICT'!M9</f>
        <v>674500</v>
      </c>
      <c r="AA59" s="468"/>
      <c r="AB59" s="467">
        <f t="shared" si="67"/>
        <v>8094000</v>
      </c>
      <c r="AC59" s="575">
        <f t="shared" si="34"/>
        <v>690000</v>
      </c>
    </row>
    <row r="60" spans="1:29" ht="16.899999999999999" customHeight="1" x14ac:dyDescent="0.2">
      <c r="A60" s="445">
        <v>3</v>
      </c>
      <c r="B60" s="464" t="s">
        <v>109</v>
      </c>
      <c r="C60" s="474" t="s">
        <v>110</v>
      </c>
      <c r="D60" s="468">
        <f>+'Expenses ICT'!B12</f>
        <v>0</v>
      </c>
      <c r="E60" s="468"/>
      <c r="F60" s="468">
        <f>+'Expenses ICT'!C12</f>
        <v>25650000</v>
      </c>
      <c r="G60" s="468"/>
      <c r="H60" s="468">
        <f>+'Expenses ICT'!D12</f>
        <v>0</v>
      </c>
      <c r="I60" s="468"/>
      <c r="J60" s="348">
        <v>0</v>
      </c>
      <c r="K60" s="348"/>
      <c r="L60" s="348">
        <v>19950000</v>
      </c>
      <c r="M60" s="348"/>
      <c r="N60" s="348">
        <v>0</v>
      </c>
      <c r="O60" s="348"/>
      <c r="P60" s="468">
        <f>+'Expenses ICT'!H12</f>
        <v>0</v>
      </c>
      <c r="Q60" s="468"/>
      <c r="R60" s="468">
        <f>+'Expenses ICT'!I12</f>
        <v>0</v>
      </c>
      <c r="S60" s="468"/>
      <c r="T60" s="468">
        <f>+'Expenses ICT'!J12</f>
        <v>0</v>
      </c>
      <c r="U60" s="468"/>
      <c r="V60" s="468">
        <f>+'Expenses ICT'!K12</f>
        <v>0</v>
      </c>
      <c r="W60" s="468"/>
      <c r="X60" s="468">
        <f>+'Expenses ICT'!L12</f>
        <v>0</v>
      </c>
      <c r="Y60" s="468"/>
      <c r="Z60" s="468">
        <f>+'Expenses ICT'!M12</f>
        <v>0</v>
      </c>
      <c r="AA60" s="468"/>
      <c r="AB60" s="467">
        <f t="shared" si="67"/>
        <v>45600000</v>
      </c>
      <c r="AC60" s="575">
        <f t="shared" si="34"/>
        <v>0</v>
      </c>
    </row>
    <row r="61" spans="1:29" ht="16.899999999999999" customHeight="1" x14ac:dyDescent="0.2">
      <c r="A61" s="445">
        <v>4</v>
      </c>
      <c r="B61" s="464" t="s">
        <v>47</v>
      </c>
      <c r="C61" s="475" t="s">
        <v>111</v>
      </c>
      <c r="D61" s="468"/>
      <c r="E61" s="468"/>
      <c r="F61" s="468"/>
      <c r="G61" s="468"/>
      <c r="H61" s="468"/>
      <c r="I61" s="468"/>
      <c r="J61" s="348"/>
      <c r="K61" s="348"/>
      <c r="L61" s="348"/>
      <c r="M61" s="348"/>
      <c r="N61" s="348"/>
      <c r="O61" s="348"/>
      <c r="P61" s="468"/>
      <c r="Q61" s="468"/>
      <c r="R61" s="468"/>
      <c r="S61" s="468"/>
      <c r="T61" s="468"/>
      <c r="U61" s="468"/>
      <c r="V61" s="468"/>
      <c r="W61" s="468"/>
      <c r="X61" s="468"/>
      <c r="Z61" s="468"/>
      <c r="AB61" s="467">
        <f t="shared" si="67"/>
        <v>0</v>
      </c>
      <c r="AC61" s="575">
        <f t="shared" si="34"/>
        <v>0</v>
      </c>
    </row>
    <row r="62" spans="1:29" ht="16.899999999999999" customHeight="1" x14ac:dyDescent="0.2">
      <c r="A62" s="445">
        <v>5</v>
      </c>
      <c r="B62" s="464" t="s">
        <v>53</v>
      </c>
      <c r="C62" s="474" t="s">
        <v>112</v>
      </c>
      <c r="D62" s="468"/>
      <c r="E62" s="468"/>
      <c r="F62" s="468"/>
      <c r="G62" s="468"/>
      <c r="H62" s="468"/>
      <c r="I62" s="468"/>
      <c r="J62" s="348"/>
      <c r="K62" s="348"/>
      <c r="L62" s="348"/>
      <c r="M62" s="348"/>
      <c r="N62" s="348"/>
      <c r="O62" s="348"/>
      <c r="P62" s="468"/>
      <c r="Q62" s="468"/>
      <c r="R62" s="468"/>
      <c r="S62" s="468"/>
      <c r="T62" s="468"/>
      <c r="U62" s="468"/>
      <c r="V62" s="468"/>
      <c r="W62" s="468"/>
      <c r="X62" s="468"/>
      <c r="Y62" s="468"/>
      <c r="Z62" s="468"/>
      <c r="AA62" s="468"/>
      <c r="AB62" s="467">
        <f t="shared" si="67"/>
        <v>0</v>
      </c>
      <c r="AC62" s="575">
        <f t="shared" si="34"/>
        <v>0</v>
      </c>
    </row>
    <row r="63" spans="1:29" ht="16.899999999999999" customHeight="1" x14ac:dyDescent="0.2">
      <c r="A63" s="445">
        <v>6</v>
      </c>
      <c r="B63" s="464" t="s">
        <v>36</v>
      </c>
      <c r="C63" s="474" t="s">
        <v>113</v>
      </c>
      <c r="D63" s="468">
        <f>+'Expenses ICT'!B13</f>
        <v>0</v>
      </c>
      <c r="E63" s="468"/>
      <c r="F63" s="468">
        <f>+'Expenses ICT'!C13</f>
        <v>0</v>
      </c>
      <c r="G63" s="468"/>
      <c r="H63" s="468">
        <f>+'Expenses ICT'!D13</f>
        <v>1064000</v>
      </c>
      <c r="I63" s="468"/>
      <c r="J63" s="348">
        <v>0</v>
      </c>
      <c r="K63" s="348"/>
      <c r="L63" s="348">
        <v>1064000</v>
      </c>
      <c r="M63" s="348"/>
      <c r="N63" s="348">
        <v>0</v>
      </c>
      <c r="O63" s="348"/>
      <c r="P63" s="468">
        <f>+'Expenses ICT'!H13</f>
        <v>0</v>
      </c>
      <c r="Q63" s="468"/>
      <c r="R63" s="468">
        <f>+'Expenses ICT'!I13</f>
        <v>0</v>
      </c>
      <c r="S63" s="468"/>
      <c r="T63" s="468">
        <f>+'Expenses ICT'!J13</f>
        <v>0</v>
      </c>
      <c r="U63" s="468"/>
      <c r="V63" s="468">
        <f>+'Expenses ICT'!K13</f>
        <v>0</v>
      </c>
      <c r="W63" s="468"/>
      <c r="X63" s="468">
        <f>+'Expenses ICT'!L13</f>
        <v>0</v>
      </c>
      <c r="Y63" s="468"/>
      <c r="Z63" s="468">
        <f>+'Expenses ICT'!M13</f>
        <v>0</v>
      </c>
      <c r="AA63" s="468"/>
      <c r="AB63" s="467">
        <f t="shared" si="67"/>
        <v>2128000</v>
      </c>
      <c r="AC63" s="575">
        <f t="shared" si="34"/>
        <v>0</v>
      </c>
    </row>
    <row r="64" spans="1:29" s="420" customFormat="1" ht="16.899999999999999" customHeight="1" x14ac:dyDescent="0.2">
      <c r="A64" s="445"/>
      <c r="B64" s="464"/>
      <c r="C64" s="486" t="s">
        <v>114</v>
      </c>
      <c r="D64" s="487">
        <f t="shared" ref="D64:O64" si="68">SUM(D58:D63)</f>
        <v>674500</v>
      </c>
      <c r="E64" s="487">
        <f t="shared" si="68"/>
        <v>925000</v>
      </c>
      <c r="F64" s="487">
        <f t="shared" si="68"/>
        <v>29174500</v>
      </c>
      <c r="G64" s="487">
        <f t="shared" si="68"/>
        <v>0</v>
      </c>
      <c r="H64" s="487">
        <f t="shared" si="68"/>
        <v>1738500</v>
      </c>
      <c r="I64" s="487">
        <f t="shared" si="68"/>
        <v>165000</v>
      </c>
      <c r="J64" s="355">
        <f t="shared" si="68"/>
        <v>674500</v>
      </c>
      <c r="K64" s="355">
        <f t="shared" si="68"/>
        <v>750000</v>
      </c>
      <c r="L64" s="355">
        <f t="shared" si="68"/>
        <v>21688500</v>
      </c>
      <c r="M64" s="355">
        <f t="shared" si="68"/>
        <v>0</v>
      </c>
      <c r="N64" s="355">
        <f t="shared" si="68"/>
        <v>3524500</v>
      </c>
      <c r="O64" s="355">
        <f t="shared" si="68"/>
        <v>808000</v>
      </c>
      <c r="P64" s="487">
        <f t="shared" ref="P64:AB64" si="69">SUM(P58:P63)</f>
        <v>674500</v>
      </c>
      <c r="Q64" s="487">
        <f t="shared" si="69"/>
        <v>0</v>
      </c>
      <c r="R64" s="487">
        <f t="shared" si="69"/>
        <v>674500</v>
      </c>
      <c r="S64" s="487">
        <f t="shared" si="69"/>
        <v>7920000</v>
      </c>
      <c r="T64" s="487">
        <f t="shared" si="69"/>
        <v>674500</v>
      </c>
      <c r="U64" s="487">
        <f t="shared" si="69"/>
        <v>0</v>
      </c>
      <c r="V64" s="487">
        <f t="shared" si="69"/>
        <v>674500</v>
      </c>
      <c r="W64" s="487">
        <f t="shared" si="69"/>
        <v>2450000</v>
      </c>
      <c r="X64" s="487">
        <f t="shared" si="69"/>
        <v>674500</v>
      </c>
      <c r="Y64" s="487">
        <f t="shared" si="69"/>
        <v>2670000</v>
      </c>
      <c r="Z64" s="487">
        <f t="shared" si="69"/>
        <v>674500</v>
      </c>
      <c r="AA64" s="487">
        <f t="shared" si="69"/>
        <v>0</v>
      </c>
      <c r="AB64" s="487">
        <f t="shared" si="69"/>
        <v>61522000</v>
      </c>
      <c r="AC64" s="575">
        <f t="shared" si="34"/>
        <v>15688000</v>
      </c>
    </row>
    <row r="65" spans="1:29" s="444" customFormat="1" ht="16.899999999999999" customHeight="1" x14ac:dyDescent="0.2">
      <c r="A65" s="439">
        <v>1</v>
      </c>
      <c r="B65" s="464" t="s">
        <v>47</v>
      </c>
      <c r="C65" s="475" t="s">
        <v>111</v>
      </c>
      <c r="D65" s="468"/>
      <c r="E65" s="468"/>
      <c r="F65" s="468"/>
      <c r="G65" s="468"/>
      <c r="H65" s="468"/>
      <c r="I65" s="468"/>
      <c r="J65" s="348">
        <v>6650000</v>
      </c>
      <c r="K65" s="348"/>
      <c r="L65" s="348"/>
      <c r="M65" s="348"/>
      <c r="N65" s="348"/>
      <c r="O65" s="348"/>
      <c r="P65" s="468"/>
      <c r="Q65" s="468"/>
      <c r="R65" s="468"/>
      <c r="S65" s="468"/>
      <c r="T65" s="468"/>
      <c r="U65" s="468"/>
      <c r="V65" s="468">
        <f>J65</f>
        <v>6650000</v>
      </c>
      <c r="W65" s="468"/>
      <c r="X65" s="468"/>
      <c r="Y65" s="468"/>
      <c r="Z65" s="468"/>
      <c r="AA65" s="468"/>
      <c r="AB65" s="467">
        <f>Z65+X65+V65+T65+R65+P65+N65+L65+J65+H65+F65+D65</f>
        <v>13300000</v>
      </c>
      <c r="AC65" s="575">
        <f t="shared" si="34"/>
        <v>0</v>
      </c>
    </row>
    <row r="66" spans="1:29" s="444" customFormat="1" ht="16.899999999999999" customHeight="1" x14ac:dyDescent="0.2">
      <c r="A66" s="439">
        <v>2</v>
      </c>
      <c r="B66" s="464" t="s">
        <v>53</v>
      </c>
      <c r="C66" s="474" t="s">
        <v>112</v>
      </c>
      <c r="D66" s="468"/>
      <c r="E66" s="468"/>
      <c r="F66" s="468"/>
      <c r="G66" s="468"/>
      <c r="H66" s="468"/>
      <c r="I66" s="468"/>
      <c r="J66" s="348"/>
      <c r="K66" s="348"/>
      <c r="L66" s="348">
        <v>4750000</v>
      </c>
      <c r="M66" s="348"/>
      <c r="N66" s="348"/>
      <c r="O66" s="348"/>
      <c r="P66" s="468"/>
      <c r="Q66" s="468"/>
      <c r="R66" s="468"/>
      <c r="S66" s="468"/>
      <c r="T66" s="468">
        <f>L66</f>
        <v>4750000</v>
      </c>
      <c r="U66" s="468"/>
      <c r="V66" s="468"/>
      <c r="W66" s="468"/>
      <c r="X66" s="468"/>
      <c r="Y66" s="468"/>
      <c r="Z66" s="468"/>
      <c r="AA66" s="468"/>
      <c r="AB66" s="467">
        <f>Z66+X66+V66+T66+R66+P66+N66+L66+J66+H66+F66+D66</f>
        <v>9500000</v>
      </c>
      <c r="AC66" s="575">
        <f t="shared" si="34"/>
        <v>0</v>
      </c>
    </row>
    <row r="67" spans="1:29" s="420" customFormat="1" ht="16.899999999999999" customHeight="1" x14ac:dyDescent="0.2">
      <c r="A67" s="493"/>
      <c r="B67" s="498"/>
      <c r="C67" s="486" t="s">
        <v>115</v>
      </c>
      <c r="D67" s="487">
        <f t="shared" ref="D67:O67" si="70">SUM(D65:D66)</f>
        <v>0</v>
      </c>
      <c r="E67" s="487">
        <f t="shared" si="70"/>
        <v>0</v>
      </c>
      <c r="F67" s="487">
        <f t="shared" si="70"/>
        <v>0</v>
      </c>
      <c r="G67" s="487">
        <f t="shared" si="70"/>
        <v>0</v>
      </c>
      <c r="H67" s="487">
        <f t="shared" si="70"/>
        <v>0</v>
      </c>
      <c r="I67" s="487">
        <f t="shared" si="70"/>
        <v>0</v>
      </c>
      <c r="J67" s="355">
        <f t="shared" si="70"/>
        <v>6650000</v>
      </c>
      <c r="K67" s="355">
        <f t="shared" si="70"/>
        <v>0</v>
      </c>
      <c r="L67" s="355">
        <f t="shared" si="70"/>
        <v>4750000</v>
      </c>
      <c r="M67" s="355">
        <f t="shared" si="70"/>
        <v>0</v>
      </c>
      <c r="N67" s="355">
        <f t="shared" si="70"/>
        <v>0</v>
      </c>
      <c r="O67" s="355">
        <f t="shared" si="70"/>
        <v>0</v>
      </c>
      <c r="P67" s="487">
        <f t="shared" ref="P67:AB67" si="71">SUM(P65:P66)</f>
        <v>0</v>
      </c>
      <c r="Q67" s="487">
        <f t="shared" si="71"/>
        <v>0</v>
      </c>
      <c r="R67" s="487">
        <f t="shared" si="71"/>
        <v>0</v>
      </c>
      <c r="S67" s="487">
        <f t="shared" si="71"/>
        <v>0</v>
      </c>
      <c r="T67" s="487">
        <f t="shared" si="71"/>
        <v>4750000</v>
      </c>
      <c r="U67" s="487">
        <f t="shared" si="71"/>
        <v>0</v>
      </c>
      <c r="V67" s="487">
        <f t="shared" si="71"/>
        <v>6650000</v>
      </c>
      <c r="W67" s="487">
        <f t="shared" si="71"/>
        <v>0</v>
      </c>
      <c r="X67" s="487">
        <f t="shared" si="71"/>
        <v>0</v>
      </c>
      <c r="Y67" s="487">
        <f t="shared" si="71"/>
        <v>0</v>
      </c>
      <c r="Z67" s="487">
        <f t="shared" si="71"/>
        <v>0</v>
      </c>
      <c r="AA67" s="487">
        <f t="shared" si="71"/>
        <v>0</v>
      </c>
      <c r="AB67" s="487">
        <f t="shared" si="71"/>
        <v>22800000</v>
      </c>
      <c r="AC67" s="575">
        <f t="shared" si="34"/>
        <v>0</v>
      </c>
    </row>
    <row r="68" spans="1:29" ht="16.899999999999999" customHeight="1" x14ac:dyDescent="0.2">
      <c r="A68" s="445">
        <v>1</v>
      </c>
      <c r="B68" s="464" t="s">
        <v>47</v>
      </c>
      <c r="C68" s="475" t="s">
        <v>111</v>
      </c>
      <c r="D68" s="468">
        <v>3000000</v>
      </c>
      <c r="E68" s="468"/>
      <c r="F68" s="468">
        <f>D68</f>
        <v>3000000</v>
      </c>
      <c r="G68" s="468">
        <v>6200000</v>
      </c>
      <c r="H68" s="468">
        <f>F68</f>
        <v>3000000</v>
      </c>
      <c r="I68" s="468">
        <v>2640000</v>
      </c>
      <c r="J68" s="348">
        <f>H68</f>
        <v>3000000</v>
      </c>
      <c r="K68" s="348"/>
      <c r="L68" s="348">
        <f>J68</f>
        <v>3000000</v>
      </c>
      <c r="M68" s="348"/>
      <c r="N68" s="348">
        <f>L68</f>
        <v>3000000</v>
      </c>
      <c r="O68" s="348">
        <v>8500000</v>
      </c>
      <c r="P68" s="468">
        <f>N68</f>
        <v>3000000</v>
      </c>
      <c r="Q68" s="468"/>
      <c r="R68" s="468">
        <f>P68</f>
        <v>3000000</v>
      </c>
      <c r="S68" s="468"/>
      <c r="T68" s="468">
        <f>R68</f>
        <v>3000000</v>
      </c>
      <c r="U68" s="468"/>
      <c r="V68" s="468">
        <f>T68</f>
        <v>3000000</v>
      </c>
      <c r="W68" s="468">
        <v>41350000</v>
      </c>
      <c r="X68" s="468">
        <f>V68</f>
        <v>3000000</v>
      </c>
      <c r="Y68" s="468">
        <v>0</v>
      </c>
      <c r="Z68" s="468">
        <f t="shared" ref="Z68" si="72">X68</f>
        <v>3000000</v>
      </c>
      <c r="AA68" s="468">
        <v>7000000</v>
      </c>
      <c r="AB68" s="467">
        <f>Z68+X68+V68+T68+R68+P68+N68+L68+J68+H68+F68+D68</f>
        <v>36000000</v>
      </c>
      <c r="AC68" s="575">
        <f t="shared" si="34"/>
        <v>65690000</v>
      </c>
    </row>
    <row r="69" spans="1:29" ht="16.899999999999999" customHeight="1" x14ac:dyDescent="0.2">
      <c r="A69" s="445">
        <v>2</v>
      </c>
      <c r="B69" s="464" t="s">
        <v>47</v>
      </c>
      <c r="C69" s="490" t="s">
        <v>116</v>
      </c>
      <c r="D69" s="468"/>
      <c r="E69" s="468"/>
      <c r="F69" s="468"/>
      <c r="G69" s="468"/>
      <c r="H69" s="468"/>
      <c r="I69" s="468"/>
      <c r="J69" s="348"/>
      <c r="K69" s="348"/>
      <c r="L69" s="348"/>
      <c r="M69" s="348"/>
      <c r="N69" s="348"/>
      <c r="O69" s="348"/>
      <c r="P69" s="468"/>
      <c r="Q69" s="468"/>
      <c r="R69" s="468"/>
      <c r="S69" s="468"/>
      <c r="T69" s="468"/>
      <c r="U69" s="468"/>
      <c r="V69" s="468"/>
      <c r="W69" s="468"/>
      <c r="X69" s="468"/>
      <c r="Y69" s="468"/>
      <c r="Z69" s="468"/>
      <c r="AA69" s="468"/>
      <c r="AB69" s="467">
        <f>Z69+X69+V69+T69+R69+P69+N69+L69+J69+H69+F69+D69</f>
        <v>0</v>
      </c>
      <c r="AC69" s="575">
        <f t="shared" si="34"/>
        <v>0</v>
      </c>
    </row>
    <row r="70" spans="1:29" ht="16.899999999999999" customHeight="1" x14ac:dyDescent="0.2">
      <c r="A70" s="445">
        <v>3</v>
      </c>
      <c r="B70" s="464" t="s">
        <v>36</v>
      </c>
      <c r="C70" s="475" t="s">
        <v>117</v>
      </c>
      <c r="D70" s="468"/>
      <c r="E70" s="468"/>
      <c r="F70" s="468"/>
      <c r="G70" s="468"/>
      <c r="H70" s="468"/>
      <c r="I70" s="468"/>
      <c r="J70" s="348"/>
      <c r="K70" s="348"/>
      <c r="L70" s="348">
        <v>75000000</v>
      </c>
      <c r="M70" s="348"/>
      <c r="N70" s="348"/>
      <c r="O70" s="348"/>
      <c r="P70" s="468"/>
      <c r="Q70" s="468"/>
      <c r="R70" s="468"/>
      <c r="S70" s="468"/>
      <c r="T70" s="468"/>
      <c r="U70" s="468"/>
      <c r="V70" s="468"/>
      <c r="W70" s="468"/>
      <c r="X70" s="468"/>
      <c r="Y70" s="468"/>
      <c r="Z70" s="468"/>
      <c r="AA70" s="468"/>
      <c r="AB70" s="467">
        <f>Z70+X70+V70+T70+R70+P70+N70+L70+J70+H70+F70+D70</f>
        <v>75000000</v>
      </c>
      <c r="AC70" s="575">
        <f t="shared" ref="AC70:AC101" si="73">E70+G70+I70+K70+M70+O70+Q70+S70+U70+W70+Y70+AA70</f>
        <v>0</v>
      </c>
    </row>
    <row r="71" spans="1:29" ht="16.899999999999999" customHeight="1" x14ac:dyDescent="0.2">
      <c r="A71" s="445">
        <v>4</v>
      </c>
      <c r="B71" s="464" t="s">
        <v>47</v>
      </c>
      <c r="C71" s="475" t="s">
        <v>118</v>
      </c>
      <c r="D71" s="468"/>
      <c r="E71" s="468"/>
      <c r="F71" s="468"/>
      <c r="G71" s="468"/>
      <c r="H71" s="468">
        <v>15000000</v>
      </c>
      <c r="I71" s="468"/>
      <c r="J71" s="348"/>
      <c r="K71" s="348"/>
      <c r="L71" s="348"/>
      <c r="M71" s="348"/>
      <c r="N71" s="348"/>
      <c r="O71" s="348"/>
      <c r="P71" s="468"/>
      <c r="Q71" s="468"/>
      <c r="R71" s="468"/>
      <c r="S71" s="468"/>
      <c r="T71" s="468"/>
      <c r="U71" s="468"/>
      <c r="V71" s="468"/>
      <c r="W71" s="468"/>
      <c r="X71" s="468"/>
      <c r="Y71" s="468"/>
      <c r="Z71" s="468"/>
      <c r="AA71" s="468"/>
      <c r="AB71" s="467">
        <f>Z71+X71+V71+T71+R71+P71+N71+L71+J71+H71+F71+D71</f>
        <v>15000000</v>
      </c>
      <c r="AC71" s="575">
        <f t="shared" si="73"/>
        <v>0</v>
      </c>
    </row>
    <row r="72" spans="1:29" ht="16.899999999999999" customHeight="1" x14ac:dyDescent="0.2">
      <c r="A72" s="445">
        <v>5</v>
      </c>
      <c r="B72" s="464" t="s">
        <v>47</v>
      </c>
      <c r="C72" s="475" t="s">
        <v>119</v>
      </c>
      <c r="D72" s="468">
        <v>1000000</v>
      </c>
      <c r="E72" s="468"/>
      <c r="F72" s="468">
        <f>D72</f>
        <v>1000000</v>
      </c>
      <c r="G72" s="468"/>
      <c r="H72" s="468">
        <f>F72</f>
        <v>1000000</v>
      </c>
      <c r="I72" s="468"/>
      <c r="J72" s="348">
        <f>H72</f>
        <v>1000000</v>
      </c>
      <c r="K72" s="348"/>
      <c r="L72" s="348">
        <f>J72</f>
        <v>1000000</v>
      </c>
      <c r="M72" s="348"/>
      <c r="N72" s="348">
        <f>L72</f>
        <v>1000000</v>
      </c>
      <c r="O72" s="348"/>
      <c r="P72" s="468">
        <f>N72</f>
        <v>1000000</v>
      </c>
      <c r="Q72" s="468"/>
      <c r="R72" s="468">
        <f>P72</f>
        <v>1000000</v>
      </c>
      <c r="S72" s="468"/>
      <c r="T72" s="468">
        <f>R72</f>
        <v>1000000</v>
      </c>
      <c r="U72" s="468"/>
      <c r="V72" s="468">
        <f>T72</f>
        <v>1000000</v>
      </c>
      <c r="W72" s="468"/>
      <c r="X72" s="468">
        <f>V72</f>
        <v>1000000</v>
      </c>
      <c r="Y72" s="468"/>
      <c r="Z72" s="468">
        <f t="shared" ref="Z72" si="74">X72</f>
        <v>1000000</v>
      </c>
      <c r="AA72" s="468"/>
      <c r="AB72" s="467">
        <f>Z72+X72+V72+T72+R72+P72+N72+L72+J72+H72+F72+D72</f>
        <v>12000000</v>
      </c>
      <c r="AC72" s="575">
        <f t="shared" si="73"/>
        <v>0</v>
      </c>
    </row>
    <row r="73" spans="1:29" s="420" customFormat="1" ht="16.899999999999999" customHeight="1" x14ac:dyDescent="0.2">
      <c r="A73" s="493"/>
      <c r="B73" s="444"/>
      <c r="C73" s="486" t="s">
        <v>120</v>
      </c>
      <c r="D73" s="487">
        <f t="shared" ref="D73:O73" si="75">SUM(D68:D72)</f>
        <v>4000000</v>
      </c>
      <c r="E73" s="487">
        <f t="shared" si="75"/>
        <v>0</v>
      </c>
      <c r="F73" s="487">
        <f t="shared" si="75"/>
        <v>4000000</v>
      </c>
      <c r="G73" s="487">
        <f t="shared" si="75"/>
        <v>6200000</v>
      </c>
      <c r="H73" s="487">
        <f t="shared" si="75"/>
        <v>19000000</v>
      </c>
      <c r="I73" s="487">
        <f t="shared" si="75"/>
        <v>2640000</v>
      </c>
      <c r="J73" s="355">
        <f t="shared" si="75"/>
        <v>4000000</v>
      </c>
      <c r="K73" s="355">
        <f t="shared" si="75"/>
        <v>0</v>
      </c>
      <c r="L73" s="355">
        <f t="shared" si="75"/>
        <v>79000000</v>
      </c>
      <c r="M73" s="355">
        <f t="shared" si="75"/>
        <v>0</v>
      </c>
      <c r="N73" s="355">
        <f t="shared" si="75"/>
        <v>4000000</v>
      </c>
      <c r="O73" s="355">
        <f t="shared" si="75"/>
        <v>8500000</v>
      </c>
      <c r="P73" s="487">
        <f t="shared" ref="P73:AB73" si="76">SUM(P68:P72)</f>
        <v>4000000</v>
      </c>
      <c r="Q73" s="487">
        <f t="shared" si="76"/>
        <v>0</v>
      </c>
      <c r="R73" s="487">
        <f t="shared" si="76"/>
        <v>4000000</v>
      </c>
      <c r="S73" s="487">
        <f t="shared" si="76"/>
        <v>0</v>
      </c>
      <c r="T73" s="487">
        <f t="shared" si="76"/>
        <v>4000000</v>
      </c>
      <c r="U73" s="487">
        <f t="shared" si="76"/>
        <v>0</v>
      </c>
      <c r="V73" s="487">
        <f t="shared" si="76"/>
        <v>4000000</v>
      </c>
      <c r="W73" s="487">
        <f t="shared" si="76"/>
        <v>41350000</v>
      </c>
      <c r="X73" s="487">
        <f t="shared" si="76"/>
        <v>4000000</v>
      </c>
      <c r="Y73" s="487">
        <f>SUM(Y68:Y72)</f>
        <v>0</v>
      </c>
      <c r="Z73" s="487">
        <f t="shared" si="76"/>
        <v>4000000</v>
      </c>
      <c r="AA73" s="487">
        <f>SUM(AA68:AA72)</f>
        <v>7000000</v>
      </c>
      <c r="AB73" s="487">
        <f t="shared" si="76"/>
        <v>138000000</v>
      </c>
      <c r="AC73" s="575">
        <f t="shared" si="73"/>
        <v>65690000</v>
      </c>
    </row>
    <row r="74" spans="1:29" s="444" customFormat="1" ht="16.899999999999999" customHeight="1" x14ac:dyDescent="0.2">
      <c r="A74" s="499">
        <v>1</v>
      </c>
      <c r="B74" s="464" t="s">
        <v>79</v>
      </c>
      <c r="C74" s="474" t="s">
        <v>121</v>
      </c>
      <c r="D74" s="468">
        <v>6000000</v>
      </c>
      <c r="E74" s="468"/>
      <c r="F74" s="468"/>
      <c r="G74" s="468"/>
      <c r="H74" s="468"/>
      <c r="I74" s="468"/>
      <c r="J74" s="348">
        <v>6000000</v>
      </c>
      <c r="K74" s="348"/>
      <c r="L74" s="348"/>
      <c r="M74" s="348"/>
      <c r="N74" s="348"/>
      <c r="O74" s="348"/>
      <c r="P74" s="468">
        <v>6000000</v>
      </c>
      <c r="Q74" s="468"/>
      <c r="R74" s="468"/>
      <c r="S74" s="468"/>
      <c r="T74" s="468"/>
      <c r="U74" s="468"/>
      <c r="V74" s="468">
        <v>6000000</v>
      </c>
      <c r="W74" s="468"/>
      <c r="X74" s="468">
        <f>V74</f>
        <v>6000000</v>
      </c>
      <c r="Y74" s="468">
        <v>5450000</v>
      </c>
      <c r="Z74" s="468">
        <f>X74</f>
        <v>6000000</v>
      </c>
      <c r="AA74" s="468"/>
      <c r="AB74" s="467">
        <f>Z74+X74+V74+T74+R74+P74+N74+L74+J74+H74+F74+D74</f>
        <v>36000000</v>
      </c>
      <c r="AC74" s="575">
        <f t="shared" si="73"/>
        <v>5450000</v>
      </c>
    </row>
    <row r="75" spans="1:29" s="444" customFormat="1" ht="16.899999999999999" customHeight="1" x14ac:dyDescent="0.2">
      <c r="A75" s="499">
        <v>2</v>
      </c>
      <c r="B75" s="464" t="s">
        <v>79</v>
      </c>
      <c r="C75" s="474" t="s">
        <v>122</v>
      </c>
      <c r="D75" s="468"/>
      <c r="E75" s="468"/>
      <c r="F75" s="468"/>
      <c r="G75" s="468"/>
      <c r="H75" s="468"/>
      <c r="I75" s="468"/>
      <c r="J75" s="348">
        <v>25000000</v>
      </c>
      <c r="K75" s="348"/>
      <c r="L75" s="348"/>
      <c r="M75" s="348"/>
      <c r="N75" s="348"/>
      <c r="O75" s="348"/>
      <c r="P75" s="468"/>
      <c r="Q75" s="468"/>
      <c r="R75" s="468"/>
      <c r="S75" s="468"/>
      <c r="T75" s="468"/>
      <c r="U75" s="468"/>
      <c r="V75" s="468"/>
      <c r="W75" s="468"/>
      <c r="X75" s="468"/>
      <c r="Y75" s="468"/>
      <c r="Z75" s="468"/>
      <c r="AA75" s="468"/>
      <c r="AB75" s="467">
        <f>Z75+X75+V75+T75+R75+P75+N75+L75+J75+H75+F75+D75</f>
        <v>25000000</v>
      </c>
      <c r="AC75" s="575">
        <f t="shared" si="73"/>
        <v>0</v>
      </c>
    </row>
    <row r="76" spans="1:29" s="444" customFormat="1" ht="16.899999999999999" customHeight="1" x14ac:dyDescent="0.2">
      <c r="A76" s="499">
        <v>3</v>
      </c>
      <c r="B76" s="500" t="s">
        <v>33</v>
      </c>
      <c r="C76" s="474" t="s">
        <v>123</v>
      </c>
      <c r="D76" s="468">
        <v>1000000</v>
      </c>
      <c r="E76" s="468"/>
      <c r="F76" s="468">
        <f>D76</f>
        <v>1000000</v>
      </c>
      <c r="G76" s="468"/>
      <c r="H76" s="468">
        <f>F76</f>
        <v>1000000</v>
      </c>
      <c r="I76" s="468"/>
      <c r="J76" s="348">
        <f>H76</f>
        <v>1000000</v>
      </c>
      <c r="K76" s="348"/>
      <c r="L76" s="348">
        <f>J76</f>
        <v>1000000</v>
      </c>
      <c r="M76" s="348"/>
      <c r="N76" s="348">
        <f>L76</f>
        <v>1000000</v>
      </c>
      <c r="O76" s="348"/>
      <c r="P76" s="468">
        <f>N76</f>
        <v>1000000</v>
      </c>
      <c r="Q76" s="468"/>
      <c r="R76" s="468">
        <f>P76</f>
        <v>1000000</v>
      </c>
      <c r="S76" s="468"/>
      <c r="T76" s="468">
        <f>R76</f>
        <v>1000000</v>
      </c>
      <c r="U76" s="468"/>
      <c r="V76" s="468">
        <f>T76</f>
        <v>1000000</v>
      </c>
      <c r="W76" s="468"/>
      <c r="X76" s="468">
        <f>V76</f>
        <v>1000000</v>
      </c>
      <c r="Y76" s="468"/>
      <c r="Z76" s="468">
        <f t="shared" ref="Z76:Z77" si="77">X76</f>
        <v>1000000</v>
      </c>
      <c r="AA76" s="468"/>
      <c r="AB76" s="467">
        <f>Z76+X76+V76+T76+R76+P76+N76+L76+J76+H76+F76+D76</f>
        <v>12000000</v>
      </c>
      <c r="AC76" s="575">
        <f t="shared" si="73"/>
        <v>0</v>
      </c>
    </row>
    <row r="77" spans="1:29" s="444" customFormat="1" ht="16.899999999999999" customHeight="1" x14ac:dyDescent="0.2">
      <c r="A77" s="499">
        <v>4</v>
      </c>
      <c r="B77" s="500" t="s">
        <v>124</v>
      </c>
      <c r="C77" s="474" t="s">
        <v>125</v>
      </c>
      <c r="D77" s="468">
        <v>500000</v>
      </c>
      <c r="E77" s="468"/>
      <c r="F77" s="468">
        <f>D77</f>
        <v>500000</v>
      </c>
      <c r="G77" s="468"/>
      <c r="H77" s="468">
        <f>F77</f>
        <v>500000</v>
      </c>
      <c r="I77" s="468"/>
      <c r="J77" s="348">
        <f>H77</f>
        <v>500000</v>
      </c>
      <c r="K77" s="348"/>
      <c r="L77" s="348">
        <f>J77</f>
        <v>500000</v>
      </c>
      <c r="M77" s="348"/>
      <c r="N77" s="348">
        <f>L77</f>
        <v>500000</v>
      </c>
      <c r="O77" s="348"/>
      <c r="P77" s="468">
        <f>N77</f>
        <v>500000</v>
      </c>
      <c r="Q77" s="468"/>
      <c r="R77" s="468">
        <f>P77</f>
        <v>500000</v>
      </c>
      <c r="S77" s="468"/>
      <c r="T77" s="468">
        <f>R77</f>
        <v>500000</v>
      </c>
      <c r="U77" s="468"/>
      <c r="V77" s="468">
        <f>T77</f>
        <v>500000</v>
      </c>
      <c r="W77" s="468"/>
      <c r="X77" s="468">
        <f>V77</f>
        <v>500000</v>
      </c>
      <c r="Y77" s="468"/>
      <c r="Z77" s="468">
        <f t="shared" si="77"/>
        <v>500000</v>
      </c>
      <c r="AA77" s="468"/>
      <c r="AB77" s="467">
        <f>Z77+X77+V77+T77+R77+P77+N77+L77+J77+H77+F77+D77</f>
        <v>6000000</v>
      </c>
      <c r="AC77" s="575">
        <f t="shared" si="73"/>
        <v>0</v>
      </c>
    </row>
    <row r="78" spans="1:29" s="420" customFormat="1" ht="16.899999999999999" customHeight="1" x14ac:dyDescent="0.2">
      <c r="A78" s="493"/>
      <c r="B78" s="464"/>
      <c r="C78" s="486" t="s">
        <v>126</v>
      </c>
      <c r="D78" s="487">
        <f t="shared" ref="D78:O78" si="78">SUM(D74:D77)</f>
        <v>7500000</v>
      </c>
      <c r="E78" s="487">
        <f t="shared" si="78"/>
        <v>0</v>
      </c>
      <c r="F78" s="487">
        <f t="shared" si="78"/>
        <v>1500000</v>
      </c>
      <c r="G78" s="487">
        <f t="shared" si="78"/>
        <v>0</v>
      </c>
      <c r="H78" s="487">
        <f t="shared" si="78"/>
        <v>1500000</v>
      </c>
      <c r="I78" s="487">
        <f t="shared" si="78"/>
        <v>0</v>
      </c>
      <c r="J78" s="355">
        <f t="shared" si="78"/>
        <v>32500000</v>
      </c>
      <c r="K78" s="355">
        <f t="shared" si="78"/>
        <v>0</v>
      </c>
      <c r="L78" s="355">
        <f t="shared" si="78"/>
        <v>1500000</v>
      </c>
      <c r="M78" s="355">
        <f t="shared" si="78"/>
        <v>0</v>
      </c>
      <c r="N78" s="355">
        <f t="shared" si="78"/>
        <v>1500000</v>
      </c>
      <c r="O78" s="355">
        <f t="shared" si="78"/>
        <v>0</v>
      </c>
      <c r="P78" s="487">
        <f t="shared" ref="P78:AB78" si="79">SUM(P74:P77)</f>
        <v>7500000</v>
      </c>
      <c r="Q78" s="487"/>
      <c r="R78" s="487">
        <f t="shared" si="79"/>
        <v>1500000</v>
      </c>
      <c r="S78" s="487"/>
      <c r="T78" s="487">
        <f t="shared" si="79"/>
        <v>1500000</v>
      </c>
      <c r="U78" s="487"/>
      <c r="V78" s="487">
        <f t="shared" si="79"/>
        <v>7500000</v>
      </c>
      <c r="W78" s="487"/>
      <c r="X78" s="487">
        <f t="shared" si="79"/>
        <v>7500000</v>
      </c>
      <c r="Y78" s="487">
        <f>SUM(Y74:Y77)</f>
        <v>5450000</v>
      </c>
      <c r="Z78" s="487">
        <f t="shared" si="79"/>
        <v>7500000</v>
      </c>
      <c r="AA78" s="487"/>
      <c r="AB78" s="487">
        <f t="shared" si="79"/>
        <v>79000000</v>
      </c>
      <c r="AC78" s="575">
        <f t="shared" si="73"/>
        <v>5450000</v>
      </c>
    </row>
    <row r="79" spans="1:29" ht="16.899999999999999" customHeight="1" x14ac:dyDescent="0.2">
      <c r="A79" s="445">
        <v>1</v>
      </c>
      <c r="B79" s="464" t="s">
        <v>57</v>
      </c>
      <c r="C79" s="475" t="s">
        <v>127</v>
      </c>
      <c r="D79" s="468">
        <v>1500000</v>
      </c>
      <c r="E79" s="468"/>
      <c r="F79" s="468">
        <v>1500000</v>
      </c>
      <c r="G79" s="468"/>
      <c r="H79" s="468">
        <v>1500000</v>
      </c>
      <c r="I79" s="468"/>
      <c r="J79" s="348">
        <v>1500000</v>
      </c>
      <c r="K79" s="348">
        <v>0</v>
      </c>
      <c r="L79" s="348">
        <v>1500000</v>
      </c>
      <c r="M79" s="348">
        <v>2250000</v>
      </c>
      <c r="N79" s="348">
        <v>1500000</v>
      </c>
      <c r="O79" s="348">
        <v>2250000</v>
      </c>
      <c r="P79" s="468">
        <v>1500000</v>
      </c>
      <c r="Q79" s="468">
        <v>5400789</v>
      </c>
      <c r="R79" s="468">
        <v>1500000</v>
      </c>
      <c r="S79" s="468">
        <v>6200465</v>
      </c>
      <c r="T79" s="468">
        <v>1500000</v>
      </c>
      <c r="U79" s="468">
        <v>5980654</v>
      </c>
      <c r="V79" s="468">
        <v>1500000</v>
      </c>
      <c r="W79" s="468"/>
      <c r="X79" s="468">
        <v>1500000</v>
      </c>
      <c r="Y79" s="468"/>
      <c r="Z79" s="468">
        <v>1500000</v>
      </c>
      <c r="AA79" s="468"/>
      <c r="AB79" s="467">
        <f t="shared" ref="AB79:AB85" si="80">Z79+X79+V79+T79+R79+P79+N79+L79+J79+H79+F79+D79</f>
        <v>18000000</v>
      </c>
      <c r="AC79" s="575">
        <f t="shared" si="73"/>
        <v>22081908</v>
      </c>
    </row>
    <row r="80" spans="1:29" ht="16.899999999999999" customHeight="1" x14ac:dyDescent="0.2">
      <c r="A80" s="445">
        <v>2</v>
      </c>
      <c r="B80" s="464" t="s">
        <v>79</v>
      </c>
      <c r="C80" s="475" t="s">
        <v>128</v>
      </c>
      <c r="D80" s="468">
        <v>12500000</v>
      </c>
      <c r="E80" s="468"/>
      <c r="F80" s="468">
        <v>7500000</v>
      </c>
      <c r="G80" s="501">
        <v>2500000</v>
      </c>
      <c r="H80" s="468">
        <v>7500000</v>
      </c>
      <c r="I80" s="468"/>
      <c r="J80" s="348">
        <v>7500000</v>
      </c>
      <c r="K80" s="348">
        <v>2500000</v>
      </c>
      <c r="L80" s="348">
        <v>7500000</v>
      </c>
      <c r="M80" s="348">
        <v>11250000</v>
      </c>
      <c r="N80" s="348">
        <v>7500000</v>
      </c>
      <c r="O80" s="348">
        <v>2500000</v>
      </c>
      <c r="P80" s="468">
        <v>7500000</v>
      </c>
      <c r="Q80" s="468">
        <v>2830000</v>
      </c>
      <c r="R80" s="468">
        <v>7500000</v>
      </c>
      <c r="S80" s="468">
        <f>Q80</f>
        <v>2830000</v>
      </c>
      <c r="T80" s="468">
        <v>7500000</v>
      </c>
      <c r="U80" s="468">
        <f>S80</f>
        <v>2830000</v>
      </c>
      <c r="V80" s="468">
        <v>7500000</v>
      </c>
      <c r="W80" s="468">
        <v>2430000</v>
      </c>
      <c r="X80" s="468">
        <v>7500000</v>
      </c>
      <c r="Y80" s="468">
        <v>22100300</v>
      </c>
      <c r="Z80" s="468">
        <v>7500000</v>
      </c>
      <c r="AA80" s="468">
        <v>24750000</v>
      </c>
      <c r="AB80" s="467">
        <f t="shared" si="80"/>
        <v>95000000</v>
      </c>
      <c r="AC80" s="575">
        <f t="shared" si="73"/>
        <v>76520300</v>
      </c>
    </row>
    <row r="81" spans="1:29" ht="16.899999999999999" customHeight="1" x14ac:dyDescent="0.2">
      <c r="A81" s="445">
        <v>3</v>
      </c>
      <c r="B81" s="464" t="s">
        <v>47</v>
      </c>
      <c r="C81" s="475" t="s">
        <v>111</v>
      </c>
      <c r="D81" s="468">
        <v>2500000</v>
      </c>
      <c r="E81" s="468"/>
      <c r="F81" s="468">
        <v>2500000</v>
      </c>
      <c r="G81" s="468"/>
      <c r="H81" s="468">
        <v>6000000</v>
      </c>
      <c r="I81" s="468"/>
      <c r="J81" s="348">
        <v>2500000</v>
      </c>
      <c r="K81" s="348"/>
      <c r="L81" s="348">
        <v>3750000</v>
      </c>
      <c r="M81" s="348"/>
      <c r="N81" s="348">
        <v>3750000</v>
      </c>
      <c r="O81" s="348"/>
      <c r="P81" s="468">
        <v>3750000</v>
      </c>
      <c r="Q81" s="468"/>
      <c r="R81" s="468">
        <v>3750000</v>
      </c>
      <c r="S81" s="468"/>
      <c r="T81" s="468">
        <v>2500000</v>
      </c>
      <c r="U81" s="468"/>
      <c r="V81" s="468">
        <v>2500000</v>
      </c>
      <c r="W81" s="468"/>
      <c r="X81" s="468">
        <v>2500000</v>
      </c>
      <c r="Y81" s="468"/>
      <c r="Z81" s="468">
        <v>2500000</v>
      </c>
      <c r="AA81" s="468"/>
      <c r="AB81" s="467">
        <f t="shared" si="80"/>
        <v>38500000</v>
      </c>
      <c r="AC81" s="575">
        <f t="shared" si="73"/>
        <v>0</v>
      </c>
    </row>
    <row r="82" spans="1:29" ht="16.899999999999999" customHeight="1" x14ac:dyDescent="0.2">
      <c r="A82" s="445">
        <v>4</v>
      </c>
      <c r="B82" s="464" t="s">
        <v>129</v>
      </c>
      <c r="C82" s="475" t="s">
        <v>130</v>
      </c>
      <c r="D82" s="468">
        <v>1000000</v>
      </c>
      <c r="E82" s="468"/>
      <c r="F82" s="468">
        <v>1000000</v>
      </c>
      <c r="G82" s="468"/>
      <c r="H82" s="468">
        <v>1000000</v>
      </c>
      <c r="I82" s="468"/>
      <c r="J82" s="348">
        <v>1000000</v>
      </c>
      <c r="K82" s="348"/>
      <c r="L82" s="348">
        <v>1000000</v>
      </c>
      <c r="M82" s="348"/>
      <c r="N82" s="348">
        <v>1000000</v>
      </c>
      <c r="O82" s="348"/>
      <c r="P82" s="468">
        <v>1000000</v>
      </c>
      <c r="Q82" s="468">
        <v>7174200</v>
      </c>
      <c r="R82" s="468">
        <v>1000000</v>
      </c>
      <c r="S82" s="468">
        <f>Q82</f>
        <v>7174200</v>
      </c>
      <c r="T82" s="468">
        <v>1000000</v>
      </c>
      <c r="U82" s="468">
        <f>S82</f>
        <v>7174200</v>
      </c>
      <c r="V82" s="468">
        <v>1000000</v>
      </c>
      <c r="W82" s="468"/>
      <c r="X82" s="468">
        <v>1000000</v>
      </c>
      <c r="Y82" s="468"/>
      <c r="Z82" s="468">
        <v>1000000</v>
      </c>
      <c r="AA82" s="468"/>
      <c r="AB82" s="467">
        <f t="shared" si="80"/>
        <v>12000000</v>
      </c>
      <c r="AC82" s="575">
        <f t="shared" si="73"/>
        <v>21522600</v>
      </c>
    </row>
    <row r="83" spans="1:29" ht="16.899999999999999" customHeight="1" x14ac:dyDescent="0.2">
      <c r="A83" s="445">
        <v>5</v>
      </c>
      <c r="B83" s="464" t="s">
        <v>36</v>
      </c>
      <c r="C83" s="475" t="s">
        <v>131</v>
      </c>
      <c r="D83" s="468">
        <v>2500000</v>
      </c>
      <c r="E83" s="468"/>
      <c r="F83" s="468">
        <v>2500000</v>
      </c>
      <c r="G83" s="468"/>
      <c r="H83" s="468">
        <v>2500000</v>
      </c>
      <c r="I83" s="468"/>
      <c r="J83" s="348">
        <v>2500000</v>
      </c>
      <c r="K83" s="348"/>
      <c r="L83" s="348">
        <v>2500000</v>
      </c>
      <c r="M83" s="348"/>
      <c r="N83" s="348">
        <v>2500000</v>
      </c>
      <c r="O83" s="348"/>
      <c r="P83" s="468">
        <v>2500000</v>
      </c>
      <c r="Q83" s="468"/>
      <c r="R83" s="468">
        <v>2500000</v>
      </c>
      <c r="S83" s="468"/>
      <c r="T83" s="468">
        <v>2500000</v>
      </c>
      <c r="U83" s="468"/>
      <c r="V83" s="468">
        <v>2500000</v>
      </c>
      <c r="W83" s="468"/>
      <c r="X83" s="468">
        <v>2500000</v>
      </c>
      <c r="Y83" s="468"/>
      <c r="Z83" s="468">
        <v>2500000</v>
      </c>
      <c r="AA83" s="468"/>
      <c r="AB83" s="467">
        <f t="shared" si="80"/>
        <v>30000000</v>
      </c>
      <c r="AC83" s="575">
        <f t="shared" si="73"/>
        <v>0</v>
      </c>
    </row>
    <row r="84" spans="1:29" ht="16.899999999999999" customHeight="1" x14ac:dyDescent="0.2">
      <c r="A84" s="445">
        <v>6</v>
      </c>
      <c r="B84" s="464" t="s">
        <v>39</v>
      </c>
      <c r="C84" s="475" t="s">
        <v>132</v>
      </c>
      <c r="D84" s="468"/>
      <c r="E84" s="468"/>
      <c r="F84" s="468"/>
      <c r="G84" s="468"/>
      <c r="H84" s="468"/>
      <c r="I84" s="468"/>
      <c r="J84" s="348"/>
      <c r="K84" s="348"/>
      <c r="L84" s="348"/>
      <c r="M84" s="348"/>
      <c r="N84" s="348"/>
      <c r="O84" s="348"/>
      <c r="P84" s="468"/>
      <c r="R84" s="468"/>
      <c r="S84" s="468">
        <v>4974500</v>
      </c>
      <c r="T84" s="468"/>
      <c r="U84" s="468"/>
      <c r="V84" s="468"/>
      <c r="W84" s="468"/>
      <c r="X84" s="468"/>
      <c r="Y84" s="468"/>
      <c r="Z84" s="468"/>
      <c r="AA84" s="468"/>
      <c r="AB84" s="467">
        <f t="shared" si="80"/>
        <v>0</v>
      </c>
      <c r="AC84" s="575">
        <f t="shared" si="73"/>
        <v>4974500</v>
      </c>
    </row>
    <row r="85" spans="1:29" ht="16.899999999999999" customHeight="1" x14ac:dyDescent="0.2">
      <c r="A85" s="445">
        <v>7</v>
      </c>
      <c r="B85" s="464" t="s">
        <v>53</v>
      </c>
      <c r="C85" s="475" t="s">
        <v>112</v>
      </c>
      <c r="D85" s="468"/>
      <c r="E85" s="468"/>
      <c r="F85" s="468"/>
      <c r="G85" s="468"/>
      <c r="H85" s="468"/>
      <c r="I85" s="468"/>
      <c r="J85" s="348"/>
      <c r="K85" s="348"/>
      <c r="L85" s="348"/>
      <c r="M85" s="348"/>
      <c r="N85" s="348"/>
      <c r="O85" s="34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7">
        <f t="shared" si="80"/>
        <v>0</v>
      </c>
      <c r="AC85" s="575">
        <f t="shared" si="73"/>
        <v>0</v>
      </c>
    </row>
    <row r="86" spans="1:29" s="420" customFormat="1" ht="16.899999999999999" customHeight="1" x14ac:dyDescent="0.2">
      <c r="A86" s="493"/>
      <c r="B86" s="464"/>
      <c r="C86" s="486" t="s">
        <v>133</v>
      </c>
      <c r="D86" s="494">
        <f t="shared" ref="D86:O86" si="81">SUM(D79:D85)</f>
        <v>20000000</v>
      </c>
      <c r="E86" s="494">
        <f t="shared" si="81"/>
        <v>0</v>
      </c>
      <c r="F86" s="494">
        <f t="shared" si="81"/>
        <v>15000000</v>
      </c>
      <c r="G86" s="494">
        <f t="shared" si="81"/>
        <v>2500000</v>
      </c>
      <c r="H86" s="494">
        <f t="shared" si="81"/>
        <v>18500000</v>
      </c>
      <c r="I86" s="494">
        <f t="shared" si="81"/>
        <v>0</v>
      </c>
      <c r="J86" s="358">
        <f t="shared" si="81"/>
        <v>15000000</v>
      </c>
      <c r="K86" s="358">
        <f t="shared" si="81"/>
        <v>2500000</v>
      </c>
      <c r="L86" s="358">
        <f t="shared" si="81"/>
        <v>16250000</v>
      </c>
      <c r="M86" s="358">
        <f t="shared" si="81"/>
        <v>13500000</v>
      </c>
      <c r="N86" s="358">
        <f t="shared" si="81"/>
        <v>16250000</v>
      </c>
      <c r="O86" s="358">
        <f t="shared" si="81"/>
        <v>4750000</v>
      </c>
      <c r="P86" s="494">
        <f t="shared" ref="P86:AB86" si="82">SUM(P79:P85)</f>
        <v>16250000</v>
      </c>
      <c r="Q86" s="494">
        <f>SUM(Q79:Q85)</f>
        <v>15404989</v>
      </c>
      <c r="R86" s="494">
        <f t="shared" si="82"/>
        <v>16250000</v>
      </c>
      <c r="S86" s="494">
        <f t="shared" si="82"/>
        <v>21179165</v>
      </c>
      <c r="T86" s="494">
        <f t="shared" si="82"/>
        <v>15000000</v>
      </c>
      <c r="U86" s="494">
        <f t="shared" si="82"/>
        <v>15984854</v>
      </c>
      <c r="V86" s="494">
        <f t="shared" si="82"/>
        <v>15000000</v>
      </c>
      <c r="W86" s="494">
        <f t="shared" si="82"/>
        <v>2430000</v>
      </c>
      <c r="X86" s="494">
        <f t="shared" si="82"/>
        <v>15000000</v>
      </c>
      <c r="Y86" s="494">
        <f t="shared" si="82"/>
        <v>22100300</v>
      </c>
      <c r="Z86" s="494">
        <f t="shared" si="82"/>
        <v>15000000</v>
      </c>
      <c r="AA86" s="494">
        <f t="shared" si="82"/>
        <v>24750000</v>
      </c>
      <c r="AB86" s="494">
        <f t="shared" si="82"/>
        <v>193500000</v>
      </c>
      <c r="AC86" s="575">
        <f t="shared" si="73"/>
        <v>125099308</v>
      </c>
    </row>
    <row r="87" spans="1:29" s="420" customFormat="1" ht="16.899999999999999" customHeight="1" x14ac:dyDescent="0.2">
      <c r="A87" s="445">
        <v>1</v>
      </c>
      <c r="B87" s="464" t="s">
        <v>47</v>
      </c>
      <c r="C87" s="475" t="s">
        <v>111</v>
      </c>
      <c r="D87" s="502">
        <v>0</v>
      </c>
      <c r="E87" s="502"/>
      <c r="F87" s="502">
        <v>8500000</v>
      </c>
      <c r="G87" s="502"/>
      <c r="H87" s="502">
        <v>0</v>
      </c>
      <c r="I87" s="502"/>
      <c r="J87" s="361">
        <v>0</v>
      </c>
      <c r="K87" s="361"/>
      <c r="L87" s="361">
        <v>8000000</v>
      </c>
      <c r="M87" s="361"/>
      <c r="N87" s="361">
        <v>0</v>
      </c>
      <c r="O87" s="361"/>
      <c r="P87" s="502">
        <v>0</v>
      </c>
      <c r="Q87" s="502"/>
      <c r="R87" s="502">
        <v>8500000</v>
      </c>
      <c r="S87" s="502"/>
      <c r="T87" s="502">
        <v>0</v>
      </c>
      <c r="U87" s="502"/>
      <c r="V87" s="502">
        <v>0</v>
      </c>
      <c r="W87" s="502"/>
      <c r="X87" s="502">
        <v>0</v>
      </c>
      <c r="Y87" s="502"/>
      <c r="Z87" s="502">
        <v>0</v>
      </c>
      <c r="AA87" s="502"/>
      <c r="AB87" s="467">
        <f t="shared" ref="AB87:AB92" si="83">Z87+X87+V87+T87+R87+P87+N87+L87+J87+H87+F87+D87</f>
        <v>25000000</v>
      </c>
      <c r="AC87" s="575">
        <f t="shared" si="73"/>
        <v>0</v>
      </c>
    </row>
    <row r="88" spans="1:29" s="420" customFormat="1" ht="16.899999999999999" customHeight="1" x14ac:dyDescent="0.2">
      <c r="A88" s="445">
        <v>2</v>
      </c>
      <c r="B88" s="464" t="s">
        <v>53</v>
      </c>
      <c r="C88" s="475" t="s">
        <v>112</v>
      </c>
      <c r="D88" s="502">
        <v>6808000</v>
      </c>
      <c r="E88" s="502"/>
      <c r="F88" s="502">
        <v>9812000</v>
      </c>
      <c r="G88" s="502"/>
      <c r="H88" s="502">
        <v>0</v>
      </c>
      <c r="I88" s="502"/>
      <c r="J88" s="361">
        <v>0</v>
      </c>
      <c r="K88" s="361"/>
      <c r="L88" s="361">
        <v>0</v>
      </c>
      <c r="M88" s="361"/>
      <c r="N88" s="361">
        <v>11691000</v>
      </c>
      <c r="O88" s="361"/>
      <c r="P88" s="502">
        <v>0</v>
      </c>
      <c r="Q88" s="502"/>
      <c r="R88" s="502">
        <v>1110000</v>
      </c>
      <c r="S88" s="502"/>
      <c r="T88" s="502">
        <v>0</v>
      </c>
      <c r="U88" s="502"/>
      <c r="V88" s="502">
        <v>0</v>
      </c>
      <c r="W88" s="502"/>
      <c r="X88" s="502">
        <v>0</v>
      </c>
      <c r="Y88" s="502"/>
      <c r="Z88" s="502">
        <v>0</v>
      </c>
      <c r="AA88" s="502"/>
      <c r="AB88" s="467">
        <f t="shared" si="83"/>
        <v>29421000</v>
      </c>
      <c r="AC88" s="575">
        <f t="shared" si="73"/>
        <v>0</v>
      </c>
    </row>
    <row r="89" spans="1:29" s="420" customFormat="1" ht="16.899999999999999" customHeight="1" x14ac:dyDescent="0.2">
      <c r="A89" s="445">
        <v>3</v>
      </c>
      <c r="B89" s="464" t="s">
        <v>36</v>
      </c>
      <c r="C89" s="475" t="s">
        <v>134</v>
      </c>
      <c r="D89" s="501">
        <v>2000000</v>
      </c>
      <c r="E89" s="501"/>
      <c r="F89" s="501">
        <f>D89</f>
        <v>2000000</v>
      </c>
      <c r="G89" s="501"/>
      <c r="H89" s="501">
        <f>F89</f>
        <v>2000000</v>
      </c>
      <c r="I89" s="501"/>
      <c r="J89" s="362">
        <f>H89</f>
        <v>2000000</v>
      </c>
      <c r="K89" s="362"/>
      <c r="L89" s="362">
        <f>J89</f>
        <v>2000000</v>
      </c>
      <c r="M89" s="362"/>
      <c r="N89" s="362">
        <f>L89</f>
        <v>2000000</v>
      </c>
      <c r="O89" s="362"/>
      <c r="P89" s="501">
        <f>N89</f>
        <v>2000000</v>
      </c>
      <c r="Q89" s="501"/>
      <c r="R89" s="501">
        <f>P89</f>
        <v>2000000</v>
      </c>
      <c r="S89" s="501"/>
      <c r="T89" s="501">
        <f>R89</f>
        <v>2000000</v>
      </c>
      <c r="U89" s="501"/>
      <c r="V89" s="501">
        <f>T89</f>
        <v>2000000</v>
      </c>
      <c r="W89" s="501"/>
      <c r="X89" s="501">
        <f>V89</f>
        <v>2000000</v>
      </c>
      <c r="Y89" s="501"/>
      <c r="Z89" s="501">
        <f t="shared" ref="Z89" si="84">X89</f>
        <v>2000000</v>
      </c>
      <c r="AA89" s="501"/>
      <c r="AB89" s="467">
        <f t="shared" si="83"/>
        <v>24000000</v>
      </c>
      <c r="AC89" s="575">
        <f t="shared" si="73"/>
        <v>0</v>
      </c>
    </row>
    <row r="90" spans="1:29" s="420" customFormat="1" ht="16.899999999999999" customHeight="1" x14ac:dyDescent="0.2">
      <c r="A90" s="445">
        <v>4</v>
      </c>
      <c r="B90" s="464" t="s">
        <v>36</v>
      </c>
      <c r="C90" s="475" t="s">
        <v>135</v>
      </c>
      <c r="D90" s="468"/>
      <c r="E90" s="468"/>
      <c r="F90" s="468"/>
      <c r="G90" s="468"/>
      <c r="H90" s="468"/>
      <c r="I90" s="468"/>
      <c r="J90" s="348"/>
      <c r="K90" s="348"/>
      <c r="L90" s="348"/>
      <c r="M90" s="348"/>
      <c r="N90" s="348"/>
      <c r="O90" s="348"/>
      <c r="P90" s="468"/>
      <c r="Q90" s="468"/>
      <c r="R90" s="468"/>
      <c r="S90" s="468"/>
      <c r="T90" s="468"/>
      <c r="U90" s="468"/>
      <c r="V90" s="468">
        <v>107987600</v>
      </c>
      <c r="W90" s="468"/>
      <c r="X90" s="468"/>
      <c r="Y90" s="468"/>
      <c r="Z90" s="468"/>
      <c r="AA90" s="468"/>
      <c r="AB90" s="467">
        <f t="shared" si="83"/>
        <v>107987600</v>
      </c>
      <c r="AC90" s="575">
        <f t="shared" si="73"/>
        <v>0</v>
      </c>
    </row>
    <row r="91" spans="1:29" ht="16.899999999999999" customHeight="1" x14ac:dyDescent="0.2">
      <c r="A91" s="445">
        <v>5</v>
      </c>
      <c r="B91" s="464" t="s">
        <v>136</v>
      </c>
      <c r="C91" s="475" t="s">
        <v>137</v>
      </c>
      <c r="D91" s="501">
        <v>2000000</v>
      </c>
      <c r="E91" s="501"/>
      <c r="F91" s="501">
        <f>D91</f>
        <v>2000000</v>
      </c>
      <c r="G91" s="501"/>
      <c r="H91" s="501">
        <f>F91</f>
        <v>2000000</v>
      </c>
      <c r="I91" s="501"/>
      <c r="J91" s="362">
        <f>H91</f>
        <v>2000000</v>
      </c>
      <c r="K91" s="362"/>
      <c r="L91" s="362">
        <f>J91</f>
        <v>2000000</v>
      </c>
      <c r="M91" s="362"/>
      <c r="N91" s="362">
        <f>L91</f>
        <v>2000000</v>
      </c>
      <c r="O91" s="362"/>
      <c r="P91" s="501">
        <f>N91</f>
        <v>2000000</v>
      </c>
      <c r="Q91" s="501"/>
      <c r="R91" s="501">
        <f>P91</f>
        <v>2000000</v>
      </c>
      <c r="S91" s="501"/>
      <c r="T91" s="501">
        <f>R91</f>
        <v>2000000</v>
      </c>
      <c r="U91" s="501"/>
      <c r="V91" s="501">
        <f>T91</f>
        <v>2000000</v>
      </c>
      <c r="W91" s="501"/>
      <c r="X91" s="501">
        <f>V91</f>
        <v>2000000</v>
      </c>
      <c r="Y91" s="501"/>
      <c r="Z91" s="501">
        <f t="shared" ref="Z91" si="85">X91</f>
        <v>2000000</v>
      </c>
      <c r="AA91" s="501"/>
      <c r="AB91" s="467">
        <f t="shared" si="83"/>
        <v>24000000</v>
      </c>
      <c r="AC91" s="575">
        <f t="shared" si="73"/>
        <v>0</v>
      </c>
    </row>
    <row r="92" spans="1:29" ht="16.899999999999999" customHeight="1" x14ac:dyDescent="0.2">
      <c r="A92" s="445">
        <v>6</v>
      </c>
      <c r="B92" s="464" t="s">
        <v>138</v>
      </c>
      <c r="C92" s="475" t="s">
        <v>139</v>
      </c>
      <c r="D92" s="501">
        <v>500000</v>
      </c>
      <c r="E92" s="501"/>
      <c r="F92" s="501">
        <v>500000</v>
      </c>
      <c r="G92" s="501"/>
      <c r="H92" s="501">
        <v>500000</v>
      </c>
      <c r="I92" s="501"/>
      <c r="J92" s="362">
        <v>500000</v>
      </c>
      <c r="K92" s="362"/>
      <c r="L92" s="362">
        <v>500000</v>
      </c>
      <c r="M92" s="362"/>
      <c r="N92" s="362">
        <v>500000</v>
      </c>
      <c r="O92" s="362"/>
      <c r="P92" s="501">
        <v>500000</v>
      </c>
      <c r="Q92" s="501"/>
      <c r="R92" s="501">
        <v>500000</v>
      </c>
      <c r="S92" s="501"/>
      <c r="T92" s="501">
        <v>500000</v>
      </c>
      <c r="U92" s="501"/>
      <c r="V92" s="501">
        <v>500000</v>
      </c>
      <c r="W92" s="501"/>
      <c r="X92" s="501">
        <v>500000</v>
      </c>
      <c r="Y92" s="501"/>
      <c r="Z92" s="501">
        <v>500000</v>
      </c>
      <c r="AA92" s="501"/>
      <c r="AB92" s="467">
        <f t="shared" si="83"/>
        <v>6000000</v>
      </c>
      <c r="AC92" s="575">
        <f t="shared" si="73"/>
        <v>0</v>
      </c>
    </row>
    <row r="93" spans="1:29" s="420" customFormat="1" ht="16.899999999999999" customHeight="1" x14ac:dyDescent="0.2">
      <c r="A93" s="493"/>
      <c r="B93" s="464"/>
      <c r="C93" s="486" t="s">
        <v>140</v>
      </c>
      <c r="D93" s="494">
        <f t="shared" ref="D93:O93" si="86">SUM(D87:D92)</f>
        <v>11308000</v>
      </c>
      <c r="E93" s="494">
        <f t="shared" si="86"/>
        <v>0</v>
      </c>
      <c r="F93" s="494">
        <f t="shared" si="86"/>
        <v>22812000</v>
      </c>
      <c r="G93" s="494">
        <f t="shared" si="86"/>
        <v>0</v>
      </c>
      <c r="H93" s="494">
        <f t="shared" si="86"/>
        <v>4500000</v>
      </c>
      <c r="I93" s="494">
        <f t="shared" si="86"/>
        <v>0</v>
      </c>
      <c r="J93" s="358">
        <f t="shared" si="86"/>
        <v>4500000</v>
      </c>
      <c r="K93" s="358">
        <f t="shared" si="86"/>
        <v>0</v>
      </c>
      <c r="L93" s="358">
        <f t="shared" si="86"/>
        <v>12500000</v>
      </c>
      <c r="M93" s="358">
        <f t="shared" si="86"/>
        <v>0</v>
      </c>
      <c r="N93" s="358">
        <f t="shared" si="86"/>
        <v>16191000</v>
      </c>
      <c r="O93" s="358">
        <f t="shared" si="86"/>
        <v>0</v>
      </c>
      <c r="P93" s="494">
        <f t="shared" ref="P93:AB93" si="87">SUM(P87:P92)</f>
        <v>4500000</v>
      </c>
      <c r="Q93" s="494">
        <f t="shared" si="87"/>
        <v>0</v>
      </c>
      <c r="R93" s="494">
        <f t="shared" si="87"/>
        <v>14110000</v>
      </c>
      <c r="S93" s="494">
        <f t="shared" si="87"/>
        <v>0</v>
      </c>
      <c r="T93" s="494">
        <f t="shared" si="87"/>
        <v>4500000</v>
      </c>
      <c r="U93" s="494">
        <f t="shared" si="87"/>
        <v>0</v>
      </c>
      <c r="V93" s="494">
        <f t="shared" si="87"/>
        <v>112487600</v>
      </c>
      <c r="W93" s="494">
        <f t="shared" si="87"/>
        <v>0</v>
      </c>
      <c r="X93" s="494">
        <f t="shared" si="87"/>
        <v>4500000</v>
      </c>
      <c r="Y93" s="494">
        <f t="shared" si="87"/>
        <v>0</v>
      </c>
      <c r="Z93" s="494">
        <f t="shared" si="87"/>
        <v>4500000</v>
      </c>
      <c r="AA93" s="494">
        <f t="shared" si="87"/>
        <v>0</v>
      </c>
      <c r="AB93" s="494">
        <f t="shared" si="87"/>
        <v>216408600</v>
      </c>
      <c r="AC93" s="575">
        <f t="shared" si="73"/>
        <v>0</v>
      </c>
    </row>
    <row r="94" spans="1:29" s="444" customFormat="1" ht="16.899999999999999" customHeight="1" x14ac:dyDescent="0.2">
      <c r="A94" s="439">
        <v>1</v>
      </c>
      <c r="B94" s="464" t="s">
        <v>53</v>
      </c>
      <c r="C94" s="474" t="s">
        <v>141</v>
      </c>
      <c r="D94" s="468">
        <v>9332000</v>
      </c>
      <c r="E94" s="468"/>
      <c r="F94" s="468">
        <v>9332000</v>
      </c>
      <c r="G94" s="468"/>
      <c r="H94" s="468">
        <v>9332000</v>
      </c>
      <c r="I94" s="468"/>
      <c r="J94" s="348">
        <v>9332000</v>
      </c>
      <c r="K94" s="348"/>
      <c r="L94" s="348">
        <v>9332000</v>
      </c>
      <c r="M94" s="348"/>
      <c r="N94" s="348">
        <v>9332000</v>
      </c>
      <c r="O94" s="348"/>
      <c r="P94" s="468">
        <v>9332000</v>
      </c>
      <c r="Q94" s="468"/>
      <c r="R94" s="468">
        <v>9332000</v>
      </c>
      <c r="S94" s="468"/>
      <c r="T94" s="468">
        <v>9332000</v>
      </c>
      <c r="U94" s="468"/>
      <c r="V94" s="468">
        <v>9332000</v>
      </c>
      <c r="W94" s="468"/>
      <c r="X94" s="468">
        <v>9332000</v>
      </c>
      <c r="Y94" s="468"/>
      <c r="Z94" s="468">
        <v>9332000</v>
      </c>
      <c r="AA94" s="468"/>
      <c r="AB94" s="467">
        <f>Z94+X94+V94+T94+R94+P94+N94+L94+J94+H94+F94+D94</f>
        <v>111984000</v>
      </c>
      <c r="AC94" s="575">
        <f t="shared" si="73"/>
        <v>0</v>
      </c>
    </row>
    <row r="95" spans="1:29" s="444" customFormat="1" ht="16.899999999999999" customHeight="1" x14ac:dyDescent="0.2">
      <c r="A95" s="439">
        <v>2</v>
      </c>
      <c r="B95" s="464" t="s">
        <v>47</v>
      </c>
      <c r="C95" s="475" t="s">
        <v>111</v>
      </c>
      <c r="D95" s="468">
        <v>16000000</v>
      </c>
      <c r="E95" s="468"/>
      <c r="F95" s="468">
        <v>6000000</v>
      </c>
      <c r="G95" s="468"/>
      <c r="H95" s="468">
        <v>13500000</v>
      </c>
      <c r="I95" s="468"/>
      <c r="J95" s="348">
        <v>17500000</v>
      </c>
      <c r="K95" s="348"/>
      <c r="L95" s="348">
        <v>7000000</v>
      </c>
      <c r="M95" s="348"/>
      <c r="N95" s="348">
        <v>0</v>
      </c>
      <c r="O95" s="348"/>
      <c r="P95" s="468">
        <v>1000000</v>
      </c>
      <c r="Q95" s="468"/>
      <c r="R95" s="468">
        <v>12000000</v>
      </c>
      <c r="S95" s="468"/>
      <c r="T95" s="468">
        <v>2000000</v>
      </c>
      <c r="U95" s="468"/>
      <c r="V95" s="468">
        <v>0</v>
      </c>
      <c r="W95" s="468"/>
      <c r="X95" s="468">
        <v>2000000</v>
      </c>
      <c r="Y95" s="468"/>
      <c r="Z95" s="468">
        <v>0</v>
      </c>
      <c r="AA95" s="468"/>
      <c r="AB95" s="467">
        <f>Z95+X95+V95+T95+R95+P95+N95+L95+J95+H95+F95+D95</f>
        <v>77000000</v>
      </c>
      <c r="AC95" s="575">
        <f t="shared" si="73"/>
        <v>0</v>
      </c>
    </row>
    <row r="96" spans="1:29" s="420" customFormat="1" ht="16.899999999999999" customHeight="1" x14ac:dyDescent="0.2">
      <c r="A96" s="493"/>
      <c r="B96" s="464"/>
      <c r="C96" s="486" t="s">
        <v>142</v>
      </c>
      <c r="D96" s="487">
        <f t="shared" ref="D96:O96" si="88">SUM(D94:D95)</f>
        <v>25332000</v>
      </c>
      <c r="E96" s="487">
        <f t="shared" si="88"/>
        <v>0</v>
      </c>
      <c r="F96" s="487">
        <f t="shared" si="88"/>
        <v>15332000</v>
      </c>
      <c r="G96" s="487">
        <f t="shared" si="88"/>
        <v>0</v>
      </c>
      <c r="H96" s="487">
        <f t="shared" si="88"/>
        <v>22832000</v>
      </c>
      <c r="I96" s="487">
        <f t="shared" si="88"/>
        <v>0</v>
      </c>
      <c r="J96" s="355">
        <f t="shared" si="88"/>
        <v>26832000</v>
      </c>
      <c r="K96" s="355">
        <f t="shared" si="88"/>
        <v>0</v>
      </c>
      <c r="L96" s="355">
        <f t="shared" si="88"/>
        <v>16332000</v>
      </c>
      <c r="M96" s="355">
        <f t="shared" si="88"/>
        <v>0</v>
      </c>
      <c r="N96" s="355">
        <f t="shared" si="88"/>
        <v>9332000</v>
      </c>
      <c r="O96" s="355">
        <f t="shared" si="88"/>
        <v>0</v>
      </c>
      <c r="P96" s="487">
        <f t="shared" ref="P96:AB96" si="89">SUM(P94:P95)</f>
        <v>10332000</v>
      </c>
      <c r="Q96" s="487">
        <f t="shared" si="89"/>
        <v>0</v>
      </c>
      <c r="R96" s="487">
        <f t="shared" si="89"/>
        <v>21332000</v>
      </c>
      <c r="S96" s="487">
        <f t="shared" si="89"/>
        <v>0</v>
      </c>
      <c r="T96" s="487">
        <f t="shared" si="89"/>
        <v>11332000</v>
      </c>
      <c r="U96" s="487">
        <f t="shared" si="89"/>
        <v>0</v>
      </c>
      <c r="V96" s="487">
        <f t="shared" si="89"/>
        <v>9332000</v>
      </c>
      <c r="W96" s="487">
        <f t="shared" si="89"/>
        <v>0</v>
      </c>
      <c r="X96" s="487">
        <f t="shared" si="89"/>
        <v>11332000</v>
      </c>
      <c r="Y96" s="487">
        <f t="shared" si="89"/>
        <v>0</v>
      </c>
      <c r="Z96" s="487">
        <f t="shared" si="89"/>
        <v>9332000</v>
      </c>
      <c r="AA96" s="487">
        <f t="shared" si="89"/>
        <v>0</v>
      </c>
      <c r="AB96" s="487">
        <f t="shared" si="89"/>
        <v>188984000</v>
      </c>
      <c r="AC96" s="575">
        <f t="shared" si="73"/>
        <v>0</v>
      </c>
    </row>
    <row r="97" spans="1:29" s="444" customFormat="1" ht="16.899999999999999" customHeight="1" x14ac:dyDescent="0.2">
      <c r="A97" s="439">
        <v>1</v>
      </c>
      <c r="B97" s="464" t="s">
        <v>53</v>
      </c>
      <c r="C97" s="474" t="s">
        <v>311</v>
      </c>
      <c r="D97" s="468"/>
      <c r="E97" s="468"/>
      <c r="F97" s="468">
        <v>25000000</v>
      </c>
      <c r="G97" s="468"/>
      <c r="H97" s="468">
        <v>10000000</v>
      </c>
      <c r="I97" s="468"/>
      <c r="J97" s="348"/>
      <c r="K97" s="348"/>
      <c r="L97" s="348"/>
      <c r="M97" s="348"/>
      <c r="N97" s="348">
        <v>75000000</v>
      </c>
      <c r="O97" s="348"/>
      <c r="P97" s="468"/>
      <c r="Q97" s="468"/>
      <c r="R97" s="468"/>
      <c r="S97" s="468"/>
      <c r="T97" s="468">
        <v>1300000</v>
      </c>
      <c r="U97" s="468"/>
      <c r="V97" s="468">
        <v>6590000</v>
      </c>
      <c r="W97" s="468"/>
      <c r="X97" s="468">
        <v>19000000</v>
      </c>
      <c r="Y97" s="468"/>
      <c r="Z97" s="468">
        <v>0</v>
      </c>
      <c r="AA97" s="468"/>
      <c r="AB97" s="467">
        <f>Z97+X97+V97+T97+R97+P97+N97+L97+J97+H97+F97+D97</f>
        <v>136890000</v>
      </c>
      <c r="AC97" s="575">
        <f t="shared" si="73"/>
        <v>0</v>
      </c>
    </row>
    <row r="98" spans="1:29" s="444" customFormat="1" ht="16.899999999999999" customHeight="1" x14ac:dyDescent="0.2">
      <c r="A98" s="439">
        <v>2</v>
      </c>
      <c r="B98" s="464" t="s">
        <v>136</v>
      </c>
      <c r="C98" s="474" t="s">
        <v>146</v>
      </c>
      <c r="D98" s="468"/>
      <c r="F98" s="468"/>
      <c r="G98" s="468"/>
      <c r="H98" s="468"/>
      <c r="I98" s="468"/>
      <c r="J98" s="348"/>
      <c r="K98" s="348"/>
      <c r="L98" s="348"/>
      <c r="M98" s="348"/>
      <c r="N98" s="348"/>
      <c r="O98" s="348"/>
      <c r="P98" s="468"/>
      <c r="Q98" s="468">
        <v>42700000</v>
      </c>
      <c r="R98" s="468"/>
      <c r="S98" s="468"/>
      <c r="T98" s="468"/>
      <c r="U98" s="468"/>
      <c r="V98" s="468"/>
      <c r="W98" s="468"/>
      <c r="X98" s="468"/>
      <c r="Y98" s="468"/>
      <c r="Z98" s="468"/>
      <c r="AA98" s="468"/>
      <c r="AB98" s="467">
        <f>Z98+X98+V98+T98+R98+P98+N98+L98+J98+H98+F98+D98</f>
        <v>0</v>
      </c>
      <c r="AC98" s="575">
        <f t="shared" si="73"/>
        <v>42700000</v>
      </c>
    </row>
    <row r="99" spans="1:29" s="444" customFormat="1" ht="16.899999999999999" customHeight="1" x14ac:dyDescent="0.2">
      <c r="A99" s="439">
        <v>3</v>
      </c>
      <c r="B99" s="464" t="s">
        <v>36</v>
      </c>
      <c r="C99" s="474" t="s">
        <v>189</v>
      </c>
      <c r="D99" s="468"/>
      <c r="E99" s="468"/>
      <c r="F99" s="468"/>
      <c r="G99" s="468"/>
      <c r="H99" s="468"/>
      <c r="I99" s="468"/>
      <c r="J99" s="348"/>
      <c r="K99" s="348"/>
      <c r="L99" s="348"/>
      <c r="M99" s="348"/>
      <c r="N99" s="348"/>
      <c r="O99" s="348"/>
      <c r="P99" s="468"/>
      <c r="Q99" s="468"/>
      <c r="R99" s="468"/>
      <c r="S99" s="468"/>
      <c r="T99" s="468"/>
      <c r="U99" s="468"/>
      <c r="V99" s="468"/>
      <c r="W99" s="468"/>
      <c r="X99" s="468"/>
      <c r="Y99" s="468"/>
      <c r="Z99" s="468"/>
      <c r="AA99" s="468"/>
      <c r="AB99" s="467">
        <f>Z99+X99+V99+T99+R99+P99+N99+L99+J99+H99+F99+D99</f>
        <v>0</v>
      </c>
      <c r="AC99" s="575">
        <f t="shared" si="73"/>
        <v>0</v>
      </c>
    </row>
    <row r="100" spans="1:29" s="444" customFormat="1" ht="16.899999999999999" customHeight="1" x14ac:dyDescent="0.2">
      <c r="A100" s="439">
        <v>4</v>
      </c>
      <c r="B100" s="464" t="s">
        <v>47</v>
      </c>
      <c r="C100" s="475" t="s">
        <v>111</v>
      </c>
      <c r="D100" s="468">
        <v>16000000</v>
      </c>
      <c r="E100" s="468"/>
      <c r="F100" s="468">
        <v>6000000</v>
      </c>
      <c r="G100" s="468"/>
      <c r="H100" s="468">
        <v>13500000</v>
      </c>
      <c r="I100" s="495">
        <v>16750000</v>
      </c>
      <c r="J100" s="348">
        <v>17500000</v>
      </c>
      <c r="K100" s="348"/>
      <c r="L100" s="348">
        <v>7000000</v>
      </c>
      <c r="M100" s="348"/>
      <c r="N100" s="348">
        <v>0</v>
      </c>
      <c r="O100" s="348"/>
      <c r="P100" s="468">
        <v>1000000</v>
      </c>
      <c r="Q100" s="468"/>
      <c r="R100" s="468">
        <v>12000000</v>
      </c>
      <c r="S100" s="468"/>
      <c r="T100" s="468">
        <v>2000000</v>
      </c>
      <c r="U100" s="468"/>
      <c r="V100" s="468">
        <v>0</v>
      </c>
      <c r="W100" s="468"/>
      <c r="X100" s="468">
        <v>2000000</v>
      </c>
      <c r="Y100" s="468"/>
      <c r="Z100" s="468">
        <v>0</v>
      </c>
      <c r="AA100" s="468"/>
      <c r="AB100" s="467">
        <f>Z100+X100+V100+T100+R100+P100+N100+L100+J100+H100+F100+D100</f>
        <v>77000000</v>
      </c>
      <c r="AC100" s="575">
        <f t="shared" si="73"/>
        <v>16750000</v>
      </c>
    </row>
    <row r="101" spans="1:29" s="420" customFormat="1" ht="16.899999999999999" customHeight="1" x14ac:dyDescent="0.2">
      <c r="A101" s="493"/>
      <c r="B101" s="464"/>
      <c r="C101" s="486" t="s">
        <v>143</v>
      </c>
      <c r="D101" s="487">
        <f t="shared" ref="D101:AB101" si="90">SUM(D97:D100)</f>
        <v>16000000</v>
      </c>
      <c r="E101" s="487">
        <f t="shared" si="90"/>
        <v>0</v>
      </c>
      <c r="F101" s="487">
        <f t="shared" si="90"/>
        <v>31000000</v>
      </c>
      <c r="G101" s="487">
        <f t="shared" si="90"/>
        <v>0</v>
      </c>
      <c r="H101" s="487">
        <f t="shared" si="90"/>
        <v>23500000</v>
      </c>
      <c r="I101" s="487">
        <f t="shared" si="90"/>
        <v>16750000</v>
      </c>
      <c r="J101" s="355">
        <f t="shared" si="90"/>
        <v>17500000</v>
      </c>
      <c r="K101" s="355">
        <f t="shared" si="90"/>
        <v>0</v>
      </c>
      <c r="L101" s="355">
        <f t="shared" si="90"/>
        <v>7000000</v>
      </c>
      <c r="M101" s="355">
        <f t="shared" si="90"/>
        <v>0</v>
      </c>
      <c r="N101" s="355">
        <f t="shared" si="90"/>
        <v>75000000</v>
      </c>
      <c r="O101" s="355">
        <f t="shared" si="90"/>
        <v>0</v>
      </c>
      <c r="P101" s="487">
        <f t="shared" si="90"/>
        <v>1000000</v>
      </c>
      <c r="Q101" s="487">
        <f t="shared" si="90"/>
        <v>42700000</v>
      </c>
      <c r="R101" s="487">
        <f t="shared" si="90"/>
        <v>12000000</v>
      </c>
      <c r="S101" s="487">
        <f t="shared" si="90"/>
        <v>0</v>
      </c>
      <c r="T101" s="487">
        <f t="shared" si="90"/>
        <v>3300000</v>
      </c>
      <c r="U101" s="487">
        <f t="shared" si="90"/>
        <v>0</v>
      </c>
      <c r="V101" s="487">
        <f t="shared" si="90"/>
        <v>6590000</v>
      </c>
      <c r="W101" s="487">
        <f t="shared" si="90"/>
        <v>0</v>
      </c>
      <c r="X101" s="487">
        <f t="shared" si="90"/>
        <v>21000000</v>
      </c>
      <c r="Y101" s="487">
        <f t="shared" si="90"/>
        <v>0</v>
      </c>
      <c r="Z101" s="487">
        <f t="shared" si="90"/>
        <v>0</v>
      </c>
      <c r="AA101" s="487">
        <f t="shared" si="90"/>
        <v>0</v>
      </c>
      <c r="AB101" s="487">
        <f t="shared" si="90"/>
        <v>213890000</v>
      </c>
      <c r="AC101" s="575">
        <f t="shared" si="73"/>
        <v>59450000</v>
      </c>
    </row>
    <row r="102" spans="1:29" ht="16.899999999999999" customHeight="1" x14ac:dyDescent="0.2">
      <c r="A102" s="445">
        <v>1</v>
      </c>
      <c r="B102" s="464" t="s">
        <v>53</v>
      </c>
      <c r="C102" s="475" t="s">
        <v>84</v>
      </c>
      <c r="D102" s="468">
        <v>1900000</v>
      </c>
      <c r="E102" s="468"/>
      <c r="F102" s="468">
        <f>D102</f>
        <v>1900000</v>
      </c>
      <c r="G102" s="468"/>
      <c r="H102" s="468">
        <f>F102</f>
        <v>1900000</v>
      </c>
      <c r="I102" s="468"/>
      <c r="J102" s="348">
        <f>H102</f>
        <v>1900000</v>
      </c>
      <c r="K102" s="348"/>
      <c r="L102" s="348">
        <f>J102</f>
        <v>1900000</v>
      </c>
      <c r="M102" s="348"/>
      <c r="N102" s="348">
        <f>L102</f>
        <v>1900000</v>
      </c>
      <c r="O102" s="348"/>
      <c r="P102" s="468">
        <f>N102</f>
        <v>1900000</v>
      </c>
      <c r="Q102" s="468"/>
      <c r="R102" s="468">
        <f>P102</f>
        <v>1900000</v>
      </c>
      <c r="S102" s="468"/>
      <c r="T102" s="468">
        <f>R102</f>
        <v>1900000</v>
      </c>
      <c r="U102" s="468"/>
      <c r="V102" s="468">
        <f>T102</f>
        <v>1900000</v>
      </c>
      <c r="W102" s="468"/>
      <c r="X102" s="468">
        <f>V102</f>
        <v>1900000</v>
      </c>
      <c r="Y102" s="468"/>
      <c r="Z102" s="468">
        <f t="shared" ref="Z102" si="91">X102</f>
        <v>1900000</v>
      </c>
      <c r="AA102" s="468"/>
      <c r="AB102" s="467">
        <f t="shared" ref="AB102:AB107" si="92">Z102+X102+V102+T102+R102+P102+N102+L102+J102+H102+F102+D102</f>
        <v>22800000</v>
      </c>
      <c r="AC102" s="575">
        <f t="shared" ref="AC102:AC138" si="93">E102+G102+I102+K102+M102+O102+Q102+S102+U102+W102+Y102+AA102</f>
        <v>0</v>
      </c>
    </row>
    <row r="103" spans="1:29" ht="16.899999999999999" customHeight="1" x14ac:dyDescent="0.2">
      <c r="A103" s="445">
        <v>2</v>
      </c>
      <c r="B103" s="464" t="s">
        <v>144</v>
      </c>
      <c r="C103" s="474" t="s">
        <v>145</v>
      </c>
      <c r="D103" s="468">
        <v>12000000</v>
      </c>
      <c r="E103" s="468">
        <v>10692873.720000001</v>
      </c>
      <c r="F103" s="468">
        <f>D103</f>
        <v>12000000</v>
      </c>
      <c r="G103" s="468">
        <v>9532950.0800000001</v>
      </c>
      <c r="H103" s="468">
        <f>F103</f>
        <v>12000000</v>
      </c>
      <c r="I103" s="468">
        <v>6444787.0599999996</v>
      </c>
      <c r="J103" s="348">
        <f>H103</f>
        <v>12000000</v>
      </c>
      <c r="K103" s="348">
        <v>15846474</v>
      </c>
      <c r="L103" s="348">
        <f>J103</f>
        <v>12000000</v>
      </c>
      <c r="M103" s="348">
        <v>10257385</v>
      </c>
      <c r="N103" s="348">
        <f>L103</f>
        <v>12000000</v>
      </c>
      <c r="O103" s="348">
        <v>8970729</v>
      </c>
      <c r="P103" s="468">
        <f>N103</f>
        <v>12000000</v>
      </c>
      <c r="Q103" s="468">
        <v>30854900</v>
      </c>
      <c r="R103" s="468">
        <f>P103</f>
        <v>12000000</v>
      </c>
      <c r="S103" s="468">
        <v>41250600</v>
      </c>
      <c r="T103" s="468">
        <f>R103</f>
        <v>12000000</v>
      </c>
      <c r="U103" s="468">
        <v>20334612</v>
      </c>
      <c r="V103" s="468">
        <f>T103</f>
        <v>12000000</v>
      </c>
      <c r="W103" s="468">
        <v>7500000</v>
      </c>
      <c r="X103" s="468">
        <f>V103</f>
        <v>12000000</v>
      </c>
      <c r="Y103" s="468">
        <v>7910300</v>
      </c>
      <c r="Z103" s="468">
        <f t="shared" ref="Z103" si="94">X103</f>
        <v>12000000</v>
      </c>
      <c r="AA103" s="468">
        <v>8450700</v>
      </c>
      <c r="AB103" s="467">
        <f t="shared" si="92"/>
        <v>144000000</v>
      </c>
      <c r="AC103" s="575">
        <f t="shared" si="93"/>
        <v>178046310.86000001</v>
      </c>
    </row>
    <row r="104" spans="1:29" ht="16.899999999999999" customHeight="1" x14ac:dyDescent="0.2">
      <c r="A104" s="445">
        <v>3</v>
      </c>
      <c r="B104" s="464" t="s">
        <v>73</v>
      </c>
      <c r="C104" s="475" t="s">
        <v>74</v>
      </c>
      <c r="D104" s="468"/>
      <c r="E104" s="468"/>
      <c r="F104" s="468"/>
      <c r="G104" s="468"/>
      <c r="H104" s="468"/>
      <c r="I104" s="468"/>
      <c r="J104" s="348"/>
      <c r="K104" s="348"/>
      <c r="L104" s="348"/>
      <c r="M104" s="348"/>
      <c r="N104" s="348"/>
      <c r="O104" s="348"/>
      <c r="P104" s="468"/>
      <c r="Q104" s="468"/>
      <c r="R104" s="468"/>
      <c r="S104" s="468"/>
      <c r="T104" s="468"/>
      <c r="U104" s="468"/>
      <c r="V104" s="468"/>
      <c r="W104" s="468"/>
      <c r="X104" s="468"/>
      <c r="Y104" s="468"/>
      <c r="Z104" s="468"/>
      <c r="AA104" s="468"/>
      <c r="AB104" s="467">
        <f t="shared" si="92"/>
        <v>0</v>
      </c>
      <c r="AC104" s="575">
        <f t="shared" si="93"/>
        <v>0</v>
      </c>
    </row>
    <row r="105" spans="1:29" s="444" customFormat="1" ht="16.5" customHeight="1" x14ac:dyDescent="0.2">
      <c r="A105" s="445">
        <v>4</v>
      </c>
      <c r="B105" s="464" t="s">
        <v>47</v>
      </c>
      <c r="C105" s="475" t="s">
        <v>111</v>
      </c>
      <c r="D105" s="468">
        <v>3000000</v>
      </c>
      <c r="E105" s="468"/>
      <c r="F105" s="468">
        <f>D105</f>
        <v>3000000</v>
      </c>
      <c r="G105" s="468"/>
      <c r="H105" s="468">
        <f>F105</f>
        <v>3000000</v>
      </c>
      <c r="I105" s="468"/>
      <c r="J105" s="348">
        <f>H105</f>
        <v>3000000</v>
      </c>
      <c r="K105" s="348"/>
      <c r="L105" s="348">
        <f>J105</f>
        <v>3000000</v>
      </c>
      <c r="M105" s="348"/>
      <c r="N105" s="348">
        <f>L105</f>
        <v>3000000</v>
      </c>
      <c r="O105" s="348"/>
      <c r="P105" s="468">
        <f>N105</f>
        <v>3000000</v>
      </c>
      <c r="Q105" s="468"/>
      <c r="R105" s="468">
        <f>P105</f>
        <v>3000000</v>
      </c>
      <c r="S105" s="468"/>
      <c r="T105" s="468">
        <f>R105</f>
        <v>3000000</v>
      </c>
      <c r="U105" s="468"/>
      <c r="V105" s="468">
        <f>T105</f>
        <v>3000000</v>
      </c>
      <c r="W105" s="468"/>
      <c r="X105" s="468">
        <f>V105</f>
        <v>3000000</v>
      </c>
      <c r="Y105" s="468">
        <v>1800000</v>
      </c>
      <c r="Z105" s="468">
        <f t="shared" ref="Z105" si="95">X105</f>
        <v>3000000</v>
      </c>
      <c r="AA105" s="468"/>
      <c r="AB105" s="467">
        <f t="shared" si="92"/>
        <v>36000000</v>
      </c>
      <c r="AC105" s="575">
        <f t="shared" si="93"/>
        <v>1800000</v>
      </c>
    </row>
    <row r="106" spans="1:29" ht="16.899999999999999" customHeight="1" x14ac:dyDescent="0.2">
      <c r="A106" s="445">
        <v>5</v>
      </c>
      <c r="B106" s="464" t="s">
        <v>136</v>
      </c>
      <c r="C106" s="474" t="s">
        <v>146</v>
      </c>
      <c r="D106" s="468">
        <v>25000000</v>
      </c>
      <c r="E106" s="468">
        <v>47500000</v>
      </c>
      <c r="F106" s="468"/>
      <c r="G106" s="468"/>
      <c r="H106" s="468"/>
      <c r="I106" s="468">
        <v>18300000</v>
      </c>
      <c r="J106" s="348"/>
      <c r="K106" s="348"/>
      <c r="L106" s="348"/>
      <c r="M106" s="348"/>
      <c r="N106" s="348"/>
      <c r="O106" s="62"/>
      <c r="P106" s="468">
        <v>25000000</v>
      </c>
      <c r="Q106" s="468"/>
      <c r="R106" s="468"/>
      <c r="S106" s="468"/>
      <c r="T106" s="468"/>
      <c r="U106" s="468"/>
      <c r="V106" s="468"/>
      <c r="W106" s="468"/>
      <c r="X106" s="468"/>
      <c r="Y106" s="468"/>
      <c r="Z106" s="468"/>
      <c r="AA106" s="468"/>
      <c r="AB106" s="467">
        <f t="shared" si="92"/>
        <v>50000000</v>
      </c>
      <c r="AC106" s="575">
        <f t="shared" si="93"/>
        <v>65800000</v>
      </c>
    </row>
    <row r="107" spans="1:29" ht="16.899999999999999" customHeight="1" x14ac:dyDescent="0.2">
      <c r="A107" s="445">
        <v>6</v>
      </c>
      <c r="B107" s="464" t="s">
        <v>147</v>
      </c>
      <c r="C107" s="475" t="s">
        <v>148</v>
      </c>
      <c r="D107" s="468"/>
      <c r="E107" s="468"/>
      <c r="F107" s="468"/>
      <c r="G107" s="468"/>
      <c r="H107" s="468"/>
      <c r="I107" s="468"/>
      <c r="J107" s="348"/>
      <c r="K107" s="348"/>
      <c r="L107" s="348"/>
      <c r="M107" s="348"/>
      <c r="N107" s="348"/>
      <c r="O107" s="348"/>
      <c r="P107" s="468"/>
      <c r="Q107" s="468"/>
      <c r="R107" s="468"/>
      <c r="S107" s="468"/>
      <c r="T107" s="468"/>
      <c r="U107" s="468"/>
      <c r="V107" s="468"/>
      <c r="W107" s="468"/>
      <c r="X107" s="468"/>
      <c r="Y107" s="468"/>
      <c r="Z107" s="468"/>
      <c r="AA107" s="468"/>
      <c r="AB107" s="467">
        <f t="shared" si="92"/>
        <v>0</v>
      </c>
      <c r="AC107" s="575">
        <f t="shared" si="93"/>
        <v>0</v>
      </c>
    </row>
    <row r="108" spans="1:29" s="420" customFormat="1" ht="16.899999999999999" customHeight="1" x14ac:dyDescent="0.2">
      <c r="A108" s="493"/>
      <c r="B108" s="440"/>
      <c r="C108" s="486" t="s">
        <v>149</v>
      </c>
      <c r="D108" s="494">
        <f t="shared" ref="D108:O108" si="96">SUM(D102:D107)</f>
        <v>41900000</v>
      </c>
      <c r="E108" s="494">
        <f t="shared" si="96"/>
        <v>58192873.719999999</v>
      </c>
      <c r="F108" s="494">
        <f t="shared" si="96"/>
        <v>16900000</v>
      </c>
      <c r="G108" s="494">
        <f t="shared" si="96"/>
        <v>9532950.0800000001</v>
      </c>
      <c r="H108" s="494">
        <f t="shared" si="96"/>
        <v>16900000</v>
      </c>
      <c r="I108" s="494">
        <f t="shared" si="96"/>
        <v>24744787.059999999</v>
      </c>
      <c r="J108" s="358">
        <f t="shared" si="96"/>
        <v>16900000</v>
      </c>
      <c r="K108" s="358">
        <f t="shared" si="96"/>
        <v>15846474</v>
      </c>
      <c r="L108" s="358">
        <f t="shared" si="96"/>
        <v>16900000</v>
      </c>
      <c r="M108" s="358">
        <f t="shared" si="96"/>
        <v>10257385</v>
      </c>
      <c r="N108" s="358">
        <f t="shared" si="96"/>
        <v>16900000</v>
      </c>
      <c r="O108" s="358">
        <f t="shared" si="96"/>
        <v>8970729</v>
      </c>
      <c r="P108" s="494">
        <f t="shared" ref="P108:AB108" si="97">SUM(P102:P107)</f>
        <v>41900000</v>
      </c>
      <c r="Q108" s="494">
        <f t="shared" si="97"/>
        <v>30854900</v>
      </c>
      <c r="R108" s="494">
        <f t="shared" si="97"/>
        <v>16900000</v>
      </c>
      <c r="S108" s="494">
        <f t="shared" si="97"/>
        <v>41250600</v>
      </c>
      <c r="T108" s="494">
        <f t="shared" si="97"/>
        <v>16900000</v>
      </c>
      <c r="U108" s="494">
        <f t="shared" si="97"/>
        <v>20334612</v>
      </c>
      <c r="V108" s="494">
        <f t="shared" si="97"/>
        <v>16900000</v>
      </c>
      <c r="W108" s="494">
        <f t="shared" si="97"/>
        <v>7500000</v>
      </c>
      <c r="X108" s="494">
        <f t="shared" si="97"/>
        <v>16900000</v>
      </c>
      <c r="Y108" s="494">
        <f t="shared" si="97"/>
        <v>9710300</v>
      </c>
      <c r="Z108" s="494">
        <f t="shared" si="97"/>
        <v>16900000</v>
      </c>
      <c r="AA108" s="494">
        <f t="shared" si="97"/>
        <v>8450700</v>
      </c>
      <c r="AB108" s="494">
        <f t="shared" si="97"/>
        <v>252800000</v>
      </c>
      <c r="AC108" s="575">
        <f t="shared" si="93"/>
        <v>245646310.86000001</v>
      </c>
    </row>
    <row r="109" spans="1:29" ht="16.899999999999999" customHeight="1" x14ac:dyDescent="0.2">
      <c r="A109" s="445">
        <v>1</v>
      </c>
      <c r="B109" s="464" t="s">
        <v>21</v>
      </c>
      <c r="C109" s="475" t="s">
        <v>150</v>
      </c>
      <c r="D109" s="468">
        <f>+'AND 1 (2012)'!D107</f>
        <v>161012771</v>
      </c>
      <c r="E109" s="468"/>
      <c r="F109" s="468">
        <f>D109</f>
        <v>161012771</v>
      </c>
      <c r="G109" s="468"/>
      <c r="H109" s="468">
        <f t="shared" ref="H109:H118" si="98">F109</f>
        <v>161012771</v>
      </c>
      <c r="I109" s="468"/>
      <c r="J109" s="348">
        <f t="shared" ref="J109:J118" si="99">H109</f>
        <v>161012771</v>
      </c>
      <c r="K109" s="348"/>
      <c r="L109" s="348">
        <f t="shared" ref="L109:L118" si="100">J109</f>
        <v>161012771</v>
      </c>
      <c r="M109" s="348"/>
      <c r="N109" s="348">
        <f t="shared" ref="N109:N118" si="101">L109</f>
        <v>161012771</v>
      </c>
      <c r="O109" s="348"/>
      <c r="P109" s="468">
        <f t="shared" ref="P109:P118" si="102">N109</f>
        <v>161012771</v>
      </c>
      <c r="Q109" s="468"/>
      <c r="R109" s="468">
        <f>P109*2.5</f>
        <v>402531927.5</v>
      </c>
      <c r="S109" s="468"/>
      <c r="T109" s="468">
        <f>P109</f>
        <v>161012771</v>
      </c>
      <c r="U109" s="468"/>
      <c r="V109" s="468">
        <f t="shared" ref="V109:V118" si="103">T109</f>
        <v>161012771</v>
      </c>
      <c r="W109" s="468"/>
      <c r="X109" s="468">
        <f t="shared" ref="X109" si="104">V109</f>
        <v>161012771</v>
      </c>
      <c r="Y109" s="468"/>
      <c r="Z109" s="468">
        <f>X109*2</f>
        <v>322025542</v>
      </c>
      <c r="AA109" s="468"/>
      <c r="AB109" s="467">
        <f t="shared" ref="AB109:AB118" si="105">Z109+X109+V109+T109+R109+P109+N109+L109+J109+H109+F109+D109</f>
        <v>2334685179.5</v>
      </c>
      <c r="AC109" s="575">
        <f t="shared" si="93"/>
        <v>0</v>
      </c>
    </row>
    <row r="110" spans="1:29" ht="16.899999999999999" customHeight="1" x14ac:dyDescent="0.2">
      <c r="A110" s="445">
        <v>2</v>
      </c>
      <c r="B110" s="444" t="s">
        <v>33</v>
      </c>
      <c r="C110" s="475" t="s">
        <v>151</v>
      </c>
      <c r="D110" s="468">
        <v>12798501</v>
      </c>
      <c r="E110" s="468">
        <v>33551386</v>
      </c>
      <c r="F110" s="468">
        <f>D110</f>
        <v>12798501</v>
      </c>
      <c r="G110" s="468">
        <v>21349000</v>
      </c>
      <c r="H110" s="468">
        <f t="shared" si="98"/>
        <v>12798501</v>
      </c>
      <c r="I110" s="468">
        <v>9597000</v>
      </c>
      <c r="J110" s="348">
        <f t="shared" si="99"/>
        <v>12798501</v>
      </c>
      <c r="K110" s="348">
        <v>45379681</v>
      </c>
      <c r="L110" s="348">
        <f t="shared" si="100"/>
        <v>12798501</v>
      </c>
      <c r="M110" s="348">
        <v>78993594</v>
      </c>
      <c r="N110" s="348">
        <f t="shared" si="101"/>
        <v>12798501</v>
      </c>
      <c r="O110" s="348">
        <v>132675696</v>
      </c>
      <c r="P110" s="468">
        <f t="shared" si="102"/>
        <v>12798501</v>
      </c>
      <c r="Q110" s="468"/>
      <c r="R110" s="468">
        <f t="shared" ref="R110:R118" si="106">P110</f>
        <v>12798501</v>
      </c>
      <c r="S110" s="468"/>
      <c r="T110" s="468">
        <f t="shared" ref="T110:T118" si="107">R110</f>
        <v>12798501</v>
      </c>
      <c r="U110" s="468"/>
      <c r="V110" s="468">
        <f t="shared" si="103"/>
        <v>12798501</v>
      </c>
      <c r="W110" s="468"/>
      <c r="X110" s="468">
        <f t="shared" ref="X110:X118" si="108">V110</f>
        <v>12798501</v>
      </c>
      <c r="Y110" s="468"/>
      <c r="Z110" s="468">
        <f t="shared" ref="Z110" si="109">X110</f>
        <v>12798501</v>
      </c>
      <c r="AA110" s="468"/>
      <c r="AB110" s="467">
        <f t="shared" si="105"/>
        <v>153582012</v>
      </c>
      <c r="AC110" s="575">
        <f t="shared" si="93"/>
        <v>321546357</v>
      </c>
    </row>
    <row r="111" spans="1:29" ht="16.899999999999999" customHeight="1" x14ac:dyDescent="0.2">
      <c r="A111" s="445">
        <v>3</v>
      </c>
      <c r="B111" s="464" t="s">
        <v>53</v>
      </c>
      <c r="C111" s="475" t="s">
        <v>84</v>
      </c>
      <c r="D111" s="468">
        <v>10000000</v>
      </c>
      <c r="E111" s="468"/>
      <c r="F111" s="468">
        <f>D111</f>
        <v>10000000</v>
      </c>
      <c r="G111" s="468"/>
      <c r="H111" s="468">
        <f t="shared" si="98"/>
        <v>10000000</v>
      </c>
      <c r="I111" s="468">
        <v>3142100</v>
      </c>
      <c r="J111" s="348">
        <f t="shared" si="99"/>
        <v>10000000</v>
      </c>
      <c r="K111" s="348"/>
      <c r="L111" s="348">
        <f t="shared" si="100"/>
        <v>10000000</v>
      </c>
      <c r="M111" s="348"/>
      <c r="N111" s="348">
        <f t="shared" si="101"/>
        <v>10000000</v>
      </c>
      <c r="O111" s="348"/>
      <c r="P111" s="468">
        <f t="shared" si="102"/>
        <v>10000000</v>
      </c>
      <c r="Q111" s="468"/>
      <c r="R111" s="468">
        <f t="shared" si="106"/>
        <v>10000000</v>
      </c>
      <c r="S111" s="468"/>
      <c r="T111" s="468">
        <f t="shared" si="107"/>
        <v>10000000</v>
      </c>
      <c r="U111" s="468"/>
      <c r="V111" s="468">
        <f t="shared" si="103"/>
        <v>10000000</v>
      </c>
      <c r="W111" s="468">
        <v>97860000</v>
      </c>
      <c r="X111" s="468">
        <f t="shared" si="108"/>
        <v>10000000</v>
      </c>
      <c r="Y111" s="468">
        <v>54780000</v>
      </c>
      <c r="Z111" s="468">
        <f t="shared" ref="Z111" si="110">X111</f>
        <v>10000000</v>
      </c>
      <c r="AA111" s="468">
        <v>94500000</v>
      </c>
      <c r="AB111" s="467">
        <f t="shared" si="105"/>
        <v>120000000</v>
      </c>
      <c r="AC111" s="575">
        <f t="shared" si="93"/>
        <v>250282100</v>
      </c>
    </row>
    <row r="112" spans="1:29" ht="16.899999999999999" customHeight="1" x14ac:dyDescent="0.2">
      <c r="A112" s="445">
        <v>4</v>
      </c>
      <c r="B112" s="476" t="s">
        <v>85</v>
      </c>
      <c r="C112" s="475" t="s">
        <v>86</v>
      </c>
      <c r="D112" s="468">
        <v>124388500</v>
      </c>
      <c r="E112" s="468">
        <v>23158352</v>
      </c>
      <c r="F112" s="468">
        <v>16500000</v>
      </c>
      <c r="G112" s="468">
        <v>119816351.91</v>
      </c>
      <c r="H112" s="468">
        <f t="shared" si="98"/>
        <v>16500000</v>
      </c>
      <c r="I112" s="468">
        <v>39705967.409999996</v>
      </c>
      <c r="J112" s="348">
        <f t="shared" si="99"/>
        <v>16500000</v>
      </c>
      <c r="K112" s="348">
        <v>78769198</v>
      </c>
      <c r="L112" s="348">
        <f t="shared" si="100"/>
        <v>16500000</v>
      </c>
      <c r="M112" s="348">
        <v>130314960</v>
      </c>
      <c r="N112" s="348">
        <f t="shared" si="101"/>
        <v>16500000</v>
      </c>
      <c r="O112" s="348">
        <v>39394779</v>
      </c>
      <c r="P112" s="468">
        <f t="shared" si="102"/>
        <v>16500000</v>
      </c>
      <c r="Q112" s="468"/>
      <c r="R112" s="468">
        <f t="shared" si="106"/>
        <v>16500000</v>
      </c>
      <c r="S112" s="468"/>
      <c r="T112" s="468">
        <f t="shared" si="107"/>
        <v>16500000</v>
      </c>
      <c r="U112" s="468"/>
      <c r="V112" s="468">
        <f t="shared" si="103"/>
        <v>16500000</v>
      </c>
      <c r="W112" s="468">
        <v>42170880</v>
      </c>
      <c r="X112" s="468">
        <f t="shared" si="108"/>
        <v>16500000</v>
      </c>
      <c r="Y112" s="468">
        <v>67890000</v>
      </c>
      <c r="Z112" s="468">
        <f t="shared" ref="Z112" si="111">X112</f>
        <v>16500000</v>
      </c>
      <c r="AA112" s="468">
        <v>113570900</v>
      </c>
      <c r="AB112" s="467">
        <f t="shared" si="105"/>
        <v>305888500</v>
      </c>
      <c r="AC112" s="575">
        <f t="shared" si="93"/>
        <v>654791388.31999993</v>
      </c>
    </row>
    <row r="113" spans="1:29" ht="16.899999999999999" customHeight="1" x14ac:dyDescent="0.2">
      <c r="A113" s="445">
        <v>5</v>
      </c>
      <c r="B113" s="464" t="s">
        <v>129</v>
      </c>
      <c r="C113" s="475" t="s">
        <v>152</v>
      </c>
      <c r="D113" s="468">
        <v>3750000</v>
      </c>
      <c r="E113" s="468">
        <v>100000</v>
      </c>
      <c r="F113" s="468">
        <f t="shared" ref="F113:F118" si="112">D113</f>
        <v>3750000</v>
      </c>
      <c r="G113" s="468"/>
      <c r="H113" s="468">
        <f t="shared" si="98"/>
        <v>3750000</v>
      </c>
      <c r="I113" s="468"/>
      <c r="J113" s="348">
        <f t="shared" si="99"/>
        <v>3750000</v>
      </c>
      <c r="K113" s="348"/>
      <c r="L113" s="348">
        <f t="shared" si="100"/>
        <v>3750000</v>
      </c>
      <c r="M113" s="348"/>
      <c r="N113" s="348">
        <f t="shared" si="101"/>
        <v>3750000</v>
      </c>
      <c r="O113" s="348"/>
      <c r="P113" s="468">
        <f t="shared" si="102"/>
        <v>3750000</v>
      </c>
      <c r="Q113" s="468"/>
      <c r="R113" s="468">
        <f t="shared" si="106"/>
        <v>3750000</v>
      </c>
      <c r="S113" s="468"/>
      <c r="T113" s="468">
        <f t="shared" si="107"/>
        <v>3750000</v>
      </c>
      <c r="U113" s="468"/>
      <c r="V113" s="468">
        <f t="shared" si="103"/>
        <v>3750000</v>
      </c>
      <c r="W113" s="468">
        <v>7185600</v>
      </c>
      <c r="X113" s="468">
        <f t="shared" si="108"/>
        <v>3750000</v>
      </c>
      <c r="Y113" s="468">
        <v>16540000</v>
      </c>
      <c r="Z113" s="468">
        <f t="shared" ref="Z113:Z118" si="113">X113</f>
        <v>3750000</v>
      </c>
      <c r="AA113" s="468">
        <v>9450600</v>
      </c>
      <c r="AB113" s="467">
        <f t="shared" si="105"/>
        <v>45000000</v>
      </c>
      <c r="AC113" s="575">
        <f t="shared" si="93"/>
        <v>33276200</v>
      </c>
    </row>
    <row r="114" spans="1:29" ht="16.899999999999999" customHeight="1" x14ac:dyDescent="0.2">
      <c r="A114" s="445">
        <v>6</v>
      </c>
      <c r="B114" s="464" t="s">
        <v>153</v>
      </c>
      <c r="C114" s="475" t="s">
        <v>154</v>
      </c>
      <c r="D114" s="468">
        <v>31235137.5</v>
      </c>
      <c r="E114" s="468"/>
      <c r="F114" s="468">
        <f t="shared" si="112"/>
        <v>31235137.5</v>
      </c>
      <c r="G114" s="468"/>
      <c r="H114" s="468">
        <f t="shared" si="98"/>
        <v>31235137.5</v>
      </c>
      <c r="I114" s="468"/>
      <c r="J114" s="348">
        <f t="shared" si="99"/>
        <v>31235137.5</v>
      </c>
      <c r="K114" s="348">
        <f>719351000-233976000-291390000-154000000</f>
        <v>39985000</v>
      </c>
      <c r="L114" s="348">
        <f t="shared" si="100"/>
        <v>31235137.5</v>
      </c>
      <c r="M114" s="348">
        <f>855315800-235296600-525034200</f>
        <v>94985000</v>
      </c>
      <c r="N114" s="348">
        <f t="shared" si="101"/>
        <v>31235137.5</v>
      </c>
      <c r="O114" s="348">
        <f>629123500-536358500-77785000</f>
        <v>14980000</v>
      </c>
      <c r="P114" s="468">
        <f t="shared" si="102"/>
        <v>31235137.5</v>
      </c>
      <c r="Q114" s="468">
        <v>374432500</v>
      </c>
      <c r="R114" s="468">
        <f t="shared" si="106"/>
        <v>31235137.5</v>
      </c>
      <c r="S114" s="468">
        <v>374432500</v>
      </c>
      <c r="T114" s="468">
        <f t="shared" si="107"/>
        <v>31235137.5</v>
      </c>
      <c r="U114" s="468">
        <v>374432500</v>
      </c>
      <c r="V114" s="468">
        <f t="shared" si="103"/>
        <v>31235137.5</v>
      </c>
      <c r="W114" s="468">
        <v>213450000</v>
      </c>
      <c r="X114" s="468">
        <f t="shared" si="108"/>
        <v>31235137.5</v>
      </c>
      <c r="Y114" s="468">
        <v>31900500</v>
      </c>
      <c r="Z114" s="468">
        <f t="shared" si="113"/>
        <v>31235137.5</v>
      </c>
      <c r="AA114" s="468">
        <v>25780000</v>
      </c>
      <c r="AB114" s="467">
        <f t="shared" si="105"/>
        <v>374821650</v>
      </c>
      <c r="AC114" s="575">
        <f t="shared" si="93"/>
        <v>1544378000</v>
      </c>
    </row>
    <row r="115" spans="1:29" ht="16.899999999999999" customHeight="1" x14ac:dyDescent="0.2">
      <c r="A115" s="445">
        <v>7</v>
      </c>
      <c r="B115" s="464" t="s">
        <v>155</v>
      </c>
      <c r="C115" s="475" t="s">
        <v>156</v>
      </c>
      <c r="D115" s="468">
        <v>14156475.333333334</v>
      </c>
      <c r="E115" s="468">
        <v>30894541.030000001</v>
      </c>
      <c r="F115" s="468">
        <f t="shared" si="112"/>
        <v>14156475.333333334</v>
      </c>
      <c r="G115" s="468">
        <v>7033471</v>
      </c>
      <c r="H115" s="468">
        <f t="shared" si="98"/>
        <v>14156475.333333334</v>
      </c>
      <c r="I115" s="468">
        <v>11408657.189999999</v>
      </c>
      <c r="J115" s="348">
        <f t="shared" si="99"/>
        <v>14156475.333333334</v>
      </c>
      <c r="K115" s="348">
        <v>16176862</v>
      </c>
      <c r="L115" s="348">
        <f t="shared" si="100"/>
        <v>14156475.333333334</v>
      </c>
      <c r="M115" s="348">
        <v>8621349</v>
      </c>
      <c r="N115" s="348">
        <f t="shared" si="101"/>
        <v>14156475.333333334</v>
      </c>
      <c r="O115" s="348">
        <v>6308627</v>
      </c>
      <c r="P115" s="468">
        <f t="shared" si="102"/>
        <v>14156475.333333334</v>
      </c>
      <c r="Q115" s="468">
        <v>4780500</v>
      </c>
      <c r="R115" s="468">
        <f t="shared" si="106"/>
        <v>14156475.333333334</v>
      </c>
      <c r="S115" s="468">
        <v>4463012</v>
      </c>
      <c r="T115" s="468">
        <f t="shared" si="107"/>
        <v>14156475.333333334</v>
      </c>
      <c r="U115" s="468">
        <v>4520310</v>
      </c>
      <c r="V115" s="468">
        <f t="shared" si="103"/>
        <v>14156475.333333334</v>
      </c>
      <c r="W115" s="468">
        <v>4670300</v>
      </c>
      <c r="X115" s="468">
        <f t="shared" si="108"/>
        <v>14156475.333333334</v>
      </c>
      <c r="Y115" s="468">
        <v>3450700</v>
      </c>
      <c r="Z115" s="468">
        <f t="shared" si="113"/>
        <v>14156475.333333334</v>
      </c>
      <c r="AA115" s="468">
        <v>7540170</v>
      </c>
      <c r="AB115" s="467">
        <f t="shared" si="105"/>
        <v>169877704</v>
      </c>
      <c r="AC115" s="575">
        <f t="shared" si="93"/>
        <v>109868499.22</v>
      </c>
    </row>
    <row r="116" spans="1:29" ht="16.899999999999999" customHeight="1" x14ac:dyDescent="0.2">
      <c r="A116" s="445">
        <v>8</v>
      </c>
      <c r="B116" s="464" t="s">
        <v>47</v>
      </c>
      <c r="C116" s="475" t="s">
        <v>111</v>
      </c>
      <c r="D116" s="468">
        <v>3000000</v>
      </c>
      <c r="E116" s="468"/>
      <c r="F116" s="468">
        <f t="shared" si="112"/>
        <v>3000000</v>
      </c>
      <c r="G116" s="468"/>
      <c r="H116" s="468">
        <f t="shared" si="98"/>
        <v>3000000</v>
      </c>
      <c r="I116" s="468"/>
      <c r="J116" s="348">
        <f t="shared" si="99"/>
        <v>3000000</v>
      </c>
      <c r="K116" s="348"/>
      <c r="L116" s="348">
        <f t="shared" si="100"/>
        <v>3000000</v>
      </c>
      <c r="M116" s="348"/>
      <c r="N116" s="348">
        <f t="shared" si="101"/>
        <v>3000000</v>
      </c>
      <c r="O116" s="348"/>
      <c r="P116" s="468">
        <f t="shared" si="102"/>
        <v>3000000</v>
      </c>
      <c r="Q116" s="468"/>
      <c r="R116" s="468">
        <f t="shared" si="106"/>
        <v>3000000</v>
      </c>
      <c r="S116" s="468"/>
      <c r="T116" s="468">
        <f t="shared" si="107"/>
        <v>3000000</v>
      </c>
      <c r="U116" s="468"/>
      <c r="V116" s="468">
        <f t="shared" si="103"/>
        <v>3000000</v>
      </c>
      <c r="W116" s="468"/>
      <c r="X116" s="468">
        <f t="shared" si="108"/>
        <v>3000000</v>
      </c>
      <c r="Y116" s="468"/>
      <c r="Z116" s="468">
        <f t="shared" si="113"/>
        <v>3000000</v>
      </c>
      <c r="AA116" s="468"/>
      <c r="AB116" s="467">
        <f t="shared" si="105"/>
        <v>36000000</v>
      </c>
      <c r="AC116" s="575">
        <f t="shared" si="93"/>
        <v>0</v>
      </c>
    </row>
    <row r="117" spans="1:29" ht="16.899999999999999" customHeight="1" x14ac:dyDescent="0.2">
      <c r="A117" s="445">
        <v>9</v>
      </c>
      <c r="B117" s="464" t="s">
        <v>147</v>
      </c>
      <c r="C117" s="475" t="s">
        <v>157</v>
      </c>
      <c r="D117" s="468">
        <v>12000000</v>
      </c>
      <c r="E117" s="468"/>
      <c r="F117" s="468">
        <f t="shared" si="112"/>
        <v>12000000</v>
      </c>
      <c r="G117" s="468"/>
      <c r="H117" s="468">
        <f t="shared" si="98"/>
        <v>12000000</v>
      </c>
      <c r="I117" s="468">
        <v>25000000</v>
      </c>
      <c r="J117" s="348">
        <f t="shared" si="99"/>
        <v>12000000</v>
      </c>
      <c r="K117" s="348"/>
      <c r="L117" s="348">
        <f t="shared" si="100"/>
        <v>12000000</v>
      </c>
      <c r="M117" s="348"/>
      <c r="N117" s="348">
        <f t="shared" si="101"/>
        <v>12000000</v>
      </c>
      <c r="O117" s="348"/>
      <c r="P117" s="468">
        <f t="shared" si="102"/>
        <v>12000000</v>
      </c>
      <c r="Q117" s="468">
        <v>80459600</v>
      </c>
      <c r="R117" s="468">
        <f t="shared" si="106"/>
        <v>12000000</v>
      </c>
      <c r="S117" s="468">
        <v>65402000</v>
      </c>
      <c r="T117" s="468">
        <f t="shared" si="107"/>
        <v>12000000</v>
      </c>
      <c r="U117" s="468">
        <v>110564800</v>
      </c>
      <c r="V117" s="468">
        <f t="shared" si="103"/>
        <v>12000000</v>
      </c>
      <c r="W117" s="468"/>
      <c r="X117" s="468">
        <f t="shared" si="108"/>
        <v>12000000</v>
      </c>
      <c r="Y117" s="468"/>
      <c r="Z117" s="468">
        <f t="shared" si="113"/>
        <v>12000000</v>
      </c>
      <c r="AA117" s="468"/>
      <c r="AB117" s="467">
        <f t="shared" si="105"/>
        <v>144000000</v>
      </c>
      <c r="AC117" s="575">
        <f t="shared" si="93"/>
        <v>281426400</v>
      </c>
    </row>
    <row r="118" spans="1:29" ht="16.899999999999999" customHeight="1" x14ac:dyDescent="0.2">
      <c r="A118" s="445">
        <v>10</v>
      </c>
      <c r="B118" s="464" t="s">
        <v>36</v>
      </c>
      <c r="C118" s="475" t="s">
        <v>313</v>
      </c>
      <c r="D118" s="468">
        <v>200000000</v>
      </c>
      <c r="E118" s="468">
        <v>139724704.74000001</v>
      </c>
      <c r="F118" s="468">
        <f t="shared" si="112"/>
        <v>200000000</v>
      </c>
      <c r="G118" s="468">
        <v>34061389</v>
      </c>
      <c r="H118" s="468">
        <f t="shared" si="98"/>
        <v>200000000</v>
      </c>
      <c r="I118" s="468">
        <v>36254880</v>
      </c>
      <c r="J118" s="348">
        <f t="shared" si="99"/>
        <v>200000000</v>
      </c>
      <c r="K118" s="348">
        <v>175838560</v>
      </c>
      <c r="L118" s="348">
        <f t="shared" si="100"/>
        <v>200000000</v>
      </c>
      <c r="M118" s="348">
        <f>251915889+978671+183500</f>
        <v>253078060</v>
      </c>
      <c r="N118" s="348">
        <f t="shared" si="101"/>
        <v>200000000</v>
      </c>
      <c r="O118" s="348">
        <f>174488315+1967944+8350780</f>
        <v>184807039</v>
      </c>
      <c r="P118" s="468">
        <f t="shared" si="102"/>
        <v>200000000</v>
      </c>
      <c r="Q118" s="468">
        <v>35697200</v>
      </c>
      <c r="R118" s="468">
        <f t="shared" si="106"/>
        <v>200000000</v>
      </c>
      <c r="S118" s="468">
        <v>78950600</v>
      </c>
      <c r="T118" s="468">
        <f t="shared" si="107"/>
        <v>200000000</v>
      </c>
      <c r="U118" s="468">
        <v>42310500</v>
      </c>
      <c r="V118" s="468">
        <f t="shared" si="103"/>
        <v>200000000</v>
      </c>
      <c r="W118" s="468"/>
      <c r="X118" s="468">
        <f t="shared" si="108"/>
        <v>200000000</v>
      </c>
      <c r="Y118" s="468"/>
      <c r="Z118" s="468">
        <f t="shared" si="113"/>
        <v>200000000</v>
      </c>
      <c r="AA118" s="468"/>
      <c r="AB118" s="467">
        <f t="shared" si="105"/>
        <v>2400000000</v>
      </c>
      <c r="AC118" s="575">
        <f t="shared" si="93"/>
        <v>980722932.74000001</v>
      </c>
    </row>
    <row r="119" spans="1:29" s="420" customFormat="1" ht="16.899999999999999" customHeight="1" x14ac:dyDescent="0.2">
      <c r="A119" s="493"/>
      <c r="B119" s="440"/>
      <c r="C119" s="486" t="s">
        <v>159</v>
      </c>
      <c r="D119" s="494">
        <f t="shared" ref="D119:O119" si="114">SUM(D109:D118)</f>
        <v>572341384.83333325</v>
      </c>
      <c r="E119" s="494">
        <f>SUM(E109:E118)</f>
        <v>227428983.77000001</v>
      </c>
      <c r="F119" s="494">
        <f t="shared" si="114"/>
        <v>464452884.83333337</v>
      </c>
      <c r="G119" s="494">
        <f t="shared" si="114"/>
        <v>182260211.91</v>
      </c>
      <c r="H119" s="494">
        <f t="shared" si="114"/>
        <v>464452884.83333337</v>
      </c>
      <c r="I119" s="494">
        <f t="shared" si="114"/>
        <v>125108604.59999999</v>
      </c>
      <c r="J119" s="358">
        <f t="shared" si="114"/>
        <v>464452884.83333337</v>
      </c>
      <c r="K119" s="358">
        <f t="shared" si="114"/>
        <v>356149301</v>
      </c>
      <c r="L119" s="358">
        <f t="shared" si="114"/>
        <v>464452884.83333337</v>
      </c>
      <c r="M119" s="358">
        <f t="shared" si="114"/>
        <v>565992963</v>
      </c>
      <c r="N119" s="358">
        <f t="shared" si="114"/>
        <v>464452884.83333337</v>
      </c>
      <c r="O119" s="358">
        <f t="shared" si="114"/>
        <v>378166141</v>
      </c>
      <c r="P119" s="494">
        <f t="shared" ref="P119:AB119" si="115">SUM(P109:P118)</f>
        <v>464452884.83333337</v>
      </c>
      <c r="Q119" s="494">
        <f t="shared" ref="Q119" si="116">SUM(Q109:Q118)</f>
        <v>495369800</v>
      </c>
      <c r="R119" s="494">
        <f t="shared" si="115"/>
        <v>705972041.33333325</v>
      </c>
      <c r="S119" s="494">
        <f t="shared" ref="S119" si="117">SUM(S109:S118)</f>
        <v>523248112</v>
      </c>
      <c r="T119" s="494">
        <f t="shared" si="115"/>
        <v>464452884.83333337</v>
      </c>
      <c r="U119" s="494">
        <f t="shared" ref="U119" si="118">SUM(U109:U118)</f>
        <v>531828110</v>
      </c>
      <c r="V119" s="494">
        <f t="shared" si="115"/>
        <v>464452884.83333337</v>
      </c>
      <c r="W119" s="494">
        <f t="shared" ref="W119" si="119">SUM(W109:W118)</f>
        <v>365336780</v>
      </c>
      <c r="X119" s="494">
        <f t="shared" si="115"/>
        <v>464452884.83333337</v>
      </c>
      <c r="Y119" s="494">
        <f t="shared" ref="Y119" si="120">SUM(Y109:Y118)</f>
        <v>174561200</v>
      </c>
      <c r="Z119" s="494">
        <f t="shared" si="115"/>
        <v>625465655.83333325</v>
      </c>
      <c r="AA119" s="494">
        <f t="shared" ref="AA119" si="121">SUM(AA109:AA118)</f>
        <v>250841670</v>
      </c>
      <c r="AB119" s="494">
        <f t="shared" si="115"/>
        <v>6083855045.5</v>
      </c>
      <c r="AC119" s="575">
        <f t="shared" si="93"/>
        <v>4176291877.2799997</v>
      </c>
    </row>
    <row r="120" spans="1:29" s="420" customFormat="1" ht="16.899999999999999" customHeight="1" x14ac:dyDescent="0.2">
      <c r="A120" s="493"/>
      <c r="B120" s="440"/>
      <c r="C120" s="486" t="s">
        <v>160</v>
      </c>
      <c r="D120" s="487">
        <f t="shared" ref="D120:AB120" si="122">D119+D108+D96+D93+D86+D78+D73+D67+D64+D57+D32+D23+D22+D11+D101</f>
        <v>1386140884.8333333</v>
      </c>
      <c r="E120" s="487">
        <f>E119+E108+E96+E93+E86+E78+E73+E67+E64+E57+E32+E23+E22+E11+E101</f>
        <v>1067475270.85</v>
      </c>
      <c r="F120" s="487">
        <f>F119+F108+F96+F93+F86+F78+F73+F67+F64+F57+F32+F23+F22+F11+F101</f>
        <v>1379756384.8333335</v>
      </c>
      <c r="G120" s="487">
        <f>G119+G108+G96+G93+G86+G78+G73+G67+G64+G57+G32+G23+G22+G11+G101</f>
        <v>887260446.98000002</v>
      </c>
      <c r="H120" s="487">
        <f>H119+H108+H96+H93+H86+H78+H73+H67+H64+H57+H32+H23+H22+H11+H101</f>
        <v>1270508384.8333335</v>
      </c>
      <c r="I120" s="487">
        <f>I119+I108+I96+I93+I86+I78+I73+I67+I64+I57+I32+I23+I22+I11+I101</f>
        <v>775228035.57999992</v>
      </c>
      <c r="J120" s="355">
        <f t="shared" ref="J120:O120" si="123">J119+J108+J96+J93+J86+J78+J73+J67+J64+J57+J32+J23+J22+J11+J101</f>
        <v>1360241384.8333335</v>
      </c>
      <c r="K120" s="355">
        <f>K119+K108+K96+K93+K86+K78+K73+K67+K64+K57+K32+K23+K22+K11+K101</f>
        <v>883241838</v>
      </c>
      <c r="L120" s="355">
        <f t="shared" si="123"/>
        <v>1351605384.8333335</v>
      </c>
      <c r="M120" s="355">
        <f t="shared" si="123"/>
        <v>1190290892</v>
      </c>
      <c r="N120" s="355">
        <f t="shared" si="123"/>
        <v>1398382384.8333335</v>
      </c>
      <c r="O120" s="355">
        <f t="shared" si="123"/>
        <v>955058706</v>
      </c>
      <c r="P120" s="487">
        <f t="shared" si="122"/>
        <v>1271341384.8333335</v>
      </c>
      <c r="Q120" s="487">
        <f t="shared" ref="Q120" si="124">Q119+Q108+Q96+Q93+Q86+Q78+Q73+Q67+Q64+Q57+Q32+Q23+Q22+Q11+Q101</f>
        <v>1246113302.1233335</v>
      </c>
      <c r="R120" s="487">
        <f t="shared" si="122"/>
        <v>2394440541.333333</v>
      </c>
      <c r="S120" s="487">
        <f t="shared" ref="S120" si="125">S119+S108+S96+S93+S86+S78+S73+S67+S64+S57+S32+S23+S22+S11+S101</f>
        <v>1280531541.1233335</v>
      </c>
      <c r="T120" s="487">
        <f t="shared" si="122"/>
        <v>1238141384.8333335</v>
      </c>
      <c r="U120" s="487">
        <f t="shared" ref="U120" si="126">U119+U108+U96+U93+U86+U78+U73+U67+U64+U57+U32+U23+U22+U11+U101</f>
        <v>1252112759.1233335</v>
      </c>
      <c r="V120" s="487">
        <f t="shared" si="122"/>
        <v>1427318984.8333335</v>
      </c>
      <c r="W120" s="487">
        <f t="shared" ref="W120" si="127">W119+W108+W96+W93+W86+W78+W73+W67+W64+W57+W32+W23+W22+W11+W101</f>
        <v>1324981864.52</v>
      </c>
      <c r="X120" s="487">
        <f t="shared" si="122"/>
        <v>1276591384.8333335</v>
      </c>
      <c r="Y120" s="487">
        <f t="shared" ref="Y120" si="128">Y119+Y108+Y96+Y93+Y86+Y78+Y73+Y67+Y64+Y57+Y32+Y23+Y22+Y11+Y101</f>
        <v>1058249913.67</v>
      </c>
      <c r="Z120" s="487">
        <f t="shared" si="122"/>
        <v>1415104155.8333333</v>
      </c>
      <c r="AA120" s="487">
        <f t="shared" ref="AA120" si="129">AA119+AA108+AA96+AA93+AA86+AA78+AA73+AA67+AA64+AA57+AA32+AA23+AA22+AA11+AA101</f>
        <v>1198895529.4000001</v>
      </c>
      <c r="AB120" s="487">
        <f t="shared" si="122"/>
        <v>17169572645.5</v>
      </c>
      <c r="AC120" s="575">
        <f t="shared" si="93"/>
        <v>13119440099.369999</v>
      </c>
    </row>
    <row r="121" spans="1:29" s="444" customFormat="1" ht="16.899999999999999" customHeight="1" x14ac:dyDescent="0.2">
      <c r="A121" s="439"/>
      <c r="B121" s="440"/>
      <c r="C121" s="503"/>
      <c r="D121" s="504"/>
      <c r="E121" s="504"/>
      <c r="F121" s="504"/>
      <c r="G121" s="504"/>
      <c r="H121" s="504"/>
      <c r="I121" s="504"/>
      <c r="J121" s="363"/>
      <c r="K121" s="363"/>
      <c r="L121" s="363"/>
      <c r="M121" s="363"/>
      <c r="N121" s="363"/>
      <c r="O121" s="363"/>
      <c r="P121" s="504"/>
      <c r="Q121" s="504"/>
      <c r="R121" s="504"/>
      <c r="S121" s="504"/>
      <c r="T121" s="504"/>
      <c r="U121" s="504"/>
      <c r="V121" s="504"/>
      <c r="W121" s="504"/>
      <c r="X121" s="504"/>
      <c r="Y121" s="504"/>
      <c r="Z121" s="504"/>
      <c r="AA121" s="504"/>
      <c r="AB121" s="504"/>
      <c r="AC121" s="575">
        <f t="shared" si="93"/>
        <v>0</v>
      </c>
    </row>
    <row r="122" spans="1:29" s="420" customFormat="1" ht="16.899999999999999" customHeight="1" x14ac:dyDescent="0.2">
      <c r="A122" s="493"/>
      <c r="B122" s="440"/>
      <c r="C122" s="505" t="s">
        <v>312</v>
      </c>
      <c r="D122" s="506">
        <v>146091400</v>
      </c>
      <c r="E122" s="506">
        <v>146091400</v>
      </c>
      <c r="F122" s="506">
        <f>D122</f>
        <v>146091400</v>
      </c>
      <c r="G122" s="506">
        <v>146091400</v>
      </c>
      <c r="H122" s="506">
        <f>F122</f>
        <v>146091400</v>
      </c>
      <c r="I122" s="506">
        <v>146091400</v>
      </c>
      <c r="J122" s="364">
        <f t="shared" ref="J122:O122" si="130">H122</f>
        <v>146091400</v>
      </c>
      <c r="K122" s="364">
        <f t="shared" si="130"/>
        <v>146091400</v>
      </c>
      <c r="L122" s="364">
        <f t="shared" si="130"/>
        <v>146091400</v>
      </c>
      <c r="M122" s="364">
        <f t="shared" si="130"/>
        <v>146091400</v>
      </c>
      <c r="N122" s="364">
        <f t="shared" si="130"/>
        <v>146091400</v>
      </c>
      <c r="O122" s="364">
        <f t="shared" si="130"/>
        <v>146091400</v>
      </c>
      <c r="P122" s="506">
        <f t="shared" ref="P122:Y122" si="131">N122</f>
        <v>146091400</v>
      </c>
      <c r="Q122" s="506">
        <f t="shared" si="131"/>
        <v>146091400</v>
      </c>
      <c r="R122" s="506">
        <f t="shared" si="131"/>
        <v>146091400</v>
      </c>
      <c r="S122" s="506">
        <f t="shared" si="131"/>
        <v>146091400</v>
      </c>
      <c r="T122" s="506">
        <f t="shared" si="131"/>
        <v>146091400</v>
      </c>
      <c r="U122" s="506">
        <f t="shared" si="131"/>
        <v>146091400</v>
      </c>
      <c r="V122" s="506">
        <f t="shared" si="131"/>
        <v>146091400</v>
      </c>
      <c r="W122" s="506">
        <f t="shared" si="131"/>
        <v>146091400</v>
      </c>
      <c r="X122" s="506">
        <f t="shared" si="131"/>
        <v>146091400</v>
      </c>
      <c r="Y122" s="506">
        <f t="shared" si="131"/>
        <v>146091400</v>
      </c>
      <c r="Z122" s="506">
        <f t="shared" ref="Z122" si="132">X122</f>
        <v>146091400</v>
      </c>
      <c r="AA122" s="506">
        <f>Y122</f>
        <v>146091400</v>
      </c>
      <c r="AB122" s="467">
        <f>Z122+X122+V122+T122+R122+P122+N122+L122+J122+H122+F122+D122</f>
        <v>1753096800</v>
      </c>
      <c r="AC122" s="575">
        <f t="shared" si="93"/>
        <v>1753096800</v>
      </c>
    </row>
    <row r="123" spans="1:29" s="420" customFormat="1" ht="16.899999999999999" customHeight="1" x14ac:dyDescent="0.2">
      <c r="A123" s="493"/>
      <c r="B123" s="440"/>
      <c r="C123" s="507"/>
      <c r="D123" s="508"/>
      <c r="E123" s="508"/>
      <c r="F123" s="508"/>
      <c r="G123" s="508"/>
      <c r="H123" s="508"/>
      <c r="I123" s="508"/>
      <c r="J123" s="365"/>
      <c r="K123" s="365"/>
      <c r="L123" s="365"/>
      <c r="M123" s="365"/>
      <c r="N123" s="365"/>
      <c r="O123" s="365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467">
        <f>Z123+X123+V123+T123+R123+P123+N123+L123+J123+H123+F123+D123</f>
        <v>0</v>
      </c>
      <c r="AC123" s="575">
        <f t="shared" si="93"/>
        <v>0</v>
      </c>
    </row>
    <row r="124" spans="1:29" s="420" customFormat="1" ht="16.899999999999999" customHeight="1" x14ac:dyDescent="0.2">
      <c r="A124" s="493"/>
      <c r="B124" s="464" t="s">
        <v>163</v>
      </c>
      <c r="C124" s="486" t="s">
        <v>164</v>
      </c>
      <c r="D124" s="509">
        <f t="shared" ref="D124:O124" si="133">SUM(D122:D123)</f>
        <v>146091400</v>
      </c>
      <c r="E124" s="509">
        <f>SUM(E122:E123)</f>
        <v>146091400</v>
      </c>
      <c r="F124" s="509">
        <f t="shared" si="133"/>
        <v>146091400</v>
      </c>
      <c r="G124" s="509">
        <f t="shared" si="133"/>
        <v>146091400</v>
      </c>
      <c r="H124" s="509">
        <f t="shared" si="133"/>
        <v>146091400</v>
      </c>
      <c r="I124" s="509">
        <f t="shared" si="133"/>
        <v>146091400</v>
      </c>
      <c r="J124" s="366">
        <f t="shared" si="133"/>
        <v>146091400</v>
      </c>
      <c r="K124" s="366">
        <f>SUM(K122:K123)</f>
        <v>146091400</v>
      </c>
      <c r="L124" s="366">
        <f t="shared" si="133"/>
        <v>146091400</v>
      </c>
      <c r="M124" s="366">
        <f t="shared" si="133"/>
        <v>146091400</v>
      </c>
      <c r="N124" s="366">
        <f t="shared" si="133"/>
        <v>146091400</v>
      </c>
      <c r="O124" s="366">
        <f t="shared" si="133"/>
        <v>146091400</v>
      </c>
      <c r="P124" s="509">
        <f t="shared" ref="P124:AB124" si="134">SUM(P122:P123)</f>
        <v>146091400</v>
      </c>
      <c r="Q124" s="509">
        <f t="shared" ref="Q124" si="135">SUM(Q122:Q123)</f>
        <v>146091400</v>
      </c>
      <c r="R124" s="509">
        <f t="shared" si="134"/>
        <v>146091400</v>
      </c>
      <c r="S124" s="509">
        <f t="shared" ref="S124" si="136">SUM(S122:S123)</f>
        <v>146091400</v>
      </c>
      <c r="T124" s="509">
        <f t="shared" si="134"/>
        <v>146091400</v>
      </c>
      <c r="U124" s="509">
        <f t="shared" ref="U124" si="137">SUM(U122:U123)</f>
        <v>146091400</v>
      </c>
      <c r="V124" s="509">
        <f t="shared" si="134"/>
        <v>146091400</v>
      </c>
      <c r="W124" s="509">
        <f t="shared" ref="W124" si="138">SUM(W122:W123)</f>
        <v>146091400</v>
      </c>
      <c r="X124" s="509">
        <f t="shared" si="134"/>
        <v>146091400</v>
      </c>
      <c r="Y124" s="509">
        <f t="shared" ref="Y124" si="139">SUM(Y122:Y123)</f>
        <v>146091400</v>
      </c>
      <c r="Z124" s="509">
        <f t="shared" si="134"/>
        <v>146091400</v>
      </c>
      <c r="AA124" s="509">
        <f t="shared" ref="AA124" si="140">SUM(AA122:AA123)</f>
        <v>146091400</v>
      </c>
      <c r="AB124" s="509">
        <f t="shared" si="134"/>
        <v>1753096800</v>
      </c>
      <c r="AC124" s="575">
        <f t="shared" si="93"/>
        <v>1753096800</v>
      </c>
    </row>
    <row r="125" spans="1:29" s="420" customFormat="1" ht="16.899999999999999" customHeight="1" x14ac:dyDescent="0.2">
      <c r="A125" s="493"/>
      <c r="B125" s="440"/>
      <c r="C125" s="486" t="s">
        <v>165</v>
      </c>
      <c r="D125" s="487">
        <f t="shared" ref="D125:O125" si="141">D120+D124</f>
        <v>1532232284.8333333</v>
      </c>
      <c r="E125" s="487">
        <f>E120+E124</f>
        <v>1213566670.8499999</v>
      </c>
      <c r="F125" s="487">
        <f t="shared" si="141"/>
        <v>1525847784.8333335</v>
      </c>
      <c r="G125" s="487">
        <f t="shared" si="141"/>
        <v>1033351846.98</v>
      </c>
      <c r="H125" s="487">
        <f t="shared" si="141"/>
        <v>1416599784.8333335</v>
      </c>
      <c r="I125" s="487">
        <f t="shared" si="141"/>
        <v>921319435.57999992</v>
      </c>
      <c r="J125" s="355">
        <f t="shared" si="141"/>
        <v>1506332784.8333335</v>
      </c>
      <c r="K125" s="355">
        <f t="shared" si="141"/>
        <v>1029333238</v>
      </c>
      <c r="L125" s="355">
        <f t="shared" si="141"/>
        <v>1497696784.8333335</v>
      </c>
      <c r="M125" s="355">
        <f t="shared" si="141"/>
        <v>1336382292</v>
      </c>
      <c r="N125" s="355">
        <f t="shared" si="141"/>
        <v>1544473784.8333335</v>
      </c>
      <c r="O125" s="355">
        <f t="shared" si="141"/>
        <v>1101150106</v>
      </c>
      <c r="P125" s="487">
        <f t="shared" ref="P125:AB125" si="142">P120+P124</f>
        <v>1417432784.8333335</v>
      </c>
      <c r="Q125" s="487">
        <f t="shared" ref="Q125" si="143">Q120+Q124</f>
        <v>1392204702.1233335</v>
      </c>
      <c r="R125" s="487">
        <f t="shared" si="142"/>
        <v>2540531941.333333</v>
      </c>
      <c r="S125" s="487">
        <f t="shared" ref="S125" si="144">S120+S124</f>
        <v>1426622941.1233335</v>
      </c>
      <c r="T125" s="487">
        <f t="shared" si="142"/>
        <v>1384232784.8333335</v>
      </c>
      <c r="U125" s="487">
        <f t="shared" ref="U125" si="145">U120+U124</f>
        <v>1398204159.1233335</v>
      </c>
      <c r="V125" s="487">
        <f t="shared" si="142"/>
        <v>1573410384.8333335</v>
      </c>
      <c r="W125" s="487">
        <f t="shared" ref="W125" si="146">W120+W124</f>
        <v>1471073264.52</v>
      </c>
      <c r="X125" s="487">
        <f t="shared" si="142"/>
        <v>1422682784.8333335</v>
      </c>
      <c r="Y125" s="487">
        <f t="shared" ref="Y125" si="147">Y120+Y124</f>
        <v>1204341313.6700001</v>
      </c>
      <c r="Z125" s="487">
        <f t="shared" si="142"/>
        <v>1561195555.8333333</v>
      </c>
      <c r="AA125" s="487">
        <f t="shared" ref="AA125" si="148">AA120+AA124</f>
        <v>1344986929.4000001</v>
      </c>
      <c r="AB125" s="487">
        <f t="shared" si="142"/>
        <v>18922669445.5</v>
      </c>
      <c r="AC125" s="575">
        <f t="shared" si="93"/>
        <v>14872536899.369999</v>
      </c>
    </row>
    <row r="126" spans="1:29" ht="16.899999999999999" customHeight="1" x14ac:dyDescent="0.2">
      <c r="A126" s="445"/>
      <c r="B126" s="464"/>
      <c r="C126" s="475"/>
      <c r="D126" s="468"/>
      <c r="E126" s="468"/>
      <c r="F126" s="468"/>
      <c r="G126" s="468"/>
      <c r="H126" s="468"/>
      <c r="I126" s="468"/>
      <c r="J126" s="347"/>
      <c r="K126" s="347"/>
      <c r="L126" s="347"/>
      <c r="M126" s="347"/>
      <c r="N126" s="347"/>
      <c r="O126" s="347"/>
      <c r="P126" s="468"/>
      <c r="Q126" s="468"/>
      <c r="R126" s="468"/>
      <c r="S126" s="468"/>
      <c r="T126" s="468"/>
      <c r="U126" s="468"/>
      <c r="V126" s="468"/>
      <c r="W126" s="468"/>
      <c r="X126" s="468"/>
      <c r="Y126" s="468"/>
      <c r="Z126" s="468"/>
      <c r="AA126" s="468"/>
      <c r="AB126" s="468"/>
      <c r="AC126" s="575">
        <f t="shared" si="93"/>
        <v>0</v>
      </c>
    </row>
    <row r="127" spans="1:29" ht="16.899999999999999" customHeight="1" x14ac:dyDescent="0.2">
      <c r="A127" s="445"/>
      <c r="B127" s="464" t="s">
        <v>166</v>
      </c>
      <c r="C127" s="475" t="s">
        <v>167</v>
      </c>
      <c r="D127" s="510">
        <v>4000000</v>
      </c>
      <c r="E127" s="510"/>
      <c r="F127" s="510">
        <f>D127</f>
        <v>4000000</v>
      </c>
      <c r="G127" s="510"/>
      <c r="H127" s="510">
        <f>F127</f>
        <v>4000000</v>
      </c>
      <c r="I127" s="510"/>
      <c r="J127" s="367">
        <f>H127</f>
        <v>4000000</v>
      </c>
      <c r="K127" s="367">
        <v>4000000</v>
      </c>
      <c r="L127" s="367">
        <f>J127</f>
        <v>4000000</v>
      </c>
      <c r="M127" s="367">
        <v>4000000</v>
      </c>
      <c r="N127" s="367">
        <f>L127</f>
        <v>4000000</v>
      </c>
      <c r="O127" s="367">
        <v>4000000</v>
      </c>
      <c r="P127" s="510">
        <f t="shared" ref="P127:Y129" si="149">N127</f>
        <v>4000000</v>
      </c>
      <c r="Q127" s="510">
        <f t="shared" si="149"/>
        <v>4000000</v>
      </c>
      <c r="R127" s="510">
        <f t="shared" si="149"/>
        <v>4000000</v>
      </c>
      <c r="S127" s="510">
        <f t="shared" si="149"/>
        <v>4000000</v>
      </c>
      <c r="T127" s="510">
        <f t="shared" si="149"/>
        <v>4000000</v>
      </c>
      <c r="U127" s="510">
        <f t="shared" si="149"/>
        <v>4000000</v>
      </c>
      <c r="V127" s="510">
        <f t="shared" si="149"/>
        <v>4000000</v>
      </c>
      <c r="W127" s="510">
        <f t="shared" si="149"/>
        <v>4000000</v>
      </c>
      <c r="X127" s="510">
        <f t="shared" si="149"/>
        <v>4000000</v>
      </c>
      <c r="Y127" s="510">
        <f t="shared" si="149"/>
        <v>4000000</v>
      </c>
      <c r="Z127" s="510">
        <f t="shared" ref="Z127" si="150">X127</f>
        <v>4000000</v>
      </c>
      <c r="AA127" s="510">
        <f>Y127</f>
        <v>4000000</v>
      </c>
      <c r="AB127" s="467">
        <f>Z127+X127+V127+T127+R127+P127+N127+L127+J127+H127+F127+D127</f>
        <v>48000000</v>
      </c>
      <c r="AC127" s="575">
        <f t="shared" si="93"/>
        <v>36000000</v>
      </c>
    </row>
    <row r="128" spans="1:29" ht="16.899999999999999" customHeight="1" x14ac:dyDescent="0.2">
      <c r="A128" s="445"/>
      <c r="B128" s="464" t="s">
        <v>166</v>
      </c>
      <c r="C128" s="475" t="s">
        <v>168</v>
      </c>
      <c r="D128" s="468">
        <v>159562500</v>
      </c>
      <c r="E128" s="468">
        <v>159562500</v>
      </c>
      <c r="F128" s="468">
        <f>D128</f>
        <v>159562500</v>
      </c>
      <c r="G128" s="468">
        <v>159562500</v>
      </c>
      <c r="H128" s="468">
        <f>F128</f>
        <v>159562500</v>
      </c>
      <c r="I128" s="468">
        <v>159562500</v>
      </c>
      <c r="J128" s="348">
        <f>H128</f>
        <v>159562500</v>
      </c>
      <c r="K128" s="348">
        <f>I128</f>
        <v>159562500</v>
      </c>
      <c r="L128" s="348">
        <f>J128</f>
        <v>159562500</v>
      </c>
      <c r="M128" s="348">
        <f>K128</f>
        <v>159562500</v>
      </c>
      <c r="N128" s="348">
        <f>L128</f>
        <v>159562500</v>
      </c>
      <c r="O128" s="348">
        <f>M128</f>
        <v>159562500</v>
      </c>
      <c r="P128" s="468">
        <f t="shared" si="149"/>
        <v>159562500</v>
      </c>
      <c r="Q128" s="468">
        <f t="shared" si="149"/>
        <v>159562500</v>
      </c>
      <c r="R128" s="468">
        <f t="shared" si="149"/>
        <v>159562500</v>
      </c>
      <c r="S128" s="468">
        <f t="shared" si="149"/>
        <v>159562500</v>
      </c>
      <c r="T128" s="468">
        <f t="shared" si="149"/>
        <v>159562500</v>
      </c>
      <c r="U128" s="468">
        <f t="shared" si="149"/>
        <v>159562500</v>
      </c>
      <c r="V128" s="468">
        <f t="shared" si="149"/>
        <v>159562500</v>
      </c>
      <c r="W128" s="468">
        <f t="shared" si="149"/>
        <v>159562500</v>
      </c>
      <c r="X128" s="468">
        <f t="shared" si="149"/>
        <v>159562500</v>
      </c>
      <c r="Y128" s="468">
        <f t="shared" si="149"/>
        <v>159562500</v>
      </c>
      <c r="Z128" s="468">
        <f t="shared" ref="Z128" si="151">X128</f>
        <v>159562500</v>
      </c>
      <c r="AA128" s="468">
        <f>Y128</f>
        <v>159562500</v>
      </c>
      <c r="AB128" s="467">
        <f>Z128+X128+V128+T128+R128+P128+N128+L128+J128+H128+F128+D128</f>
        <v>1914750000</v>
      </c>
      <c r="AC128" s="575">
        <f t="shared" si="93"/>
        <v>1914750000</v>
      </c>
    </row>
    <row r="129" spans="1:30" ht="16.899999999999999" customHeight="1" x14ac:dyDescent="0.2">
      <c r="A129" s="445"/>
      <c r="B129" s="464" t="s">
        <v>166</v>
      </c>
      <c r="C129" s="511" t="s">
        <v>169</v>
      </c>
      <c r="D129" s="512">
        <v>13500000</v>
      </c>
      <c r="E129" s="512">
        <v>13500000</v>
      </c>
      <c r="F129" s="512">
        <f>D129</f>
        <v>13500000</v>
      </c>
      <c r="G129" s="512">
        <v>13500000</v>
      </c>
      <c r="H129" s="512">
        <f>F129</f>
        <v>13500000</v>
      </c>
      <c r="I129" s="512">
        <v>13500000</v>
      </c>
      <c r="J129" s="368">
        <f>H129</f>
        <v>13500000</v>
      </c>
      <c r="K129" s="368">
        <f>I129</f>
        <v>13500000</v>
      </c>
      <c r="L129" s="368">
        <f>J129</f>
        <v>13500000</v>
      </c>
      <c r="M129" s="368">
        <f>K129</f>
        <v>13500000</v>
      </c>
      <c r="N129" s="368">
        <f>L129</f>
        <v>13500000</v>
      </c>
      <c r="O129" s="368">
        <f>M129</f>
        <v>13500000</v>
      </c>
      <c r="P129" s="512">
        <f t="shared" si="149"/>
        <v>13500000</v>
      </c>
      <c r="Q129" s="512">
        <f t="shared" si="149"/>
        <v>13500000</v>
      </c>
      <c r="R129" s="512">
        <f t="shared" si="149"/>
        <v>13500000</v>
      </c>
      <c r="S129" s="512">
        <f t="shared" si="149"/>
        <v>13500000</v>
      </c>
      <c r="T129" s="512">
        <f t="shared" si="149"/>
        <v>13500000</v>
      </c>
      <c r="U129" s="512">
        <f t="shared" si="149"/>
        <v>13500000</v>
      </c>
      <c r="V129" s="512">
        <f t="shared" si="149"/>
        <v>13500000</v>
      </c>
      <c r="W129" s="512">
        <f t="shared" si="149"/>
        <v>13500000</v>
      </c>
      <c r="X129" s="512">
        <f t="shared" si="149"/>
        <v>13500000</v>
      </c>
      <c r="Y129" s="512">
        <f t="shared" si="149"/>
        <v>13500000</v>
      </c>
      <c r="Z129" s="512">
        <f t="shared" ref="Z129" si="152">X129</f>
        <v>13500000</v>
      </c>
      <c r="AA129" s="512">
        <f>Y129</f>
        <v>13500000</v>
      </c>
      <c r="AB129" s="467">
        <f>Z129+X129+V129+T129+R129+P129+N129+L129+J129+H129+F129+D129</f>
        <v>162000000</v>
      </c>
      <c r="AC129" s="575">
        <f t="shared" si="93"/>
        <v>162000000</v>
      </c>
    </row>
    <row r="130" spans="1:30" s="420" customFormat="1" ht="16.899999999999999" customHeight="1" x14ac:dyDescent="0.2">
      <c r="A130" s="493"/>
      <c r="B130" s="513"/>
      <c r="C130" s="514" t="s">
        <v>170</v>
      </c>
      <c r="D130" s="515">
        <f t="shared" ref="D130:O130" si="153">SUM(D127:D129)</f>
        <v>177062500</v>
      </c>
      <c r="E130" s="515">
        <f t="shared" si="153"/>
        <v>173062500</v>
      </c>
      <c r="F130" s="515">
        <f t="shared" si="153"/>
        <v>177062500</v>
      </c>
      <c r="G130" s="515">
        <f t="shared" si="153"/>
        <v>173062500</v>
      </c>
      <c r="H130" s="515">
        <f t="shared" si="153"/>
        <v>177062500</v>
      </c>
      <c r="I130" s="515">
        <f t="shared" si="153"/>
        <v>173062500</v>
      </c>
      <c r="J130" s="369">
        <f t="shared" si="153"/>
        <v>177062500</v>
      </c>
      <c r="K130" s="369">
        <f t="shared" si="153"/>
        <v>177062500</v>
      </c>
      <c r="L130" s="369">
        <f t="shared" si="153"/>
        <v>177062500</v>
      </c>
      <c r="M130" s="369">
        <f t="shared" si="153"/>
        <v>177062500</v>
      </c>
      <c r="N130" s="369">
        <f t="shared" si="153"/>
        <v>177062500</v>
      </c>
      <c r="O130" s="369">
        <f t="shared" si="153"/>
        <v>177062500</v>
      </c>
      <c r="P130" s="515">
        <f t="shared" ref="P130:AB130" si="154">SUM(P127:P129)</f>
        <v>177062500</v>
      </c>
      <c r="Q130" s="515">
        <f t="shared" si="154"/>
        <v>177062500</v>
      </c>
      <c r="R130" s="515">
        <f t="shared" si="154"/>
        <v>177062500</v>
      </c>
      <c r="S130" s="515">
        <f t="shared" si="154"/>
        <v>177062500</v>
      </c>
      <c r="T130" s="515">
        <f t="shared" si="154"/>
        <v>177062500</v>
      </c>
      <c r="U130" s="515">
        <f t="shared" si="154"/>
        <v>177062500</v>
      </c>
      <c r="V130" s="515">
        <f t="shared" si="154"/>
        <v>177062500</v>
      </c>
      <c r="W130" s="515">
        <f t="shared" si="154"/>
        <v>177062500</v>
      </c>
      <c r="X130" s="515">
        <f t="shared" si="154"/>
        <v>177062500</v>
      </c>
      <c r="Y130" s="515">
        <f t="shared" si="154"/>
        <v>177062500</v>
      </c>
      <c r="Z130" s="515">
        <f t="shared" si="154"/>
        <v>177062500</v>
      </c>
      <c r="AA130" s="515">
        <f t="shared" si="154"/>
        <v>177062500</v>
      </c>
      <c r="AB130" s="515">
        <f t="shared" si="154"/>
        <v>2124750000</v>
      </c>
      <c r="AC130" s="575">
        <f t="shared" si="93"/>
        <v>2112750000</v>
      </c>
    </row>
    <row r="131" spans="1:30" ht="16.899999999999999" customHeight="1" x14ac:dyDescent="0.2">
      <c r="A131" s="445"/>
      <c r="B131" s="516"/>
      <c r="C131" s="475"/>
      <c r="D131" s="468"/>
      <c r="E131" s="468"/>
      <c r="F131" s="468"/>
      <c r="G131" s="468"/>
      <c r="H131" s="468"/>
      <c r="I131" s="468"/>
      <c r="J131" s="347"/>
      <c r="K131" s="347"/>
      <c r="L131" s="347"/>
      <c r="M131" s="347"/>
      <c r="N131" s="347"/>
      <c r="O131" s="347"/>
      <c r="P131" s="468"/>
      <c r="Q131" s="468"/>
      <c r="R131" s="468"/>
      <c r="S131" s="468"/>
      <c r="T131" s="468"/>
      <c r="U131" s="468"/>
      <c r="V131" s="468"/>
      <c r="W131" s="468"/>
      <c r="X131" s="468"/>
      <c r="Y131" s="468"/>
      <c r="Z131" s="468"/>
      <c r="AA131" s="468"/>
      <c r="AB131" s="468"/>
      <c r="AC131" s="575">
        <f t="shared" si="93"/>
        <v>0</v>
      </c>
    </row>
    <row r="132" spans="1:30" s="420" customFormat="1" ht="16.899999999999999" customHeight="1" x14ac:dyDescent="0.2">
      <c r="A132" s="450"/>
      <c r="B132" s="451"/>
      <c r="C132" s="517" t="s">
        <v>24</v>
      </c>
      <c r="D132" s="518">
        <f t="shared" ref="D132:O132" si="155">D125-D130</f>
        <v>1355169784.8333333</v>
      </c>
      <c r="E132" s="518">
        <f>E125-E130</f>
        <v>1040504170.8499999</v>
      </c>
      <c r="F132" s="518">
        <f t="shared" si="155"/>
        <v>1348785284.8333335</v>
      </c>
      <c r="G132" s="518">
        <f t="shared" si="155"/>
        <v>860289346.98000002</v>
      </c>
      <c r="H132" s="518">
        <f t="shared" si="155"/>
        <v>1239537284.8333335</v>
      </c>
      <c r="I132" s="518">
        <f t="shared" si="155"/>
        <v>748256935.57999992</v>
      </c>
      <c r="J132" s="371">
        <f t="shared" si="155"/>
        <v>1329270284.8333335</v>
      </c>
      <c r="K132" s="371">
        <f t="shared" si="155"/>
        <v>852270738</v>
      </c>
      <c r="L132" s="371">
        <f t="shared" si="155"/>
        <v>1320634284.8333335</v>
      </c>
      <c r="M132" s="371">
        <f t="shared" si="155"/>
        <v>1159319792</v>
      </c>
      <c r="N132" s="371">
        <f t="shared" si="155"/>
        <v>1367411284.8333335</v>
      </c>
      <c r="O132" s="371">
        <f t="shared" si="155"/>
        <v>924087606</v>
      </c>
      <c r="P132" s="518">
        <f t="shared" ref="P132:AB132" si="156">P125-P130</f>
        <v>1240370284.8333335</v>
      </c>
      <c r="Q132" s="518">
        <f t="shared" si="156"/>
        <v>1215142202.1233335</v>
      </c>
      <c r="R132" s="518">
        <f t="shared" si="156"/>
        <v>2363469441.333333</v>
      </c>
      <c r="S132" s="518">
        <f t="shared" si="156"/>
        <v>1249560441.1233335</v>
      </c>
      <c r="T132" s="518">
        <f t="shared" si="156"/>
        <v>1207170284.8333335</v>
      </c>
      <c r="U132" s="518">
        <f t="shared" si="156"/>
        <v>1221141659.1233335</v>
      </c>
      <c r="V132" s="518">
        <f t="shared" si="156"/>
        <v>1396347884.8333335</v>
      </c>
      <c r="W132" s="518">
        <f t="shared" si="156"/>
        <v>1294010764.52</v>
      </c>
      <c r="X132" s="518">
        <f t="shared" si="156"/>
        <v>1245620284.8333335</v>
      </c>
      <c r="Y132" s="518">
        <f t="shared" si="156"/>
        <v>1027278813.6700001</v>
      </c>
      <c r="Z132" s="518">
        <f t="shared" si="156"/>
        <v>1384133055.8333333</v>
      </c>
      <c r="AA132" s="518">
        <f t="shared" si="156"/>
        <v>1167924429.4000001</v>
      </c>
      <c r="AB132" s="518">
        <f t="shared" si="156"/>
        <v>16797919445.5</v>
      </c>
      <c r="AC132" s="575">
        <f t="shared" si="93"/>
        <v>12759786899.369999</v>
      </c>
      <c r="AD132" s="438"/>
    </row>
    <row r="133" spans="1:30" x14ac:dyDescent="0.2">
      <c r="D133" s="481"/>
      <c r="E133" s="481"/>
      <c r="F133" s="481"/>
      <c r="G133" s="481"/>
      <c r="H133" s="481"/>
      <c r="I133" s="481"/>
      <c r="J133" s="353"/>
      <c r="K133" s="353"/>
      <c r="L133" s="353"/>
      <c r="M133" s="353"/>
      <c r="N133" s="353"/>
      <c r="O133" s="353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  <c r="AA133" s="481"/>
      <c r="AB133" s="481"/>
      <c r="AC133" s="575">
        <f t="shared" si="93"/>
        <v>0</v>
      </c>
    </row>
    <row r="134" spans="1:30" ht="16.899999999999999" customHeight="1" x14ac:dyDescent="0.2">
      <c r="A134" s="519">
        <v>23</v>
      </c>
      <c r="B134" s="520" t="s">
        <v>171</v>
      </c>
      <c r="C134" s="521" t="s">
        <v>172</v>
      </c>
      <c r="D134" s="522"/>
      <c r="E134" s="522"/>
      <c r="F134" s="522"/>
      <c r="G134" s="522"/>
      <c r="H134" s="522"/>
      <c r="I134" s="522"/>
      <c r="J134" s="372"/>
      <c r="K134" s="372"/>
      <c r="L134" s="372"/>
      <c r="M134" s="372"/>
      <c r="N134" s="372"/>
      <c r="O134" s="372"/>
      <c r="P134" s="522"/>
      <c r="Q134" s="522"/>
      <c r="R134" s="522"/>
      <c r="S134" s="522"/>
      <c r="T134" s="522"/>
      <c r="U134" s="522"/>
      <c r="V134" s="522"/>
      <c r="W134" s="522"/>
      <c r="X134" s="522"/>
      <c r="Y134" s="522"/>
      <c r="Z134" s="522"/>
      <c r="AA134" s="522"/>
      <c r="AB134" s="523">
        <f>Z134+X134+V134+T134+R134+P134+N134+L134+J134+H134+F134+D134</f>
        <v>0</v>
      </c>
      <c r="AC134" s="575">
        <f t="shared" si="93"/>
        <v>0</v>
      </c>
    </row>
    <row r="135" spans="1:30" x14ac:dyDescent="0.2">
      <c r="AC135" s="575">
        <f t="shared" si="93"/>
        <v>0</v>
      </c>
    </row>
    <row r="136" spans="1:30" s="524" customFormat="1" x14ac:dyDescent="0.2">
      <c r="D136" s="525" t="s">
        <v>173</v>
      </c>
      <c r="E136" s="525"/>
      <c r="F136" s="525" t="s">
        <v>174</v>
      </c>
      <c r="G136" s="525"/>
      <c r="H136" s="525" t="s">
        <v>175</v>
      </c>
      <c r="I136" s="525"/>
      <c r="J136" s="526" t="s">
        <v>176</v>
      </c>
      <c r="K136" s="526"/>
      <c r="L136" s="526" t="s">
        <v>177</v>
      </c>
      <c r="M136" s="526"/>
      <c r="N136" s="526" t="s">
        <v>178</v>
      </c>
      <c r="O136" s="526"/>
      <c r="P136" s="526" t="s">
        <v>179</v>
      </c>
      <c r="Q136" s="526"/>
      <c r="R136" s="526" t="s">
        <v>180</v>
      </c>
      <c r="S136" s="526"/>
      <c r="T136" s="526" t="s">
        <v>181</v>
      </c>
      <c r="U136" s="526"/>
      <c r="V136" s="526" t="s">
        <v>182</v>
      </c>
      <c r="W136" s="526"/>
      <c r="X136" s="526" t="s">
        <v>183</v>
      </c>
      <c r="Y136" s="526"/>
      <c r="Z136" s="526" t="s">
        <v>184</v>
      </c>
      <c r="AA136" s="526"/>
      <c r="AB136" s="526" t="s">
        <v>18</v>
      </c>
      <c r="AC136" s="575">
        <f t="shared" si="93"/>
        <v>0</v>
      </c>
    </row>
    <row r="137" spans="1:30" x14ac:dyDescent="0.2">
      <c r="B137" s="524"/>
      <c r="C137" s="524"/>
      <c r="D137" s="526" t="s">
        <v>8</v>
      </c>
      <c r="E137" s="526"/>
      <c r="F137" s="526" t="s">
        <v>8</v>
      </c>
      <c r="G137" s="526"/>
      <c r="H137" s="526" t="s">
        <v>8</v>
      </c>
      <c r="I137" s="526"/>
      <c r="J137" s="526" t="s">
        <v>8</v>
      </c>
      <c r="K137" s="526"/>
      <c r="L137" s="526" t="s">
        <v>8</v>
      </c>
      <c r="M137" s="526"/>
      <c r="N137" s="526" t="s">
        <v>8</v>
      </c>
      <c r="O137" s="526"/>
      <c r="P137" s="526" t="s">
        <v>8</v>
      </c>
      <c r="Q137" s="526"/>
      <c r="R137" s="526" t="s">
        <v>8</v>
      </c>
      <c r="S137" s="526"/>
      <c r="T137" s="526" t="s">
        <v>8</v>
      </c>
      <c r="U137" s="526"/>
      <c r="V137" s="526" t="s">
        <v>8</v>
      </c>
      <c r="W137" s="526"/>
      <c r="X137" s="526" t="s">
        <v>8</v>
      </c>
      <c r="Y137" s="526"/>
      <c r="Z137" s="526" t="s">
        <v>8</v>
      </c>
      <c r="AA137" s="526"/>
      <c r="AB137" s="526" t="s">
        <v>8</v>
      </c>
      <c r="AC137" s="575">
        <f t="shared" si="93"/>
        <v>0</v>
      </c>
    </row>
    <row r="138" spans="1:30" s="500" customFormat="1" ht="15.75" customHeight="1" x14ac:dyDescent="0.2">
      <c r="A138" s="500">
        <v>1</v>
      </c>
      <c r="B138" s="500" t="s">
        <v>185</v>
      </c>
      <c r="C138" s="527"/>
      <c r="D138" s="527">
        <f t="shared" ref="D138:Z138" si="157">D41+D42+D43+D74+D75+D80</f>
        <v>18500000</v>
      </c>
      <c r="E138" s="527">
        <f>E41+E42+E43+E74+E75+E80</f>
        <v>0</v>
      </c>
      <c r="F138" s="527">
        <f t="shared" si="157"/>
        <v>7500000</v>
      </c>
      <c r="G138" s="527">
        <f>G41+G42+G43+G74+G75+G80</f>
        <v>2500000</v>
      </c>
      <c r="H138" s="527">
        <f t="shared" si="157"/>
        <v>7500000</v>
      </c>
      <c r="I138" s="527">
        <f>I41+I42+I43+I74+I75+I80</f>
        <v>0</v>
      </c>
      <c r="J138" s="527">
        <f t="shared" si="157"/>
        <v>38500000</v>
      </c>
      <c r="K138" s="527">
        <f t="shared" ref="K138" si="158">K41+K42+K43+K74+K75+K80</f>
        <v>2500000</v>
      </c>
      <c r="L138" s="527">
        <f t="shared" si="157"/>
        <v>7500000</v>
      </c>
      <c r="M138" s="527">
        <f t="shared" ref="M138" si="159">M41+M42+M43+M74+M75+M80</f>
        <v>11250000</v>
      </c>
      <c r="N138" s="527">
        <f t="shared" si="157"/>
        <v>15500000</v>
      </c>
      <c r="O138" s="527">
        <f t="shared" ref="O138" si="160">O41+O42+O43+O74+O75+O80</f>
        <v>2500000</v>
      </c>
      <c r="P138" s="527">
        <f t="shared" si="157"/>
        <v>13500000</v>
      </c>
      <c r="Q138" s="527">
        <f t="shared" ref="Q138" si="161">Q41+Q42+Q43+Q74+Q75+Q80</f>
        <v>2830000</v>
      </c>
      <c r="R138" s="527">
        <f t="shared" si="157"/>
        <v>7500000</v>
      </c>
      <c r="S138" s="527">
        <f t="shared" ref="S138" si="162">S41+S42+S43+S74+S75+S80</f>
        <v>2830000</v>
      </c>
      <c r="T138" s="527">
        <f t="shared" si="157"/>
        <v>7500000</v>
      </c>
      <c r="U138" s="527">
        <f t="shared" ref="U138" si="163">U41+U42+U43+U74+U75+U80</f>
        <v>2830000</v>
      </c>
      <c r="V138" s="527">
        <f t="shared" si="157"/>
        <v>43500000</v>
      </c>
      <c r="W138" s="527">
        <f t="shared" ref="W138" si="164">W41+W42+W43+W74+W75+W80</f>
        <v>2430000</v>
      </c>
      <c r="X138" s="527">
        <f t="shared" si="157"/>
        <v>13500000</v>
      </c>
      <c r="Y138" s="527">
        <f t="shared" ref="Y138" si="165">Y41+Y42+Y43+Y74+Y75+Y80</f>
        <v>27550300</v>
      </c>
      <c r="Z138" s="527">
        <f t="shared" si="157"/>
        <v>13500000</v>
      </c>
      <c r="AA138" s="527">
        <f t="shared" ref="AA138" si="166">AA41+AA42+AA43+AA74+AA75+AA80</f>
        <v>67450000</v>
      </c>
      <c r="AB138" s="456">
        <f t="shared" ref="AB138:AB179" si="167">Z138+X138+V138+T138+R138+P138+N138+L138+J138+H138+F138+D138</f>
        <v>194000000</v>
      </c>
      <c r="AC138" s="575">
        <f t="shared" si="93"/>
        <v>124670300</v>
      </c>
    </row>
    <row r="139" spans="1:30" s="500" customFormat="1" ht="15.75" customHeight="1" x14ac:dyDescent="0.2">
      <c r="A139" s="500">
        <v>2</v>
      </c>
      <c r="B139" s="500" t="s">
        <v>146</v>
      </c>
      <c r="C139" s="527"/>
      <c r="D139" s="527">
        <f>D106+D91+D98</f>
        <v>27000000</v>
      </c>
      <c r="E139" s="527">
        <f>E106+E91</f>
        <v>47500000</v>
      </c>
      <c r="F139" s="527">
        <f t="shared" ref="F139:Z139" si="168">F106+F91+F98</f>
        <v>2000000</v>
      </c>
      <c r="G139" s="527">
        <f>G106+G91+G98</f>
        <v>0</v>
      </c>
      <c r="H139" s="527">
        <f t="shared" si="168"/>
        <v>2000000</v>
      </c>
      <c r="I139" s="527">
        <f>I106+I91+I98</f>
        <v>18300000</v>
      </c>
      <c r="J139" s="527">
        <f t="shared" si="168"/>
        <v>2000000</v>
      </c>
      <c r="K139" s="527">
        <f t="shared" ref="K139" si="169">K106+K91+K98</f>
        <v>0</v>
      </c>
      <c r="L139" s="527">
        <f t="shared" si="168"/>
        <v>2000000</v>
      </c>
      <c r="M139" s="527">
        <f t="shared" ref="M139" si="170">M106+M91+M98</f>
        <v>0</v>
      </c>
      <c r="N139" s="527">
        <f t="shared" si="168"/>
        <v>2000000</v>
      </c>
      <c r="O139" s="527">
        <f t="shared" ref="O139" si="171">O106+O91+O98</f>
        <v>0</v>
      </c>
      <c r="P139" s="527">
        <f t="shared" si="168"/>
        <v>27000000</v>
      </c>
      <c r="Q139" s="527">
        <f>Q106+Q91+Q98</f>
        <v>42700000</v>
      </c>
      <c r="R139" s="527">
        <f t="shared" si="168"/>
        <v>2000000</v>
      </c>
      <c r="S139" s="527">
        <f t="shared" ref="S139" si="172">S106+S91+S98</f>
        <v>0</v>
      </c>
      <c r="T139" s="527">
        <f t="shared" si="168"/>
        <v>2000000</v>
      </c>
      <c r="U139" s="527">
        <f t="shared" ref="U139" si="173">U106+U91+U98</f>
        <v>0</v>
      </c>
      <c r="V139" s="527">
        <f t="shared" si="168"/>
        <v>2000000</v>
      </c>
      <c r="W139" s="527">
        <f t="shared" ref="W139" si="174">W106+W91+W98</f>
        <v>0</v>
      </c>
      <c r="X139" s="527">
        <f t="shared" si="168"/>
        <v>2000000</v>
      </c>
      <c r="Y139" s="527">
        <f t="shared" ref="Y139" si="175">Y106+Y91+Y98</f>
        <v>0</v>
      </c>
      <c r="Z139" s="527">
        <f t="shared" si="168"/>
        <v>2000000</v>
      </c>
      <c r="AA139" s="527">
        <f t="shared" ref="AA139" si="176">AA106+AA91+AA98</f>
        <v>0</v>
      </c>
      <c r="AB139" s="456">
        <f t="shared" si="167"/>
        <v>74000000</v>
      </c>
      <c r="AC139" s="575">
        <f t="shared" ref="AC139:AC183" si="177">E139+G139+I139+K139+M139+O139+Q139+S139+U139+W139+Y139+AA139</f>
        <v>108500000</v>
      </c>
    </row>
    <row r="140" spans="1:30" s="500" customFormat="1" ht="15.75" customHeight="1" x14ac:dyDescent="0.2">
      <c r="A140" s="500">
        <v>3</v>
      </c>
      <c r="B140" s="500" t="s">
        <v>145</v>
      </c>
      <c r="D140" s="527">
        <f t="shared" ref="D140:Z140" si="178">D103</f>
        <v>12000000</v>
      </c>
      <c r="E140" s="527">
        <f>E103</f>
        <v>10692873.720000001</v>
      </c>
      <c r="F140" s="527">
        <f t="shared" si="178"/>
        <v>12000000</v>
      </c>
      <c r="G140" s="527">
        <f>G103</f>
        <v>9532950.0800000001</v>
      </c>
      <c r="H140" s="527">
        <f t="shared" si="178"/>
        <v>12000000</v>
      </c>
      <c r="I140" s="527">
        <f>I103</f>
        <v>6444787.0599999996</v>
      </c>
      <c r="J140" s="527">
        <f t="shared" si="178"/>
        <v>12000000</v>
      </c>
      <c r="K140" s="527">
        <f t="shared" ref="K140" si="179">K103</f>
        <v>15846474</v>
      </c>
      <c r="L140" s="527">
        <f t="shared" si="178"/>
        <v>12000000</v>
      </c>
      <c r="M140" s="527">
        <f t="shared" ref="M140" si="180">M103</f>
        <v>10257385</v>
      </c>
      <c r="N140" s="527">
        <f t="shared" si="178"/>
        <v>12000000</v>
      </c>
      <c r="O140" s="527">
        <f t="shared" ref="O140" si="181">O103</f>
        <v>8970729</v>
      </c>
      <c r="P140" s="527">
        <f>P103</f>
        <v>12000000</v>
      </c>
      <c r="Q140" s="527">
        <f>Q103</f>
        <v>30854900</v>
      </c>
      <c r="R140" s="527">
        <f>R103</f>
        <v>12000000</v>
      </c>
      <c r="S140" s="527">
        <f>S103</f>
        <v>41250600</v>
      </c>
      <c r="T140" s="527">
        <f t="shared" si="178"/>
        <v>12000000</v>
      </c>
      <c r="U140" s="527">
        <f t="shared" ref="U140" si="182">U103</f>
        <v>20334612</v>
      </c>
      <c r="V140" s="527">
        <f>V103</f>
        <v>12000000</v>
      </c>
      <c r="W140" s="527">
        <f>W103</f>
        <v>7500000</v>
      </c>
      <c r="X140" s="527">
        <f t="shared" si="178"/>
        <v>12000000</v>
      </c>
      <c r="Y140" s="527">
        <f t="shared" ref="Y140" si="183">Y103</f>
        <v>7910300</v>
      </c>
      <c r="Z140" s="527">
        <f t="shared" si="178"/>
        <v>12000000</v>
      </c>
      <c r="AA140" s="527">
        <f t="shared" ref="AA140" si="184">AA103</f>
        <v>8450700</v>
      </c>
      <c r="AB140" s="456">
        <f t="shared" si="167"/>
        <v>144000000</v>
      </c>
      <c r="AC140" s="575">
        <f t="shared" si="177"/>
        <v>178046310.86000001</v>
      </c>
    </row>
    <row r="141" spans="1:30" s="500" customFormat="1" ht="15.75" customHeight="1" x14ac:dyDescent="0.2">
      <c r="A141" s="500">
        <v>4</v>
      </c>
      <c r="B141" s="500" t="s">
        <v>186</v>
      </c>
      <c r="D141" s="527">
        <f t="shared" ref="D141:Z141" si="185">D59</f>
        <v>674500</v>
      </c>
      <c r="E141" s="527">
        <f>E59</f>
        <v>75000</v>
      </c>
      <c r="F141" s="527">
        <f t="shared" si="185"/>
        <v>674500</v>
      </c>
      <c r="G141" s="527">
        <f>G59</f>
        <v>0</v>
      </c>
      <c r="H141" s="527">
        <f t="shared" si="185"/>
        <v>674500</v>
      </c>
      <c r="I141" s="527">
        <f>I59</f>
        <v>165000</v>
      </c>
      <c r="J141" s="527">
        <f t="shared" si="185"/>
        <v>674500</v>
      </c>
      <c r="K141" s="527">
        <f t="shared" ref="K141" si="186">K59</f>
        <v>0</v>
      </c>
      <c r="L141" s="527">
        <f t="shared" si="185"/>
        <v>674500</v>
      </c>
      <c r="M141" s="527">
        <f t="shared" ref="M141" si="187">M59</f>
        <v>0</v>
      </c>
      <c r="N141" s="527">
        <f t="shared" si="185"/>
        <v>674500</v>
      </c>
      <c r="O141" s="527">
        <f t="shared" ref="O141" si="188">O59</f>
        <v>450000</v>
      </c>
      <c r="P141" s="527">
        <f t="shared" si="185"/>
        <v>674500</v>
      </c>
      <c r="Q141" s="527">
        <f t="shared" ref="Q141" si="189">Q59</f>
        <v>0</v>
      </c>
      <c r="R141" s="527">
        <f t="shared" si="185"/>
        <v>674500</v>
      </c>
      <c r="S141" s="527">
        <f t="shared" ref="S141" si="190">S59</f>
        <v>0</v>
      </c>
      <c r="T141" s="527">
        <f t="shared" si="185"/>
        <v>674500</v>
      </c>
      <c r="U141" s="527">
        <f t="shared" ref="U141" si="191">U59</f>
        <v>0</v>
      </c>
      <c r="V141" s="527">
        <f t="shared" si="185"/>
        <v>674500</v>
      </c>
      <c r="W141" s="527">
        <f t="shared" ref="W141" si="192">W59</f>
        <v>0</v>
      </c>
      <c r="X141" s="527">
        <f t="shared" si="185"/>
        <v>674500</v>
      </c>
      <c r="Y141" s="527">
        <f t="shared" ref="Y141" si="193">Y59</f>
        <v>0</v>
      </c>
      <c r="Z141" s="527">
        <f t="shared" si="185"/>
        <v>674500</v>
      </c>
      <c r="AA141" s="527">
        <f t="shared" ref="AA141" si="194">AA59</f>
        <v>0</v>
      </c>
      <c r="AB141" s="456">
        <f t="shared" si="167"/>
        <v>8094000</v>
      </c>
      <c r="AC141" s="575">
        <f t="shared" si="177"/>
        <v>690000</v>
      </c>
    </row>
    <row r="142" spans="1:30" s="500" customFormat="1" ht="15.75" customHeight="1" x14ac:dyDescent="0.2">
      <c r="A142" s="500">
        <v>5</v>
      </c>
      <c r="B142" s="500" t="s">
        <v>106</v>
      </c>
      <c r="D142" s="527">
        <f t="shared" ref="D142:Z142" si="195">D58</f>
        <v>0</v>
      </c>
      <c r="E142" s="527">
        <f>E58</f>
        <v>850000</v>
      </c>
      <c r="F142" s="527">
        <f t="shared" si="195"/>
        <v>2850000</v>
      </c>
      <c r="G142" s="527">
        <f>G58</f>
        <v>0</v>
      </c>
      <c r="H142" s="527">
        <f t="shared" si="195"/>
        <v>0</v>
      </c>
      <c r="I142" s="527">
        <f>I58</f>
        <v>0</v>
      </c>
      <c r="J142" s="527">
        <f t="shared" si="195"/>
        <v>0</v>
      </c>
      <c r="K142" s="527">
        <f t="shared" ref="K142" si="196">K58</f>
        <v>750000</v>
      </c>
      <c r="L142" s="527">
        <f t="shared" si="195"/>
        <v>0</v>
      </c>
      <c r="M142" s="527">
        <f t="shared" ref="M142" si="197">M58</f>
        <v>0</v>
      </c>
      <c r="N142" s="527">
        <f t="shared" si="195"/>
        <v>2850000</v>
      </c>
      <c r="O142" s="527">
        <f t="shared" ref="O142" si="198">O58</f>
        <v>358000</v>
      </c>
      <c r="P142" s="527">
        <f t="shared" si="195"/>
        <v>0</v>
      </c>
      <c r="Q142" s="527">
        <v>0</v>
      </c>
      <c r="R142" s="527">
        <f t="shared" si="195"/>
        <v>0</v>
      </c>
      <c r="S142" s="527">
        <f>S58</f>
        <v>7920000</v>
      </c>
      <c r="T142" s="527">
        <f t="shared" si="195"/>
        <v>0</v>
      </c>
      <c r="U142" s="527">
        <f t="shared" ref="U142" si="199">U58</f>
        <v>0</v>
      </c>
      <c r="V142" s="527">
        <f t="shared" si="195"/>
        <v>0</v>
      </c>
      <c r="W142" s="527">
        <f t="shared" ref="W142" si="200">W58</f>
        <v>2450000</v>
      </c>
      <c r="X142" s="527">
        <f t="shared" si="195"/>
        <v>0</v>
      </c>
      <c r="Y142" s="527">
        <f t="shared" ref="Y142" si="201">Y58</f>
        <v>2670000</v>
      </c>
      <c r="Z142" s="527">
        <f t="shared" si="195"/>
        <v>0</v>
      </c>
      <c r="AA142" s="527">
        <f t="shared" ref="AA142" si="202">AA58</f>
        <v>0</v>
      </c>
      <c r="AB142" s="456">
        <f t="shared" si="167"/>
        <v>5700000</v>
      </c>
      <c r="AC142" s="575">
        <f t="shared" si="177"/>
        <v>14998000</v>
      </c>
    </row>
    <row r="143" spans="1:30" s="500" customFormat="1" ht="15.75" customHeight="1" x14ac:dyDescent="0.2">
      <c r="A143" s="500">
        <v>6</v>
      </c>
      <c r="B143" s="500" t="s">
        <v>187</v>
      </c>
      <c r="D143" s="527">
        <f t="shared" ref="D143:Z143" si="203">D21+D61+D68+D69+D71+D72+D65+D81+D87+D95+D105+D116+D100</f>
        <v>44500000</v>
      </c>
      <c r="E143" s="527">
        <f>E21+E61+E68+E69+E71+E72+E65+E81+E87+E95+E105+E116+E100</f>
        <v>0</v>
      </c>
      <c r="F143" s="527">
        <f t="shared" si="203"/>
        <v>33000000</v>
      </c>
      <c r="G143" s="527">
        <f>G21+G61+G68+G69+G71+G72+G65+G81+G87+G95+G105+G116+G100</f>
        <v>6200000</v>
      </c>
      <c r="H143" s="527">
        <f t="shared" si="203"/>
        <v>58000000</v>
      </c>
      <c r="I143" s="527">
        <f>I21+I61+I68+I69+I71+I72+I65+I81+I87+I95+I105+I116+I100</f>
        <v>19390000</v>
      </c>
      <c r="J143" s="527">
        <f t="shared" si="203"/>
        <v>54150000</v>
      </c>
      <c r="K143" s="527">
        <f t="shared" ref="K143" si="204">K21+K61+K68+K69+K71+K72+K65+K81+K87+K95+K105+K116+K100</f>
        <v>0</v>
      </c>
      <c r="L143" s="527">
        <f t="shared" si="203"/>
        <v>35750000</v>
      </c>
      <c r="M143" s="527">
        <f t="shared" ref="M143" si="205">M21+M61+M68+M69+M71+M72+M65+M81+M87+M95+M105+M116+M100</f>
        <v>0</v>
      </c>
      <c r="N143" s="527">
        <f t="shared" si="203"/>
        <v>13750000</v>
      </c>
      <c r="O143" s="527">
        <f t="shared" ref="O143" si="206">O21+O61+O68+O69+O71+O72+O65+O81+O87+O95+O105+O116+O100</f>
        <v>8500000</v>
      </c>
      <c r="P143" s="527">
        <f t="shared" si="203"/>
        <v>15750000</v>
      </c>
      <c r="Q143" s="527">
        <f t="shared" ref="Q143" si="207">Q21+Q61+Q68+Q69+Q71+Q72+Q65+Q81+Q87+Q95+Q105+Q116+Q100</f>
        <v>0</v>
      </c>
      <c r="R143" s="527">
        <f t="shared" si="203"/>
        <v>46250000</v>
      </c>
      <c r="S143" s="527">
        <f t="shared" ref="S143" si="208">S21+S61+S68+S69+S71+S72+S65+S81+S87+S95+S105+S116+S100</f>
        <v>0</v>
      </c>
      <c r="T143" s="527">
        <f t="shared" si="203"/>
        <v>16500000</v>
      </c>
      <c r="U143" s="527">
        <f t="shared" ref="U143" si="209">U21+U61+U68+U69+U71+U72+U65+U81+U87+U95+U105+U116+U100</f>
        <v>0</v>
      </c>
      <c r="V143" s="527">
        <f t="shared" si="203"/>
        <v>19150000</v>
      </c>
      <c r="W143" s="527">
        <f t="shared" ref="W143" si="210">W21+W61+W68+W69+W71+W72+W65+W81+W87+W95+W105+W116+W100</f>
        <v>41350000</v>
      </c>
      <c r="X143" s="527">
        <f t="shared" si="203"/>
        <v>16500000</v>
      </c>
      <c r="Y143" s="527">
        <f>Y21+Y68+Y61+Y69+Y71+Y72+Y65+Y81+Y87+Y95+Y105+Y116+Y100</f>
        <v>1800000</v>
      </c>
      <c r="Z143" s="527">
        <f t="shared" si="203"/>
        <v>12500000</v>
      </c>
      <c r="AA143" s="527">
        <f>AA21+AA68+AA61+AA69+AA71+AA72+AA65+AA81+AA87+AA95+AA105+AA116+AA100</f>
        <v>7000000</v>
      </c>
      <c r="AB143" s="456">
        <f t="shared" si="167"/>
        <v>365800000</v>
      </c>
      <c r="AC143" s="575">
        <f t="shared" si="177"/>
        <v>84240000</v>
      </c>
    </row>
    <row r="144" spans="1:30" s="500" customFormat="1" ht="15.75" customHeight="1" x14ac:dyDescent="0.2">
      <c r="A144" s="500">
        <v>7</v>
      </c>
      <c r="B144" s="500" t="s">
        <v>188</v>
      </c>
      <c r="D144" s="527">
        <f t="shared" ref="D144:Z144" si="211">D48</f>
        <v>6500000</v>
      </c>
      <c r="E144" s="527">
        <f>E48</f>
        <v>2424976</v>
      </c>
      <c r="F144" s="527">
        <f t="shared" si="211"/>
        <v>6500000</v>
      </c>
      <c r="G144" s="527">
        <f>G48</f>
        <v>2774829</v>
      </c>
      <c r="H144" s="527">
        <f t="shared" si="211"/>
        <v>6500000</v>
      </c>
      <c r="I144" s="527">
        <f>I48</f>
        <v>0</v>
      </c>
      <c r="J144" s="527">
        <f t="shared" si="211"/>
        <v>6500000</v>
      </c>
      <c r="K144" s="527">
        <f t="shared" ref="K144" si="212">K48</f>
        <v>2594637</v>
      </c>
      <c r="L144" s="527">
        <f t="shared" si="211"/>
        <v>6500000</v>
      </c>
      <c r="M144" s="527">
        <f t="shared" ref="M144" si="213">M48</f>
        <v>2335653</v>
      </c>
      <c r="N144" s="527">
        <f t="shared" si="211"/>
        <v>6500000</v>
      </c>
      <c r="O144" s="527">
        <f t="shared" ref="O144" si="214">O48</f>
        <v>5937535</v>
      </c>
      <c r="P144" s="527">
        <f t="shared" si="211"/>
        <v>6500000</v>
      </c>
      <c r="Q144" s="527">
        <f t="shared" ref="Q144" si="215">Q48</f>
        <v>1950000</v>
      </c>
      <c r="R144" s="527">
        <f t="shared" si="211"/>
        <v>6500000</v>
      </c>
      <c r="S144" s="527">
        <f t="shared" ref="S144" si="216">S48</f>
        <v>1950000</v>
      </c>
      <c r="T144" s="527">
        <f t="shared" si="211"/>
        <v>6500000</v>
      </c>
      <c r="U144" s="527">
        <f t="shared" ref="U144" si="217">U48</f>
        <v>1950000</v>
      </c>
      <c r="V144" s="527">
        <f t="shared" si="211"/>
        <v>6500000</v>
      </c>
      <c r="W144" s="527">
        <f t="shared" ref="W144" si="218">W48</f>
        <v>4788764</v>
      </c>
      <c r="X144" s="527">
        <f t="shared" si="211"/>
        <v>6500000</v>
      </c>
      <c r="Y144" s="527">
        <f t="shared" ref="Y144" si="219">Y48</f>
        <v>2498433</v>
      </c>
      <c r="Z144" s="527">
        <f t="shared" si="211"/>
        <v>6500000</v>
      </c>
      <c r="AA144" s="527">
        <f t="shared" ref="AA144" si="220">AA48</f>
        <v>9007846</v>
      </c>
      <c r="AB144" s="456">
        <f t="shared" si="167"/>
        <v>78000000</v>
      </c>
      <c r="AC144" s="575">
        <f t="shared" si="177"/>
        <v>38212673</v>
      </c>
    </row>
    <row r="145" spans="1:29" s="500" customFormat="1" ht="15.75" customHeight="1" x14ac:dyDescent="0.2">
      <c r="A145" s="500">
        <v>8</v>
      </c>
      <c r="B145" s="500" t="s">
        <v>189</v>
      </c>
      <c r="D145" s="527">
        <f>D14+D15+D17+D18+D30+D31+D70+D83+D89+D90+D118+D63+D99</f>
        <v>208000000</v>
      </c>
      <c r="E145" s="527">
        <f>E14+E15+E17+E18+E30+E31+E70+E83+E89+E90+E118+E63+E99</f>
        <v>139724704.74000001</v>
      </c>
      <c r="F145" s="527">
        <f t="shared" ref="F145:Z145" si="221">F14+F15+F17+F18+F30+F31+F70+F83+F89+F90+F118+F63+F99</f>
        <v>208000000</v>
      </c>
      <c r="G145" s="527">
        <f>G14+G15+G17+G18+G30+G31+G70+G83+G89+G90+G118+G63+G99</f>
        <v>34061389</v>
      </c>
      <c r="H145" s="527">
        <f t="shared" si="221"/>
        <v>254064000</v>
      </c>
      <c r="I145" s="527">
        <f>I14+I15+I17+I18+I30+I31+I70+I83+I89+I90+I118+I63+I99</f>
        <v>36254880</v>
      </c>
      <c r="J145" s="527">
        <f t="shared" si="221"/>
        <v>208000000</v>
      </c>
      <c r="K145" s="527">
        <f t="shared" ref="K145" si="222">K14+K15+K17+K18+K30+K31+K70+K83+K89+K90+K118+K63+K99</f>
        <v>175838560</v>
      </c>
      <c r="L145" s="527">
        <f t="shared" si="221"/>
        <v>284064000</v>
      </c>
      <c r="M145" s="527">
        <f t="shared" ref="M145" si="223">M14+M15+M17+M18+M30+M31+M70+M83+M89+M90+M118+M63+M99</f>
        <v>253078060</v>
      </c>
      <c r="N145" s="527">
        <f t="shared" si="221"/>
        <v>209500000</v>
      </c>
      <c r="O145" s="527">
        <f t="shared" ref="O145" si="224">O14+O15+O17+O18+O30+O31+O70+O83+O89+O90+O118+O63+O99</f>
        <v>184807039</v>
      </c>
      <c r="P145" s="527">
        <f t="shared" si="221"/>
        <v>208000000</v>
      </c>
      <c r="Q145" s="527">
        <f t="shared" ref="Q145" si="225">Q14+Q15+Q17+Q18+Q30+Q31+Q70+Q83+Q89+Q90+Q118+Q63+Q99</f>
        <v>35697200</v>
      </c>
      <c r="R145" s="527">
        <f t="shared" si="221"/>
        <v>254500000</v>
      </c>
      <c r="S145" s="527">
        <f t="shared" ref="S145" si="226">S14+S15+S17+S18+S30+S31+S70+S83+S89+S90+S118+S63+S99</f>
        <v>89350600</v>
      </c>
      <c r="T145" s="527">
        <f t="shared" si="221"/>
        <v>208000000</v>
      </c>
      <c r="U145" s="527">
        <f t="shared" ref="U145" si="227">U14+U15+U17+U18+U30+U31+U70+U83+U89+U90+U118+U63+U99</f>
        <v>42310500</v>
      </c>
      <c r="V145" s="527">
        <f t="shared" si="221"/>
        <v>315987600</v>
      </c>
      <c r="W145" s="527">
        <f t="shared" ref="W145" si="228">W14+W15+W17+W18+W30+W31+W70+W83+W89+W90+W118+W63+W99</f>
        <v>6650000</v>
      </c>
      <c r="X145" s="527">
        <f t="shared" si="221"/>
        <v>208000000</v>
      </c>
      <c r="Y145" s="527">
        <f t="shared" ref="Y145" si="229">Y14+Y15+Y17+Y18+Y30+Y31+Y70+Y83+Y89+Y90+Y118+Y63+Y99</f>
        <v>4203000</v>
      </c>
      <c r="Z145" s="527">
        <f t="shared" si="221"/>
        <v>208000000</v>
      </c>
      <c r="AA145" s="527">
        <f t="shared" ref="AA145" si="230">AA14+AA15+AA17+AA18+AA30+AA31+AA70+AA83+AA89+AA90+AA118+AA63+AA99</f>
        <v>8750500</v>
      </c>
      <c r="AB145" s="456">
        <f t="shared" si="167"/>
        <v>2774115600</v>
      </c>
      <c r="AC145" s="575">
        <f t="shared" si="177"/>
        <v>1010726432.74</v>
      </c>
    </row>
    <row r="146" spans="1:29" s="500" customFormat="1" ht="15.75" customHeight="1" x14ac:dyDescent="0.2">
      <c r="A146" s="500">
        <v>9</v>
      </c>
      <c r="B146" s="500" t="s">
        <v>190</v>
      </c>
      <c r="D146" s="527">
        <f t="shared" ref="D146:Z146" si="231">D26+D35</f>
        <v>1000000</v>
      </c>
      <c r="E146" s="527">
        <f>E26+E35</f>
        <v>30000</v>
      </c>
      <c r="F146" s="527">
        <f t="shared" si="231"/>
        <v>1000000</v>
      </c>
      <c r="G146" s="527">
        <f>G26+G35</f>
        <v>2305000</v>
      </c>
      <c r="H146" s="527">
        <f t="shared" si="231"/>
        <v>1000000</v>
      </c>
      <c r="I146" s="527">
        <f>I26+I35</f>
        <v>489500</v>
      </c>
      <c r="J146" s="527">
        <f t="shared" si="231"/>
        <v>1000000</v>
      </c>
      <c r="K146" s="527">
        <f t="shared" ref="K146" si="232">K26+K35</f>
        <v>526050</v>
      </c>
      <c r="L146" s="527">
        <f t="shared" si="231"/>
        <v>1000000</v>
      </c>
      <c r="M146" s="527">
        <f t="shared" ref="M146" si="233">M26+M35</f>
        <v>212500</v>
      </c>
      <c r="N146" s="527">
        <f t="shared" si="231"/>
        <v>1000000</v>
      </c>
      <c r="O146" s="527">
        <f t="shared" ref="O146" si="234">O26+O35</f>
        <v>178000</v>
      </c>
      <c r="P146" s="527">
        <f t="shared" si="231"/>
        <v>1000000</v>
      </c>
      <c r="Q146" s="527">
        <f t="shared" ref="Q146" si="235">Q26+Q35</f>
        <v>17000</v>
      </c>
      <c r="R146" s="527">
        <f t="shared" si="231"/>
        <v>1000000</v>
      </c>
      <c r="S146" s="527">
        <f t="shared" ref="S146" si="236">S26+S35</f>
        <v>0</v>
      </c>
      <c r="T146" s="527">
        <f t="shared" si="231"/>
        <v>1000000</v>
      </c>
      <c r="U146" s="527">
        <f t="shared" ref="U146" si="237">U26+U35</f>
        <v>0</v>
      </c>
      <c r="V146" s="527">
        <f t="shared" si="231"/>
        <v>6000000</v>
      </c>
      <c r="W146" s="527">
        <f t="shared" ref="W146" si="238">W26+W35</f>
        <v>254700</v>
      </c>
      <c r="X146" s="527">
        <f t="shared" si="231"/>
        <v>1000000</v>
      </c>
      <c r="Y146" s="527">
        <f t="shared" ref="Y146" si="239">Y26+Y35</f>
        <v>890000</v>
      </c>
      <c r="Z146" s="527">
        <f t="shared" si="231"/>
        <v>1000000</v>
      </c>
      <c r="AA146" s="527">
        <f t="shared" ref="AA146" si="240">AA26+AA35</f>
        <v>259000</v>
      </c>
      <c r="AB146" s="456">
        <f t="shared" si="167"/>
        <v>17000000</v>
      </c>
      <c r="AC146" s="575">
        <f t="shared" si="177"/>
        <v>5161750</v>
      </c>
    </row>
    <row r="147" spans="1:29" s="500" customFormat="1" ht="15.75" customHeight="1" x14ac:dyDescent="0.2">
      <c r="A147" s="500">
        <v>10</v>
      </c>
      <c r="B147" s="500" t="s">
        <v>154</v>
      </c>
      <c r="D147" s="527">
        <f t="shared" ref="D147:Z147" si="241">D114</f>
        <v>31235137.5</v>
      </c>
      <c r="E147" s="527">
        <f>E114</f>
        <v>0</v>
      </c>
      <c r="F147" s="527">
        <f t="shared" si="241"/>
        <v>31235137.5</v>
      </c>
      <c r="G147" s="527">
        <f>G114</f>
        <v>0</v>
      </c>
      <c r="H147" s="527">
        <f t="shared" si="241"/>
        <v>31235137.5</v>
      </c>
      <c r="I147" s="527">
        <f>I114</f>
        <v>0</v>
      </c>
      <c r="J147" s="527">
        <f t="shared" si="241"/>
        <v>31235137.5</v>
      </c>
      <c r="K147" s="527">
        <f t="shared" ref="K147" si="242">K114</f>
        <v>39985000</v>
      </c>
      <c r="L147" s="527">
        <f t="shared" si="241"/>
        <v>31235137.5</v>
      </c>
      <c r="M147" s="527">
        <f t="shared" ref="M147" si="243">M114</f>
        <v>94985000</v>
      </c>
      <c r="N147" s="527">
        <f t="shared" si="241"/>
        <v>31235137.5</v>
      </c>
      <c r="O147" s="527">
        <f t="shared" ref="O147" si="244">O114</f>
        <v>14980000</v>
      </c>
      <c r="P147" s="527">
        <f>P114</f>
        <v>31235137.5</v>
      </c>
      <c r="Q147" s="527">
        <f>Q114</f>
        <v>374432500</v>
      </c>
      <c r="R147" s="527">
        <f>R114</f>
        <v>31235137.5</v>
      </c>
      <c r="S147" s="527">
        <f>S114</f>
        <v>374432500</v>
      </c>
      <c r="T147" s="527">
        <f t="shared" si="241"/>
        <v>31235137.5</v>
      </c>
      <c r="U147" s="527">
        <f t="shared" ref="U147" si="245">U114</f>
        <v>374432500</v>
      </c>
      <c r="V147" s="527">
        <f>V114</f>
        <v>31235137.5</v>
      </c>
      <c r="W147" s="527">
        <f>W114</f>
        <v>213450000</v>
      </c>
      <c r="X147" s="527">
        <f t="shared" si="241"/>
        <v>31235137.5</v>
      </c>
      <c r="Y147" s="527">
        <f t="shared" ref="Y147" si="246">Y114</f>
        <v>31900500</v>
      </c>
      <c r="Z147" s="527">
        <f t="shared" si="241"/>
        <v>31235137.5</v>
      </c>
      <c r="AA147" s="527">
        <f t="shared" ref="AA147" si="247">AA114</f>
        <v>25780000</v>
      </c>
      <c r="AB147" s="456">
        <f t="shared" si="167"/>
        <v>374821650</v>
      </c>
      <c r="AC147" s="575">
        <f t="shared" si="177"/>
        <v>1544378000</v>
      </c>
    </row>
    <row r="148" spans="1:29" s="500" customFormat="1" ht="15.75" customHeight="1" x14ac:dyDescent="0.2">
      <c r="A148" s="500">
        <v>11</v>
      </c>
      <c r="B148" s="500" t="s">
        <v>129</v>
      </c>
      <c r="D148" s="527">
        <f t="shared" ref="D148:Z148" si="248">D82+D113</f>
        <v>4750000</v>
      </c>
      <c r="E148" s="527">
        <f>E82+E113</f>
        <v>100000</v>
      </c>
      <c r="F148" s="527">
        <f t="shared" si="248"/>
        <v>4750000</v>
      </c>
      <c r="G148" s="527">
        <f>G82+G113</f>
        <v>0</v>
      </c>
      <c r="H148" s="527">
        <f t="shared" si="248"/>
        <v>4750000</v>
      </c>
      <c r="I148" s="527">
        <f>I82+I113</f>
        <v>0</v>
      </c>
      <c r="J148" s="527">
        <f t="shared" si="248"/>
        <v>4750000</v>
      </c>
      <c r="K148" s="527">
        <f t="shared" ref="K148" si="249">K82+K113</f>
        <v>0</v>
      </c>
      <c r="L148" s="527">
        <f t="shared" si="248"/>
        <v>4750000</v>
      </c>
      <c r="M148" s="527">
        <f t="shared" ref="M148" si="250">M82+M113</f>
        <v>0</v>
      </c>
      <c r="N148" s="527">
        <f t="shared" si="248"/>
        <v>4750000</v>
      </c>
      <c r="O148" s="527">
        <f t="shared" ref="O148" si="251">O82+O113</f>
        <v>0</v>
      </c>
      <c r="P148" s="527">
        <f t="shared" si="248"/>
        <v>4750000</v>
      </c>
      <c r="Q148" s="527">
        <f t="shared" ref="Q148" si="252">Q82+Q113</f>
        <v>7174200</v>
      </c>
      <c r="R148" s="527">
        <f t="shared" si="248"/>
        <v>4750000</v>
      </c>
      <c r="S148" s="527">
        <f t="shared" ref="S148" si="253">S82+S113</f>
        <v>7174200</v>
      </c>
      <c r="T148" s="527">
        <f t="shared" si="248"/>
        <v>4750000</v>
      </c>
      <c r="U148" s="527">
        <f t="shared" ref="U148" si="254">U82+U113</f>
        <v>7174200</v>
      </c>
      <c r="V148" s="527">
        <f t="shared" si="248"/>
        <v>4750000</v>
      </c>
      <c r="W148" s="527">
        <f t="shared" ref="W148" si="255">W82+W113</f>
        <v>7185600</v>
      </c>
      <c r="X148" s="527">
        <f t="shared" si="248"/>
        <v>4750000</v>
      </c>
      <c r="Y148" s="527">
        <f t="shared" ref="Y148" si="256">Y82+Y113</f>
        <v>16540000</v>
      </c>
      <c r="Z148" s="527">
        <f t="shared" si="248"/>
        <v>4750000</v>
      </c>
      <c r="AA148" s="527">
        <f t="shared" ref="AA148" si="257">AA82+AA113</f>
        <v>9450600</v>
      </c>
      <c r="AB148" s="456">
        <f t="shared" si="167"/>
        <v>57000000</v>
      </c>
      <c r="AC148" s="575">
        <f t="shared" si="177"/>
        <v>54798800</v>
      </c>
    </row>
    <row r="149" spans="1:29" s="500" customFormat="1" ht="15.75" customHeight="1" x14ac:dyDescent="0.2">
      <c r="A149" s="500">
        <v>13</v>
      </c>
      <c r="B149" s="500" t="s">
        <v>191</v>
      </c>
      <c r="D149" s="527">
        <f t="shared" ref="D149:Z149" si="258">D8</f>
        <v>500000</v>
      </c>
      <c r="E149" s="527">
        <f>E8</f>
        <v>0</v>
      </c>
      <c r="F149" s="527">
        <f t="shared" si="258"/>
        <v>500000</v>
      </c>
      <c r="G149" s="527">
        <f>G8</f>
        <v>0</v>
      </c>
      <c r="H149" s="527">
        <f t="shared" si="258"/>
        <v>500000</v>
      </c>
      <c r="I149" s="527">
        <f>I8</f>
        <v>0</v>
      </c>
      <c r="J149" s="527">
        <f t="shared" si="258"/>
        <v>500000</v>
      </c>
      <c r="K149" s="527">
        <f t="shared" ref="K149" si="259">K8</f>
        <v>0</v>
      </c>
      <c r="L149" s="527">
        <f t="shared" si="258"/>
        <v>500000</v>
      </c>
      <c r="M149" s="527">
        <f t="shared" ref="M149" si="260">M8</f>
        <v>0</v>
      </c>
      <c r="N149" s="527">
        <f t="shared" si="258"/>
        <v>500000</v>
      </c>
      <c r="O149" s="527">
        <f t="shared" ref="O149" si="261">O8</f>
        <v>0</v>
      </c>
      <c r="P149" s="527">
        <f t="shared" si="258"/>
        <v>500000</v>
      </c>
      <c r="Q149" s="527">
        <f t="shared" ref="Q149" si="262">Q8</f>
        <v>0</v>
      </c>
      <c r="R149" s="527">
        <f t="shared" si="258"/>
        <v>500000</v>
      </c>
      <c r="S149" s="527">
        <f t="shared" ref="S149" si="263">S8</f>
        <v>0</v>
      </c>
      <c r="T149" s="527">
        <f t="shared" si="258"/>
        <v>500000</v>
      </c>
      <c r="U149" s="527">
        <f t="shared" ref="U149" si="264">U8</f>
        <v>0</v>
      </c>
      <c r="V149" s="527">
        <f t="shared" si="258"/>
        <v>500000</v>
      </c>
      <c r="W149" s="527">
        <f t="shared" ref="W149" si="265">W8</f>
        <v>0</v>
      </c>
      <c r="X149" s="527">
        <f t="shared" si="258"/>
        <v>500000</v>
      </c>
      <c r="Y149" s="527">
        <f t="shared" ref="Y149" si="266">Y8</f>
        <v>0</v>
      </c>
      <c r="Z149" s="527">
        <f t="shared" si="258"/>
        <v>500000</v>
      </c>
      <c r="AA149" s="527">
        <f t="shared" ref="AA149" si="267">AA8</f>
        <v>0</v>
      </c>
      <c r="AB149" s="456">
        <f t="shared" si="167"/>
        <v>6000000</v>
      </c>
      <c r="AC149" s="575">
        <f t="shared" si="177"/>
        <v>0</v>
      </c>
    </row>
    <row r="150" spans="1:29" s="500" customFormat="1" ht="15.75" customHeight="1" x14ac:dyDescent="0.2">
      <c r="A150" s="500">
        <v>14</v>
      </c>
      <c r="B150" s="500" t="s">
        <v>27</v>
      </c>
      <c r="D150" s="527">
        <f t="shared" ref="D150:Z150" si="268">D7</f>
        <v>750000</v>
      </c>
      <c r="E150" s="527">
        <f>E7</f>
        <v>530559</v>
      </c>
      <c r="F150" s="527">
        <f t="shared" si="268"/>
        <v>750000</v>
      </c>
      <c r="G150" s="527">
        <f>G7</f>
        <v>528420</v>
      </c>
      <c r="H150" s="527">
        <f t="shared" si="268"/>
        <v>750000</v>
      </c>
      <c r="I150" s="527">
        <f>I7</f>
        <v>524199</v>
      </c>
      <c r="J150" s="527">
        <f t="shared" si="268"/>
        <v>750000</v>
      </c>
      <c r="K150" s="527">
        <f t="shared" ref="K150" si="269">K7</f>
        <v>547343</v>
      </c>
      <c r="L150" s="527">
        <f t="shared" si="268"/>
        <v>750000</v>
      </c>
      <c r="M150" s="527">
        <f t="shared" ref="M150" si="270">M7</f>
        <v>548193</v>
      </c>
      <c r="N150" s="527">
        <f t="shared" si="268"/>
        <v>750000</v>
      </c>
      <c r="O150" s="527">
        <f t="shared" ref="O150" si="271">O7</f>
        <v>554139</v>
      </c>
      <c r="P150" s="527">
        <f t="shared" si="268"/>
        <v>750000</v>
      </c>
      <c r="Q150" s="527">
        <f t="shared" ref="Q150" si="272">Q7</f>
        <v>558784</v>
      </c>
      <c r="R150" s="527">
        <f t="shared" si="268"/>
        <v>750000</v>
      </c>
      <c r="S150" s="527">
        <f t="shared" ref="S150" si="273">S7</f>
        <v>592209</v>
      </c>
      <c r="T150" s="527">
        <f t="shared" si="268"/>
        <v>750000</v>
      </c>
      <c r="U150" s="527">
        <f t="shared" ref="U150" si="274">U7</f>
        <v>600725</v>
      </c>
      <c r="V150" s="527">
        <f t="shared" si="268"/>
        <v>750000</v>
      </c>
      <c r="W150" s="527">
        <f t="shared" ref="W150" si="275">W7</f>
        <v>601112</v>
      </c>
      <c r="X150" s="527">
        <f t="shared" si="268"/>
        <v>750000</v>
      </c>
      <c r="Y150" s="527">
        <f t="shared" ref="Y150" si="276">Y7</f>
        <v>601205</v>
      </c>
      <c r="Z150" s="527">
        <f t="shared" si="268"/>
        <v>750000</v>
      </c>
      <c r="AA150" s="527">
        <f t="shared" ref="AA150" si="277">AA7</f>
        <v>601205</v>
      </c>
      <c r="AB150" s="456">
        <f t="shared" si="167"/>
        <v>9000000</v>
      </c>
      <c r="AC150" s="575">
        <f t="shared" si="177"/>
        <v>6788093</v>
      </c>
    </row>
    <row r="151" spans="1:29" s="500" customFormat="1" ht="15.75" customHeight="1" x14ac:dyDescent="0.2">
      <c r="A151" s="500">
        <v>15</v>
      </c>
      <c r="B151" s="500" t="s">
        <v>192</v>
      </c>
      <c r="D151" s="527">
        <f t="shared" ref="D151:Z151" si="278">D27+D29+D79+D28</f>
        <v>1600000</v>
      </c>
      <c r="E151" s="527">
        <f>E27+E29+E79+E28</f>
        <v>0</v>
      </c>
      <c r="F151" s="527">
        <f t="shared" si="278"/>
        <v>1600000</v>
      </c>
      <c r="G151" s="527">
        <f>G27+G29+G79+G28</f>
        <v>0</v>
      </c>
      <c r="H151" s="527">
        <f t="shared" si="278"/>
        <v>2100000</v>
      </c>
      <c r="I151" s="527">
        <f>I27+I29+I79+I28</f>
        <v>500000</v>
      </c>
      <c r="J151" s="527">
        <f t="shared" si="278"/>
        <v>1600000</v>
      </c>
      <c r="K151" s="527">
        <f t="shared" ref="K151" si="279">K27+K29+K79+K28</f>
        <v>0</v>
      </c>
      <c r="L151" s="527">
        <f t="shared" si="278"/>
        <v>1600000</v>
      </c>
      <c r="M151" s="527">
        <f t="shared" ref="M151" si="280">M27+M29+M79+M28</f>
        <v>2250000</v>
      </c>
      <c r="N151" s="527">
        <f t="shared" si="278"/>
        <v>2100000</v>
      </c>
      <c r="O151" s="527">
        <f t="shared" ref="O151" si="281">O27+O29+O79+O28</f>
        <v>2250000</v>
      </c>
      <c r="P151" s="527">
        <f t="shared" si="278"/>
        <v>1600000</v>
      </c>
      <c r="Q151" s="527">
        <f t="shared" ref="Q151" si="282">Q27+Q29+Q79+Q28</f>
        <v>5400789</v>
      </c>
      <c r="R151" s="527">
        <f t="shared" si="278"/>
        <v>1600000</v>
      </c>
      <c r="S151" s="527">
        <f t="shared" ref="S151" si="283">S27+S29+S79+S28</f>
        <v>6200465</v>
      </c>
      <c r="T151" s="527">
        <f t="shared" si="278"/>
        <v>2100000</v>
      </c>
      <c r="U151" s="527">
        <f t="shared" ref="U151" si="284">U27+U29+U79+U28</f>
        <v>5980654</v>
      </c>
      <c r="V151" s="527">
        <f t="shared" si="278"/>
        <v>1600000</v>
      </c>
      <c r="W151" s="527">
        <f t="shared" ref="W151" si="285">W27+W29+W79+W28</f>
        <v>0</v>
      </c>
      <c r="X151" s="527">
        <f t="shared" si="278"/>
        <v>1600000</v>
      </c>
      <c r="Y151" s="527">
        <f t="shared" ref="Y151" si="286">Y27+Y29+Y79+Y28</f>
        <v>0</v>
      </c>
      <c r="Z151" s="527">
        <f t="shared" si="278"/>
        <v>2100000</v>
      </c>
      <c r="AA151" s="527">
        <f t="shared" ref="AA151" si="287">AA27+AA29+AA79+AA28</f>
        <v>0</v>
      </c>
      <c r="AB151" s="456">
        <f t="shared" si="167"/>
        <v>21200000</v>
      </c>
      <c r="AC151" s="575">
        <f t="shared" si="177"/>
        <v>22581908</v>
      </c>
    </row>
    <row r="152" spans="1:29" s="500" customFormat="1" ht="15.75" customHeight="1" x14ac:dyDescent="0.2">
      <c r="A152" s="500">
        <v>16</v>
      </c>
      <c r="B152" s="500" t="s">
        <v>100</v>
      </c>
      <c r="D152" s="527">
        <f t="shared" ref="D152:Z152" si="288">D53</f>
        <v>10000000</v>
      </c>
      <c r="E152" s="527">
        <f>E53</f>
        <v>6381175</v>
      </c>
      <c r="F152" s="527">
        <f t="shared" si="288"/>
        <v>10000000</v>
      </c>
      <c r="G152" s="527">
        <f>G53</f>
        <v>17778378</v>
      </c>
      <c r="H152" s="527">
        <f t="shared" si="288"/>
        <v>10000000</v>
      </c>
      <c r="I152" s="527">
        <f>I53</f>
        <v>5636688</v>
      </c>
      <c r="J152" s="527">
        <f t="shared" si="288"/>
        <v>10000000</v>
      </c>
      <c r="K152" s="527">
        <f t="shared" ref="K152" si="289">K53</f>
        <v>10424149</v>
      </c>
      <c r="L152" s="527">
        <f t="shared" si="288"/>
        <v>10000000</v>
      </c>
      <c r="M152" s="527">
        <f t="shared" ref="M152" si="290">M53</f>
        <v>8417700</v>
      </c>
      <c r="N152" s="527">
        <f t="shared" si="288"/>
        <v>10000000</v>
      </c>
      <c r="O152" s="527">
        <f t="shared" ref="O152" si="291">O53</f>
        <v>7467644</v>
      </c>
      <c r="P152" s="527">
        <f t="shared" si="288"/>
        <v>10000000</v>
      </c>
      <c r="Q152" s="527">
        <f t="shared" ref="Q152" si="292">Q53</f>
        <v>10750600</v>
      </c>
      <c r="R152" s="527">
        <f t="shared" si="288"/>
        <v>10000000</v>
      </c>
      <c r="S152" s="527">
        <f t="shared" ref="S152" si="293">S53</f>
        <v>9400600</v>
      </c>
      <c r="T152" s="527">
        <f t="shared" si="288"/>
        <v>10000000</v>
      </c>
      <c r="U152" s="527">
        <f t="shared" ref="U152" si="294">U53</f>
        <v>11980230</v>
      </c>
      <c r="V152" s="527">
        <f t="shared" si="288"/>
        <v>10000000</v>
      </c>
      <c r="W152" s="527">
        <f t="shared" ref="W152" si="295">W53</f>
        <v>28450600</v>
      </c>
      <c r="X152" s="527">
        <f t="shared" si="288"/>
        <v>10000000</v>
      </c>
      <c r="Y152" s="527">
        <f t="shared" ref="Y152" si="296">Y53</f>
        <v>21890400</v>
      </c>
      <c r="Z152" s="527">
        <f t="shared" si="288"/>
        <v>10000000</v>
      </c>
      <c r="AA152" s="527">
        <f t="shared" ref="AA152" si="297">AA53</f>
        <v>24612000</v>
      </c>
      <c r="AB152" s="456">
        <f t="shared" si="167"/>
        <v>120000000</v>
      </c>
      <c r="AC152" s="575">
        <f t="shared" si="177"/>
        <v>163190164</v>
      </c>
    </row>
    <row r="153" spans="1:29" s="500" customFormat="1" ht="15.75" customHeight="1" x14ac:dyDescent="0.2">
      <c r="A153" s="500">
        <v>17</v>
      </c>
      <c r="B153" s="500" t="s">
        <v>84</v>
      </c>
      <c r="D153" s="527">
        <f t="shared" ref="D153:Z153" si="298">D25+D45+D62+D66+D88+D94+D102+D111+D85+D97</f>
        <v>43040000</v>
      </c>
      <c r="E153" s="527">
        <f>E25+E45+E62+E66+E88+E94+E102+E111+E85+E97</f>
        <v>33897980</v>
      </c>
      <c r="F153" s="527">
        <f t="shared" si="298"/>
        <v>71044000</v>
      </c>
      <c r="G153" s="527">
        <f>G25+G45+G62+G66+G88+G94+G102+G111+G85+G97</f>
        <v>45586324</v>
      </c>
      <c r="H153" s="527">
        <f t="shared" si="298"/>
        <v>46232000</v>
      </c>
      <c r="I153" s="527">
        <f>I25+I45+I62+I66+I88+I94+I102+I111+I85+I97</f>
        <v>15714986</v>
      </c>
      <c r="J153" s="527">
        <f t="shared" si="298"/>
        <v>36232000</v>
      </c>
      <c r="K153" s="527">
        <f t="shared" ref="K153" si="299">K25+K45+K62+K66+K88+K94+K102+K111+K85+K97</f>
        <v>9370000</v>
      </c>
      <c r="L153" s="527">
        <f t="shared" si="298"/>
        <v>40982000</v>
      </c>
      <c r="M153" s="527">
        <f t="shared" ref="M153" si="300">M25+M45+M62+M66+M88+M94+M102+M111+M85+M97</f>
        <v>51363248</v>
      </c>
      <c r="N153" s="527">
        <f t="shared" si="298"/>
        <v>122923000</v>
      </c>
      <c r="O153" s="527">
        <f t="shared" ref="O153" si="301">O25+O45+O62+O66+O88+O94+O102+O111+O85+O97</f>
        <v>68870203</v>
      </c>
      <c r="P153" s="527">
        <f t="shared" si="298"/>
        <v>36232000</v>
      </c>
      <c r="Q153" s="527">
        <f t="shared" ref="Q153" si="302">Q25+Q45+Q62+Q66+Q88+Q94+Q102+Q111+Q85+Q97</f>
        <v>26700600</v>
      </c>
      <c r="R153" s="527">
        <f t="shared" si="298"/>
        <v>37342000</v>
      </c>
      <c r="S153" s="527">
        <f t="shared" ref="S153" si="303">S25+S45+S62+S66+S88+S94+S102+S111+S85+S97</f>
        <v>24300265</v>
      </c>
      <c r="T153" s="527">
        <f t="shared" si="298"/>
        <v>42282000</v>
      </c>
      <c r="U153" s="527">
        <f t="shared" ref="U153" si="304">U25+U45+U62+U66+U88+U94+U102+U111+U85+U97</f>
        <v>25998536</v>
      </c>
      <c r="V153" s="527">
        <f t="shared" si="298"/>
        <v>42822000</v>
      </c>
      <c r="W153" s="527">
        <f t="shared" ref="W153" si="305">W25+W45+W62+W66+W88+W94+W102+W111+W85+W97</f>
        <v>187420700</v>
      </c>
      <c r="X153" s="527">
        <f t="shared" si="298"/>
        <v>75232000</v>
      </c>
      <c r="Y153" s="527">
        <f t="shared" ref="Y153" si="306">Y25+Y45+Y62+Y66+Y88+Y94+Y102+Y111+Y85+Y97</f>
        <v>147125000</v>
      </c>
      <c r="Z153" s="527">
        <f t="shared" si="298"/>
        <v>56232000</v>
      </c>
      <c r="AA153" s="527">
        <f t="shared" ref="AA153" si="307">AA25+AA45+AA62+AA66+AA88+AA94+AA102+AA111+AA85+AA97</f>
        <v>222390450</v>
      </c>
      <c r="AB153" s="456">
        <f t="shared" si="167"/>
        <v>650595000</v>
      </c>
      <c r="AC153" s="575">
        <f t="shared" si="177"/>
        <v>858738292</v>
      </c>
    </row>
    <row r="154" spans="1:29" s="500" customFormat="1" ht="15.75" customHeight="1" x14ac:dyDescent="0.2">
      <c r="A154" s="500">
        <v>18</v>
      </c>
      <c r="B154" s="500" t="s">
        <v>72</v>
      </c>
      <c r="D154" s="527">
        <f t="shared" ref="D154:Z154" si="308">D37</f>
        <v>4500000</v>
      </c>
      <c r="E154" s="527">
        <f>E37</f>
        <v>4368193.4399999995</v>
      </c>
      <c r="F154" s="527">
        <f t="shared" si="308"/>
        <v>4500000</v>
      </c>
      <c r="G154" s="527">
        <f>G37</f>
        <v>10775332.33</v>
      </c>
      <c r="H154" s="527">
        <f t="shared" si="308"/>
        <v>4500000</v>
      </c>
      <c r="I154" s="527">
        <f>I37</f>
        <v>2843148.99</v>
      </c>
      <c r="J154" s="527">
        <f t="shared" si="308"/>
        <v>4500000</v>
      </c>
      <c r="K154" s="527">
        <f t="shared" ref="K154" si="309">K37</f>
        <v>11227033</v>
      </c>
      <c r="L154" s="527">
        <f t="shared" si="308"/>
        <v>4500000</v>
      </c>
      <c r="M154" s="527">
        <f t="shared" ref="M154" si="310">M37</f>
        <v>8315840</v>
      </c>
      <c r="N154" s="527">
        <f t="shared" si="308"/>
        <v>4500000</v>
      </c>
      <c r="O154" s="527">
        <f t="shared" ref="O154" si="311">O37</f>
        <v>4400875</v>
      </c>
      <c r="P154" s="527">
        <f t="shared" si="308"/>
        <v>4500000</v>
      </c>
      <c r="Q154" s="527">
        <f t="shared" ref="Q154" si="312">Q37</f>
        <v>8560230</v>
      </c>
      <c r="R154" s="527">
        <f t="shared" si="308"/>
        <v>4500000</v>
      </c>
      <c r="S154" s="527">
        <f t="shared" ref="S154" si="313">S37</f>
        <v>15620031</v>
      </c>
      <c r="T154" s="527">
        <f t="shared" si="308"/>
        <v>4500000</v>
      </c>
      <c r="U154" s="527">
        <f t="shared" ref="U154" si="314">U37</f>
        <v>6575800</v>
      </c>
      <c r="V154" s="527">
        <f t="shared" si="308"/>
        <v>4500000</v>
      </c>
      <c r="W154" s="527">
        <f t="shared" ref="W154" si="315">W37</f>
        <v>10974500</v>
      </c>
      <c r="X154" s="527">
        <f t="shared" si="308"/>
        <v>4500000</v>
      </c>
      <c r="Y154" s="527">
        <f t="shared" ref="Y154" si="316">Y37</f>
        <v>8712000</v>
      </c>
      <c r="Z154" s="527">
        <f t="shared" si="308"/>
        <v>4500000</v>
      </c>
      <c r="AA154" s="527">
        <f t="shared" ref="AA154" si="317">AA37</f>
        <v>8275410</v>
      </c>
      <c r="AB154" s="456">
        <f t="shared" si="167"/>
        <v>54000000</v>
      </c>
      <c r="AC154" s="575">
        <f t="shared" si="177"/>
        <v>100648393.75999999</v>
      </c>
    </row>
    <row r="155" spans="1:29" s="500" customFormat="1" ht="15.75" customHeight="1" x14ac:dyDescent="0.2">
      <c r="A155" s="500">
        <v>19</v>
      </c>
      <c r="B155" s="500" t="s">
        <v>193</v>
      </c>
      <c r="D155" s="527">
        <f t="shared" ref="D155:Z155" si="318">D12+D13+D110+D76</f>
        <v>33833501</v>
      </c>
      <c r="E155" s="527">
        <f>E12+E13+E110+E76</f>
        <v>37961425</v>
      </c>
      <c r="F155" s="527">
        <f t="shared" si="318"/>
        <v>33833501</v>
      </c>
      <c r="G155" s="527">
        <f>G12+G13+G110+G76</f>
        <v>41961231</v>
      </c>
      <c r="H155" s="527">
        <f t="shared" si="318"/>
        <v>33833501</v>
      </c>
      <c r="I155" s="527">
        <f>I12+I13+I110+I76</f>
        <v>24664501</v>
      </c>
      <c r="J155" s="527">
        <f t="shared" si="318"/>
        <v>37840501</v>
      </c>
      <c r="K155" s="527">
        <f t="shared" ref="K155" si="319">K12+K13+K110+K76</f>
        <v>54005281</v>
      </c>
      <c r="L155" s="527">
        <f t="shared" si="318"/>
        <v>37840501</v>
      </c>
      <c r="M155" s="527">
        <f t="shared" ref="M155" si="320">M12+M13+M110+M76</f>
        <v>85859184</v>
      </c>
      <c r="N155" s="527">
        <f t="shared" si="318"/>
        <v>77840501</v>
      </c>
      <c r="O155" s="527">
        <f t="shared" ref="O155" si="321">O12+O13+O110+O76</f>
        <v>146078310</v>
      </c>
      <c r="P155" s="527">
        <f t="shared" si="318"/>
        <v>37840501</v>
      </c>
      <c r="Q155" s="527">
        <f t="shared" ref="Q155" si="322">Q12+Q13+Q110+Q76</f>
        <v>15035897</v>
      </c>
      <c r="R155" s="527">
        <f t="shared" si="318"/>
        <v>37840501</v>
      </c>
      <c r="S155" s="527">
        <f t="shared" ref="S155" si="323">S12+S13+S110+S76</f>
        <v>9872354</v>
      </c>
      <c r="T155" s="527">
        <f t="shared" si="318"/>
        <v>37840501</v>
      </c>
      <c r="U155" s="527">
        <f t="shared" ref="U155" si="324">U12+U13+U110+U76</f>
        <v>5642000</v>
      </c>
      <c r="V155" s="527">
        <f t="shared" si="318"/>
        <v>37840501</v>
      </c>
      <c r="W155" s="527">
        <f t="shared" ref="W155" si="325">W12+W13+W110+W76</f>
        <v>46396050</v>
      </c>
      <c r="X155" s="527">
        <f t="shared" si="318"/>
        <v>37840501</v>
      </c>
      <c r="Y155" s="527">
        <f t="shared" ref="Y155" si="326">Y12+Y13+Y110+Y76</f>
        <v>19643628</v>
      </c>
      <c r="Z155" s="527">
        <f t="shared" si="318"/>
        <v>37840501</v>
      </c>
      <c r="AA155" s="527">
        <f t="shared" ref="AA155" si="327">AA12+AA13+AA110+AA76</f>
        <v>18450990</v>
      </c>
      <c r="AB155" s="456">
        <f t="shared" si="167"/>
        <v>482065012</v>
      </c>
      <c r="AC155" s="575">
        <f t="shared" si="177"/>
        <v>505570851</v>
      </c>
    </row>
    <row r="156" spans="1:29" s="500" customFormat="1" ht="15.75" customHeight="1" x14ac:dyDescent="0.2">
      <c r="A156" s="500">
        <v>20</v>
      </c>
      <c r="B156" s="500" t="s">
        <v>194</v>
      </c>
      <c r="D156" s="527">
        <f t="shared" ref="D156:Z156" si="328">D92</f>
        <v>500000</v>
      </c>
      <c r="E156" s="527">
        <f>E92</f>
        <v>0</v>
      </c>
      <c r="F156" s="527">
        <f t="shared" si="328"/>
        <v>500000</v>
      </c>
      <c r="G156" s="527">
        <f>G92</f>
        <v>0</v>
      </c>
      <c r="H156" s="527">
        <f t="shared" si="328"/>
        <v>500000</v>
      </c>
      <c r="I156" s="527">
        <f>I92</f>
        <v>0</v>
      </c>
      <c r="J156" s="527">
        <f t="shared" si="328"/>
        <v>500000</v>
      </c>
      <c r="K156" s="527">
        <f t="shared" ref="K156" si="329">K92</f>
        <v>0</v>
      </c>
      <c r="L156" s="527">
        <f t="shared" si="328"/>
        <v>500000</v>
      </c>
      <c r="M156" s="527">
        <f t="shared" ref="M156" si="330">M92</f>
        <v>0</v>
      </c>
      <c r="N156" s="527">
        <f t="shared" si="328"/>
        <v>500000</v>
      </c>
      <c r="O156" s="527">
        <f t="shared" ref="O156" si="331">O92</f>
        <v>0</v>
      </c>
      <c r="P156" s="527">
        <f t="shared" si="328"/>
        <v>500000</v>
      </c>
      <c r="Q156" s="527">
        <f t="shared" ref="Q156" si="332">Q92</f>
        <v>0</v>
      </c>
      <c r="R156" s="527">
        <f t="shared" si="328"/>
        <v>500000</v>
      </c>
      <c r="S156" s="527">
        <f t="shared" ref="S156" si="333">S92</f>
        <v>0</v>
      </c>
      <c r="T156" s="527">
        <f t="shared" si="328"/>
        <v>500000</v>
      </c>
      <c r="U156" s="527">
        <f t="shared" ref="U156" si="334">U92</f>
        <v>0</v>
      </c>
      <c r="V156" s="527">
        <f t="shared" si="328"/>
        <v>500000</v>
      </c>
      <c r="W156" s="527">
        <f t="shared" ref="W156" si="335">W92</f>
        <v>0</v>
      </c>
      <c r="X156" s="527">
        <f t="shared" si="328"/>
        <v>500000</v>
      </c>
      <c r="Y156" s="527">
        <f t="shared" ref="Y156" si="336">Y92</f>
        <v>0</v>
      </c>
      <c r="Z156" s="527">
        <f t="shared" si="328"/>
        <v>500000</v>
      </c>
      <c r="AA156" s="527">
        <f t="shared" ref="AA156" si="337">AA92</f>
        <v>0</v>
      </c>
      <c r="AB156" s="456">
        <f t="shared" si="167"/>
        <v>6000000</v>
      </c>
      <c r="AC156" s="575">
        <f t="shared" si="177"/>
        <v>0</v>
      </c>
    </row>
    <row r="157" spans="1:29" s="500" customFormat="1" ht="15.75" customHeight="1" x14ac:dyDescent="0.2">
      <c r="A157" s="500">
        <v>21</v>
      </c>
      <c r="B157" s="500" t="s">
        <v>195</v>
      </c>
      <c r="D157" s="527">
        <f t="shared" ref="D157:Z157" si="338">D38+D104</f>
        <v>1000000</v>
      </c>
      <c r="E157" s="527">
        <f>E38+E104</f>
        <v>285000</v>
      </c>
      <c r="F157" s="527">
        <f t="shared" si="338"/>
        <v>1000000</v>
      </c>
      <c r="G157" s="527">
        <f>G38+G104</f>
        <v>0</v>
      </c>
      <c r="H157" s="527">
        <f t="shared" si="338"/>
        <v>1000000</v>
      </c>
      <c r="I157" s="527">
        <f>I38+I104</f>
        <v>150000</v>
      </c>
      <c r="J157" s="527">
        <f t="shared" si="338"/>
        <v>1000000</v>
      </c>
      <c r="K157" s="527">
        <f t="shared" ref="K157" si="339">K38+K104</f>
        <v>484500</v>
      </c>
      <c r="L157" s="527">
        <f t="shared" si="338"/>
        <v>1000000</v>
      </c>
      <c r="M157" s="527">
        <f t="shared" ref="M157" si="340">M38+M104</f>
        <v>1648500</v>
      </c>
      <c r="N157" s="527">
        <f t="shared" si="338"/>
        <v>1000000</v>
      </c>
      <c r="O157" s="527">
        <f t="shared" ref="O157" si="341">O38+O104</f>
        <v>150000</v>
      </c>
      <c r="P157" s="527">
        <f t="shared" si="338"/>
        <v>1000000</v>
      </c>
      <c r="Q157" s="527">
        <f t="shared" ref="Q157" si="342">Q38+Q104</f>
        <v>635800</v>
      </c>
      <c r="R157" s="527">
        <f t="shared" si="338"/>
        <v>1000000</v>
      </c>
      <c r="S157" s="527">
        <f t="shared" ref="S157" si="343">S38+S104</f>
        <v>635800</v>
      </c>
      <c r="T157" s="527">
        <f t="shared" si="338"/>
        <v>1000000</v>
      </c>
      <c r="U157" s="527">
        <f t="shared" ref="U157" si="344">U38+U104</f>
        <v>635800</v>
      </c>
      <c r="V157" s="527">
        <f t="shared" si="338"/>
        <v>1000000</v>
      </c>
      <c r="W157" s="527">
        <f t="shared" ref="W157" si="345">W38+W104</f>
        <v>400000</v>
      </c>
      <c r="X157" s="527">
        <f t="shared" si="338"/>
        <v>1000000</v>
      </c>
      <c r="Y157" s="527">
        <f t="shared" ref="Y157" si="346">Y38+Y104</f>
        <v>150000</v>
      </c>
      <c r="Z157" s="527">
        <f t="shared" si="338"/>
        <v>1000000</v>
      </c>
      <c r="AA157" s="527">
        <f t="shared" ref="AA157" si="347">AA38+AA104</f>
        <v>555000</v>
      </c>
      <c r="AB157" s="456">
        <f t="shared" si="167"/>
        <v>12000000</v>
      </c>
      <c r="AC157" s="575">
        <f t="shared" si="177"/>
        <v>5730400</v>
      </c>
    </row>
    <row r="158" spans="1:29" s="500" customFormat="1" ht="15.75" customHeight="1" x14ac:dyDescent="0.2">
      <c r="A158" s="500">
        <v>22</v>
      </c>
      <c r="B158" s="500" t="s">
        <v>76</v>
      </c>
      <c r="D158" s="527">
        <f t="shared" ref="D158:Z158" si="348">D39</f>
        <v>6000000</v>
      </c>
      <c r="E158" s="527">
        <f>E39</f>
        <v>6018689</v>
      </c>
      <c r="F158" s="527">
        <f t="shared" si="348"/>
        <v>6000000</v>
      </c>
      <c r="G158" s="527">
        <f>G39</f>
        <v>9130588</v>
      </c>
      <c r="H158" s="527">
        <f t="shared" si="348"/>
        <v>6000000</v>
      </c>
      <c r="I158" s="527">
        <f>I39</f>
        <v>2400477</v>
      </c>
      <c r="J158" s="527">
        <f t="shared" si="348"/>
        <v>6000000</v>
      </c>
      <c r="K158" s="527">
        <f t="shared" ref="K158" si="349">K39</f>
        <v>5401463</v>
      </c>
      <c r="L158" s="527">
        <f t="shared" si="348"/>
        <v>6000000</v>
      </c>
      <c r="M158" s="527">
        <f t="shared" ref="M158" si="350">M39</f>
        <v>9751437</v>
      </c>
      <c r="N158" s="527">
        <f t="shared" si="348"/>
        <v>6000000</v>
      </c>
      <c r="O158" s="527">
        <f t="shared" ref="O158" si="351">O39</f>
        <v>7717151</v>
      </c>
      <c r="P158" s="527">
        <f t="shared" si="348"/>
        <v>6000000</v>
      </c>
      <c r="Q158" s="527">
        <f t="shared" ref="Q158" si="352">Q39</f>
        <v>3265000</v>
      </c>
      <c r="R158" s="527">
        <f t="shared" si="348"/>
        <v>6000000</v>
      </c>
      <c r="S158" s="527">
        <f t="shared" ref="S158" si="353">S39</f>
        <v>3001500</v>
      </c>
      <c r="T158" s="527">
        <f t="shared" si="348"/>
        <v>6000000</v>
      </c>
      <c r="U158" s="527">
        <f t="shared" ref="U158" si="354">U39</f>
        <v>3456200</v>
      </c>
      <c r="V158" s="527">
        <f t="shared" si="348"/>
        <v>6000000</v>
      </c>
      <c r="W158" s="527">
        <f>W39</f>
        <v>620000</v>
      </c>
      <c r="X158" s="527">
        <f t="shared" si="348"/>
        <v>6000000</v>
      </c>
      <c r="Y158" s="527">
        <f t="shared" ref="Y158" si="355">Y39</f>
        <v>714500</v>
      </c>
      <c r="Z158" s="527">
        <f t="shared" si="348"/>
        <v>6000000</v>
      </c>
      <c r="AA158" s="527">
        <f t="shared" ref="AA158" si="356">AA39</f>
        <v>627200</v>
      </c>
      <c r="AB158" s="456">
        <f t="shared" si="167"/>
        <v>72000000</v>
      </c>
      <c r="AC158" s="575">
        <f t="shared" si="177"/>
        <v>52104205</v>
      </c>
    </row>
    <row r="159" spans="1:29" s="500" customFormat="1" ht="15.75" customHeight="1" x14ac:dyDescent="0.2">
      <c r="A159" s="500">
        <v>23</v>
      </c>
      <c r="B159" s="500" t="s">
        <v>196</v>
      </c>
      <c r="D159" s="527">
        <f t="shared" ref="D159:Z159" si="357">D47</f>
        <v>65500000</v>
      </c>
      <c r="E159" s="527">
        <f>E47</f>
        <v>51230000</v>
      </c>
      <c r="F159" s="527">
        <f t="shared" si="357"/>
        <v>65500000</v>
      </c>
      <c r="G159" s="527">
        <f>G47</f>
        <v>51230000</v>
      </c>
      <c r="H159" s="527">
        <f t="shared" si="357"/>
        <v>65500000</v>
      </c>
      <c r="I159" s="527">
        <f>I47</f>
        <v>51230000</v>
      </c>
      <c r="J159" s="527">
        <f t="shared" si="357"/>
        <v>65500000</v>
      </c>
      <c r="K159" s="527">
        <f t="shared" ref="K159" si="358">K47</f>
        <v>51230000</v>
      </c>
      <c r="L159" s="527">
        <f t="shared" si="357"/>
        <v>65500000</v>
      </c>
      <c r="M159" s="527">
        <f t="shared" ref="M159" si="359">M47</f>
        <v>106230000</v>
      </c>
      <c r="N159" s="527">
        <f t="shared" si="357"/>
        <v>65500000</v>
      </c>
      <c r="O159" s="527">
        <f t="shared" ref="O159" si="360">O47</f>
        <v>55000000</v>
      </c>
      <c r="P159" s="527">
        <f t="shared" si="357"/>
        <v>65500000</v>
      </c>
      <c r="Q159" s="527">
        <f t="shared" ref="Q159" si="361">Q47</f>
        <v>34150000</v>
      </c>
      <c r="R159" s="527">
        <f t="shared" si="357"/>
        <v>65500000</v>
      </c>
      <c r="S159" s="527">
        <f t="shared" ref="S159" si="362">S47</f>
        <v>34150000</v>
      </c>
      <c r="T159" s="527">
        <f t="shared" si="357"/>
        <v>65500000</v>
      </c>
      <c r="U159" s="527">
        <f t="shared" ref="U159" si="363">U47</f>
        <v>34150000</v>
      </c>
      <c r="V159" s="527">
        <f t="shared" si="357"/>
        <v>65500000</v>
      </c>
      <c r="W159" s="527">
        <f t="shared" ref="W159" si="364">W47</f>
        <v>51230000</v>
      </c>
      <c r="X159" s="527">
        <f t="shared" si="357"/>
        <v>65500000</v>
      </c>
      <c r="Y159" s="527">
        <f t="shared" ref="Y159" si="365">Y47</f>
        <v>51230000</v>
      </c>
      <c r="Z159" s="527">
        <f t="shared" si="357"/>
        <v>65500000</v>
      </c>
      <c r="AA159" s="527">
        <f t="shared" ref="AA159" si="366">AA47</f>
        <v>51230000</v>
      </c>
      <c r="AB159" s="456">
        <f t="shared" si="167"/>
        <v>786000000</v>
      </c>
      <c r="AC159" s="575">
        <f t="shared" si="177"/>
        <v>622290000</v>
      </c>
    </row>
    <row r="160" spans="1:29" s="500" customFormat="1" ht="15.75" customHeight="1" x14ac:dyDescent="0.2">
      <c r="A160" s="500">
        <v>24</v>
      </c>
      <c r="B160" s="500" t="s">
        <v>83</v>
      </c>
      <c r="D160" s="527">
        <f t="shared" ref="D160:Z160" si="367">D34</f>
        <v>1000000</v>
      </c>
      <c r="E160" s="527">
        <f>E34</f>
        <v>0</v>
      </c>
      <c r="F160" s="527">
        <f t="shared" si="367"/>
        <v>1000000</v>
      </c>
      <c r="G160" s="527">
        <f>G34</f>
        <v>0</v>
      </c>
      <c r="H160" s="527">
        <f t="shared" si="367"/>
        <v>1000000</v>
      </c>
      <c r="I160" s="527">
        <f>I34</f>
        <v>0</v>
      </c>
      <c r="J160" s="527">
        <f t="shared" si="367"/>
        <v>1000000</v>
      </c>
      <c r="K160" s="527">
        <f t="shared" ref="K160" si="368">K34</f>
        <v>0</v>
      </c>
      <c r="L160" s="527">
        <f t="shared" si="367"/>
        <v>1000000</v>
      </c>
      <c r="M160" s="527">
        <f t="shared" ref="M160" si="369">M34</f>
        <v>0</v>
      </c>
      <c r="N160" s="527">
        <f t="shared" si="367"/>
        <v>1000000</v>
      </c>
      <c r="O160" s="527">
        <f t="shared" ref="O160" si="370">O34</f>
        <v>0</v>
      </c>
      <c r="P160" s="527">
        <f t="shared" si="367"/>
        <v>1000000</v>
      </c>
      <c r="Q160" s="527">
        <f t="shared" ref="Q160" si="371">Q34</f>
        <v>0</v>
      </c>
      <c r="R160" s="527">
        <f t="shared" si="367"/>
        <v>1000000</v>
      </c>
      <c r="S160" s="527">
        <f t="shared" ref="S160" si="372">S34</f>
        <v>0</v>
      </c>
      <c r="T160" s="527">
        <f t="shared" si="367"/>
        <v>1000000</v>
      </c>
      <c r="U160" s="527">
        <f t="shared" ref="U160" si="373">U34</f>
        <v>0</v>
      </c>
      <c r="V160" s="527">
        <f t="shared" si="367"/>
        <v>1000000</v>
      </c>
      <c r="W160" s="527">
        <f t="shared" ref="W160" si="374">W34</f>
        <v>672000</v>
      </c>
      <c r="X160" s="527">
        <f t="shared" si="367"/>
        <v>1000000</v>
      </c>
      <c r="Y160" s="527">
        <f t="shared" ref="Y160" si="375">Y34</f>
        <v>781500</v>
      </c>
      <c r="Z160" s="527">
        <f t="shared" si="367"/>
        <v>1000000</v>
      </c>
      <c r="AA160" s="527">
        <f t="shared" ref="AA160" si="376">AA34</f>
        <v>546300</v>
      </c>
      <c r="AB160" s="456">
        <f t="shared" si="167"/>
        <v>12000000</v>
      </c>
      <c r="AC160" s="575">
        <f t="shared" si="177"/>
        <v>1999800</v>
      </c>
    </row>
    <row r="161" spans="1:29" s="500" customFormat="1" ht="15.75" customHeight="1" x14ac:dyDescent="0.2">
      <c r="A161" s="500">
        <v>25</v>
      </c>
      <c r="B161" s="500" t="s">
        <v>197</v>
      </c>
      <c r="D161" s="527">
        <f t="shared" ref="D161:Z161" si="377">D107+D117</f>
        <v>12000000</v>
      </c>
      <c r="E161" s="527">
        <f>E107+E117</f>
        <v>0</v>
      </c>
      <c r="F161" s="527">
        <f t="shared" si="377"/>
        <v>12000000</v>
      </c>
      <c r="G161" s="527">
        <f>G107+G117</f>
        <v>0</v>
      </c>
      <c r="H161" s="527">
        <f t="shared" si="377"/>
        <v>12000000</v>
      </c>
      <c r="I161" s="527">
        <f>I107+I117</f>
        <v>25000000</v>
      </c>
      <c r="J161" s="527">
        <f t="shared" si="377"/>
        <v>12000000</v>
      </c>
      <c r="K161" s="527">
        <f t="shared" ref="K161" si="378">K107+K117</f>
        <v>0</v>
      </c>
      <c r="L161" s="527">
        <f t="shared" si="377"/>
        <v>12000000</v>
      </c>
      <c r="M161" s="527">
        <f t="shared" ref="M161" si="379">M107+M117</f>
        <v>0</v>
      </c>
      <c r="N161" s="527">
        <f t="shared" si="377"/>
        <v>12000000</v>
      </c>
      <c r="O161" s="527">
        <f t="shared" ref="O161" si="380">O107+O117</f>
        <v>0</v>
      </c>
      <c r="P161" s="527">
        <f>P107+P117</f>
        <v>12000000</v>
      </c>
      <c r="Q161" s="527">
        <f>Q107+Q117</f>
        <v>80459600</v>
      </c>
      <c r="R161" s="527">
        <f>R107+R117</f>
        <v>12000000</v>
      </c>
      <c r="S161" s="527">
        <f>S107+S117</f>
        <v>65402000</v>
      </c>
      <c r="T161" s="527">
        <f t="shared" si="377"/>
        <v>12000000</v>
      </c>
      <c r="U161" s="527">
        <f t="shared" ref="U161" si="381">U107+U117</f>
        <v>110564800</v>
      </c>
      <c r="V161" s="527">
        <f>V107+V117</f>
        <v>12000000</v>
      </c>
      <c r="W161" s="527">
        <f>W107+W117</f>
        <v>0</v>
      </c>
      <c r="X161" s="527">
        <f t="shared" si="377"/>
        <v>12000000</v>
      </c>
      <c r="Y161" s="527">
        <f t="shared" ref="Y161" si="382">Y107+Y117</f>
        <v>0</v>
      </c>
      <c r="Z161" s="527">
        <f t="shared" si="377"/>
        <v>12000000</v>
      </c>
      <c r="AA161" s="527">
        <f t="shared" ref="AA161" si="383">AA107+AA117</f>
        <v>0</v>
      </c>
      <c r="AB161" s="456">
        <f t="shared" si="167"/>
        <v>144000000</v>
      </c>
      <c r="AC161" s="575">
        <f t="shared" si="177"/>
        <v>281426400</v>
      </c>
    </row>
    <row r="162" spans="1:29" s="500" customFormat="1" ht="15.75" customHeight="1" x14ac:dyDescent="0.2">
      <c r="A162" s="500">
        <v>26</v>
      </c>
      <c r="B162" s="500" t="s">
        <v>198</v>
      </c>
      <c r="D162" s="527">
        <f t="shared" ref="D162:Z162" si="384">D23</f>
        <v>8500000</v>
      </c>
      <c r="E162" s="527">
        <f>E23</f>
        <v>0</v>
      </c>
      <c r="F162" s="527">
        <f t="shared" si="384"/>
        <v>8500000</v>
      </c>
      <c r="G162" s="527">
        <f>G23</f>
        <v>0</v>
      </c>
      <c r="H162" s="527">
        <f t="shared" si="384"/>
        <v>8500000</v>
      </c>
      <c r="I162" s="527">
        <f>I23</f>
        <v>0</v>
      </c>
      <c r="J162" s="527">
        <f t="shared" si="384"/>
        <v>8500000</v>
      </c>
      <c r="K162" s="527">
        <f t="shared" ref="K162" si="385">K23</f>
        <v>0</v>
      </c>
      <c r="L162" s="527">
        <f t="shared" si="384"/>
        <v>8500000</v>
      </c>
      <c r="M162" s="527">
        <f t="shared" ref="M162" si="386">M23</f>
        <v>0</v>
      </c>
      <c r="N162" s="527">
        <f t="shared" si="384"/>
        <v>8500000</v>
      </c>
      <c r="O162" s="527">
        <f t="shared" ref="O162" si="387">O23</f>
        <v>0</v>
      </c>
      <c r="P162" s="527">
        <f t="shared" si="384"/>
        <v>8500000</v>
      </c>
      <c r="Q162" s="527">
        <f t="shared" ref="Q162" si="388">Q23</f>
        <v>0</v>
      </c>
      <c r="R162" s="527">
        <f t="shared" si="384"/>
        <v>8500000</v>
      </c>
      <c r="S162" s="527">
        <f t="shared" ref="S162" si="389">S23</f>
        <v>0</v>
      </c>
      <c r="T162" s="527">
        <f t="shared" si="384"/>
        <v>8500000</v>
      </c>
      <c r="U162" s="527">
        <f t="shared" ref="U162" si="390">U23</f>
        <v>0</v>
      </c>
      <c r="V162" s="527">
        <f t="shared" si="384"/>
        <v>8500000</v>
      </c>
      <c r="W162" s="527">
        <f t="shared" ref="W162" si="391">W23</f>
        <v>0</v>
      </c>
      <c r="X162" s="527">
        <f t="shared" si="384"/>
        <v>8500000</v>
      </c>
      <c r="Y162" s="527">
        <f t="shared" ref="Y162" si="392">Y23</f>
        <v>0</v>
      </c>
      <c r="Z162" s="527">
        <f t="shared" si="384"/>
        <v>8500000</v>
      </c>
      <c r="AA162" s="527">
        <f t="shared" ref="AA162" si="393">AA23</f>
        <v>0</v>
      </c>
      <c r="AB162" s="456">
        <f t="shared" si="167"/>
        <v>102000000</v>
      </c>
      <c r="AC162" s="575">
        <f t="shared" si="177"/>
        <v>0</v>
      </c>
    </row>
    <row r="163" spans="1:29" s="500" customFormat="1" ht="15.75" customHeight="1" x14ac:dyDescent="0.2">
      <c r="A163" s="500">
        <v>27</v>
      </c>
      <c r="B163" s="500" t="s">
        <v>86</v>
      </c>
      <c r="D163" s="527">
        <f t="shared" ref="D163:Z163" si="394">D46+D112</f>
        <v>124388500</v>
      </c>
      <c r="E163" s="527">
        <f>E46+E112</f>
        <v>23158352</v>
      </c>
      <c r="F163" s="527">
        <f t="shared" si="394"/>
        <v>16500000</v>
      </c>
      <c r="G163" s="527">
        <f>G46+G112</f>
        <v>119816351.91</v>
      </c>
      <c r="H163" s="527">
        <f t="shared" si="394"/>
        <v>16500000</v>
      </c>
      <c r="I163" s="527">
        <f>I46+I112</f>
        <v>39705967.409999996</v>
      </c>
      <c r="J163" s="527">
        <f t="shared" si="394"/>
        <v>16500000</v>
      </c>
      <c r="K163" s="527">
        <f t="shared" ref="K163" si="395">K46+K112</f>
        <v>84893723</v>
      </c>
      <c r="L163" s="527">
        <f t="shared" si="394"/>
        <v>16500000</v>
      </c>
      <c r="M163" s="527">
        <f t="shared" ref="M163" si="396">M46+M112</f>
        <v>130314960</v>
      </c>
      <c r="N163" s="527">
        <f t="shared" si="394"/>
        <v>46500000</v>
      </c>
      <c r="O163" s="527">
        <f t="shared" ref="O163" si="397">O46+O112</f>
        <v>43234475</v>
      </c>
      <c r="P163" s="527">
        <f t="shared" si="394"/>
        <v>16500000</v>
      </c>
      <c r="Q163" s="527">
        <f t="shared" ref="Q163" si="398">Q46+Q112</f>
        <v>28472722.176666666</v>
      </c>
      <c r="R163" s="527">
        <f t="shared" si="394"/>
        <v>16500000</v>
      </c>
      <c r="S163" s="527">
        <f t="shared" ref="S163" si="399">S46+S112</f>
        <v>28472722.176666666</v>
      </c>
      <c r="T163" s="527">
        <f t="shared" si="394"/>
        <v>16500000</v>
      </c>
      <c r="U163" s="527">
        <f t="shared" ref="U163" si="400">U46+U112</f>
        <v>28472722.176666666</v>
      </c>
      <c r="V163" s="527">
        <f t="shared" si="394"/>
        <v>46500000</v>
      </c>
      <c r="W163" s="527">
        <f t="shared" ref="W163" si="401">W46+W112</f>
        <v>103511380</v>
      </c>
      <c r="X163" s="527">
        <f t="shared" si="394"/>
        <v>16500000</v>
      </c>
      <c r="Y163" s="527">
        <f t="shared" ref="Y163" si="402">Y46+Y112</f>
        <v>102650000</v>
      </c>
      <c r="Z163" s="527">
        <f t="shared" si="394"/>
        <v>16500000</v>
      </c>
      <c r="AA163" s="527">
        <f t="shared" ref="AA163" si="403">AA46+AA112</f>
        <v>123446500</v>
      </c>
      <c r="AB163" s="456">
        <f t="shared" si="167"/>
        <v>365888500</v>
      </c>
      <c r="AC163" s="575">
        <f t="shared" si="177"/>
        <v>856149875.85000002</v>
      </c>
    </row>
    <row r="164" spans="1:29" s="500" customFormat="1" ht="15.75" customHeight="1" x14ac:dyDescent="0.2">
      <c r="A164" s="500">
        <v>28</v>
      </c>
      <c r="B164" s="500" t="s">
        <v>199</v>
      </c>
      <c r="D164" s="527">
        <f t="shared" ref="D164:Z164" si="404">D16+D24+D84</f>
        <v>1000000</v>
      </c>
      <c r="E164" s="527">
        <f>E16+E24+E84</f>
        <v>0</v>
      </c>
      <c r="F164" s="527">
        <f t="shared" si="404"/>
        <v>1000000</v>
      </c>
      <c r="G164" s="527">
        <f>G16+G24+G84</f>
        <v>0</v>
      </c>
      <c r="H164" s="527">
        <f t="shared" si="404"/>
        <v>1000000</v>
      </c>
      <c r="I164" s="527">
        <f>I16+I24+I84</f>
        <v>0</v>
      </c>
      <c r="J164" s="527">
        <f t="shared" si="404"/>
        <v>26000000</v>
      </c>
      <c r="K164" s="527">
        <f t="shared" ref="K164" si="405">K16+K24+K84</f>
        <v>0</v>
      </c>
      <c r="L164" s="527">
        <f t="shared" si="404"/>
        <v>1000000</v>
      </c>
      <c r="M164" s="527">
        <f t="shared" ref="M164" si="406">M16+M24+M84</f>
        <v>0</v>
      </c>
      <c r="N164" s="527">
        <f t="shared" si="404"/>
        <v>1000000</v>
      </c>
      <c r="O164" s="527">
        <f t="shared" ref="O164" si="407">O16+O24+O84</f>
        <v>0</v>
      </c>
      <c r="P164" s="527">
        <f t="shared" si="404"/>
        <v>1000000</v>
      </c>
      <c r="Q164" s="527">
        <f>Q16+Q24</f>
        <v>0</v>
      </c>
      <c r="R164" s="527">
        <f t="shared" si="404"/>
        <v>1000000</v>
      </c>
      <c r="S164" s="527">
        <f>S16+S24+S84</f>
        <v>4974500</v>
      </c>
      <c r="T164" s="527">
        <f t="shared" si="404"/>
        <v>1000000</v>
      </c>
      <c r="U164" s="527">
        <f t="shared" ref="U164" si="408">U16+U24+U84</f>
        <v>0</v>
      </c>
      <c r="V164" s="527">
        <f t="shared" si="404"/>
        <v>1000000</v>
      </c>
      <c r="W164" s="527">
        <f t="shared" ref="W164" si="409">W16+W24+W84</f>
        <v>0</v>
      </c>
      <c r="X164" s="527">
        <f t="shared" si="404"/>
        <v>1000000</v>
      </c>
      <c r="Y164" s="527">
        <f t="shared" ref="Y164" si="410">Y16+Y24+Y84</f>
        <v>0</v>
      </c>
      <c r="Z164" s="527">
        <f t="shared" si="404"/>
        <v>1000000</v>
      </c>
      <c r="AA164" s="527">
        <f t="shared" ref="AA164" si="411">AA16+AA24+AA84</f>
        <v>0</v>
      </c>
      <c r="AB164" s="456">
        <f t="shared" si="167"/>
        <v>37000000</v>
      </c>
      <c r="AC164" s="575">
        <f t="shared" si="177"/>
        <v>4974500</v>
      </c>
    </row>
    <row r="165" spans="1:29" s="500" customFormat="1" ht="15.75" customHeight="1" x14ac:dyDescent="0.2">
      <c r="A165" s="500">
        <v>29</v>
      </c>
      <c r="B165" s="500" t="s">
        <v>200</v>
      </c>
      <c r="D165" s="527">
        <f t="shared" ref="D165:Z165" si="412">D19</f>
        <v>0</v>
      </c>
      <c r="E165" s="527">
        <f>E19</f>
        <v>0</v>
      </c>
      <c r="F165" s="527">
        <f t="shared" si="412"/>
        <v>0</v>
      </c>
      <c r="G165" s="527">
        <f>G19</f>
        <v>0</v>
      </c>
      <c r="H165" s="527">
        <f t="shared" si="412"/>
        <v>0</v>
      </c>
      <c r="I165" s="527">
        <f>I19</f>
        <v>0</v>
      </c>
      <c r="J165" s="527">
        <f t="shared" si="412"/>
        <v>0</v>
      </c>
      <c r="K165" s="527">
        <f t="shared" ref="K165" si="413">K19</f>
        <v>0</v>
      </c>
      <c r="L165" s="527">
        <f t="shared" si="412"/>
        <v>0</v>
      </c>
      <c r="M165" s="527">
        <f t="shared" ref="M165" si="414">M19</f>
        <v>0</v>
      </c>
      <c r="N165" s="527">
        <f t="shared" si="412"/>
        <v>0</v>
      </c>
      <c r="O165" s="527">
        <f t="shared" ref="O165" si="415">O19</f>
        <v>0</v>
      </c>
      <c r="P165" s="527">
        <f t="shared" si="412"/>
        <v>0</v>
      </c>
      <c r="Q165" s="527">
        <f t="shared" ref="Q165" si="416">Q19</f>
        <v>0</v>
      </c>
      <c r="R165" s="527">
        <f t="shared" si="412"/>
        <v>0</v>
      </c>
      <c r="S165" s="527">
        <f t="shared" ref="S165" si="417">S19</f>
        <v>0</v>
      </c>
      <c r="T165" s="527">
        <f t="shared" si="412"/>
        <v>0</v>
      </c>
      <c r="U165" s="527">
        <f t="shared" ref="U165" si="418">U19</f>
        <v>0</v>
      </c>
      <c r="V165" s="527">
        <f t="shared" si="412"/>
        <v>0</v>
      </c>
      <c r="W165" s="527">
        <f t="shared" ref="W165" si="419">W19</f>
        <v>0</v>
      </c>
      <c r="X165" s="527">
        <f t="shared" si="412"/>
        <v>0</v>
      </c>
      <c r="Y165" s="527">
        <f t="shared" ref="Y165" si="420">Y19</f>
        <v>48000000</v>
      </c>
      <c r="Z165" s="527">
        <f t="shared" si="412"/>
        <v>0</v>
      </c>
      <c r="AA165" s="527">
        <f t="shared" ref="AA165" si="421">AA19</f>
        <v>30050000</v>
      </c>
      <c r="AB165" s="456">
        <f t="shared" si="167"/>
        <v>0</v>
      </c>
      <c r="AC165" s="575">
        <f t="shared" si="177"/>
        <v>78050000</v>
      </c>
    </row>
    <row r="166" spans="1:29" s="500" customFormat="1" ht="15.75" customHeight="1" x14ac:dyDescent="0.2">
      <c r="A166" s="500">
        <v>30</v>
      </c>
      <c r="B166" s="500" t="s">
        <v>125</v>
      </c>
      <c r="D166" s="527">
        <f t="shared" ref="D166:Z166" si="422">D77</f>
        <v>500000</v>
      </c>
      <c r="E166" s="527">
        <f>E77</f>
        <v>0</v>
      </c>
      <c r="F166" s="527">
        <f t="shared" si="422"/>
        <v>500000</v>
      </c>
      <c r="G166" s="527">
        <f>G77</f>
        <v>0</v>
      </c>
      <c r="H166" s="527">
        <f t="shared" si="422"/>
        <v>500000</v>
      </c>
      <c r="I166" s="527">
        <f>I77</f>
        <v>0</v>
      </c>
      <c r="J166" s="527">
        <f t="shared" si="422"/>
        <v>500000</v>
      </c>
      <c r="K166" s="527">
        <f t="shared" ref="K166" si="423">K77</f>
        <v>0</v>
      </c>
      <c r="L166" s="527">
        <f t="shared" si="422"/>
        <v>500000</v>
      </c>
      <c r="M166" s="527">
        <f t="shared" ref="M166" si="424">M77</f>
        <v>0</v>
      </c>
      <c r="N166" s="527">
        <f t="shared" si="422"/>
        <v>500000</v>
      </c>
      <c r="O166" s="527">
        <f t="shared" ref="O166" si="425">O77</f>
        <v>0</v>
      </c>
      <c r="P166" s="527">
        <f t="shared" si="422"/>
        <v>500000</v>
      </c>
      <c r="Q166" s="527">
        <f t="shared" ref="Q166" si="426">Q77</f>
        <v>0</v>
      </c>
      <c r="R166" s="527">
        <f t="shared" si="422"/>
        <v>500000</v>
      </c>
      <c r="S166" s="527">
        <f t="shared" ref="S166" si="427">S77</f>
        <v>0</v>
      </c>
      <c r="T166" s="527">
        <f t="shared" si="422"/>
        <v>500000</v>
      </c>
      <c r="U166" s="527">
        <f t="shared" ref="U166" si="428">U77</f>
        <v>0</v>
      </c>
      <c r="V166" s="527">
        <f t="shared" si="422"/>
        <v>500000</v>
      </c>
      <c r="W166" s="527">
        <f t="shared" ref="W166" si="429">W77</f>
        <v>0</v>
      </c>
      <c r="X166" s="527">
        <f t="shared" si="422"/>
        <v>500000</v>
      </c>
      <c r="Y166" s="527">
        <f t="shared" ref="Y166" si="430">Y77</f>
        <v>0</v>
      </c>
      <c r="Z166" s="527">
        <f t="shared" si="422"/>
        <v>500000</v>
      </c>
      <c r="AA166" s="527">
        <f t="shared" ref="AA166" si="431">AA77</f>
        <v>0</v>
      </c>
      <c r="AB166" s="456">
        <f t="shared" si="167"/>
        <v>6000000</v>
      </c>
      <c r="AC166" s="575">
        <f t="shared" si="177"/>
        <v>0</v>
      </c>
    </row>
    <row r="167" spans="1:29" s="500" customFormat="1" ht="15.75" customHeight="1" x14ac:dyDescent="0.2">
      <c r="A167" s="500">
        <v>31</v>
      </c>
      <c r="B167" s="500" t="s">
        <v>201</v>
      </c>
      <c r="D167" s="527">
        <f t="shared" ref="D167:Z167" si="432">D51</f>
        <v>1000000</v>
      </c>
      <c r="E167" s="527">
        <f>E51</f>
        <v>4879060</v>
      </c>
      <c r="F167" s="527">
        <f t="shared" si="432"/>
        <v>1000000</v>
      </c>
      <c r="G167" s="527">
        <f>G51</f>
        <v>2425400</v>
      </c>
      <c r="H167" s="527">
        <f t="shared" si="432"/>
        <v>1000000</v>
      </c>
      <c r="I167" s="527">
        <f>I51</f>
        <v>492400</v>
      </c>
      <c r="J167" s="527">
        <f t="shared" si="432"/>
        <v>1000000</v>
      </c>
      <c r="K167" s="527">
        <f t="shared" ref="K167" si="433">K51</f>
        <v>117000</v>
      </c>
      <c r="L167" s="527">
        <f t="shared" si="432"/>
        <v>1000000</v>
      </c>
      <c r="M167" s="527">
        <f t="shared" ref="M167" si="434">M51</f>
        <v>415600</v>
      </c>
      <c r="N167" s="527">
        <f t="shared" si="432"/>
        <v>1000000</v>
      </c>
      <c r="O167" s="527">
        <f t="shared" ref="O167" si="435">O51</f>
        <v>726400</v>
      </c>
      <c r="P167" s="527">
        <f t="shared" si="432"/>
        <v>1000000</v>
      </c>
      <c r="Q167" s="527">
        <f t="shared" ref="Q167" si="436">Q51</f>
        <v>2482600</v>
      </c>
      <c r="R167" s="527">
        <f t="shared" si="432"/>
        <v>1000000</v>
      </c>
      <c r="S167" s="527">
        <f t="shared" ref="S167" si="437">S51</f>
        <v>2482600</v>
      </c>
      <c r="T167" s="527">
        <f t="shared" si="432"/>
        <v>1000000</v>
      </c>
      <c r="U167" s="527">
        <f t="shared" ref="U167" si="438">U51</f>
        <v>2482600</v>
      </c>
      <c r="V167" s="527">
        <f t="shared" si="432"/>
        <v>1000000</v>
      </c>
      <c r="W167" s="527">
        <f t="shared" ref="W167" si="439">W51</f>
        <v>1278900</v>
      </c>
      <c r="X167" s="527">
        <f t="shared" si="432"/>
        <v>1000000</v>
      </c>
      <c r="Y167" s="527">
        <f t="shared" ref="Y167" si="440">Y51</f>
        <v>945800</v>
      </c>
      <c r="Z167" s="527">
        <f t="shared" si="432"/>
        <v>1000000</v>
      </c>
      <c r="AA167" s="527">
        <f t="shared" ref="AA167" si="441">AA51</f>
        <v>3760400</v>
      </c>
      <c r="AB167" s="456">
        <f t="shared" si="167"/>
        <v>12000000</v>
      </c>
      <c r="AC167" s="575">
        <f t="shared" si="177"/>
        <v>22488760</v>
      </c>
    </row>
    <row r="168" spans="1:29" s="500" customFormat="1" ht="15.75" customHeight="1" x14ac:dyDescent="0.2">
      <c r="A168" s="500">
        <v>32</v>
      </c>
      <c r="B168" s="500" t="s">
        <v>202</v>
      </c>
      <c r="D168" s="527">
        <f t="shared" ref="D168:Z168" si="442">D20</f>
        <v>0</v>
      </c>
      <c r="E168" s="527">
        <f>E20</f>
        <v>0</v>
      </c>
      <c r="F168" s="527">
        <f t="shared" si="442"/>
        <v>150000000</v>
      </c>
      <c r="G168" s="527">
        <f>G20</f>
        <v>0</v>
      </c>
      <c r="H168" s="527">
        <f t="shared" si="442"/>
        <v>0</v>
      </c>
      <c r="I168" s="527">
        <f>I20</f>
        <v>0</v>
      </c>
      <c r="J168" s="527">
        <f t="shared" si="442"/>
        <v>35000000</v>
      </c>
      <c r="K168" s="527">
        <f t="shared" ref="K168" si="443">K20</f>
        <v>0</v>
      </c>
      <c r="L168" s="527">
        <f t="shared" si="442"/>
        <v>0</v>
      </c>
      <c r="M168" s="527">
        <f t="shared" ref="M168" si="444">M20</f>
        <v>0</v>
      </c>
      <c r="N168" s="527">
        <f t="shared" si="442"/>
        <v>0</v>
      </c>
      <c r="O168" s="527">
        <f t="shared" ref="O168" si="445">O20</f>
        <v>0</v>
      </c>
      <c r="P168" s="527">
        <f t="shared" si="442"/>
        <v>0</v>
      </c>
      <c r="Q168" s="527">
        <f t="shared" ref="Q168" si="446">Q20</f>
        <v>0</v>
      </c>
      <c r="R168" s="527">
        <f t="shared" si="442"/>
        <v>0</v>
      </c>
      <c r="S168" s="527">
        <f t="shared" ref="S168" si="447">S20</f>
        <v>0</v>
      </c>
      <c r="T168" s="527">
        <f t="shared" si="442"/>
        <v>0</v>
      </c>
      <c r="U168" s="527">
        <f t="shared" ref="U168" si="448">U20</f>
        <v>0</v>
      </c>
      <c r="V168" s="527">
        <f t="shared" si="442"/>
        <v>0</v>
      </c>
      <c r="W168" s="527">
        <f t="shared" ref="W168" si="449">W20</f>
        <v>0</v>
      </c>
      <c r="X168" s="527">
        <f t="shared" si="442"/>
        <v>0</v>
      </c>
      <c r="Y168" s="527">
        <f t="shared" ref="Y168" si="450">Y20</f>
        <v>0</v>
      </c>
      <c r="Z168" s="527">
        <f t="shared" si="442"/>
        <v>0</v>
      </c>
      <c r="AA168" s="527">
        <f t="shared" ref="AA168" si="451">AA20</f>
        <v>0</v>
      </c>
      <c r="AB168" s="456">
        <f t="shared" si="167"/>
        <v>185000000</v>
      </c>
      <c r="AC168" s="575">
        <f t="shared" si="177"/>
        <v>0</v>
      </c>
    </row>
    <row r="169" spans="1:29" s="500" customFormat="1" ht="15.75" customHeight="1" x14ac:dyDescent="0.2">
      <c r="A169" s="500">
        <v>33</v>
      </c>
      <c r="B169" s="500" t="s">
        <v>150</v>
      </c>
      <c r="D169" s="527">
        <f t="shared" ref="D169:Z169" si="452">D6+D10+D109</f>
        <v>561712771</v>
      </c>
      <c r="E169" s="527">
        <f>E6+E10+E109</f>
        <v>601600389</v>
      </c>
      <c r="F169" s="527">
        <f t="shared" si="452"/>
        <v>561712771</v>
      </c>
      <c r="G169" s="527">
        <f>G6+G10+G109</f>
        <v>450029023</v>
      </c>
      <c r="H169" s="527">
        <f t="shared" si="452"/>
        <v>561712771</v>
      </c>
      <c r="I169" s="527">
        <f>I6+I10+I109</f>
        <v>449429699</v>
      </c>
      <c r="J169" s="527">
        <f t="shared" si="452"/>
        <v>641852771</v>
      </c>
      <c r="K169" s="527">
        <f t="shared" ref="K169" si="453">K6+K10+K109</f>
        <v>329663819</v>
      </c>
      <c r="L169" s="527">
        <f t="shared" si="452"/>
        <v>641852771</v>
      </c>
      <c r="M169" s="527">
        <f t="shared" ref="M169" si="454">M6+M10+M109</f>
        <v>327610325</v>
      </c>
      <c r="N169" s="527">
        <f t="shared" si="452"/>
        <v>641852771</v>
      </c>
      <c r="O169" s="527">
        <f t="shared" ref="O169" si="455">O6+O10+O109</f>
        <v>327382612</v>
      </c>
      <c r="P169" s="527">
        <f t="shared" si="452"/>
        <v>648852771</v>
      </c>
      <c r="Q169" s="527">
        <f t="shared" ref="Q169" si="456">Q6+Q10+Q109</f>
        <v>458562025</v>
      </c>
      <c r="R169" s="527">
        <f t="shared" si="452"/>
        <v>1724841927.5</v>
      </c>
      <c r="S169" s="527">
        <f t="shared" ref="S169" si="457">S6+S10+S109</f>
        <v>478028334</v>
      </c>
      <c r="T169" s="527">
        <f t="shared" si="452"/>
        <v>641852771</v>
      </c>
      <c r="U169" s="527">
        <f t="shared" ref="U169" si="458">U6+U10+U109</f>
        <v>488726139</v>
      </c>
      <c r="V169" s="527">
        <f t="shared" si="452"/>
        <v>649352771</v>
      </c>
      <c r="W169" s="527">
        <f t="shared" ref="W169" si="459">W6+W10+W109</f>
        <v>486803193</v>
      </c>
      <c r="X169" s="527">
        <f t="shared" si="452"/>
        <v>641852771</v>
      </c>
      <c r="Y169" s="527">
        <f t="shared" ref="Y169" si="460">Y6+Y10+Y109</f>
        <v>488270565</v>
      </c>
      <c r="Z169" s="527">
        <f t="shared" si="452"/>
        <v>802865542</v>
      </c>
      <c r="AA169" s="527">
        <f t="shared" ref="AA169" si="461">AA6+AA10+AA109</f>
        <v>489661610</v>
      </c>
      <c r="AB169" s="456">
        <f t="shared" si="167"/>
        <v>8720315179.5</v>
      </c>
      <c r="AC169" s="575">
        <f t="shared" si="177"/>
        <v>5375767733</v>
      </c>
    </row>
    <row r="170" spans="1:29" s="500" customFormat="1" ht="15.75" customHeight="1" x14ac:dyDescent="0.2">
      <c r="A170" s="500">
        <v>34</v>
      </c>
      <c r="B170" s="500" t="s">
        <v>203</v>
      </c>
      <c r="D170" s="527">
        <f t="shared" ref="D170:Z170" si="462">D50</f>
        <v>23000000</v>
      </c>
      <c r="E170" s="527">
        <f>E50</f>
        <v>10394356.620000001</v>
      </c>
      <c r="F170" s="527">
        <f t="shared" si="462"/>
        <v>23000000</v>
      </c>
      <c r="G170" s="527">
        <f>G50</f>
        <v>9388451.1400000006</v>
      </c>
      <c r="H170" s="527">
        <f t="shared" si="462"/>
        <v>23000000</v>
      </c>
      <c r="I170" s="527">
        <f>I50</f>
        <v>10394356.629999999</v>
      </c>
      <c r="J170" s="527">
        <f t="shared" si="462"/>
        <v>23000000</v>
      </c>
      <c r="K170" s="527">
        <f t="shared" ref="K170" si="463">K50</f>
        <v>9964989</v>
      </c>
      <c r="L170" s="527">
        <f t="shared" si="462"/>
        <v>23000000</v>
      </c>
      <c r="M170" s="527">
        <f t="shared" ref="M170" si="464">M50</f>
        <v>10297155</v>
      </c>
      <c r="N170" s="527">
        <f t="shared" si="462"/>
        <v>23000000</v>
      </c>
      <c r="O170" s="527">
        <f t="shared" ref="O170" si="465">O50</f>
        <v>9964989</v>
      </c>
      <c r="P170" s="527">
        <f t="shared" si="462"/>
        <v>23000000</v>
      </c>
      <c r="Q170" s="527">
        <f t="shared" ref="Q170" si="466">Q50</f>
        <v>10198807.946666667</v>
      </c>
      <c r="R170" s="527">
        <f t="shared" si="462"/>
        <v>23000000</v>
      </c>
      <c r="S170" s="527">
        <f t="shared" ref="S170" si="467">S50</f>
        <v>10198807.946666667</v>
      </c>
      <c r="T170" s="527">
        <f t="shared" si="462"/>
        <v>23000000</v>
      </c>
      <c r="U170" s="527">
        <f t="shared" ref="U170" si="468">U50</f>
        <v>10198807.946666667</v>
      </c>
      <c r="V170" s="527">
        <f t="shared" si="462"/>
        <v>23000000</v>
      </c>
      <c r="W170" s="527">
        <f t="shared" ref="W170" si="469">W50</f>
        <v>10364345.4</v>
      </c>
      <c r="X170" s="527">
        <f t="shared" si="462"/>
        <v>23000000</v>
      </c>
      <c r="Y170" s="527">
        <f t="shared" ref="Y170" si="470">Y50</f>
        <v>10030011.67</v>
      </c>
      <c r="Z170" s="527">
        <f t="shared" si="462"/>
        <v>23000000</v>
      </c>
      <c r="AA170" s="527">
        <f t="shared" ref="AA170" si="471">AA50</f>
        <v>10364345.4</v>
      </c>
      <c r="AB170" s="456">
        <f t="shared" si="167"/>
        <v>276000000</v>
      </c>
      <c r="AC170" s="575">
        <f t="shared" si="177"/>
        <v>121759423.70000003</v>
      </c>
    </row>
    <row r="171" spans="1:29" s="500" customFormat="1" ht="15.75" customHeight="1" x14ac:dyDescent="0.2">
      <c r="A171" s="500">
        <v>35</v>
      </c>
      <c r="B171" s="500" t="s">
        <v>110</v>
      </c>
      <c r="D171" s="527">
        <f t="shared" ref="D171:Z171" si="472">D60</f>
        <v>0</v>
      </c>
      <c r="E171" s="527">
        <f>E60</f>
        <v>0</v>
      </c>
      <c r="F171" s="527">
        <f t="shared" si="472"/>
        <v>25650000</v>
      </c>
      <c r="G171" s="527">
        <f>G60</f>
        <v>0</v>
      </c>
      <c r="H171" s="527">
        <f t="shared" si="472"/>
        <v>0</v>
      </c>
      <c r="I171" s="527">
        <f>I60</f>
        <v>0</v>
      </c>
      <c r="J171" s="527">
        <f t="shared" si="472"/>
        <v>0</v>
      </c>
      <c r="K171" s="527">
        <f t="shared" ref="K171" si="473">K60</f>
        <v>0</v>
      </c>
      <c r="L171" s="527">
        <f t="shared" si="472"/>
        <v>19950000</v>
      </c>
      <c r="M171" s="527">
        <f t="shared" ref="M171" si="474">M60</f>
        <v>0</v>
      </c>
      <c r="N171" s="527">
        <f t="shared" si="472"/>
        <v>0</v>
      </c>
      <c r="O171" s="527">
        <f t="shared" ref="O171" si="475">O60</f>
        <v>0</v>
      </c>
      <c r="P171" s="527">
        <f t="shared" si="472"/>
        <v>0</v>
      </c>
      <c r="Q171" s="527">
        <f t="shared" ref="Q171" si="476">Q60</f>
        <v>0</v>
      </c>
      <c r="R171" s="527">
        <f t="shared" si="472"/>
        <v>0</v>
      </c>
      <c r="S171" s="527">
        <f t="shared" ref="S171" si="477">S60</f>
        <v>0</v>
      </c>
      <c r="T171" s="527">
        <f t="shared" si="472"/>
        <v>0</v>
      </c>
      <c r="U171" s="527">
        <f t="shared" ref="U171" si="478">U60</f>
        <v>0</v>
      </c>
      <c r="V171" s="527">
        <f t="shared" si="472"/>
        <v>0</v>
      </c>
      <c r="W171" s="527">
        <f t="shared" ref="W171" si="479">W60</f>
        <v>0</v>
      </c>
      <c r="X171" s="527">
        <f t="shared" si="472"/>
        <v>0</v>
      </c>
      <c r="Y171" s="527">
        <f t="shared" ref="Y171" si="480">Y60</f>
        <v>0</v>
      </c>
      <c r="Z171" s="527">
        <f t="shared" si="472"/>
        <v>0</v>
      </c>
      <c r="AA171" s="527">
        <f t="shared" ref="AA171" si="481">AA60</f>
        <v>0</v>
      </c>
      <c r="AB171" s="456">
        <f t="shared" si="167"/>
        <v>45600000</v>
      </c>
      <c r="AC171" s="575">
        <f t="shared" si="177"/>
        <v>0</v>
      </c>
    </row>
    <row r="172" spans="1:29" s="500" customFormat="1" ht="15.75" customHeight="1" x14ac:dyDescent="0.2">
      <c r="A172" s="500">
        <v>36</v>
      </c>
      <c r="B172" s="500" t="s">
        <v>204</v>
      </c>
      <c r="D172" s="527">
        <f t="shared" ref="D172:Z172" si="482">D52</f>
        <v>2500000</v>
      </c>
      <c r="E172" s="527">
        <f>E52</f>
        <v>0</v>
      </c>
      <c r="F172" s="527">
        <f t="shared" si="482"/>
        <v>2500000</v>
      </c>
      <c r="G172" s="527">
        <f>G52</f>
        <v>9818182</v>
      </c>
      <c r="H172" s="527">
        <f t="shared" si="482"/>
        <v>2500000</v>
      </c>
      <c r="I172" s="527">
        <f>I52</f>
        <v>2010000</v>
      </c>
      <c r="J172" s="527">
        <f t="shared" si="482"/>
        <v>2500000</v>
      </c>
      <c r="K172" s="527">
        <f t="shared" ref="K172" si="483">K52</f>
        <v>3000000</v>
      </c>
      <c r="L172" s="527">
        <f t="shared" si="482"/>
        <v>2500000</v>
      </c>
      <c r="M172" s="527">
        <f t="shared" ref="M172" si="484">M52</f>
        <v>1560000</v>
      </c>
      <c r="N172" s="527">
        <f t="shared" si="482"/>
        <v>2500000</v>
      </c>
      <c r="O172" s="527">
        <f t="shared" ref="O172" si="485">O52</f>
        <v>0</v>
      </c>
      <c r="P172" s="527">
        <f t="shared" si="482"/>
        <v>2500000</v>
      </c>
      <c r="Q172" s="527">
        <f t="shared" ref="Q172" si="486">Q52</f>
        <v>520000</v>
      </c>
      <c r="R172" s="527">
        <f t="shared" si="482"/>
        <v>2500000</v>
      </c>
      <c r="S172" s="527">
        <f t="shared" ref="S172" si="487">S52</f>
        <v>520000</v>
      </c>
      <c r="T172" s="527">
        <f t="shared" si="482"/>
        <v>2500000</v>
      </c>
      <c r="U172" s="527">
        <f t="shared" ref="U172" si="488">U52</f>
        <v>520000</v>
      </c>
      <c r="V172" s="527">
        <f t="shared" si="482"/>
        <v>2500000</v>
      </c>
      <c r="W172" s="527">
        <f t="shared" ref="W172" si="489">W52</f>
        <v>0</v>
      </c>
      <c r="X172" s="527">
        <f t="shared" si="482"/>
        <v>2500000</v>
      </c>
      <c r="Y172" s="527">
        <f t="shared" ref="Y172" si="490">Y52</f>
        <v>2345000</v>
      </c>
      <c r="Z172" s="527">
        <f t="shared" si="482"/>
        <v>2500000</v>
      </c>
      <c r="AA172" s="527">
        <f t="shared" ref="AA172" si="491">AA52</f>
        <v>1780000</v>
      </c>
      <c r="AB172" s="456">
        <f t="shared" si="167"/>
        <v>30000000</v>
      </c>
      <c r="AC172" s="575">
        <f t="shared" si="177"/>
        <v>22073182</v>
      </c>
    </row>
    <row r="173" spans="1:29" s="500" customFormat="1" ht="15.75" customHeight="1" x14ac:dyDescent="0.2">
      <c r="A173" s="500">
        <v>37</v>
      </c>
      <c r="B173" s="500" t="s">
        <v>70</v>
      </c>
      <c r="D173" s="527">
        <f t="shared" ref="D173:Z173" si="492">D36</f>
        <v>5500000</v>
      </c>
      <c r="E173" s="527">
        <f>E36</f>
        <v>10481430</v>
      </c>
      <c r="F173" s="527">
        <f t="shared" si="492"/>
        <v>5500000</v>
      </c>
      <c r="G173" s="527">
        <f>G36</f>
        <v>7583300</v>
      </c>
      <c r="H173" s="527">
        <f t="shared" si="492"/>
        <v>5500000</v>
      </c>
      <c r="I173" s="527">
        <f>I36</f>
        <v>9263890</v>
      </c>
      <c r="J173" s="527">
        <f t="shared" si="492"/>
        <v>5500000</v>
      </c>
      <c r="K173" s="527">
        <f t="shared" ref="K173" si="493">K36</f>
        <v>10917810</v>
      </c>
      <c r="L173" s="527">
        <f t="shared" si="492"/>
        <v>5500000</v>
      </c>
      <c r="M173" s="527">
        <f t="shared" ref="M173" si="494">M36</f>
        <v>12687150</v>
      </c>
      <c r="N173" s="527">
        <f t="shared" si="492"/>
        <v>5500000</v>
      </c>
      <c r="O173" s="527">
        <f t="shared" ref="O173" si="495">O36</f>
        <v>2150510</v>
      </c>
      <c r="P173" s="527">
        <f t="shared" si="492"/>
        <v>5500000</v>
      </c>
      <c r="Q173" s="527">
        <f t="shared" ref="Q173" si="496">Q36</f>
        <v>9578920</v>
      </c>
      <c r="R173" s="527">
        <f t="shared" si="492"/>
        <v>5500000</v>
      </c>
      <c r="S173" s="527">
        <f t="shared" ref="S173" si="497">S36</f>
        <v>12500200</v>
      </c>
      <c r="T173" s="527">
        <f t="shared" si="492"/>
        <v>5500000</v>
      </c>
      <c r="U173" s="527">
        <f t="shared" ref="U173" si="498">U36</f>
        <v>8200500</v>
      </c>
      <c r="V173" s="527">
        <f t="shared" si="492"/>
        <v>5500000</v>
      </c>
      <c r="W173" s="527">
        <f t="shared" ref="W173" si="499">W36</f>
        <v>10245600</v>
      </c>
      <c r="X173" s="527">
        <f t="shared" si="492"/>
        <v>5500000</v>
      </c>
      <c r="Y173" s="527">
        <f t="shared" ref="Y173" si="500">Y36</f>
        <v>5043200</v>
      </c>
      <c r="Z173" s="527">
        <f t="shared" si="492"/>
        <v>5500000</v>
      </c>
      <c r="AA173" s="527">
        <f t="shared" ref="AA173" si="501">AA36</f>
        <v>11967300</v>
      </c>
      <c r="AB173" s="456">
        <f t="shared" si="167"/>
        <v>66000000</v>
      </c>
      <c r="AC173" s="575">
        <f t="shared" si="177"/>
        <v>110619810</v>
      </c>
    </row>
    <row r="174" spans="1:29" s="500" customFormat="1" ht="15.75" customHeight="1" x14ac:dyDescent="0.2">
      <c r="A174" s="500">
        <v>38</v>
      </c>
      <c r="B174" s="500" t="s">
        <v>205</v>
      </c>
      <c r="D174" s="527">
        <f t="shared" ref="D174:Z174" si="502">D49</f>
        <v>20000000</v>
      </c>
      <c r="E174" s="527">
        <f>E49</f>
        <v>20536110</v>
      </c>
      <c r="F174" s="527">
        <f t="shared" si="502"/>
        <v>20000000</v>
      </c>
      <c r="G174" s="527">
        <f>G49</f>
        <v>21171690</v>
      </c>
      <c r="H174" s="527">
        <f t="shared" si="502"/>
        <v>20000000</v>
      </c>
      <c r="I174" s="527">
        <f>I49</f>
        <v>14667032</v>
      </c>
      <c r="J174" s="527">
        <f t="shared" si="502"/>
        <v>20000000</v>
      </c>
      <c r="K174" s="527">
        <f t="shared" ref="K174" si="503">K49</f>
        <v>21436451</v>
      </c>
      <c r="L174" s="527">
        <f t="shared" si="502"/>
        <v>20000000</v>
      </c>
      <c r="M174" s="527">
        <f t="shared" ref="M174" si="504">M49</f>
        <v>23837297</v>
      </c>
      <c r="N174" s="527">
        <f t="shared" si="502"/>
        <v>20000000</v>
      </c>
      <c r="O174" s="527">
        <f t="shared" ref="O174" si="505">O49</f>
        <v>19402079</v>
      </c>
      <c r="P174" s="527">
        <f t="shared" si="502"/>
        <v>20000000</v>
      </c>
      <c r="Q174" s="527">
        <f t="shared" ref="Q174" si="506">Q49</f>
        <v>25478030</v>
      </c>
      <c r="R174" s="527">
        <f t="shared" si="502"/>
        <v>20000000</v>
      </c>
      <c r="S174" s="527">
        <f t="shared" ref="S174" si="507">S49</f>
        <v>18560142</v>
      </c>
      <c r="T174" s="527">
        <f t="shared" si="502"/>
        <v>20000000</v>
      </c>
      <c r="U174" s="527">
        <f t="shared" ref="U174" si="508">U49</f>
        <v>27523100</v>
      </c>
      <c r="V174" s="527">
        <f t="shared" si="502"/>
        <v>20000000</v>
      </c>
      <c r="W174" s="527">
        <f t="shared" ref="W174" si="509">W49</f>
        <v>66750584.119999997</v>
      </c>
      <c r="X174" s="527">
        <f t="shared" si="502"/>
        <v>20000000</v>
      </c>
      <c r="Y174" s="527">
        <f t="shared" ref="Y174" si="510">Y49</f>
        <v>22008068</v>
      </c>
      <c r="Z174" s="527">
        <f t="shared" si="502"/>
        <v>20000000</v>
      </c>
      <c r="AA174" s="527">
        <f t="shared" ref="AA174" si="511">AA49</f>
        <v>27560200</v>
      </c>
      <c r="AB174" s="456">
        <f t="shared" si="167"/>
        <v>240000000</v>
      </c>
      <c r="AC174" s="575">
        <f t="shared" si="177"/>
        <v>308930783.12</v>
      </c>
    </row>
    <row r="175" spans="1:29" s="500" customFormat="1" ht="15.75" customHeight="1" x14ac:dyDescent="0.2">
      <c r="A175" s="500">
        <v>39</v>
      </c>
      <c r="B175" s="500" t="s">
        <v>206</v>
      </c>
      <c r="D175" s="527">
        <f t="shared" ref="D175:Z175" si="512">D9</f>
        <v>25000000</v>
      </c>
      <c r="E175" s="527">
        <f>E9</f>
        <v>20092069</v>
      </c>
      <c r="F175" s="527">
        <f t="shared" si="512"/>
        <v>25000000</v>
      </c>
      <c r="G175" s="527">
        <f>G9</f>
        <v>20030675</v>
      </c>
      <c r="H175" s="527">
        <f t="shared" si="512"/>
        <v>25000000</v>
      </c>
      <c r="I175" s="527">
        <f>I9</f>
        <v>19909484</v>
      </c>
      <c r="J175" s="527">
        <f t="shared" si="512"/>
        <v>25000000</v>
      </c>
      <c r="K175" s="527">
        <f t="shared" ref="K175" si="513">K9</f>
        <v>20748915</v>
      </c>
      <c r="L175" s="527">
        <f t="shared" si="512"/>
        <v>25000000</v>
      </c>
      <c r="M175" s="527">
        <f t="shared" ref="M175" si="514">M9</f>
        <v>20773324</v>
      </c>
      <c r="N175" s="527">
        <f t="shared" si="512"/>
        <v>25000000</v>
      </c>
      <c r="O175" s="527">
        <f t="shared" ref="O175" si="515">O9</f>
        <v>20994042</v>
      </c>
      <c r="P175" s="527">
        <f t="shared" si="512"/>
        <v>25000000</v>
      </c>
      <c r="Q175" s="527">
        <f t="shared" ref="Q175" si="516">Q9</f>
        <v>21077397</v>
      </c>
      <c r="R175" s="527">
        <f t="shared" si="512"/>
        <v>25000000</v>
      </c>
      <c r="S175" s="527">
        <f t="shared" ref="S175" si="517">S9</f>
        <v>22047539</v>
      </c>
      <c r="T175" s="527">
        <f t="shared" si="512"/>
        <v>25000000</v>
      </c>
      <c r="U175" s="527">
        <f t="shared" ref="U175" si="518">U9</f>
        <v>22292023</v>
      </c>
      <c r="V175" s="527">
        <f t="shared" si="512"/>
        <v>25000000</v>
      </c>
      <c r="W175" s="527">
        <f t="shared" ref="W175" si="519">W9</f>
        <v>22303136</v>
      </c>
      <c r="X175" s="527">
        <f t="shared" si="512"/>
        <v>25000000</v>
      </c>
      <c r="Y175" s="527">
        <f t="shared" ref="Y175" si="520">Y9</f>
        <v>22305803</v>
      </c>
      <c r="Z175" s="527">
        <f t="shared" si="512"/>
        <v>25000000</v>
      </c>
      <c r="AA175" s="527">
        <f t="shared" ref="AA175" si="521">AA9</f>
        <v>22305803</v>
      </c>
      <c r="AB175" s="456">
        <f t="shared" si="167"/>
        <v>300000000</v>
      </c>
      <c r="AC175" s="575">
        <f t="shared" si="177"/>
        <v>254880210</v>
      </c>
    </row>
    <row r="176" spans="1:29" s="500" customFormat="1" ht="15.75" customHeight="1" x14ac:dyDescent="0.2">
      <c r="A176" s="500">
        <v>40</v>
      </c>
      <c r="B176" s="500" t="s">
        <v>207</v>
      </c>
      <c r="D176" s="527">
        <f t="shared" ref="D176:Z176" si="522">D115</f>
        <v>14156475.333333334</v>
      </c>
      <c r="E176" s="527">
        <f>E115</f>
        <v>30894541.030000001</v>
      </c>
      <c r="F176" s="527">
        <f t="shared" si="522"/>
        <v>14156475.333333334</v>
      </c>
      <c r="G176" s="527">
        <f>G115</f>
        <v>7033471</v>
      </c>
      <c r="H176" s="527">
        <f t="shared" si="522"/>
        <v>14156475.333333334</v>
      </c>
      <c r="I176" s="527">
        <f>I115</f>
        <v>11408657.189999999</v>
      </c>
      <c r="J176" s="527">
        <f t="shared" si="522"/>
        <v>14156475.333333334</v>
      </c>
      <c r="K176" s="527">
        <f t="shared" ref="K176" si="523">K115</f>
        <v>16176862</v>
      </c>
      <c r="L176" s="527">
        <f t="shared" si="522"/>
        <v>14156475.333333334</v>
      </c>
      <c r="M176" s="527">
        <f t="shared" ref="M176" si="524">M115</f>
        <v>8621349</v>
      </c>
      <c r="N176" s="527">
        <f t="shared" si="522"/>
        <v>14156475.333333334</v>
      </c>
      <c r="O176" s="527">
        <f t="shared" ref="O176" si="525">O115</f>
        <v>6308627</v>
      </c>
      <c r="P176" s="527">
        <f>P115</f>
        <v>14156475.333333334</v>
      </c>
      <c r="Q176" s="527">
        <f>Q115</f>
        <v>4780500</v>
      </c>
      <c r="R176" s="527">
        <f>R115</f>
        <v>14156475.333333334</v>
      </c>
      <c r="S176" s="527">
        <f>S115</f>
        <v>4463012</v>
      </c>
      <c r="T176" s="527">
        <f t="shared" si="522"/>
        <v>14156475.333333334</v>
      </c>
      <c r="U176" s="527">
        <f t="shared" ref="U176" si="526">U115</f>
        <v>4520310</v>
      </c>
      <c r="V176" s="527">
        <f>V115</f>
        <v>14156475.333333334</v>
      </c>
      <c r="W176" s="527">
        <f>W115</f>
        <v>4670300</v>
      </c>
      <c r="X176" s="527">
        <f t="shared" si="522"/>
        <v>14156475.333333334</v>
      </c>
      <c r="Y176" s="527">
        <f t="shared" ref="Y176" si="527">Y115</f>
        <v>3450700</v>
      </c>
      <c r="Z176" s="527">
        <f t="shared" si="522"/>
        <v>14156475.333333334</v>
      </c>
      <c r="AA176" s="527">
        <f t="shared" ref="AA176" si="528">AA115</f>
        <v>7540170</v>
      </c>
      <c r="AB176" s="456">
        <f t="shared" si="167"/>
        <v>169877704</v>
      </c>
      <c r="AC176" s="575">
        <f t="shared" si="177"/>
        <v>109868499.22</v>
      </c>
    </row>
    <row r="177" spans="1:29" s="500" customFormat="1" ht="15.75" customHeight="1" x14ac:dyDescent="0.2">
      <c r="A177" s="500">
        <v>41</v>
      </c>
      <c r="B177" s="500" t="s">
        <v>208</v>
      </c>
      <c r="D177" s="527">
        <f t="shared" ref="D177:Z177" si="529">D33+D54+D55</f>
        <v>64500000</v>
      </c>
      <c r="E177" s="527">
        <f>E33+E54+E55</f>
        <v>3368387.3000000003</v>
      </c>
      <c r="F177" s="527">
        <f t="shared" si="529"/>
        <v>7000000</v>
      </c>
      <c r="G177" s="527">
        <f>G33+G54+G55</f>
        <v>5599461.5200000005</v>
      </c>
      <c r="H177" s="527">
        <f t="shared" si="529"/>
        <v>4500000</v>
      </c>
      <c r="I177" s="527">
        <f>I33+I54+I55</f>
        <v>4558382.3</v>
      </c>
      <c r="J177" s="527">
        <f t="shared" si="529"/>
        <v>4500000</v>
      </c>
      <c r="K177" s="527">
        <f t="shared" ref="K177" si="530">K33+K54+K55</f>
        <v>5591779</v>
      </c>
      <c r="L177" s="527">
        <f t="shared" si="529"/>
        <v>4500000</v>
      </c>
      <c r="M177" s="527">
        <f t="shared" ref="M177" si="531">M33+M54+M55</f>
        <v>7671032</v>
      </c>
      <c r="N177" s="527">
        <f t="shared" si="529"/>
        <v>4500000</v>
      </c>
      <c r="O177" s="527">
        <f t="shared" ref="O177" si="532">O33+O54+O55</f>
        <v>5725347</v>
      </c>
      <c r="P177" s="527">
        <f t="shared" si="529"/>
        <v>7000000</v>
      </c>
      <c r="Q177" s="527">
        <f t="shared" ref="Q177" si="533">Q33+Q54+Q55</f>
        <v>3789200</v>
      </c>
      <c r="R177" s="527">
        <f t="shared" si="529"/>
        <v>7000000</v>
      </c>
      <c r="S177" s="527">
        <f t="shared" ref="S177" si="534">S33+S54+S55</f>
        <v>4200560</v>
      </c>
      <c r="T177" s="527">
        <f t="shared" si="529"/>
        <v>4500000</v>
      </c>
      <c r="U177" s="527">
        <f t="shared" ref="U177" si="535">U33+U54+U55</f>
        <v>4560000</v>
      </c>
      <c r="V177" s="527">
        <f t="shared" si="529"/>
        <v>4500000</v>
      </c>
      <c r="W177" s="527">
        <f t="shared" ref="W177" si="536">W33+W54+W55</f>
        <v>6230400</v>
      </c>
      <c r="X177" s="527">
        <f t="shared" si="529"/>
        <v>4500000</v>
      </c>
      <c r="Y177" s="527">
        <f t="shared" ref="Y177" si="537">Y33+Y54+Y55</f>
        <v>5470000</v>
      </c>
      <c r="Z177" s="527">
        <f t="shared" si="529"/>
        <v>4500000</v>
      </c>
      <c r="AA177" s="527">
        <f t="shared" ref="AA177" si="538">AA33+AA54+AA55</f>
        <v>6102000</v>
      </c>
      <c r="AB177" s="456">
        <f t="shared" si="167"/>
        <v>121500000</v>
      </c>
      <c r="AC177" s="575">
        <f t="shared" si="177"/>
        <v>62866549.120000005</v>
      </c>
    </row>
    <row r="178" spans="1:29" s="500" customFormat="1" ht="15.75" customHeight="1" x14ac:dyDescent="0.2">
      <c r="A178" s="500">
        <v>42</v>
      </c>
      <c r="B178" s="500" t="s">
        <v>209</v>
      </c>
      <c r="D178" s="527">
        <f t="shared" ref="D178:Z178" si="539">D40</f>
        <v>0</v>
      </c>
      <c r="E178" s="527">
        <f>E40</f>
        <v>0</v>
      </c>
      <c r="F178" s="527">
        <f t="shared" si="539"/>
        <v>0</v>
      </c>
      <c r="G178" s="527">
        <f>G40</f>
        <v>0</v>
      </c>
      <c r="H178" s="527">
        <f t="shared" si="539"/>
        <v>25000000</v>
      </c>
      <c r="I178" s="527">
        <f>I40</f>
        <v>3680000</v>
      </c>
      <c r="J178" s="527">
        <f t="shared" si="539"/>
        <v>0</v>
      </c>
      <c r="K178" s="527">
        <f t="shared" ref="K178" si="540">K40</f>
        <v>0</v>
      </c>
      <c r="L178" s="527">
        <f t="shared" si="539"/>
        <v>0</v>
      </c>
      <c r="M178" s="527">
        <f t="shared" ref="M178" si="541">M40</f>
        <v>0</v>
      </c>
      <c r="N178" s="527">
        <f t="shared" si="539"/>
        <v>0</v>
      </c>
      <c r="O178" s="527">
        <f t="shared" ref="O178" si="542">O40</f>
        <v>0</v>
      </c>
      <c r="P178" s="527">
        <f t="shared" si="539"/>
        <v>0</v>
      </c>
      <c r="Q178" s="527">
        <f t="shared" ref="Q178" si="543">Q40</f>
        <v>0</v>
      </c>
      <c r="R178" s="527">
        <f t="shared" si="539"/>
        <v>0</v>
      </c>
      <c r="S178" s="527">
        <f t="shared" ref="S178" si="544">S40</f>
        <v>0</v>
      </c>
      <c r="T178" s="527">
        <f t="shared" si="539"/>
        <v>0</v>
      </c>
      <c r="U178" s="527">
        <f t="shared" ref="U178" si="545">U40</f>
        <v>0</v>
      </c>
      <c r="V178" s="527">
        <f t="shared" si="539"/>
        <v>0</v>
      </c>
      <c r="W178" s="527">
        <f t="shared" ref="W178" si="546">W40</f>
        <v>0</v>
      </c>
      <c r="X178" s="527">
        <f t="shared" si="539"/>
        <v>0</v>
      </c>
      <c r="Y178" s="527">
        <f t="shared" ref="Y178" si="547">Y40</f>
        <v>920000</v>
      </c>
      <c r="Z178" s="527">
        <f t="shared" si="539"/>
        <v>0</v>
      </c>
      <c r="AA178" s="527">
        <f t="shared" ref="AA178" si="548">AA40</f>
        <v>920000</v>
      </c>
      <c r="AB178" s="456">
        <f t="shared" si="167"/>
        <v>25000000</v>
      </c>
      <c r="AC178" s="575">
        <f t="shared" si="177"/>
        <v>5520000</v>
      </c>
    </row>
    <row r="179" spans="1:29" s="500" customFormat="1" ht="15.75" customHeight="1" x14ac:dyDescent="0.2">
      <c r="A179" s="500">
        <v>43</v>
      </c>
      <c r="B179" s="500" t="s">
        <v>210</v>
      </c>
      <c r="D179" s="527">
        <f t="shared" ref="D179:Z179" si="549">D122+D123</f>
        <v>146091400</v>
      </c>
      <c r="E179" s="527">
        <f>E122+E123</f>
        <v>146091400</v>
      </c>
      <c r="F179" s="527">
        <f t="shared" si="549"/>
        <v>146091400</v>
      </c>
      <c r="G179" s="527">
        <f>G122+G123</f>
        <v>146091400</v>
      </c>
      <c r="H179" s="527">
        <f t="shared" si="549"/>
        <v>146091400</v>
      </c>
      <c r="I179" s="527">
        <f>I122+I123</f>
        <v>146091400</v>
      </c>
      <c r="J179" s="527">
        <f t="shared" si="549"/>
        <v>146091400</v>
      </c>
      <c r="K179" s="527">
        <f t="shared" ref="K179" si="550">K122+K123</f>
        <v>146091400</v>
      </c>
      <c r="L179" s="527">
        <f t="shared" si="549"/>
        <v>146091400</v>
      </c>
      <c r="M179" s="527">
        <f t="shared" ref="M179" si="551">M122+M123</f>
        <v>146091400</v>
      </c>
      <c r="N179" s="527">
        <f t="shared" si="549"/>
        <v>146091400</v>
      </c>
      <c r="O179" s="527">
        <f t="shared" ref="O179" si="552">O122+O123</f>
        <v>146091400</v>
      </c>
      <c r="P179" s="527">
        <f>P122+P123</f>
        <v>146091400</v>
      </c>
      <c r="Q179" s="527">
        <f>Q122+Q123</f>
        <v>146091400</v>
      </c>
      <c r="R179" s="527">
        <f>R122+R123</f>
        <v>146091400</v>
      </c>
      <c r="S179" s="527">
        <f>S122+S123</f>
        <v>146091400</v>
      </c>
      <c r="T179" s="527">
        <f t="shared" si="549"/>
        <v>146091400</v>
      </c>
      <c r="U179" s="527">
        <f t="shared" ref="U179" si="553">U122+U123</f>
        <v>146091400</v>
      </c>
      <c r="V179" s="527">
        <f>V122+V123</f>
        <v>146091400</v>
      </c>
      <c r="W179" s="527">
        <f>W122+W123</f>
        <v>146091400</v>
      </c>
      <c r="X179" s="527">
        <f t="shared" si="549"/>
        <v>146091400</v>
      </c>
      <c r="Y179" s="527">
        <f t="shared" ref="Y179" si="554">Y122+Y123</f>
        <v>146091400</v>
      </c>
      <c r="Z179" s="527">
        <f t="shared" si="549"/>
        <v>146091400</v>
      </c>
      <c r="AA179" s="527">
        <f t="shared" ref="AA179" si="555">AA122+AA123</f>
        <v>146091400</v>
      </c>
      <c r="AB179" s="456">
        <f t="shared" si="167"/>
        <v>1753096800</v>
      </c>
      <c r="AC179" s="575">
        <f t="shared" si="177"/>
        <v>1753096800</v>
      </c>
    </row>
    <row r="180" spans="1:29" s="438" customFormat="1" x14ac:dyDescent="0.2">
      <c r="B180" s="528" t="s">
        <v>211</v>
      </c>
      <c r="C180" s="528"/>
      <c r="D180" s="528">
        <f t="shared" ref="D180:AB180" si="556">SUM(D138:D179)</f>
        <v>1532232284.8333333</v>
      </c>
      <c r="E180" s="528">
        <f>SUM(E138:E179)</f>
        <v>1213566670.8499999</v>
      </c>
      <c r="F180" s="528">
        <f t="shared" si="556"/>
        <v>1525847784.8333333</v>
      </c>
      <c r="G180" s="528">
        <f>SUM(G138:G179)</f>
        <v>1033351846.9799999</v>
      </c>
      <c r="H180" s="528">
        <f t="shared" si="556"/>
        <v>1416599784.8333333</v>
      </c>
      <c r="I180" s="528">
        <f>SUM(I138:I179)</f>
        <v>921319435.58000004</v>
      </c>
      <c r="J180" s="528">
        <f t="shared" si="556"/>
        <v>1506332784.8333333</v>
      </c>
      <c r="K180" s="528">
        <f t="shared" ref="K180" si="557">SUM(K138:K179)</f>
        <v>1029333238</v>
      </c>
      <c r="L180" s="528">
        <f t="shared" si="556"/>
        <v>1497696784.8333333</v>
      </c>
      <c r="M180" s="528">
        <f t="shared" ref="M180" si="558">SUM(M138:M179)</f>
        <v>1336382292</v>
      </c>
      <c r="N180" s="528">
        <f t="shared" si="556"/>
        <v>1544473784.8333333</v>
      </c>
      <c r="O180" s="528">
        <f t="shared" ref="O180" si="559">SUM(O138:O179)</f>
        <v>1101150106</v>
      </c>
      <c r="P180" s="528">
        <f>SUM(P138:P179)</f>
        <v>1417432784.8333333</v>
      </c>
      <c r="Q180" s="528">
        <f>SUM(Q138:Q179)</f>
        <v>1392204702.1233335</v>
      </c>
      <c r="R180" s="528">
        <f>SUM(R138:R179)</f>
        <v>2540531941.3333335</v>
      </c>
      <c r="S180" s="528">
        <f>SUM(S138:S179)</f>
        <v>1426622941.1233335</v>
      </c>
      <c r="T180" s="528">
        <f t="shared" si="556"/>
        <v>1384232784.8333333</v>
      </c>
      <c r="U180" s="528">
        <f t="shared" ref="U180" si="560">SUM(U138:U179)</f>
        <v>1398204159.1233335</v>
      </c>
      <c r="V180" s="528">
        <f>SUM(V138:V179)</f>
        <v>1573410384.8333333</v>
      </c>
      <c r="W180" s="528">
        <f>SUM(W138:W179)</f>
        <v>1471073264.52</v>
      </c>
      <c r="X180" s="528">
        <f t="shared" si="556"/>
        <v>1422682784.8333333</v>
      </c>
      <c r="Y180" s="528">
        <f t="shared" ref="Y180" si="561">SUM(Y138:Y179)</f>
        <v>1204341313.6700001</v>
      </c>
      <c r="Z180" s="528">
        <f t="shared" si="556"/>
        <v>1561195555.8333333</v>
      </c>
      <c r="AA180" s="528">
        <f t="shared" ref="AA180" si="562">SUM(AA138:AA179)</f>
        <v>1344986929.4000001</v>
      </c>
      <c r="AB180" s="528">
        <f t="shared" si="556"/>
        <v>18922669445.5</v>
      </c>
      <c r="AC180" s="575">
        <f t="shared" si="177"/>
        <v>14872536899.369999</v>
      </c>
    </row>
    <row r="181" spans="1:29" x14ac:dyDescent="0.2">
      <c r="B181" s="500" t="s">
        <v>212</v>
      </c>
      <c r="D181" s="527">
        <f t="shared" ref="D181:Z181" si="563">D127+D128+D129</f>
        <v>177062500</v>
      </c>
      <c r="E181" s="527">
        <f>E127+E128+E129</f>
        <v>173062500</v>
      </c>
      <c r="F181" s="527">
        <f t="shared" si="563"/>
        <v>177062500</v>
      </c>
      <c r="G181" s="527">
        <f>G127+G128+G129</f>
        <v>173062500</v>
      </c>
      <c r="H181" s="527">
        <f t="shared" si="563"/>
        <v>177062500</v>
      </c>
      <c r="I181" s="527">
        <f>I127+I128+I129</f>
        <v>173062500</v>
      </c>
      <c r="J181" s="527">
        <f t="shared" si="563"/>
        <v>177062500</v>
      </c>
      <c r="K181" s="527">
        <f t="shared" ref="K181" si="564">K127+K128+K129</f>
        <v>177062500</v>
      </c>
      <c r="L181" s="527">
        <f t="shared" si="563"/>
        <v>177062500</v>
      </c>
      <c r="M181" s="527">
        <f t="shared" ref="M181" si="565">M127+M128+M129</f>
        <v>177062500</v>
      </c>
      <c r="N181" s="527">
        <f t="shared" si="563"/>
        <v>177062500</v>
      </c>
      <c r="O181" s="527">
        <f t="shared" ref="O181" si="566">O127+O128+O129</f>
        <v>177062500</v>
      </c>
      <c r="P181" s="527">
        <f>P127+P128+P129</f>
        <v>177062500</v>
      </c>
      <c r="Q181" s="527">
        <f>Q127+Q128+Q129</f>
        <v>177062500</v>
      </c>
      <c r="R181" s="527">
        <f>R127+R128+R129</f>
        <v>177062500</v>
      </c>
      <c r="S181" s="527">
        <f>S127+S128+S129</f>
        <v>177062500</v>
      </c>
      <c r="T181" s="527">
        <f t="shared" si="563"/>
        <v>177062500</v>
      </c>
      <c r="U181" s="527">
        <f t="shared" ref="U181" si="567">U127+U128+U129</f>
        <v>177062500</v>
      </c>
      <c r="V181" s="527">
        <f>V127+V128+V129</f>
        <v>177062500</v>
      </c>
      <c r="W181" s="527">
        <f>W127+W128+W129</f>
        <v>177062500</v>
      </c>
      <c r="X181" s="527">
        <f t="shared" si="563"/>
        <v>177062500</v>
      </c>
      <c r="Y181" s="527">
        <f t="shared" ref="Y181" si="568">Y127+Y128+Y129</f>
        <v>177062500</v>
      </c>
      <c r="Z181" s="527">
        <f t="shared" si="563"/>
        <v>177062500</v>
      </c>
      <c r="AA181" s="527">
        <f t="shared" ref="AA181" si="569">AA127+AA128+AA129</f>
        <v>177062500</v>
      </c>
      <c r="AB181" s="456">
        <f>Z181+X181+V181+T181+R181+P181+N181+L181+J181+H181+F181+D181</f>
        <v>2124750000</v>
      </c>
      <c r="AC181" s="575">
        <f t="shared" si="177"/>
        <v>2112750000</v>
      </c>
    </row>
    <row r="182" spans="1:29" ht="15.75" customHeight="1" x14ac:dyDescent="0.2">
      <c r="B182" s="500"/>
      <c r="D182" s="527"/>
      <c r="E182" s="527"/>
      <c r="F182" s="527"/>
      <c r="G182" s="527"/>
      <c r="H182" s="527"/>
      <c r="I182" s="527"/>
      <c r="J182" s="527"/>
      <c r="K182" s="527"/>
      <c r="L182" s="527"/>
      <c r="M182" s="527"/>
      <c r="N182" s="527"/>
      <c r="O182" s="527"/>
      <c r="P182" s="527"/>
      <c r="Q182" s="527"/>
      <c r="R182" s="527"/>
      <c r="S182" s="527"/>
      <c r="T182" s="527"/>
      <c r="U182" s="527"/>
      <c r="V182" s="527"/>
      <c r="W182" s="527"/>
      <c r="X182" s="527"/>
      <c r="Y182" s="527"/>
      <c r="Z182" s="527"/>
      <c r="AA182" s="527"/>
      <c r="AB182" s="527"/>
      <c r="AC182" s="575">
        <f t="shared" si="177"/>
        <v>0</v>
      </c>
    </row>
    <row r="183" spans="1:29" s="420" customFormat="1" x14ac:dyDescent="0.2">
      <c r="B183" s="529" t="s">
        <v>24</v>
      </c>
      <c r="C183" s="530"/>
      <c r="D183" s="438">
        <f t="shared" ref="D183:AB183" si="570">D180-D181</f>
        <v>1355169784.8333333</v>
      </c>
      <c r="E183" s="438">
        <f>E180-E181</f>
        <v>1040504170.8499999</v>
      </c>
      <c r="F183" s="438">
        <f t="shared" si="570"/>
        <v>1348785284.8333333</v>
      </c>
      <c r="G183" s="438">
        <f>G180-G181</f>
        <v>860289346.9799999</v>
      </c>
      <c r="H183" s="438">
        <f t="shared" si="570"/>
        <v>1239537284.8333333</v>
      </c>
      <c r="I183" s="438">
        <f>I180-I181</f>
        <v>748256935.58000004</v>
      </c>
      <c r="J183" s="438">
        <f t="shared" si="570"/>
        <v>1329270284.8333333</v>
      </c>
      <c r="K183" s="438">
        <f t="shared" ref="K183" si="571">K180-K181</f>
        <v>852270738</v>
      </c>
      <c r="L183" s="438">
        <f t="shared" si="570"/>
        <v>1320634284.8333333</v>
      </c>
      <c r="M183" s="438">
        <f t="shared" ref="M183" si="572">M180-M181</f>
        <v>1159319792</v>
      </c>
      <c r="N183" s="438">
        <f t="shared" si="570"/>
        <v>1367411284.8333333</v>
      </c>
      <c r="O183" s="438">
        <f t="shared" ref="O183" si="573">O180-O181</f>
        <v>924087606</v>
      </c>
      <c r="P183" s="438">
        <f>P180-P181</f>
        <v>1240370284.8333333</v>
      </c>
      <c r="Q183" s="438">
        <f>Q180-Q181</f>
        <v>1215142202.1233335</v>
      </c>
      <c r="R183" s="438">
        <f>R180-R181</f>
        <v>2363469441.3333335</v>
      </c>
      <c r="S183" s="438">
        <f>S180-S181</f>
        <v>1249560441.1233335</v>
      </c>
      <c r="T183" s="438">
        <f t="shared" si="570"/>
        <v>1207170284.8333333</v>
      </c>
      <c r="U183" s="438">
        <f t="shared" ref="U183" si="574">U180-U181</f>
        <v>1221141659.1233335</v>
      </c>
      <c r="V183" s="438">
        <f>V180-V181</f>
        <v>1396347884.8333333</v>
      </c>
      <c r="W183" s="438">
        <f>W180-W181</f>
        <v>1294010764.52</v>
      </c>
      <c r="X183" s="438">
        <f t="shared" si="570"/>
        <v>1245620284.8333333</v>
      </c>
      <c r="Y183" s="438">
        <f t="shared" ref="Y183" si="575">Y180-Y181</f>
        <v>1027278813.6700001</v>
      </c>
      <c r="Z183" s="438">
        <f>Z180-Z181</f>
        <v>1384133055.8333333</v>
      </c>
      <c r="AA183" s="438">
        <f t="shared" ref="AA183" si="576">AA180-AA181</f>
        <v>1167924429.4000001</v>
      </c>
      <c r="AB183" s="438">
        <f t="shared" si="570"/>
        <v>16797919445.5</v>
      </c>
      <c r="AC183" s="575">
        <f t="shared" si="177"/>
        <v>12759786899.369999</v>
      </c>
    </row>
    <row r="185" spans="1:29" x14ac:dyDescent="0.2">
      <c r="D185" s="456">
        <f>D132-D183</f>
        <v>0</v>
      </c>
      <c r="E185" s="456">
        <f>E132-E183</f>
        <v>0</v>
      </c>
      <c r="F185" s="456">
        <f t="shared" ref="F185:AB185" si="577">F132-F183</f>
        <v>0</v>
      </c>
      <c r="G185" s="456">
        <f t="shared" si="577"/>
        <v>0</v>
      </c>
      <c r="H185" s="456">
        <f t="shared" si="577"/>
        <v>0</v>
      </c>
      <c r="I185" s="456">
        <f t="shared" si="577"/>
        <v>0</v>
      </c>
      <c r="J185" s="456">
        <f t="shared" si="577"/>
        <v>0</v>
      </c>
      <c r="K185" s="456">
        <f t="shared" si="577"/>
        <v>0</v>
      </c>
      <c r="L185" s="456">
        <f t="shared" si="577"/>
        <v>0</v>
      </c>
      <c r="M185" s="456">
        <f t="shared" si="577"/>
        <v>0</v>
      </c>
      <c r="N185" s="456">
        <f t="shared" si="577"/>
        <v>0</v>
      </c>
      <c r="O185" s="456">
        <f t="shared" si="577"/>
        <v>0</v>
      </c>
      <c r="P185" s="456">
        <f t="shared" si="577"/>
        <v>0</v>
      </c>
      <c r="Q185" s="456">
        <f t="shared" si="577"/>
        <v>0</v>
      </c>
      <c r="R185" s="456">
        <f t="shared" si="577"/>
        <v>0</v>
      </c>
      <c r="S185" s="456">
        <f t="shared" si="577"/>
        <v>0</v>
      </c>
      <c r="T185" s="456">
        <f t="shared" si="577"/>
        <v>0</v>
      </c>
      <c r="U185" s="456">
        <f t="shared" si="577"/>
        <v>0</v>
      </c>
      <c r="V185" s="456">
        <f t="shared" si="577"/>
        <v>0</v>
      </c>
      <c r="W185" s="456">
        <f t="shared" si="577"/>
        <v>0</v>
      </c>
      <c r="X185" s="456">
        <f t="shared" si="577"/>
        <v>0</v>
      </c>
      <c r="Y185" s="456">
        <f t="shared" si="577"/>
        <v>0</v>
      </c>
      <c r="Z185" s="456">
        <f t="shared" si="577"/>
        <v>0</v>
      </c>
      <c r="AA185" s="456">
        <f t="shared" si="577"/>
        <v>0</v>
      </c>
      <c r="AB185" s="456">
        <f t="shared" si="577"/>
        <v>0</v>
      </c>
    </row>
  </sheetData>
  <sheetProtection selectLockedCells="1" selectUnlockedCells="1"/>
  <mergeCells count="12">
    <mergeCell ref="Z4:AA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8749999999999998" right="0.78749999999999998" top="1.0527777777777778" bottom="1.0527777777777778" header="0.78749999999999998" footer="0.78749999999999998"/>
  <pageSetup scale="15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86"/>
  <sheetViews>
    <sheetView showGridLines="0" zoomScale="80" zoomScaleNormal="80" zoomScaleSheetLayoutView="70" workbookViewId="0">
      <pane xSplit="3" ySplit="5" topLeftCell="V6" activePane="bottomRight" state="frozen"/>
      <selection pane="topRight" activeCell="Q1" sqref="Q1"/>
      <selection pane="bottomLeft" activeCell="A108" sqref="A108"/>
      <selection pane="bottomRight" activeCell="AH41" sqref="AH41"/>
    </sheetView>
  </sheetViews>
  <sheetFormatPr defaultColWidth="11.5703125" defaultRowHeight="12.75" x14ac:dyDescent="0.2"/>
  <cols>
    <col min="1" max="1" width="3.85546875" customWidth="1"/>
    <col min="2" max="2" width="17" customWidth="1"/>
    <col min="3" max="3" width="53.140625" customWidth="1"/>
    <col min="4" max="5" width="16.42578125" style="1" customWidth="1"/>
    <col min="6" max="7" width="17.28515625" style="1" customWidth="1"/>
    <col min="8" max="9" width="16.85546875" style="1" customWidth="1"/>
    <col min="10" max="11" width="17.28515625" style="1" customWidth="1"/>
    <col min="12" max="13" width="16.5703125" style="1" customWidth="1"/>
    <col min="14" max="17" width="16.85546875" style="1" customWidth="1"/>
    <col min="18" max="21" width="17.28515625" style="1" customWidth="1"/>
    <col min="22" max="23" width="16.85546875" style="1" customWidth="1"/>
    <col min="24" max="24" width="16.42578125" style="1" bestFit="1" customWidth="1"/>
    <col min="25" max="25" width="16.42578125" style="1" customWidth="1"/>
    <col min="26" max="26" width="16.42578125" style="1" bestFit="1" customWidth="1"/>
    <col min="27" max="27" width="16.42578125" style="1" customWidth="1"/>
    <col min="28" max="28" width="18" style="1" customWidth="1"/>
    <col min="29" max="29" width="17.7109375" style="1" hidden="1" customWidth="1"/>
    <col min="30" max="31" width="18.140625" style="1" hidden="1" customWidth="1"/>
    <col min="32" max="32" width="15.5703125" bestFit="1" customWidth="1"/>
    <col min="33" max="33" width="14.85546875" bestFit="1" customWidth="1"/>
  </cols>
  <sheetData>
    <row r="1" spans="1:32" x14ac:dyDescent="0.2">
      <c r="A1" s="2" t="s">
        <v>240</v>
      </c>
      <c r="B1" s="2"/>
      <c r="F1" s="95"/>
      <c r="G1" s="95"/>
      <c r="H1" s="95"/>
      <c r="I1" s="95"/>
    </row>
    <row r="2" spans="1:32" x14ac:dyDescent="0.2">
      <c r="A2" s="2" t="s">
        <v>213</v>
      </c>
      <c r="B2" s="2"/>
      <c r="F2" s="95"/>
      <c r="G2" s="95"/>
      <c r="H2" s="95"/>
      <c r="I2" s="95"/>
      <c r="L2" s="1">
        <f>H6*10%</f>
        <v>42737351.200000003</v>
      </c>
    </row>
    <row r="3" spans="1:32" x14ac:dyDescent="0.2">
      <c r="F3" s="95"/>
      <c r="G3" s="95"/>
      <c r="H3" s="95"/>
      <c r="I3" s="95"/>
    </row>
    <row r="4" spans="1:32" s="8" customFormat="1" x14ac:dyDescent="0.2">
      <c r="A4" s="334" t="s">
        <v>2</v>
      </c>
      <c r="B4" s="334" t="s">
        <v>354</v>
      </c>
      <c r="C4" s="341" t="s">
        <v>4</v>
      </c>
      <c r="D4" s="627" t="s">
        <v>5</v>
      </c>
      <c r="E4" s="632"/>
      <c r="F4" s="631" t="s">
        <v>6</v>
      </c>
      <c r="G4" s="632"/>
      <c r="H4" s="631" t="s">
        <v>7</v>
      </c>
      <c r="I4" s="632"/>
      <c r="J4" s="631" t="s">
        <v>9</v>
      </c>
      <c r="K4" s="632"/>
      <c r="L4" s="631" t="s">
        <v>10</v>
      </c>
      <c r="M4" s="632"/>
      <c r="N4" s="631" t="s">
        <v>11</v>
      </c>
      <c r="O4" s="632"/>
      <c r="P4" s="631" t="s">
        <v>12</v>
      </c>
      <c r="Q4" s="632"/>
      <c r="R4" s="631" t="s">
        <v>13</v>
      </c>
      <c r="S4" s="632"/>
      <c r="T4" s="631" t="s">
        <v>14</v>
      </c>
      <c r="U4" s="632"/>
      <c r="V4" s="631" t="s">
        <v>15</v>
      </c>
      <c r="W4" s="632"/>
      <c r="X4" s="631" t="s">
        <v>16</v>
      </c>
      <c r="Y4" s="632"/>
      <c r="Z4" s="631" t="s">
        <v>17</v>
      </c>
      <c r="AA4" s="632"/>
      <c r="AB4" s="457" t="s">
        <v>18</v>
      </c>
      <c r="AC4" s="458" t="s">
        <v>19</v>
      </c>
      <c r="AD4" s="424" t="s">
        <v>19</v>
      </c>
      <c r="AE4" s="424" t="s">
        <v>19</v>
      </c>
      <c r="AF4" s="573" t="s">
        <v>18</v>
      </c>
    </row>
    <row r="5" spans="1:32" s="8" customFormat="1" x14ac:dyDescent="0.2">
      <c r="A5" s="336"/>
      <c r="B5" s="336" t="s">
        <v>355</v>
      </c>
      <c r="C5" s="336"/>
      <c r="D5" s="425" t="s">
        <v>20</v>
      </c>
      <c r="E5" s="426" t="s">
        <v>302</v>
      </c>
      <c r="F5" s="425" t="s">
        <v>20</v>
      </c>
      <c r="G5" s="426" t="s">
        <v>302</v>
      </c>
      <c r="H5" s="425" t="s">
        <v>20</v>
      </c>
      <c r="I5" s="426" t="s">
        <v>302</v>
      </c>
      <c r="J5" s="425" t="s">
        <v>20</v>
      </c>
      <c r="K5" s="426" t="s">
        <v>302</v>
      </c>
      <c r="L5" s="425" t="s">
        <v>20</v>
      </c>
      <c r="M5" s="426" t="s">
        <v>302</v>
      </c>
      <c r="N5" s="425" t="s">
        <v>20</v>
      </c>
      <c r="O5" s="426" t="s">
        <v>302</v>
      </c>
      <c r="P5" s="425" t="s">
        <v>20</v>
      </c>
      <c r="Q5" s="426" t="s">
        <v>302</v>
      </c>
      <c r="R5" s="425" t="s">
        <v>20</v>
      </c>
      <c r="S5" s="426" t="s">
        <v>302</v>
      </c>
      <c r="T5" s="425" t="s">
        <v>20</v>
      </c>
      <c r="U5" s="426" t="s">
        <v>302</v>
      </c>
      <c r="V5" s="425" t="s">
        <v>20</v>
      </c>
      <c r="W5" s="426" t="s">
        <v>302</v>
      </c>
      <c r="X5" s="425" t="s">
        <v>20</v>
      </c>
      <c r="Y5" s="426" t="s">
        <v>302</v>
      </c>
      <c r="Z5" s="425" t="s">
        <v>20</v>
      </c>
      <c r="AA5" s="426" t="s">
        <v>302</v>
      </c>
      <c r="AB5" s="425" t="s">
        <v>241</v>
      </c>
      <c r="AC5" s="427">
        <v>2014</v>
      </c>
      <c r="AD5" s="427">
        <v>2015</v>
      </c>
      <c r="AE5" s="427">
        <v>2016</v>
      </c>
      <c r="AF5" s="573" t="s">
        <v>382</v>
      </c>
    </row>
    <row r="6" spans="1:32" ht="18.399999999999999" customHeight="1" x14ac:dyDescent="0.2">
      <c r="A6" s="428">
        <v>1</v>
      </c>
      <c r="B6" s="429" t="s">
        <v>21</v>
      </c>
      <c r="C6" s="459" t="s">
        <v>22</v>
      </c>
      <c r="D6" s="557">
        <v>427373512</v>
      </c>
      <c r="E6" s="557">
        <f>514382440+159716669</f>
        <v>674099109</v>
      </c>
      <c r="F6" s="557">
        <f>D6</f>
        <v>427373512</v>
      </c>
      <c r="G6" s="557">
        <v>520578878</v>
      </c>
      <c r="H6" s="557">
        <f>F6</f>
        <v>427373512</v>
      </c>
      <c r="I6" s="557">
        <v>521714931</v>
      </c>
      <c r="J6" s="557">
        <f>(H6*1.2)+(L2*3)</f>
        <v>641060268</v>
      </c>
      <c r="K6" s="557">
        <v>431231760</v>
      </c>
      <c r="L6" s="557">
        <f>H6+L2</f>
        <v>470110863.19999999</v>
      </c>
      <c r="M6" s="557">
        <v>426757755</v>
      </c>
      <c r="N6" s="557">
        <f>L6</f>
        <v>470110863.19999999</v>
      </c>
      <c r="O6" s="557">
        <v>401852428</v>
      </c>
      <c r="P6" s="557">
        <f>N6</f>
        <v>470110863.19999999</v>
      </c>
      <c r="Q6" s="557">
        <v>495628971</v>
      </c>
      <c r="R6" s="557">
        <f>P6*2.75</f>
        <v>1292804873.8</v>
      </c>
      <c r="S6" s="557">
        <v>494964209</v>
      </c>
      <c r="T6" s="557">
        <f>P6</f>
        <v>470110863.19999999</v>
      </c>
      <c r="U6" s="557">
        <v>510039496</v>
      </c>
      <c r="V6" s="557">
        <f>T6</f>
        <v>470110863.19999999</v>
      </c>
      <c r="W6" s="557">
        <v>521079819</v>
      </c>
      <c r="X6" s="557">
        <f>T6</f>
        <v>470110863.19999999</v>
      </c>
      <c r="Y6" s="557">
        <v>517754005</v>
      </c>
      <c r="Z6" s="557">
        <f>V6</f>
        <v>470110863.19999999</v>
      </c>
      <c r="AA6" s="557">
        <v>516234987</v>
      </c>
      <c r="AB6" s="463">
        <f>Z6+X6+V6++T6+R6+P6+N6+L6+J6+H6+F6+D6</f>
        <v>6506761720.1999998</v>
      </c>
      <c r="AC6" s="558">
        <f>AB6*1.1</f>
        <v>7157437892.2200003</v>
      </c>
      <c r="AD6" s="558">
        <f t="shared" ref="AD6:AE10" si="0">AC6*1.1</f>
        <v>7873181681.4420013</v>
      </c>
      <c r="AE6" s="558">
        <f t="shared" si="0"/>
        <v>8660499849.5862026</v>
      </c>
      <c r="AF6" s="575">
        <f>E6+G6+I6+K6+M6+O6+Q6+S6+U6+W6+Y6+AA6</f>
        <v>6031936348</v>
      </c>
    </row>
    <row r="7" spans="1:32" ht="18.399999999999999" customHeight="1" x14ac:dyDescent="0.2">
      <c r="A7" s="445">
        <v>2</v>
      </c>
      <c r="B7" s="464" t="s">
        <v>26</v>
      </c>
      <c r="C7" s="465" t="s">
        <v>27</v>
      </c>
      <c r="D7" s="559">
        <f>+'AND 1'!D7</f>
        <v>750000</v>
      </c>
      <c r="E7" s="559">
        <v>826992</v>
      </c>
      <c r="F7" s="559">
        <f>+'AND 1'!F7</f>
        <v>750000</v>
      </c>
      <c r="G7" s="559">
        <v>841675</v>
      </c>
      <c r="H7" s="559">
        <f>+'AND 1'!H7</f>
        <v>750000</v>
      </c>
      <c r="I7" s="559">
        <v>849259</v>
      </c>
      <c r="J7" s="559">
        <f>+'AND 1'!J7</f>
        <v>750000</v>
      </c>
      <c r="K7" s="559">
        <v>793098</v>
      </c>
      <c r="L7" s="559">
        <f>+'AND 1'!L7</f>
        <v>750000</v>
      </c>
      <c r="M7" s="559">
        <v>781982</v>
      </c>
      <c r="N7" s="559">
        <f>+'AND 1'!N7</f>
        <v>750000</v>
      </c>
      <c r="O7" s="559">
        <v>720468</v>
      </c>
      <c r="P7" s="559">
        <f>+'AND 1'!P7</f>
        <v>750000</v>
      </c>
      <c r="Q7" s="559">
        <v>790135</v>
      </c>
      <c r="R7" s="559">
        <f>+'AND 1'!R7</f>
        <v>750000</v>
      </c>
      <c r="S7" s="559">
        <v>778634</v>
      </c>
      <c r="T7" s="559">
        <f>+'AND 1'!T7</f>
        <v>750000</v>
      </c>
      <c r="U7" s="559">
        <v>743471</v>
      </c>
      <c r="V7" s="559">
        <f>+'AND 1'!V7</f>
        <v>750000</v>
      </c>
      <c r="W7" s="559">
        <v>767688</v>
      </c>
      <c r="X7" s="559">
        <f>+'AND 1'!X7</f>
        <v>750000</v>
      </c>
      <c r="Y7" s="559">
        <v>759551</v>
      </c>
      <c r="Z7" s="559">
        <f>+'AND 1'!Z7</f>
        <v>750000</v>
      </c>
      <c r="AA7" s="559">
        <v>759551</v>
      </c>
      <c r="AB7" s="468">
        <f>Z7+X7+V7++T7+R7+P7+N7+L7+J7+H7+F7+D7</f>
        <v>9000000</v>
      </c>
      <c r="AC7" s="560">
        <f t="shared" ref="AC7:AE21" si="1">AB7*1.1</f>
        <v>9900000</v>
      </c>
      <c r="AD7" s="560">
        <f t="shared" si="0"/>
        <v>10890000</v>
      </c>
      <c r="AE7" s="560">
        <f t="shared" si="0"/>
        <v>11979000.000000002</v>
      </c>
      <c r="AF7" s="575">
        <f t="shared" ref="AF7:AF70" si="2">E7+G7+I7+K7+M7+O7+Q7+S7+U7+W7+Y7+AA7</f>
        <v>9412504</v>
      </c>
    </row>
    <row r="8" spans="1:32" ht="18.399999999999999" customHeight="1" x14ac:dyDescent="0.2">
      <c r="A8" s="445">
        <v>3</v>
      </c>
      <c r="B8" s="464" t="s">
        <v>28</v>
      </c>
      <c r="C8" s="465" t="s">
        <v>29</v>
      </c>
      <c r="D8" s="559">
        <f>+'AND 1'!D8</f>
        <v>500000</v>
      </c>
      <c r="E8" s="559"/>
      <c r="F8" s="559">
        <f>+'AND 1'!F8</f>
        <v>500000</v>
      </c>
      <c r="G8" s="559"/>
      <c r="H8" s="559">
        <f>+'AND 1'!H8</f>
        <v>500000</v>
      </c>
      <c r="I8" s="559"/>
      <c r="J8" s="559">
        <f>+'AND 1'!J8</f>
        <v>500000</v>
      </c>
      <c r="K8" s="559"/>
      <c r="L8" s="559">
        <f>+'AND 1'!L8</f>
        <v>500000</v>
      </c>
      <c r="M8" s="559"/>
      <c r="N8" s="559">
        <f>+'AND 1'!N8</f>
        <v>500000</v>
      </c>
      <c r="O8" s="559"/>
      <c r="P8" s="559">
        <f>+'AND 1'!P8</f>
        <v>500000</v>
      </c>
      <c r="Q8" s="559"/>
      <c r="R8" s="559">
        <f>+'AND 1'!R8</f>
        <v>500000</v>
      </c>
      <c r="S8" s="422">
        <v>0</v>
      </c>
      <c r="T8" s="559">
        <f>+'AND 1'!T8</f>
        <v>500000</v>
      </c>
      <c r="U8" s="559">
        <v>0</v>
      </c>
      <c r="V8" s="559">
        <f>+'AND 1'!V8</f>
        <v>500000</v>
      </c>
      <c r="W8" s="559">
        <v>0</v>
      </c>
      <c r="X8" s="559">
        <f>+'AND 1'!X8</f>
        <v>500000</v>
      </c>
      <c r="Y8" s="559">
        <v>0</v>
      </c>
      <c r="Z8" s="559">
        <f>+'AND 1'!Z8</f>
        <v>500000</v>
      </c>
      <c r="AA8" s="559">
        <v>0</v>
      </c>
      <c r="AB8" s="468">
        <f>Z8+X8+V8++T8+R8+P8+N8+L8+J8+H8+F8+D8</f>
        <v>6000000</v>
      </c>
      <c r="AC8" s="560">
        <f t="shared" si="1"/>
        <v>6600000.0000000009</v>
      </c>
      <c r="AD8" s="560">
        <f t="shared" si="0"/>
        <v>7260000.0000000019</v>
      </c>
      <c r="AE8" s="560">
        <f t="shared" si="0"/>
        <v>7986000.0000000028</v>
      </c>
      <c r="AF8" s="575">
        <f t="shared" si="2"/>
        <v>0</v>
      </c>
    </row>
    <row r="9" spans="1:32" ht="18.399999999999999" customHeight="1" x14ac:dyDescent="0.2">
      <c r="A9" s="445">
        <v>4</v>
      </c>
      <c r="B9" s="464" t="s">
        <v>30</v>
      </c>
      <c r="C9" s="465" t="s">
        <v>31</v>
      </c>
      <c r="D9" s="559">
        <f>+'AND 1'!D9</f>
        <v>25000000</v>
      </c>
      <c r="E9" s="559">
        <v>27806678</v>
      </c>
      <c r="F9" s="559">
        <f>+'AND 1'!F9</f>
        <v>25000000</v>
      </c>
      <c r="G9" s="559">
        <v>28228207</v>
      </c>
      <c r="H9" s="559">
        <f>+'AND 1'!H9</f>
        <v>25000000</v>
      </c>
      <c r="I9" s="559">
        <v>28445919</v>
      </c>
      <c r="J9" s="559">
        <f>+'AND 1'!J9</f>
        <v>25000000</v>
      </c>
      <c r="K9" s="559">
        <v>26833622</v>
      </c>
      <c r="L9" s="559">
        <f>+'AND 1'!L9</f>
        <v>25000000</v>
      </c>
      <c r="M9" s="559">
        <v>26514496</v>
      </c>
      <c r="N9" s="559">
        <f>+'AND 1'!N9</f>
        <v>25000000</v>
      </c>
      <c r="O9" s="559">
        <v>24748522</v>
      </c>
      <c r="P9" s="559">
        <f>+'AND 1'!P9</f>
        <v>25000000</v>
      </c>
      <c r="Q9" s="559">
        <v>26748551</v>
      </c>
      <c r="R9" s="559">
        <f>+'AND 1'!R9</f>
        <v>25000000</v>
      </c>
      <c r="S9" s="559">
        <v>26418403</v>
      </c>
      <c r="T9" s="559">
        <f>+'AND 1'!T9</f>
        <v>25000000</v>
      </c>
      <c r="U9" s="559">
        <v>25408907</v>
      </c>
      <c r="V9" s="559">
        <f>+'AND 1'!V9</f>
        <v>25000000</v>
      </c>
      <c r="W9" s="559">
        <v>26104130</v>
      </c>
      <c r="X9" s="559">
        <f>+'AND 1'!X9</f>
        <v>25000000</v>
      </c>
      <c r="Y9" s="559">
        <v>25870537</v>
      </c>
      <c r="Z9" s="559">
        <f>+'AND 1'!Z9</f>
        <v>25000000</v>
      </c>
      <c r="AA9" s="559">
        <v>25870537</v>
      </c>
      <c r="AB9" s="468">
        <f>Z9+X9+V9++T9+R9+P9+N9+L9+J9+H9+F9+D9</f>
        <v>300000000</v>
      </c>
      <c r="AC9" s="560">
        <f t="shared" si="1"/>
        <v>330000000</v>
      </c>
      <c r="AD9" s="560">
        <f t="shared" si="0"/>
        <v>363000000</v>
      </c>
      <c r="AE9" s="560">
        <f t="shared" si="0"/>
        <v>399300000.00000006</v>
      </c>
      <c r="AF9" s="575">
        <f t="shared" si="2"/>
        <v>318998509</v>
      </c>
    </row>
    <row r="10" spans="1:32" s="36" customFormat="1" ht="18.399999999999999" customHeight="1" x14ac:dyDescent="0.2">
      <c r="A10" s="445">
        <v>5</v>
      </c>
      <c r="B10" s="464" t="s">
        <v>21</v>
      </c>
      <c r="C10" s="469" t="s">
        <v>32</v>
      </c>
      <c r="D10" s="559">
        <f>+'AND 1'!D10</f>
        <v>0</v>
      </c>
      <c r="E10" s="559"/>
      <c r="F10" s="559">
        <f>+'AND 1'!F10</f>
        <v>0</v>
      </c>
      <c r="G10" s="559"/>
      <c r="H10" s="559">
        <f>+'AND 1'!H10</f>
        <v>0</v>
      </c>
      <c r="I10" s="559"/>
      <c r="J10" s="559">
        <f>+'AND 1'!J10</f>
        <v>0</v>
      </c>
      <c r="K10" s="559"/>
      <c r="L10" s="559">
        <f>+'AND 1'!L10</f>
        <v>0</v>
      </c>
      <c r="M10" s="559"/>
      <c r="N10" s="559">
        <f>+'AND 1'!N10</f>
        <v>0</v>
      </c>
      <c r="O10" s="559"/>
      <c r="P10" s="559">
        <f>+'AND 1'!P10</f>
        <v>7000000</v>
      </c>
      <c r="Q10" s="559"/>
      <c r="R10" s="559">
        <f>+'AND 1'!R10</f>
        <v>0</v>
      </c>
      <c r="S10" s="559">
        <v>0</v>
      </c>
      <c r="T10" s="559">
        <f>+'AND 1'!T10</f>
        <v>0</v>
      </c>
      <c r="U10" s="559"/>
      <c r="V10" s="559">
        <f>+'AND 1'!V10</f>
        <v>7500000</v>
      </c>
      <c r="W10" s="559">
        <v>0</v>
      </c>
      <c r="X10" s="559">
        <f>+'AND 1'!X10</f>
        <v>0</v>
      </c>
      <c r="Y10" s="559">
        <v>0</v>
      </c>
      <c r="Z10" s="559">
        <f>+'AND 1'!Z10</f>
        <v>0</v>
      </c>
      <c r="AA10" s="559">
        <v>0</v>
      </c>
      <c r="AB10" s="468">
        <f>Z10+X10+V10++T10+R10+P10+N10+L10+J10+H10+F10+D10</f>
        <v>14500000</v>
      </c>
      <c r="AC10" s="561">
        <f t="shared" si="1"/>
        <v>15950000.000000002</v>
      </c>
      <c r="AD10" s="561">
        <f t="shared" si="0"/>
        <v>17545000.000000004</v>
      </c>
      <c r="AE10" s="561">
        <f t="shared" si="0"/>
        <v>19299500.000000007</v>
      </c>
      <c r="AF10" s="575">
        <f t="shared" si="2"/>
        <v>0</v>
      </c>
    </row>
    <row r="11" spans="1:32" s="21" customFormat="1" ht="18.399999999999999" customHeight="1" x14ac:dyDescent="0.2">
      <c r="A11" s="434"/>
      <c r="B11" s="435"/>
      <c r="C11" s="470" t="s">
        <v>23</v>
      </c>
      <c r="D11" s="471">
        <f t="shared" ref="D11:I11" si="3">SUM(D6:D10)</f>
        <v>453623512</v>
      </c>
      <c r="E11" s="471">
        <f t="shared" si="3"/>
        <v>702732779</v>
      </c>
      <c r="F11" s="471">
        <f t="shared" si="3"/>
        <v>453623512</v>
      </c>
      <c r="G11" s="471">
        <f t="shared" si="3"/>
        <v>549648760</v>
      </c>
      <c r="H11" s="471">
        <f t="shared" si="3"/>
        <v>453623512</v>
      </c>
      <c r="I11" s="471">
        <f t="shared" si="3"/>
        <v>551010109</v>
      </c>
      <c r="J11" s="471">
        <f t="shared" ref="J11:AE11" si="4">SUM(J6:J10)</f>
        <v>667310268</v>
      </c>
      <c r="K11" s="471">
        <f>SUM(K6:K10)</f>
        <v>458858480</v>
      </c>
      <c r="L11" s="471">
        <f t="shared" si="4"/>
        <v>496360863.19999999</v>
      </c>
      <c r="M11" s="471">
        <f t="shared" si="4"/>
        <v>454054233</v>
      </c>
      <c r="N11" s="471">
        <f t="shared" si="4"/>
        <v>496360863.19999999</v>
      </c>
      <c r="O11" s="471">
        <f t="shared" si="4"/>
        <v>427321418</v>
      </c>
      <c r="P11" s="471">
        <f t="shared" si="4"/>
        <v>503360863.19999999</v>
      </c>
      <c r="Q11" s="471">
        <f t="shared" si="4"/>
        <v>523167657</v>
      </c>
      <c r="R11" s="471">
        <f t="shared" si="4"/>
        <v>1319054873.8</v>
      </c>
      <c r="S11" s="471">
        <f t="shared" si="4"/>
        <v>522161246</v>
      </c>
      <c r="T11" s="471">
        <f t="shared" si="4"/>
        <v>496360863.19999999</v>
      </c>
      <c r="U11" s="471">
        <f t="shared" si="4"/>
        <v>536191874</v>
      </c>
      <c r="V11" s="471">
        <f t="shared" si="4"/>
        <v>503860863.19999999</v>
      </c>
      <c r="W11" s="471">
        <f t="shared" si="4"/>
        <v>547951637</v>
      </c>
      <c r="X11" s="471">
        <f t="shared" si="4"/>
        <v>496360863.19999999</v>
      </c>
      <c r="Y11" s="471">
        <f t="shared" si="4"/>
        <v>544384093</v>
      </c>
      <c r="Z11" s="471">
        <f t="shared" si="4"/>
        <v>496360863.19999999</v>
      </c>
      <c r="AA11" s="471">
        <f t="shared" si="4"/>
        <v>542865075</v>
      </c>
      <c r="AB11" s="471">
        <f t="shared" si="4"/>
        <v>6836261720.1999998</v>
      </c>
      <c r="AC11" s="472">
        <f t="shared" si="4"/>
        <v>7519887892.2200003</v>
      </c>
      <c r="AD11" s="472">
        <f t="shared" si="4"/>
        <v>8271876681.4420013</v>
      </c>
      <c r="AE11" s="472">
        <f t="shared" si="4"/>
        <v>9099064349.5862026</v>
      </c>
      <c r="AF11" s="575">
        <f t="shared" si="2"/>
        <v>6360347361</v>
      </c>
    </row>
    <row r="12" spans="1:32" s="36" customFormat="1" ht="18.399999999999999" customHeight="1" x14ac:dyDescent="0.2">
      <c r="A12" s="473">
        <v>1</v>
      </c>
      <c r="B12" s="444" t="s">
        <v>33</v>
      </c>
      <c r="C12" s="474" t="s">
        <v>34</v>
      </c>
      <c r="D12" s="468">
        <f>0.05*D6</f>
        <v>21368675.600000001</v>
      </c>
      <c r="E12" s="468">
        <v>2513800</v>
      </c>
      <c r="F12" s="468">
        <f>D12</f>
        <v>21368675.600000001</v>
      </c>
      <c r="G12" s="468">
        <v>12088416</v>
      </c>
      <c r="H12" s="468">
        <f>F12</f>
        <v>21368675.600000001</v>
      </c>
      <c r="I12" s="468">
        <v>31104579</v>
      </c>
      <c r="J12" s="468">
        <f>H12</f>
        <v>21368675.600000001</v>
      </c>
      <c r="K12" s="468">
        <v>5249700</v>
      </c>
      <c r="L12" s="468">
        <f>J12</f>
        <v>21368675.600000001</v>
      </c>
      <c r="M12" s="468">
        <v>25020653</v>
      </c>
      <c r="N12" s="468">
        <f>L12</f>
        <v>21368675.600000001</v>
      </c>
      <c r="O12" s="468">
        <v>31465205</v>
      </c>
      <c r="P12" s="468">
        <f>N12</f>
        <v>21368675.600000001</v>
      </c>
      <c r="Q12" s="468">
        <v>25004500</v>
      </c>
      <c r="R12" s="468">
        <f>P12</f>
        <v>21368675.600000001</v>
      </c>
      <c r="S12" s="468">
        <v>30256400</v>
      </c>
      <c r="T12" s="468">
        <f>R12</f>
        <v>21368675.600000001</v>
      </c>
      <c r="U12" s="468">
        <v>27890120</v>
      </c>
      <c r="V12" s="468">
        <f>T12</f>
        <v>21368675.600000001</v>
      </c>
      <c r="W12" s="468">
        <v>32560000</v>
      </c>
      <c r="X12" s="468">
        <f>V12</f>
        <v>21368675.600000001</v>
      </c>
      <c r="Y12" s="468">
        <v>57432700</v>
      </c>
      <c r="Z12" s="468">
        <f t="shared" ref="Z12" si="5">X12</f>
        <v>21368675.600000001</v>
      </c>
      <c r="AA12" s="468">
        <v>19860500</v>
      </c>
      <c r="AB12" s="468">
        <f t="shared" ref="AB12:AB21" si="6">Z12+X12+V12++T12+R12+P12+N12+L12+J12+H12+F12+D12</f>
        <v>256424107.19999996</v>
      </c>
      <c r="AC12" s="560">
        <f t="shared" si="1"/>
        <v>282066517.91999996</v>
      </c>
      <c r="AD12" s="560">
        <f t="shared" si="1"/>
        <v>310273169.71199995</v>
      </c>
      <c r="AE12" s="560">
        <f t="shared" si="1"/>
        <v>341300486.6832</v>
      </c>
      <c r="AF12" s="575">
        <f t="shared" si="2"/>
        <v>300446573</v>
      </c>
    </row>
    <row r="13" spans="1:32" s="36" customFormat="1" ht="18.399999999999999" customHeight="1" x14ac:dyDescent="0.2">
      <c r="A13" s="473">
        <v>2</v>
      </c>
      <c r="B13" s="444" t="s">
        <v>33</v>
      </c>
      <c r="C13" s="475" t="s">
        <v>35</v>
      </c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468">
        <v>40000000</v>
      </c>
      <c r="O13" s="468"/>
      <c r="P13" s="468">
        <v>0</v>
      </c>
      <c r="Q13" s="468">
        <v>0</v>
      </c>
      <c r="R13" s="468"/>
      <c r="S13" s="468">
        <v>0</v>
      </c>
      <c r="T13" s="468"/>
      <c r="U13" s="468"/>
      <c r="V13" s="468"/>
      <c r="W13" s="468"/>
      <c r="X13" s="468"/>
      <c r="Y13" s="468"/>
      <c r="Z13" s="468"/>
      <c r="AA13" s="468"/>
      <c r="AB13" s="468">
        <f t="shared" si="6"/>
        <v>40000000</v>
      </c>
      <c r="AC13" s="560">
        <f t="shared" si="1"/>
        <v>44000000</v>
      </c>
      <c r="AD13" s="560">
        <f t="shared" si="1"/>
        <v>48400000.000000007</v>
      </c>
      <c r="AE13" s="560">
        <f t="shared" si="1"/>
        <v>53240000.000000015</v>
      </c>
      <c r="AF13" s="575">
        <f t="shared" si="2"/>
        <v>0</v>
      </c>
    </row>
    <row r="14" spans="1:32" s="36" customFormat="1" ht="18.399999999999999" customHeight="1" x14ac:dyDescent="0.2">
      <c r="A14" s="473">
        <v>3</v>
      </c>
      <c r="B14" s="476" t="s">
        <v>36</v>
      </c>
      <c r="C14" s="477" t="s">
        <v>37</v>
      </c>
      <c r="D14" s="468"/>
      <c r="E14" s="468"/>
      <c r="F14" s="468"/>
      <c r="G14" s="468"/>
      <c r="H14" s="468">
        <v>45000000</v>
      </c>
      <c r="I14" s="468"/>
      <c r="J14" s="468"/>
      <c r="K14" s="468"/>
      <c r="L14" s="468"/>
      <c r="M14" s="468"/>
      <c r="N14" s="468"/>
      <c r="O14" s="468"/>
      <c r="P14" s="468">
        <v>0</v>
      </c>
      <c r="Q14" s="468">
        <v>0</v>
      </c>
      <c r="R14" s="468"/>
      <c r="S14" s="468">
        <v>0</v>
      </c>
      <c r="T14" s="468"/>
      <c r="U14" s="468"/>
      <c r="V14" s="468"/>
      <c r="W14" s="468"/>
      <c r="X14" s="468"/>
      <c r="Y14" s="468"/>
      <c r="Z14" s="468"/>
      <c r="AA14" s="468"/>
      <c r="AB14" s="468">
        <f t="shared" si="6"/>
        <v>45000000</v>
      </c>
      <c r="AC14" s="560">
        <f t="shared" si="1"/>
        <v>49500000.000000007</v>
      </c>
      <c r="AD14" s="560">
        <f t="shared" si="1"/>
        <v>54450000.000000015</v>
      </c>
      <c r="AE14" s="560">
        <f t="shared" si="1"/>
        <v>59895000.000000022</v>
      </c>
      <c r="AF14" s="575">
        <f t="shared" si="2"/>
        <v>0</v>
      </c>
    </row>
    <row r="15" spans="1:32" s="36" customFormat="1" ht="18.399999999999999" customHeight="1" x14ac:dyDescent="0.2">
      <c r="A15" s="473">
        <v>4</v>
      </c>
      <c r="B15" s="476" t="s">
        <v>36</v>
      </c>
      <c r="C15" s="478" t="s">
        <v>38</v>
      </c>
      <c r="D15" s="468">
        <f>+'AND 1'!D15</f>
        <v>2000000</v>
      </c>
      <c r="E15" s="468"/>
      <c r="F15" s="468">
        <f>+'AND 1'!F15</f>
        <v>2000000</v>
      </c>
      <c r="G15" s="468"/>
      <c r="H15" s="468">
        <f>+'AND 1'!H15</f>
        <v>2000000</v>
      </c>
      <c r="I15" s="468"/>
      <c r="J15" s="468">
        <f>+'AND 1'!J15</f>
        <v>2000000</v>
      </c>
      <c r="K15" s="468"/>
      <c r="L15" s="468">
        <f>+'AND 1'!L15</f>
        <v>2000000</v>
      </c>
      <c r="M15" s="468"/>
      <c r="N15" s="468">
        <f>+'AND 1'!N15</f>
        <v>2000000</v>
      </c>
      <c r="O15" s="468"/>
      <c r="P15" s="468">
        <f>+'AND 1'!P15</f>
        <v>2000000</v>
      </c>
      <c r="Q15" s="468">
        <v>0</v>
      </c>
      <c r="R15" s="468">
        <f>+'AND 1'!R15</f>
        <v>2000000</v>
      </c>
      <c r="S15" s="468">
        <v>0</v>
      </c>
      <c r="T15" s="468">
        <f>+'AND 1'!T15</f>
        <v>2000000</v>
      </c>
      <c r="U15" s="468"/>
      <c r="V15" s="468">
        <f>+'AND 1'!V15</f>
        <v>2000000</v>
      </c>
      <c r="W15" s="468"/>
      <c r="X15" s="468">
        <f>+'AND 1'!X15</f>
        <v>2000000</v>
      </c>
      <c r="Y15" s="468"/>
      <c r="Z15" s="468">
        <f>+'AND 1'!Z15</f>
        <v>2000000</v>
      </c>
      <c r="AA15" s="468"/>
      <c r="AB15" s="468">
        <f t="shared" si="6"/>
        <v>24000000</v>
      </c>
      <c r="AC15" s="560">
        <f t="shared" si="1"/>
        <v>26400000.000000004</v>
      </c>
      <c r="AD15" s="560">
        <f t="shared" si="1"/>
        <v>29040000.000000007</v>
      </c>
      <c r="AE15" s="560">
        <f t="shared" si="1"/>
        <v>31944000.000000011</v>
      </c>
      <c r="AF15" s="575">
        <f t="shared" si="2"/>
        <v>0</v>
      </c>
    </row>
    <row r="16" spans="1:32" s="36" customFormat="1" ht="18.399999999999999" customHeight="1" x14ac:dyDescent="0.2">
      <c r="A16" s="473">
        <v>5</v>
      </c>
      <c r="B16" s="476" t="s">
        <v>39</v>
      </c>
      <c r="C16" s="478" t="s">
        <v>40</v>
      </c>
      <c r="D16" s="468">
        <v>1000000</v>
      </c>
      <c r="E16" s="468"/>
      <c r="F16" s="468">
        <f>D16</f>
        <v>1000000</v>
      </c>
      <c r="G16" s="468"/>
      <c r="H16" s="468">
        <f>F16</f>
        <v>1000000</v>
      </c>
      <c r="I16" s="468"/>
      <c r="J16" s="468">
        <f>H16</f>
        <v>1000000</v>
      </c>
      <c r="K16" s="468"/>
      <c r="L16" s="468">
        <f>J16</f>
        <v>1000000</v>
      </c>
      <c r="M16" s="468"/>
      <c r="N16" s="468">
        <f>L16</f>
        <v>1000000</v>
      </c>
      <c r="O16" s="468"/>
      <c r="P16" s="468">
        <f>N16</f>
        <v>1000000</v>
      </c>
      <c r="Q16" s="468">
        <v>0</v>
      </c>
      <c r="R16" s="468">
        <f>P16</f>
        <v>1000000</v>
      </c>
      <c r="S16" s="468">
        <v>0</v>
      </c>
      <c r="T16" s="468">
        <f>R16</f>
        <v>1000000</v>
      </c>
      <c r="U16" s="468"/>
      <c r="V16" s="468">
        <f>T16</f>
        <v>1000000</v>
      </c>
      <c r="W16" s="468"/>
      <c r="X16" s="468">
        <f>V16</f>
        <v>1000000</v>
      </c>
      <c r="Y16" s="468"/>
      <c r="Z16" s="468">
        <f t="shared" ref="Z16" si="7">X16</f>
        <v>1000000</v>
      </c>
      <c r="AA16" s="468"/>
      <c r="AB16" s="468">
        <f t="shared" si="6"/>
        <v>12000000</v>
      </c>
      <c r="AC16" s="560">
        <f t="shared" si="1"/>
        <v>13200000.000000002</v>
      </c>
      <c r="AD16" s="560">
        <f t="shared" si="1"/>
        <v>14520000.000000004</v>
      </c>
      <c r="AE16" s="560">
        <f t="shared" si="1"/>
        <v>15972000.000000006</v>
      </c>
      <c r="AF16" s="575">
        <f t="shared" si="2"/>
        <v>0</v>
      </c>
    </row>
    <row r="17" spans="1:32" s="36" customFormat="1" ht="18.399999999999999" customHeight="1" x14ac:dyDescent="0.2">
      <c r="A17" s="473">
        <v>6</v>
      </c>
      <c r="B17" s="476" t="s">
        <v>36</v>
      </c>
      <c r="C17" s="475" t="s">
        <v>41</v>
      </c>
      <c r="D17" s="468"/>
      <c r="E17" s="468"/>
      <c r="F17" s="468"/>
      <c r="G17" s="468"/>
      <c r="H17" s="468"/>
      <c r="I17" s="468"/>
      <c r="J17" s="468"/>
      <c r="K17" s="468"/>
      <c r="L17" s="468"/>
      <c r="M17" s="468"/>
      <c r="N17" s="468"/>
      <c r="O17" s="468"/>
      <c r="P17" s="468">
        <v>0</v>
      </c>
      <c r="Q17" s="468">
        <v>0</v>
      </c>
      <c r="R17" s="468">
        <v>20000000</v>
      </c>
      <c r="S17" s="468">
        <f>200000*35</f>
        <v>7000000</v>
      </c>
      <c r="T17" s="468"/>
      <c r="U17" s="468"/>
      <c r="V17" s="468"/>
      <c r="W17" s="468"/>
      <c r="X17" s="468"/>
      <c r="Y17" s="468"/>
      <c r="Z17" s="468"/>
      <c r="AA17" s="468"/>
      <c r="AB17" s="468">
        <f t="shared" si="6"/>
        <v>20000000</v>
      </c>
      <c r="AC17" s="560">
        <f t="shared" si="1"/>
        <v>22000000</v>
      </c>
      <c r="AD17" s="560">
        <f t="shared" si="1"/>
        <v>24200000.000000004</v>
      </c>
      <c r="AE17" s="560">
        <f t="shared" si="1"/>
        <v>26620000.000000007</v>
      </c>
      <c r="AF17" s="575">
        <f t="shared" si="2"/>
        <v>7000000</v>
      </c>
    </row>
    <row r="18" spans="1:32" s="36" customFormat="1" ht="18.399999999999999" customHeight="1" x14ac:dyDescent="0.2">
      <c r="A18" s="473">
        <v>7</v>
      </c>
      <c r="B18" s="476" t="s">
        <v>36</v>
      </c>
      <c r="C18" s="475" t="s">
        <v>42</v>
      </c>
      <c r="D18" s="468"/>
      <c r="E18" s="468"/>
      <c r="F18" s="468"/>
      <c r="G18" s="468"/>
      <c r="H18" s="468"/>
      <c r="I18" s="468"/>
      <c r="J18" s="468"/>
      <c r="K18" s="468"/>
      <c r="L18" s="468"/>
      <c r="M18" s="468"/>
      <c r="N18" s="468"/>
      <c r="O18" s="468"/>
      <c r="P18" s="468">
        <v>0</v>
      </c>
      <c r="Q18" s="468">
        <v>0</v>
      </c>
      <c r="R18" s="468">
        <v>25000000</v>
      </c>
      <c r="S18" s="468">
        <v>0</v>
      </c>
      <c r="T18" s="468"/>
      <c r="U18" s="468"/>
      <c r="V18" s="468"/>
      <c r="W18" s="468"/>
      <c r="X18" s="468"/>
      <c r="Y18" s="468"/>
      <c r="Z18" s="468"/>
      <c r="AA18" s="468"/>
      <c r="AB18" s="468">
        <f t="shared" si="6"/>
        <v>25000000</v>
      </c>
      <c r="AC18" s="560">
        <f t="shared" si="1"/>
        <v>27500000.000000004</v>
      </c>
      <c r="AD18" s="560">
        <f t="shared" si="1"/>
        <v>30250000.000000007</v>
      </c>
      <c r="AE18" s="560">
        <f t="shared" si="1"/>
        <v>33275000.000000011</v>
      </c>
      <c r="AF18" s="575">
        <f t="shared" si="2"/>
        <v>0</v>
      </c>
    </row>
    <row r="19" spans="1:32" s="36" customFormat="1" ht="18.399999999999999" customHeight="1" x14ac:dyDescent="0.2">
      <c r="A19" s="473">
        <v>8</v>
      </c>
      <c r="B19" s="476" t="s">
        <v>43</v>
      </c>
      <c r="C19" s="474" t="s">
        <v>44</v>
      </c>
      <c r="D19" s="468">
        <v>0</v>
      </c>
      <c r="E19" s="481"/>
      <c r="F19" s="562">
        <f>D19</f>
        <v>0</v>
      </c>
      <c r="G19" s="562"/>
      <c r="H19" s="562">
        <f>F19</f>
        <v>0</v>
      </c>
      <c r="I19" s="562"/>
      <c r="J19" s="562">
        <f>H19</f>
        <v>0</v>
      </c>
      <c r="K19" s="562"/>
      <c r="L19" s="562">
        <f>J19</f>
        <v>0</v>
      </c>
      <c r="M19" s="562"/>
      <c r="N19" s="562">
        <f>L19</f>
        <v>0</v>
      </c>
      <c r="O19" s="562"/>
      <c r="P19" s="562">
        <f>N19</f>
        <v>0</v>
      </c>
      <c r="Q19" s="562">
        <v>0</v>
      </c>
      <c r="R19" s="562">
        <f>P19</f>
        <v>0</v>
      </c>
      <c r="S19" s="562">
        <v>0</v>
      </c>
      <c r="T19" s="562">
        <f>R19</f>
        <v>0</v>
      </c>
      <c r="U19" s="562"/>
      <c r="V19" s="562">
        <f>T19</f>
        <v>0</v>
      </c>
      <c r="W19" s="562">
        <v>0</v>
      </c>
      <c r="X19" s="562">
        <f>V19</f>
        <v>0</v>
      </c>
      <c r="Y19" s="562">
        <v>28150000</v>
      </c>
      <c r="Z19" s="562">
        <f t="shared" ref="Z19" si="8">X19</f>
        <v>0</v>
      </c>
      <c r="AA19" s="562">
        <v>0</v>
      </c>
      <c r="AB19" s="468">
        <f t="shared" si="6"/>
        <v>0</v>
      </c>
      <c r="AC19" s="560">
        <f t="shared" si="1"/>
        <v>0</v>
      </c>
      <c r="AD19" s="560">
        <f t="shared" si="1"/>
        <v>0</v>
      </c>
      <c r="AE19" s="560">
        <f t="shared" si="1"/>
        <v>0</v>
      </c>
      <c r="AF19" s="575">
        <f t="shared" si="2"/>
        <v>28150000</v>
      </c>
    </row>
    <row r="20" spans="1:32" s="36" customFormat="1" ht="18.399999999999999" customHeight="1" x14ac:dyDescent="0.2">
      <c r="A20" s="473">
        <v>9</v>
      </c>
      <c r="B20" s="563" t="s">
        <v>45</v>
      </c>
      <c r="C20" s="474" t="s">
        <v>46</v>
      </c>
      <c r="D20" s="468">
        <f>+'AND 1'!D20</f>
        <v>0</v>
      </c>
      <c r="E20" s="468"/>
      <c r="F20" s="468">
        <v>0</v>
      </c>
      <c r="G20" s="468"/>
      <c r="H20" s="468"/>
      <c r="I20" s="468"/>
      <c r="J20" s="468">
        <v>0</v>
      </c>
      <c r="K20" s="468"/>
      <c r="L20" s="468">
        <f>+'AND 1'!L20</f>
        <v>0</v>
      </c>
      <c r="M20" s="468"/>
      <c r="N20" s="468">
        <f>+'AND 1'!N20</f>
        <v>0</v>
      </c>
      <c r="O20" s="468"/>
      <c r="P20" s="468">
        <f>+'AND 1'!P20</f>
        <v>0</v>
      </c>
      <c r="Q20" s="468">
        <v>0</v>
      </c>
      <c r="R20" s="468">
        <f>+'AND 1'!R20</f>
        <v>0</v>
      </c>
      <c r="S20" s="468">
        <v>0</v>
      </c>
      <c r="T20" s="468">
        <f>+'AND 1'!T20</f>
        <v>0</v>
      </c>
      <c r="U20" s="468"/>
      <c r="V20" s="468">
        <f>+'AND 1'!V20</f>
        <v>0</v>
      </c>
      <c r="W20" s="468"/>
      <c r="X20" s="468">
        <f>+'AND 1'!X20</f>
        <v>0</v>
      </c>
      <c r="Y20" s="468"/>
      <c r="Z20" s="468">
        <f>+'AND 1'!Z20</f>
        <v>0</v>
      </c>
      <c r="AA20" s="468"/>
      <c r="AB20" s="468">
        <f t="shared" si="6"/>
        <v>0</v>
      </c>
      <c r="AC20" s="560">
        <f t="shared" si="1"/>
        <v>0</v>
      </c>
      <c r="AD20" s="560">
        <f t="shared" si="1"/>
        <v>0</v>
      </c>
      <c r="AE20" s="560">
        <f t="shared" si="1"/>
        <v>0</v>
      </c>
      <c r="AF20" s="575">
        <f t="shared" si="2"/>
        <v>0</v>
      </c>
    </row>
    <row r="21" spans="1:32" s="36" customFormat="1" ht="18.399999999999999" customHeight="1" x14ac:dyDescent="0.2">
      <c r="A21" s="473">
        <v>10</v>
      </c>
      <c r="B21" s="563" t="s">
        <v>47</v>
      </c>
      <c r="C21" s="474" t="s">
        <v>48</v>
      </c>
      <c r="D21" s="468">
        <f>+'AND 1'!D21</f>
        <v>0</v>
      </c>
      <c r="E21" s="468"/>
      <c r="F21" s="468">
        <f>+'AND 1'!F21</f>
        <v>0</v>
      </c>
      <c r="G21" s="468"/>
      <c r="H21" s="468">
        <f>+'AND 1'!H21</f>
        <v>0</v>
      </c>
      <c r="I21" s="468"/>
      <c r="J21" s="468">
        <f>+'AND 1'!J21</f>
        <v>0</v>
      </c>
      <c r="K21" s="468"/>
      <c r="L21" s="468">
        <f>+'AND 1'!L21</f>
        <v>0</v>
      </c>
      <c r="M21" s="468"/>
      <c r="N21" s="468">
        <f>+'AND 1'!N21</f>
        <v>0</v>
      </c>
      <c r="O21" s="468"/>
      <c r="P21" s="468">
        <f>+'AND 1'!P21</f>
        <v>0</v>
      </c>
      <c r="Q21" s="468">
        <v>0</v>
      </c>
      <c r="R21" s="468">
        <f>+'AND 1'!R21</f>
        <v>0</v>
      </c>
      <c r="S21" s="468">
        <v>0</v>
      </c>
      <c r="T21" s="468">
        <f>+'AND 1'!T21</f>
        <v>0</v>
      </c>
      <c r="U21" s="468"/>
      <c r="V21" s="468">
        <f>+'AND 1'!V21</f>
        <v>0</v>
      </c>
      <c r="W21" s="468"/>
      <c r="X21" s="468">
        <f>+'AND 1'!X21</f>
        <v>0</v>
      </c>
      <c r="Y21" s="468"/>
      <c r="Z21" s="468">
        <f>+'AND 1'!Z21</f>
        <v>0</v>
      </c>
      <c r="AA21" s="468"/>
      <c r="AB21" s="468">
        <f t="shared" si="6"/>
        <v>0</v>
      </c>
      <c r="AC21" s="560">
        <f t="shared" si="1"/>
        <v>0</v>
      </c>
      <c r="AD21" s="560">
        <f t="shared" si="1"/>
        <v>0</v>
      </c>
      <c r="AE21" s="560">
        <f t="shared" si="1"/>
        <v>0</v>
      </c>
      <c r="AF21" s="575">
        <f t="shared" si="2"/>
        <v>0</v>
      </c>
    </row>
    <row r="22" spans="1:32" s="21" customFormat="1" ht="18.399999999999999" customHeight="1" x14ac:dyDescent="0.2">
      <c r="A22" s="434"/>
      <c r="B22" s="564"/>
      <c r="C22" s="470" t="s">
        <v>49</v>
      </c>
      <c r="D22" s="485">
        <f t="shared" ref="D22:I22" si="9">SUM(D12:D21)</f>
        <v>24368675.600000001</v>
      </c>
      <c r="E22" s="485">
        <f t="shared" si="9"/>
        <v>2513800</v>
      </c>
      <c r="F22" s="485">
        <f t="shared" si="9"/>
        <v>24368675.600000001</v>
      </c>
      <c r="G22" s="485">
        <f t="shared" si="9"/>
        <v>12088416</v>
      </c>
      <c r="H22" s="485">
        <f t="shared" si="9"/>
        <v>69368675.599999994</v>
      </c>
      <c r="I22" s="485">
        <f t="shared" si="9"/>
        <v>31104579</v>
      </c>
      <c r="J22" s="485">
        <f t="shared" ref="J22:AE22" si="10">SUM(J12:J21)</f>
        <v>24368675.600000001</v>
      </c>
      <c r="K22" s="485">
        <f t="shared" si="10"/>
        <v>5249700</v>
      </c>
      <c r="L22" s="485">
        <f t="shared" si="10"/>
        <v>24368675.600000001</v>
      </c>
      <c r="M22" s="485">
        <f t="shared" si="10"/>
        <v>25020653</v>
      </c>
      <c r="N22" s="485">
        <f t="shared" si="10"/>
        <v>64368675.600000001</v>
      </c>
      <c r="O22" s="485">
        <f t="shared" si="10"/>
        <v>31465205</v>
      </c>
      <c r="P22" s="485">
        <f t="shared" si="10"/>
        <v>24368675.600000001</v>
      </c>
      <c r="Q22" s="485">
        <f t="shared" ref="Q22" si="11">SUM(Q12:Q21)</f>
        <v>25004500</v>
      </c>
      <c r="R22" s="485">
        <f t="shared" si="10"/>
        <v>69368675.599999994</v>
      </c>
      <c r="S22" s="485">
        <f t="shared" ref="S22" si="12">SUM(S12:S21)</f>
        <v>37256400</v>
      </c>
      <c r="T22" s="485">
        <f t="shared" si="10"/>
        <v>24368675.600000001</v>
      </c>
      <c r="U22" s="485">
        <f t="shared" ref="U22" si="13">SUM(U12:U21)</f>
        <v>27890120</v>
      </c>
      <c r="V22" s="485">
        <f t="shared" si="10"/>
        <v>24368675.600000001</v>
      </c>
      <c r="W22" s="485">
        <f t="shared" ref="W22" si="14">SUM(W12:W21)</f>
        <v>32560000</v>
      </c>
      <c r="X22" s="485">
        <f t="shared" si="10"/>
        <v>24368675.600000001</v>
      </c>
      <c r="Y22" s="485">
        <f t="shared" ref="Y22" si="15">SUM(Y12:Y21)</f>
        <v>85582700</v>
      </c>
      <c r="Z22" s="485">
        <f t="shared" si="10"/>
        <v>24368675.600000001</v>
      </c>
      <c r="AA22" s="485">
        <f t="shared" ref="AA22" si="16">SUM(AA12:AA21)</f>
        <v>19860500</v>
      </c>
      <c r="AB22" s="485">
        <f t="shared" si="10"/>
        <v>422424107.19999993</v>
      </c>
      <c r="AC22" s="485">
        <f t="shared" si="10"/>
        <v>464666517.91999996</v>
      </c>
      <c r="AD22" s="485">
        <f t="shared" si="10"/>
        <v>511133169.71199995</v>
      </c>
      <c r="AE22" s="485">
        <f t="shared" si="10"/>
        <v>562246486.6832</v>
      </c>
      <c r="AF22" s="575">
        <f t="shared" si="2"/>
        <v>335596573</v>
      </c>
    </row>
    <row r="23" spans="1:32" ht="18.399999999999999" customHeight="1" x14ac:dyDescent="0.2">
      <c r="A23" s="445">
        <v>1</v>
      </c>
      <c r="B23" s="464" t="s">
        <v>50</v>
      </c>
      <c r="C23" s="486" t="s">
        <v>51</v>
      </c>
      <c r="D23" s="487">
        <v>25000000</v>
      </c>
      <c r="E23" s="487">
        <v>11891185</v>
      </c>
      <c r="F23" s="487">
        <f>D23</f>
        <v>25000000</v>
      </c>
      <c r="G23" s="487">
        <v>40691964</v>
      </c>
      <c r="H23" s="487">
        <f>F23</f>
        <v>25000000</v>
      </c>
      <c r="I23" s="487"/>
      <c r="J23" s="487">
        <f>H23</f>
        <v>25000000</v>
      </c>
      <c r="K23" s="487">
        <f>3582588+33738878</f>
        <v>37321466</v>
      </c>
      <c r="L23" s="487">
        <f>J23</f>
        <v>25000000</v>
      </c>
      <c r="M23" s="487">
        <f>3120297+29728654</f>
        <v>32848951</v>
      </c>
      <c r="N23" s="487">
        <f>L23</f>
        <v>25000000</v>
      </c>
      <c r="O23" s="487">
        <f>3040986+29083381</f>
        <v>32124367</v>
      </c>
      <c r="P23" s="487">
        <f>N23</f>
        <v>25000000</v>
      </c>
      <c r="Q23" s="487">
        <v>33469411</v>
      </c>
      <c r="R23" s="487">
        <f t="shared" ref="R23:X23" si="17">P23</f>
        <v>25000000</v>
      </c>
      <c r="S23" s="487">
        <f t="shared" si="17"/>
        <v>33469411</v>
      </c>
      <c r="T23" s="487">
        <f t="shared" si="17"/>
        <v>25000000</v>
      </c>
      <c r="U23" s="487">
        <f t="shared" si="17"/>
        <v>33469411</v>
      </c>
      <c r="V23" s="487">
        <f t="shared" si="17"/>
        <v>25000000</v>
      </c>
      <c r="W23" s="487">
        <v>30679268</v>
      </c>
      <c r="X23" s="487">
        <f t="shared" si="17"/>
        <v>25000000</v>
      </c>
      <c r="Y23" s="487">
        <v>30517601</v>
      </c>
      <c r="Z23" s="487">
        <f t="shared" ref="Z23" si="18">X23</f>
        <v>25000000</v>
      </c>
      <c r="AA23" s="487">
        <v>31376911</v>
      </c>
      <c r="AB23" s="565">
        <f>Z23+X23+V23+T23+R23+P23+N23+L23+J23+H23+F23+D23</f>
        <v>300000000</v>
      </c>
      <c r="AC23" s="566">
        <f t="shared" ref="AC23:AE38" si="19">AB23*1.1</f>
        <v>330000000</v>
      </c>
      <c r="AD23" s="566">
        <f t="shared" si="19"/>
        <v>363000000</v>
      </c>
      <c r="AE23" s="566">
        <f t="shared" si="19"/>
        <v>399300000.00000006</v>
      </c>
      <c r="AF23" s="575">
        <f t="shared" si="2"/>
        <v>347859946</v>
      </c>
    </row>
    <row r="24" spans="1:32" ht="18.399999999999999" customHeight="1" x14ac:dyDescent="0.2">
      <c r="A24" s="445">
        <v>1</v>
      </c>
      <c r="B24" s="476" t="s">
        <v>39</v>
      </c>
      <c r="C24" s="474" t="s">
        <v>52</v>
      </c>
      <c r="D24" s="468">
        <f>+'AND 1'!D24</f>
        <v>0</v>
      </c>
      <c r="E24" s="468"/>
      <c r="F24" s="468">
        <f>+'AND 1'!F24</f>
        <v>0</v>
      </c>
      <c r="G24" s="468"/>
      <c r="H24" s="468">
        <f>+'AND 1'!H24</f>
        <v>0</v>
      </c>
      <c r="I24" s="468"/>
      <c r="J24" s="468">
        <f>+'AND 1'!J24</f>
        <v>25000000</v>
      </c>
      <c r="K24" s="468"/>
      <c r="L24" s="468">
        <f>+'AND 1'!L24</f>
        <v>0</v>
      </c>
      <c r="M24" s="468"/>
      <c r="N24" s="468">
        <f>+'AND 1'!N24</f>
        <v>0</v>
      </c>
      <c r="O24" s="468"/>
      <c r="P24" s="468">
        <f>+'AND 1'!P24</f>
        <v>0</v>
      </c>
      <c r="Q24" s="468"/>
      <c r="R24" s="468">
        <f>+'AND 1'!R24</f>
        <v>0</v>
      </c>
      <c r="S24" s="468"/>
      <c r="T24" s="468">
        <f>+'AND 1'!T24</f>
        <v>0</v>
      </c>
      <c r="U24" s="468"/>
      <c r="V24" s="468">
        <f>+'AND 1'!V24</f>
        <v>0</v>
      </c>
      <c r="W24" s="468"/>
      <c r="X24" s="468">
        <f>+'AND 1'!X24</f>
        <v>0</v>
      </c>
      <c r="Y24" s="468"/>
      <c r="Z24" s="468">
        <f>+'AND 1'!Z24</f>
        <v>0</v>
      </c>
      <c r="AA24" s="468"/>
      <c r="AB24" s="468">
        <f t="shared" ref="AB24:AB31" si="20">Z24+X24+V24++T24+R24+P24+N24+L24+J24+H24+F24+D24</f>
        <v>25000000</v>
      </c>
      <c r="AC24" s="560">
        <f t="shared" si="19"/>
        <v>27500000.000000004</v>
      </c>
      <c r="AD24" s="560">
        <f t="shared" si="19"/>
        <v>30250000.000000007</v>
      </c>
      <c r="AE24" s="560">
        <f t="shared" si="19"/>
        <v>33275000.000000011</v>
      </c>
      <c r="AF24" s="575">
        <f t="shared" si="2"/>
        <v>0</v>
      </c>
    </row>
    <row r="25" spans="1:32" ht="18.399999999999999" customHeight="1" x14ac:dyDescent="0.2">
      <c r="A25" s="445">
        <v>2</v>
      </c>
      <c r="B25" s="476" t="s">
        <v>53</v>
      </c>
      <c r="C25" s="474" t="s">
        <v>54</v>
      </c>
      <c r="D25" s="468">
        <f>+'AND 1'!D25</f>
        <v>0</v>
      </c>
      <c r="E25" s="468"/>
      <c r="F25" s="468">
        <f>+'AND 1'!F25</f>
        <v>0</v>
      </c>
      <c r="G25" s="468"/>
      <c r="H25" s="468">
        <f>+'AND 1'!H25</f>
        <v>0</v>
      </c>
      <c r="I25" s="468"/>
      <c r="J25" s="468">
        <f>+'AND 1'!J25</f>
        <v>0</v>
      </c>
      <c r="K25" s="468"/>
      <c r="L25" s="468">
        <f>+'AND 1'!L25</f>
        <v>0</v>
      </c>
      <c r="M25" s="468"/>
      <c r="N25" s="468">
        <f>+'AND 1'!N25</f>
        <v>0</v>
      </c>
      <c r="O25" s="468"/>
      <c r="P25" s="468">
        <f>+'AND 1'!P25</f>
        <v>0</v>
      </c>
      <c r="Q25" s="468"/>
      <c r="R25" s="468">
        <f>+'AND 1'!R25</f>
        <v>0</v>
      </c>
      <c r="S25" s="468"/>
      <c r="T25" s="468">
        <f>+'AND 1'!T25</f>
        <v>0</v>
      </c>
      <c r="U25" s="468"/>
      <c r="V25" s="468">
        <f>+'AND 1'!V25</f>
        <v>0</v>
      </c>
      <c r="W25" s="468"/>
      <c r="X25" s="468">
        <f>+'AND 1'!X25</f>
        <v>20000000</v>
      </c>
      <c r="Y25" s="468"/>
      <c r="Z25" s="468">
        <f>+'AND 1'!Z25</f>
        <v>20000000</v>
      </c>
      <c r="AA25" s="468"/>
      <c r="AB25" s="468">
        <f t="shared" si="20"/>
        <v>40000000</v>
      </c>
      <c r="AC25" s="560">
        <f t="shared" si="19"/>
        <v>44000000</v>
      </c>
      <c r="AD25" s="560">
        <f t="shared" si="19"/>
        <v>48400000.000000007</v>
      </c>
      <c r="AE25" s="560">
        <f t="shared" si="19"/>
        <v>53240000.000000015</v>
      </c>
      <c r="AF25" s="575">
        <f t="shared" si="2"/>
        <v>0</v>
      </c>
    </row>
    <row r="26" spans="1:32" ht="18.399999999999999" customHeight="1" x14ac:dyDescent="0.2">
      <c r="A26" s="445">
        <v>3</v>
      </c>
      <c r="B26" s="476" t="s">
        <v>55</v>
      </c>
      <c r="C26" s="474" t="s">
        <v>56</v>
      </c>
      <c r="D26" s="468">
        <f>+'AND 1'!D26</f>
        <v>0</v>
      </c>
      <c r="E26" s="468"/>
      <c r="F26" s="468">
        <f>+'AND 1'!F26</f>
        <v>0</v>
      </c>
      <c r="G26" s="468"/>
      <c r="H26" s="468">
        <f>+'AND 1'!H26</f>
        <v>0</v>
      </c>
      <c r="I26" s="468"/>
      <c r="J26" s="468">
        <f>+'AND 1'!J26</f>
        <v>0</v>
      </c>
      <c r="K26" s="468"/>
      <c r="L26" s="468">
        <f>+'AND 1'!L26</f>
        <v>0</v>
      </c>
      <c r="M26" s="468"/>
      <c r="N26" s="468">
        <f>+'AND 1'!N26</f>
        <v>0</v>
      </c>
      <c r="O26" s="468"/>
      <c r="P26" s="468">
        <f>+'AND 1'!P26</f>
        <v>0</v>
      </c>
      <c r="Q26" s="468"/>
      <c r="R26" s="468">
        <f>+'AND 1'!R26</f>
        <v>0</v>
      </c>
      <c r="S26" s="468"/>
      <c r="T26" s="468">
        <f>+'AND 1'!T26</f>
        <v>0</v>
      </c>
      <c r="U26" s="468"/>
      <c r="V26" s="468">
        <f>+'AND 1'!V26</f>
        <v>5000000</v>
      </c>
      <c r="W26" s="468"/>
      <c r="X26" s="468">
        <f>+'AND 1'!X26</f>
        <v>0</v>
      </c>
      <c r="Y26" s="468"/>
      <c r="Z26" s="468">
        <f>+'AND 1'!Z26</f>
        <v>0</v>
      </c>
      <c r="AA26" s="468"/>
      <c r="AB26" s="468">
        <f t="shared" si="20"/>
        <v>5000000</v>
      </c>
      <c r="AC26" s="560">
        <f t="shared" si="19"/>
        <v>5500000</v>
      </c>
      <c r="AD26" s="560">
        <f t="shared" si="19"/>
        <v>6050000.0000000009</v>
      </c>
      <c r="AE26" s="560">
        <f t="shared" si="19"/>
        <v>6655000.0000000019</v>
      </c>
      <c r="AF26" s="575">
        <f t="shared" si="2"/>
        <v>0</v>
      </c>
    </row>
    <row r="27" spans="1:32" ht="18.399999999999999" customHeight="1" x14ac:dyDescent="0.2">
      <c r="A27" s="445">
        <v>4</v>
      </c>
      <c r="B27" s="464" t="s">
        <v>57</v>
      </c>
      <c r="C27" s="474" t="s">
        <v>58</v>
      </c>
      <c r="D27" s="468">
        <f>+'AND 1'!D27</f>
        <v>0</v>
      </c>
      <c r="E27" s="468"/>
      <c r="F27" s="468">
        <f>+'AND 1'!F27</f>
        <v>0</v>
      </c>
      <c r="G27" s="468"/>
      <c r="H27" s="468">
        <f>+'AND 1'!H27</f>
        <v>500000</v>
      </c>
      <c r="I27" s="468">
        <v>500000</v>
      </c>
      <c r="J27" s="468">
        <f>+'AND 1'!J27</f>
        <v>0</v>
      </c>
      <c r="K27" s="468"/>
      <c r="L27" s="468">
        <f>+'AND 1'!L27</f>
        <v>0</v>
      </c>
      <c r="M27" s="468"/>
      <c r="N27" s="468">
        <f>+'AND 1'!N27</f>
        <v>500000</v>
      </c>
      <c r="O27" s="468"/>
      <c r="P27" s="468">
        <f>+'AND 1'!P27</f>
        <v>0</v>
      </c>
      <c r="Q27" s="468"/>
      <c r="R27" s="468">
        <f>+'AND 1'!R27</f>
        <v>0</v>
      </c>
      <c r="S27" s="468"/>
      <c r="T27" s="468">
        <f>+'AND 1'!T27</f>
        <v>500000</v>
      </c>
      <c r="U27" s="468"/>
      <c r="V27" s="468">
        <f>+'AND 1'!V27</f>
        <v>0</v>
      </c>
      <c r="W27" s="468"/>
      <c r="X27" s="468">
        <f>+'AND 1'!X27</f>
        <v>0</v>
      </c>
      <c r="Y27" s="468"/>
      <c r="Z27" s="468">
        <f>+'AND 1'!Z27</f>
        <v>500000</v>
      </c>
      <c r="AA27" s="468"/>
      <c r="AB27" s="468">
        <f t="shared" si="20"/>
        <v>2000000</v>
      </c>
      <c r="AC27" s="560">
        <f t="shared" si="19"/>
        <v>2200000</v>
      </c>
      <c r="AD27" s="560">
        <f t="shared" si="19"/>
        <v>2420000</v>
      </c>
      <c r="AE27" s="560">
        <f t="shared" si="19"/>
        <v>2662000</v>
      </c>
      <c r="AF27" s="575">
        <f t="shared" si="2"/>
        <v>500000</v>
      </c>
    </row>
    <row r="28" spans="1:32" ht="18.399999999999999" customHeight="1" x14ac:dyDescent="0.2">
      <c r="A28" s="445">
        <v>5</v>
      </c>
      <c r="B28" s="464" t="s">
        <v>57</v>
      </c>
      <c r="C28" s="474" t="s">
        <v>59</v>
      </c>
      <c r="D28" s="468">
        <f>+'AND 1'!D28</f>
        <v>0</v>
      </c>
      <c r="E28" s="468"/>
      <c r="F28" s="468">
        <f>+'AND 1'!F28</f>
        <v>0</v>
      </c>
      <c r="G28" s="468"/>
      <c r="H28" s="468">
        <f>+'AND 1'!H28</f>
        <v>0</v>
      </c>
      <c r="I28" s="468"/>
      <c r="J28" s="468">
        <f>+'AND 1'!J28</f>
        <v>0</v>
      </c>
      <c r="K28" s="468"/>
      <c r="L28" s="468">
        <f>+'AND 1'!L28</f>
        <v>0</v>
      </c>
      <c r="M28" s="468"/>
      <c r="N28" s="468">
        <f>+'AND 1'!N28</f>
        <v>0</v>
      </c>
      <c r="O28" s="468"/>
      <c r="P28" s="468">
        <f>+'AND 1'!P28</f>
        <v>0</v>
      </c>
      <c r="Q28" s="468"/>
      <c r="R28" s="468">
        <f>+'AND 1'!R28</f>
        <v>0</v>
      </c>
      <c r="S28" s="468"/>
      <c r="T28" s="468">
        <f>+'AND 1'!T28</f>
        <v>0</v>
      </c>
      <c r="U28" s="468"/>
      <c r="V28" s="468">
        <f>+'AND 1'!V28</f>
        <v>0</v>
      </c>
      <c r="W28" s="468"/>
      <c r="X28" s="468">
        <f>+'AND 1'!X28</f>
        <v>0</v>
      </c>
      <c r="Y28" s="468"/>
      <c r="Z28" s="468">
        <f>+'AND 1'!Z28</f>
        <v>0</v>
      </c>
      <c r="AA28" s="468"/>
      <c r="AB28" s="468">
        <f t="shared" si="20"/>
        <v>0</v>
      </c>
      <c r="AC28" s="560">
        <f t="shared" si="19"/>
        <v>0</v>
      </c>
      <c r="AD28" s="560">
        <f t="shared" si="19"/>
        <v>0</v>
      </c>
      <c r="AE28" s="560">
        <f t="shared" si="19"/>
        <v>0</v>
      </c>
      <c r="AF28" s="575">
        <f t="shared" si="2"/>
        <v>0</v>
      </c>
    </row>
    <row r="29" spans="1:32" ht="18.399999999999999" customHeight="1" x14ac:dyDescent="0.2">
      <c r="A29" s="445">
        <v>6</v>
      </c>
      <c r="B29" s="464" t="s">
        <v>57</v>
      </c>
      <c r="C29" s="474" t="s">
        <v>60</v>
      </c>
      <c r="D29" s="468">
        <f>+'AND 1'!D29</f>
        <v>100000</v>
      </c>
      <c r="E29" s="468"/>
      <c r="F29" s="468">
        <f>+'AND 1'!F29</f>
        <v>100000</v>
      </c>
      <c r="G29" s="468"/>
      <c r="H29" s="468">
        <f>+'AND 1'!H29</f>
        <v>100000</v>
      </c>
      <c r="I29" s="468"/>
      <c r="J29" s="468">
        <f>+'AND 1'!J29</f>
        <v>100000</v>
      </c>
      <c r="K29" s="468"/>
      <c r="L29" s="468">
        <f>+'AND 1'!L29</f>
        <v>100000</v>
      </c>
      <c r="M29" s="468"/>
      <c r="N29" s="468">
        <f>+'AND 1'!N29</f>
        <v>100000</v>
      </c>
      <c r="O29" s="468"/>
      <c r="P29" s="468">
        <f>+'AND 1'!P29</f>
        <v>100000</v>
      </c>
      <c r="Q29" s="468"/>
      <c r="R29" s="468">
        <f>+'AND 1'!R29</f>
        <v>100000</v>
      </c>
      <c r="S29" s="468"/>
      <c r="T29" s="468">
        <f>+'AND 1'!T29</f>
        <v>100000</v>
      </c>
      <c r="U29" s="468"/>
      <c r="V29" s="468">
        <f>+'AND 1'!V29</f>
        <v>100000</v>
      </c>
      <c r="W29" s="468"/>
      <c r="X29" s="468">
        <f>+'AND 1'!X29</f>
        <v>100000</v>
      </c>
      <c r="Y29" s="468"/>
      <c r="Z29" s="468">
        <f>+'AND 1'!Z29</f>
        <v>100000</v>
      </c>
      <c r="AA29" s="468"/>
      <c r="AB29" s="468">
        <f t="shared" si="20"/>
        <v>1200000</v>
      </c>
      <c r="AC29" s="560">
        <f t="shared" si="19"/>
        <v>1320000</v>
      </c>
      <c r="AD29" s="560">
        <f t="shared" si="19"/>
        <v>1452000.0000000002</v>
      </c>
      <c r="AE29" s="560">
        <f t="shared" si="19"/>
        <v>1597200.0000000005</v>
      </c>
      <c r="AF29" s="575">
        <f t="shared" si="2"/>
        <v>0</v>
      </c>
    </row>
    <row r="30" spans="1:32" ht="18.399999999999999" customHeight="1" x14ac:dyDescent="0.2">
      <c r="A30" s="445">
        <v>7</v>
      </c>
      <c r="B30" s="464" t="s">
        <v>36</v>
      </c>
      <c r="C30" s="474" t="s">
        <v>61</v>
      </c>
      <c r="D30" s="468">
        <f>+'AND 1'!D30</f>
        <v>0</v>
      </c>
      <c r="E30" s="468"/>
      <c r="F30" s="468">
        <f>+'AND 1'!F30</f>
        <v>0</v>
      </c>
      <c r="G30" s="468"/>
      <c r="H30" s="468">
        <f>+'AND 1'!H30</f>
        <v>0</v>
      </c>
      <c r="I30" s="468"/>
      <c r="J30" s="468">
        <f>+'AND 1'!J30</f>
        <v>0</v>
      </c>
      <c r="K30" s="468"/>
      <c r="L30" s="468">
        <f>+'AND 1'!L30</f>
        <v>0</v>
      </c>
      <c r="M30" s="468"/>
      <c r="N30" s="468">
        <f>+'AND 1'!N30</f>
        <v>0</v>
      </c>
      <c r="O30" s="468"/>
      <c r="P30" s="468">
        <f>+'AND 1'!P30</f>
        <v>0</v>
      </c>
      <c r="Q30" s="468"/>
      <c r="R30" s="468">
        <f>+'AND 1'!R30</f>
        <v>1500000</v>
      </c>
      <c r="S30" s="468"/>
      <c r="T30" s="468">
        <f>+'AND 1'!T30</f>
        <v>0</v>
      </c>
      <c r="U30" s="468"/>
      <c r="V30" s="468">
        <f>+'AND 1'!V30</f>
        <v>0</v>
      </c>
      <c r="W30" s="468"/>
      <c r="X30" s="468">
        <f>+'AND 1'!X30</f>
        <v>0</v>
      </c>
      <c r="Y30" s="468"/>
      <c r="Z30" s="468">
        <f>+'AND 1'!Z30</f>
        <v>0</v>
      </c>
      <c r="AA30" s="468"/>
      <c r="AB30" s="468">
        <f t="shared" si="20"/>
        <v>1500000</v>
      </c>
      <c r="AC30" s="560">
        <f t="shared" si="19"/>
        <v>1650000.0000000002</v>
      </c>
      <c r="AD30" s="560">
        <f t="shared" si="19"/>
        <v>1815000.0000000005</v>
      </c>
      <c r="AE30" s="560">
        <f t="shared" si="19"/>
        <v>1996500.0000000007</v>
      </c>
      <c r="AF30" s="575">
        <f t="shared" si="2"/>
        <v>0</v>
      </c>
    </row>
    <row r="31" spans="1:32" s="57" customFormat="1" ht="37.9" customHeight="1" x14ac:dyDescent="0.2">
      <c r="A31" s="488">
        <v>8</v>
      </c>
      <c r="B31" s="489" t="s">
        <v>36</v>
      </c>
      <c r="C31" s="490" t="s">
        <v>214</v>
      </c>
      <c r="D31" s="468">
        <f>+'AND 1'!D31</f>
        <v>1500000</v>
      </c>
      <c r="E31" s="468"/>
      <c r="F31" s="468">
        <f>+'AND 1'!F31</f>
        <v>1500000</v>
      </c>
      <c r="G31" s="468"/>
      <c r="H31" s="468">
        <f>+'AND 1'!H31</f>
        <v>1500000</v>
      </c>
      <c r="I31" s="468"/>
      <c r="J31" s="468">
        <f>+'AND 1'!J31</f>
        <v>1500000</v>
      </c>
      <c r="K31" s="468"/>
      <c r="L31" s="468">
        <f>+'AND 1'!L31</f>
        <v>1500000</v>
      </c>
      <c r="M31" s="468"/>
      <c r="N31" s="468">
        <f>+'AND 1'!N31</f>
        <v>3000000</v>
      </c>
      <c r="O31" s="468"/>
      <c r="P31" s="468">
        <f>+'AND 1'!P31</f>
        <v>1500000</v>
      </c>
      <c r="Q31" s="468"/>
      <c r="R31" s="468">
        <f>+'AND 1'!R31</f>
        <v>1500000</v>
      </c>
      <c r="S31" s="468"/>
      <c r="T31" s="468">
        <f>+'AND 1'!T31</f>
        <v>1500000</v>
      </c>
      <c r="U31" s="468"/>
      <c r="V31" s="468">
        <f>+'AND 1'!V31</f>
        <v>1500000</v>
      </c>
      <c r="W31" s="468"/>
      <c r="X31" s="468">
        <f>+'AND 1'!X31</f>
        <v>1500000</v>
      </c>
      <c r="Y31" s="468"/>
      <c r="Z31" s="468">
        <f>+'AND 1'!Z31</f>
        <v>1500000</v>
      </c>
      <c r="AA31" s="468"/>
      <c r="AB31" s="491">
        <f t="shared" si="20"/>
        <v>19500000</v>
      </c>
      <c r="AC31" s="560">
        <f t="shared" si="19"/>
        <v>21450000</v>
      </c>
      <c r="AD31" s="560">
        <f t="shared" si="19"/>
        <v>23595000.000000004</v>
      </c>
      <c r="AE31" s="560">
        <f t="shared" si="19"/>
        <v>25954500.000000007</v>
      </c>
      <c r="AF31" s="575">
        <f t="shared" si="2"/>
        <v>0</v>
      </c>
    </row>
    <row r="32" spans="1:32" s="2" customFormat="1" ht="18.399999999999999" customHeight="1" x14ac:dyDescent="0.2">
      <c r="A32" s="493"/>
      <c r="B32" s="444"/>
      <c r="C32" s="486" t="s">
        <v>63</v>
      </c>
      <c r="D32" s="494">
        <f t="shared" ref="D32:I32" si="21">SUM(D24:D31)</f>
        <v>1600000</v>
      </c>
      <c r="E32" s="494">
        <f t="shared" si="21"/>
        <v>0</v>
      </c>
      <c r="F32" s="494">
        <f t="shared" si="21"/>
        <v>1600000</v>
      </c>
      <c r="G32" s="494">
        <f t="shared" si="21"/>
        <v>0</v>
      </c>
      <c r="H32" s="494">
        <f t="shared" si="21"/>
        <v>2100000</v>
      </c>
      <c r="I32" s="494">
        <f t="shared" si="21"/>
        <v>500000</v>
      </c>
      <c r="J32" s="494">
        <f t="shared" ref="J32:AE32" si="22">SUM(J24:J31)</f>
        <v>26600000</v>
      </c>
      <c r="K32" s="494">
        <f t="shared" si="22"/>
        <v>0</v>
      </c>
      <c r="L32" s="494">
        <f t="shared" si="22"/>
        <v>1600000</v>
      </c>
      <c r="M32" s="494">
        <f t="shared" si="22"/>
        <v>0</v>
      </c>
      <c r="N32" s="494">
        <f t="shared" si="22"/>
        <v>3600000</v>
      </c>
      <c r="O32" s="494">
        <f t="shared" si="22"/>
        <v>0</v>
      </c>
      <c r="P32" s="494">
        <f t="shared" si="22"/>
        <v>1600000</v>
      </c>
      <c r="Q32" s="494">
        <f t="shared" si="22"/>
        <v>0</v>
      </c>
      <c r="R32" s="494">
        <f t="shared" si="22"/>
        <v>3100000</v>
      </c>
      <c r="S32" s="494">
        <f t="shared" si="22"/>
        <v>0</v>
      </c>
      <c r="T32" s="494">
        <f t="shared" si="22"/>
        <v>2100000</v>
      </c>
      <c r="U32" s="494">
        <f t="shared" si="22"/>
        <v>0</v>
      </c>
      <c r="V32" s="494">
        <f t="shared" si="22"/>
        <v>6600000</v>
      </c>
      <c r="W32" s="494">
        <f t="shared" si="22"/>
        <v>0</v>
      </c>
      <c r="X32" s="494">
        <f t="shared" si="22"/>
        <v>21600000</v>
      </c>
      <c r="Y32" s="494">
        <f t="shared" si="22"/>
        <v>0</v>
      </c>
      <c r="Z32" s="494">
        <f t="shared" si="22"/>
        <v>22100000</v>
      </c>
      <c r="AA32" s="494">
        <f t="shared" si="22"/>
        <v>0</v>
      </c>
      <c r="AB32" s="494">
        <f t="shared" si="22"/>
        <v>94200000</v>
      </c>
      <c r="AC32" s="494">
        <f t="shared" si="22"/>
        <v>103620000</v>
      </c>
      <c r="AD32" s="494">
        <f t="shared" si="22"/>
        <v>113982000.00000001</v>
      </c>
      <c r="AE32" s="494">
        <f t="shared" si="22"/>
        <v>125380200.00000003</v>
      </c>
      <c r="AF32" s="575">
        <f t="shared" si="2"/>
        <v>500000</v>
      </c>
    </row>
    <row r="33" spans="1:32" ht="18.399999999999999" customHeight="1" x14ac:dyDescent="0.2">
      <c r="A33" s="445">
        <v>1</v>
      </c>
      <c r="B33" s="464" t="s">
        <v>64</v>
      </c>
      <c r="C33" s="475" t="s">
        <v>65</v>
      </c>
      <c r="D33" s="468">
        <f>+'AND 1'!D33</f>
        <v>4500000</v>
      </c>
      <c r="E33" s="468">
        <v>2347970.5699999998</v>
      </c>
      <c r="F33" s="468">
        <f>+'AND 1'!F33</f>
        <v>4500000</v>
      </c>
      <c r="G33" s="468">
        <v>2538774.1799999997</v>
      </c>
      <c r="H33" s="468">
        <f>+'AND 1'!H33</f>
        <v>4500000</v>
      </c>
      <c r="I33" s="468">
        <v>2518226.17</v>
      </c>
      <c r="J33" s="468">
        <f>+'AND 1'!J33</f>
        <v>4500000</v>
      </c>
      <c r="K33" s="468">
        <v>3897859</v>
      </c>
      <c r="L33" s="468">
        <f>+'AND 1'!L33</f>
        <v>4500000</v>
      </c>
      <c r="M33" s="468">
        <v>2134067</v>
      </c>
      <c r="N33" s="468">
        <f>+'AND 1'!N33</f>
        <v>4500000</v>
      </c>
      <c r="O33" s="468">
        <v>1373774</v>
      </c>
      <c r="P33" s="468">
        <f>+'AND 1'!P33</f>
        <v>4500000</v>
      </c>
      <c r="Q33" s="468">
        <v>2400600</v>
      </c>
      <c r="R33" s="468">
        <f>+'AND 1'!R33</f>
        <v>4500000</v>
      </c>
      <c r="S33" s="468">
        <v>1200330</v>
      </c>
      <c r="T33" s="468">
        <f>+'AND 1'!T33</f>
        <v>4500000</v>
      </c>
      <c r="U33" s="468">
        <v>2890600</v>
      </c>
      <c r="V33" s="468">
        <f>+'AND 1'!V33</f>
        <v>4500000</v>
      </c>
      <c r="W33" s="468">
        <v>8945000</v>
      </c>
      <c r="X33" s="468">
        <f>+'AND 1'!X33</f>
        <v>4500000</v>
      </c>
      <c r="Y33" s="468">
        <v>12345600</v>
      </c>
      <c r="Z33" s="468">
        <f>+'AND 1'!Z33</f>
        <v>4500000</v>
      </c>
      <c r="AA33" s="468">
        <v>17891300</v>
      </c>
      <c r="AB33" s="468">
        <f t="shared" ref="AB33:AB43" si="23">Z33+X33+V33++T33+R33+P33+N33+L33+J33+H33+F33+D33</f>
        <v>54000000</v>
      </c>
      <c r="AC33" s="560">
        <f t="shared" si="19"/>
        <v>59400000.000000007</v>
      </c>
      <c r="AD33" s="560">
        <f t="shared" si="19"/>
        <v>65340000.000000015</v>
      </c>
      <c r="AE33" s="560">
        <f t="shared" si="19"/>
        <v>71874000.000000015</v>
      </c>
      <c r="AF33" s="575">
        <f>E33+G33+I33+K33+M33+O33+Q33+S33+U33+W33+Y33+AA33</f>
        <v>60484100.920000002</v>
      </c>
    </row>
    <row r="34" spans="1:32" ht="18.399999999999999" customHeight="1" x14ac:dyDescent="0.2">
      <c r="A34" s="445">
        <v>2</v>
      </c>
      <c r="B34" s="464" t="s">
        <v>66</v>
      </c>
      <c r="C34" s="475" t="s">
        <v>215</v>
      </c>
      <c r="D34" s="468">
        <f>+'AND 1'!D34</f>
        <v>1000000</v>
      </c>
      <c r="E34" s="468"/>
      <c r="F34" s="468">
        <f>+'AND 1'!F34</f>
        <v>1000000</v>
      </c>
      <c r="G34" s="468"/>
      <c r="H34" s="468">
        <f>+'AND 1'!H34</f>
        <v>1000000</v>
      </c>
      <c r="I34" s="468"/>
      <c r="J34" s="468">
        <f>+'AND 1'!J34</f>
        <v>1000000</v>
      </c>
      <c r="K34" s="468"/>
      <c r="L34" s="468">
        <f>+'AND 1'!L34</f>
        <v>1000000</v>
      </c>
      <c r="M34" s="468"/>
      <c r="N34" s="468">
        <f>+'AND 1'!N34</f>
        <v>1000000</v>
      </c>
      <c r="O34" s="468"/>
      <c r="P34" s="468">
        <f>+'AND 1'!P34</f>
        <v>1000000</v>
      </c>
      <c r="Q34" s="468"/>
      <c r="R34" s="468">
        <f>+'AND 1'!R34</f>
        <v>1000000</v>
      </c>
      <c r="S34" s="468"/>
      <c r="T34" s="468">
        <f>+'AND 1'!T34</f>
        <v>1000000</v>
      </c>
      <c r="U34" s="468"/>
      <c r="V34" s="468">
        <f>+'AND 1'!V34</f>
        <v>1000000</v>
      </c>
      <c r="W34" s="468"/>
      <c r="X34" s="468">
        <f>+'AND 1'!X34</f>
        <v>1000000</v>
      </c>
      <c r="Y34" s="468"/>
      <c r="Z34" s="468">
        <f>+'AND 1'!Z34</f>
        <v>1000000</v>
      </c>
      <c r="AA34" s="468"/>
      <c r="AB34" s="468">
        <f t="shared" si="23"/>
        <v>12000000</v>
      </c>
      <c r="AC34" s="560">
        <f t="shared" si="19"/>
        <v>13200000.000000002</v>
      </c>
      <c r="AD34" s="560">
        <f t="shared" si="19"/>
        <v>14520000.000000004</v>
      </c>
      <c r="AE34" s="560">
        <f t="shared" si="19"/>
        <v>15972000.000000006</v>
      </c>
      <c r="AF34" s="575">
        <f t="shared" si="2"/>
        <v>0</v>
      </c>
    </row>
    <row r="35" spans="1:32" ht="18.399999999999999" customHeight="1" x14ac:dyDescent="0.2">
      <c r="A35" s="445">
        <v>3</v>
      </c>
      <c r="B35" s="464" t="s">
        <v>55</v>
      </c>
      <c r="C35" s="475" t="s">
        <v>68</v>
      </c>
      <c r="D35" s="468">
        <f>+'AND 1'!D35</f>
        <v>1000000</v>
      </c>
      <c r="E35" s="468">
        <v>3099000</v>
      </c>
      <c r="F35" s="468">
        <f>+'AND 1'!F35</f>
        <v>1000000</v>
      </c>
      <c r="G35" s="468">
        <v>3928680</v>
      </c>
      <c r="H35" s="468">
        <f>+'AND 1'!H35</f>
        <v>1000000</v>
      </c>
      <c r="I35" s="468">
        <v>3153000</v>
      </c>
      <c r="J35" s="468">
        <f>+'AND 1'!J35</f>
        <v>1000000</v>
      </c>
      <c r="K35" s="468">
        <v>4408850</v>
      </c>
      <c r="L35" s="468">
        <f>+'AND 1'!L35</f>
        <v>1000000</v>
      </c>
      <c r="M35" s="468">
        <v>3804540</v>
      </c>
      <c r="N35" s="468">
        <f>+'AND 1'!N35</f>
        <v>1000000</v>
      </c>
      <c r="O35" s="468">
        <v>4235250</v>
      </c>
      <c r="P35" s="468">
        <f>+'AND 1'!P35</f>
        <v>1000000</v>
      </c>
      <c r="Q35" s="468">
        <v>5780600</v>
      </c>
      <c r="R35" s="468">
        <f>+'AND 1'!R35</f>
        <v>1000000</v>
      </c>
      <c r="S35" s="468">
        <v>3548000</v>
      </c>
      <c r="T35" s="468">
        <f>+'AND 1'!T35</f>
        <v>1000000</v>
      </c>
      <c r="U35" s="468">
        <v>9500740</v>
      </c>
      <c r="V35" s="468">
        <f>+'AND 1'!V35</f>
        <v>1000000</v>
      </c>
      <c r="W35" s="468">
        <v>3028050</v>
      </c>
      <c r="X35" s="468">
        <f>+'AND 1'!X35</f>
        <v>1000000</v>
      </c>
      <c r="Y35" s="468">
        <v>3610440</v>
      </c>
      <c r="Z35" s="468">
        <f>+'AND 1'!Z35</f>
        <v>1000000</v>
      </c>
      <c r="AA35" s="468">
        <v>4143540</v>
      </c>
      <c r="AB35" s="468">
        <f t="shared" si="23"/>
        <v>12000000</v>
      </c>
      <c r="AC35" s="560">
        <f t="shared" si="19"/>
        <v>13200000.000000002</v>
      </c>
      <c r="AD35" s="560">
        <f t="shared" si="19"/>
        <v>14520000.000000004</v>
      </c>
      <c r="AE35" s="560">
        <f t="shared" si="19"/>
        <v>15972000.000000006</v>
      </c>
      <c r="AF35" s="575">
        <f t="shared" si="2"/>
        <v>52240690</v>
      </c>
    </row>
    <row r="36" spans="1:32" ht="18.399999999999999" customHeight="1" x14ac:dyDescent="0.2">
      <c r="A36" s="445">
        <v>4</v>
      </c>
      <c r="B36" s="464" t="s">
        <v>69</v>
      </c>
      <c r="C36" s="475" t="s">
        <v>70</v>
      </c>
      <c r="D36" s="468">
        <f>+'AND 1'!D36</f>
        <v>5500000</v>
      </c>
      <c r="E36" s="468">
        <v>13179500</v>
      </c>
      <c r="F36" s="468">
        <f>+'AND 1'!F36</f>
        <v>5500000</v>
      </c>
      <c r="G36" s="468">
        <v>11280000</v>
      </c>
      <c r="H36" s="468">
        <f>+'AND 1'!H36</f>
        <v>5500000</v>
      </c>
      <c r="I36" s="468">
        <v>5904100</v>
      </c>
      <c r="J36" s="468">
        <f>+'AND 1'!J36</f>
        <v>5500000</v>
      </c>
      <c r="K36" s="468">
        <v>3056910</v>
      </c>
      <c r="L36" s="468">
        <f>+'AND 1'!L36</f>
        <v>5500000</v>
      </c>
      <c r="M36" s="468">
        <v>5773870</v>
      </c>
      <c r="N36" s="468">
        <f>+'AND 1'!N36</f>
        <v>5500000</v>
      </c>
      <c r="O36" s="468">
        <v>7260000</v>
      </c>
      <c r="P36" s="468">
        <f>+'AND 1'!P36</f>
        <v>5500000</v>
      </c>
      <c r="Q36" s="468">
        <v>6200000</v>
      </c>
      <c r="R36" s="468">
        <f>+'AND 1'!R36</f>
        <v>5500000</v>
      </c>
      <c r="S36" s="468">
        <v>5900200</v>
      </c>
      <c r="T36" s="468">
        <f>+'AND 1'!T36</f>
        <v>5500000</v>
      </c>
      <c r="U36" s="468">
        <v>6150300</v>
      </c>
      <c r="V36" s="468">
        <f>+'AND 1'!V36</f>
        <v>5500000</v>
      </c>
      <c r="W36" s="468">
        <v>9876500</v>
      </c>
      <c r="X36" s="468">
        <f>+'AND 1'!X36</f>
        <v>5500000</v>
      </c>
      <c r="Y36" s="468">
        <v>13756100</v>
      </c>
      <c r="Z36" s="468">
        <f>+'AND 1'!Z36</f>
        <v>5500000</v>
      </c>
      <c r="AA36" s="468">
        <v>10435200</v>
      </c>
      <c r="AB36" s="468">
        <f t="shared" si="23"/>
        <v>66000000</v>
      </c>
      <c r="AC36" s="560">
        <f t="shared" si="19"/>
        <v>72600000</v>
      </c>
      <c r="AD36" s="560">
        <f t="shared" si="19"/>
        <v>79860000</v>
      </c>
      <c r="AE36" s="560">
        <f t="shared" si="19"/>
        <v>87846000</v>
      </c>
      <c r="AF36" s="575">
        <f t="shared" si="2"/>
        <v>98772680</v>
      </c>
    </row>
    <row r="37" spans="1:32" ht="18.399999999999999" customHeight="1" x14ac:dyDescent="0.2">
      <c r="A37" s="445">
        <v>5</v>
      </c>
      <c r="B37" s="464" t="s">
        <v>71</v>
      </c>
      <c r="C37" s="475" t="s">
        <v>72</v>
      </c>
      <c r="D37" s="468">
        <f>+'AND 1'!D37</f>
        <v>4500000</v>
      </c>
      <c r="E37" s="468">
        <v>2484162</v>
      </c>
      <c r="F37" s="468">
        <f>+'AND 1'!F37</f>
        <v>4500000</v>
      </c>
      <c r="G37" s="468">
        <v>2484162</v>
      </c>
      <c r="H37" s="468">
        <f>+'AND 1'!H37</f>
        <v>4500000</v>
      </c>
      <c r="I37" s="468"/>
      <c r="J37" s="468">
        <f>+'AND 1'!J37</f>
        <v>4500000</v>
      </c>
      <c r="K37" s="468">
        <v>1174634</v>
      </c>
      <c r="L37" s="468">
        <f>+'AND 1'!L37</f>
        <v>4500000</v>
      </c>
      <c r="M37" s="468">
        <v>2032107</v>
      </c>
      <c r="N37" s="468">
        <f>+'AND 1'!N37</f>
        <v>4500000</v>
      </c>
      <c r="O37" s="468">
        <v>2098438</v>
      </c>
      <c r="P37" s="468">
        <f>+'AND 1'!P37</f>
        <v>4500000</v>
      </c>
      <c r="Q37" s="468">
        <v>1430200</v>
      </c>
      <c r="R37" s="468">
        <f>+'AND 1'!R37</f>
        <v>4500000</v>
      </c>
      <c r="S37" s="468">
        <v>1375060</v>
      </c>
      <c r="T37" s="468">
        <f>+'AND 1'!T37</f>
        <v>4500000</v>
      </c>
      <c r="U37" s="468">
        <v>2485300</v>
      </c>
      <c r="V37" s="468">
        <f>+'AND 1'!V37</f>
        <v>4500000</v>
      </c>
      <c r="W37" s="468">
        <v>1234600</v>
      </c>
      <c r="X37" s="468">
        <f>+'AND 1'!X37</f>
        <v>4500000</v>
      </c>
      <c r="Y37" s="468">
        <v>1117800</v>
      </c>
      <c r="Z37" s="468">
        <f>+'AND 1'!Z37</f>
        <v>4500000</v>
      </c>
      <c r="AA37" s="468">
        <v>1450600</v>
      </c>
      <c r="AB37" s="468">
        <f t="shared" si="23"/>
        <v>54000000</v>
      </c>
      <c r="AC37" s="560">
        <f t="shared" si="19"/>
        <v>59400000.000000007</v>
      </c>
      <c r="AD37" s="560">
        <f t="shared" si="19"/>
        <v>65340000.000000015</v>
      </c>
      <c r="AE37" s="560">
        <f t="shared" si="19"/>
        <v>71874000.000000015</v>
      </c>
      <c r="AF37" s="575">
        <f t="shared" si="2"/>
        <v>19367063</v>
      </c>
    </row>
    <row r="38" spans="1:32" ht="18.399999999999999" customHeight="1" x14ac:dyDescent="0.2">
      <c r="A38" s="445">
        <v>6</v>
      </c>
      <c r="B38" s="464" t="s">
        <v>73</v>
      </c>
      <c r="C38" s="475" t="s">
        <v>74</v>
      </c>
      <c r="D38" s="468">
        <f>+'AND 1'!D38</f>
        <v>1000000</v>
      </c>
      <c r="E38" s="468">
        <v>3623423.08</v>
      </c>
      <c r="F38" s="468">
        <f>+'AND 1'!F38</f>
        <v>1000000</v>
      </c>
      <c r="G38" s="468">
        <v>737805.78</v>
      </c>
      <c r="H38" s="468">
        <f>+'AND 1'!H38</f>
        <v>1000000</v>
      </c>
      <c r="I38" s="468">
        <v>1123338.5699999998</v>
      </c>
      <c r="J38" s="468">
        <f>+'AND 1'!J38</f>
        <v>1000000</v>
      </c>
      <c r="K38" s="468">
        <v>797191</v>
      </c>
      <c r="L38" s="468">
        <f>+'AND 1'!L38</f>
        <v>1000000</v>
      </c>
      <c r="M38" s="468">
        <v>1159231</v>
      </c>
      <c r="N38" s="468">
        <f>+'AND 1'!N38</f>
        <v>1000000</v>
      </c>
      <c r="O38" s="468">
        <v>864338</v>
      </c>
      <c r="P38" s="468">
        <f>+'AND 1'!P38</f>
        <v>1000000</v>
      </c>
      <c r="Q38" s="468">
        <v>3200150</v>
      </c>
      <c r="R38" s="468">
        <f>+'AND 1'!R38</f>
        <v>1000000</v>
      </c>
      <c r="S38" s="468">
        <v>4892500</v>
      </c>
      <c r="T38" s="468">
        <f>+'AND 1'!T38</f>
        <v>1000000</v>
      </c>
      <c r="U38" s="468">
        <v>2786200</v>
      </c>
      <c r="V38" s="468">
        <f>+'AND 1'!V38</f>
        <v>1000000</v>
      </c>
      <c r="W38" s="468">
        <v>5673400</v>
      </c>
      <c r="X38" s="468">
        <f>+'AND 1'!X38</f>
        <v>1000000</v>
      </c>
      <c r="Y38" s="468">
        <v>4578900</v>
      </c>
      <c r="Z38" s="468">
        <f>+'AND 1'!Z38</f>
        <v>1000000</v>
      </c>
      <c r="AA38" s="468">
        <v>8954000</v>
      </c>
      <c r="AB38" s="468">
        <f t="shared" si="23"/>
        <v>12000000</v>
      </c>
      <c r="AC38" s="560">
        <f t="shared" si="19"/>
        <v>13200000.000000002</v>
      </c>
      <c r="AD38" s="560">
        <f t="shared" si="19"/>
        <v>14520000.000000004</v>
      </c>
      <c r="AE38" s="560">
        <f t="shared" si="19"/>
        <v>15972000.000000006</v>
      </c>
      <c r="AF38" s="575">
        <f t="shared" si="2"/>
        <v>38390477.43</v>
      </c>
    </row>
    <row r="39" spans="1:32" ht="18.399999999999999" customHeight="1" x14ac:dyDescent="0.2">
      <c r="A39" s="445">
        <v>7</v>
      </c>
      <c r="B39" s="464" t="s">
        <v>75</v>
      </c>
      <c r="C39" s="475" t="s">
        <v>76</v>
      </c>
      <c r="D39" s="468">
        <f>+'AND 1'!D39</f>
        <v>6000000</v>
      </c>
      <c r="E39" s="468"/>
      <c r="F39" s="468">
        <f>+'AND 1'!F39</f>
        <v>6000000</v>
      </c>
      <c r="G39" s="468"/>
      <c r="H39" s="468">
        <f>+'AND 1'!H39</f>
        <v>6000000</v>
      </c>
      <c r="I39" s="468"/>
      <c r="J39" s="468">
        <f>+'AND 1'!J39</f>
        <v>6000000</v>
      </c>
      <c r="K39" s="468">
        <v>183620</v>
      </c>
      <c r="L39" s="468">
        <f>+'AND 1'!L39</f>
        <v>6000000</v>
      </c>
      <c r="M39" s="468">
        <v>221140</v>
      </c>
      <c r="N39" s="468">
        <f>+'AND 1'!N39</f>
        <v>6000000</v>
      </c>
      <c r="O39" s="468">
        <v>520000</v>
      </c>
      <c r="P39" s="468">
        <f>+'AND 1'!P39</f>
        <v>6000000</v>
      </c>
      <c r="Q39" s="468">
        <v>612000</v>
      </c>
      <c r="R39" s="468">
        <f>+'AND 1'!R39</f>
        <v>6000000</v>
      </c>
      <c r="S39" s="468">
        <v>540300</v>
      </c>
      <c r="T39" s="468">
        <f>+'AND 1'!T39</f>
        <v>6000000</v>
      </c>
      <c r="U39" s="468">
        <v>548700</v>
      </c>
      <c r="V39" s="468">
        <f>+'AND 1'!V39</f>
        <v>6000000</v>
      </c>
      <c r="W39" s="468">
        <v>672300</v>
      </c>
      <c r="X39" s="468">
        <f>+'AND 1'!X39</f>
        <v>6000000</v>
      </c>
      <c r="Y39" s="468">
        <v>789400</v>
      </c>
      <c r="Z39" s="468">
        <f>+'AND 1'!Z39</f>
        <v>6000000</v>
      </c>
      <c r="AA39" s="468">
        <v>891200</v>
      </c>
      <c r="AB39" s="468">
        <f t="shared" si="23"/>
        <v>72000000</v>
      </c>
      <c r="AC39" s="560">
        <f t="shared" ref="AC39:AE54" si="24">AB39*1.1</f>
        <v>79200000</v>
      </c>
      <c r="AD39" s="560">
        <f t="shared" si="24"/>
        <v>87120000</v>
      </c>
      <c r="AE39" s="560">
        <f t="shared" si="24"/>
        <v>95832000.000000015</v>
      </c>
      <c r="AF39" s="575">
        <f t="shared" si="2"/>
        <v>4978660</v>
      </c>
    </row>
    <row r="40" spans="1:32" ht="18.399999999999999" customHeight="1" x14ac:dyDescent="0.2">
      <c r="A40" s="445">
        <v>8</v>
      </c>
      <c r="B40" s="464" t="s">
        <v>77</v>
      </c>
      <c r="C40" s="475" t="s">
        <v>78</v>
      </c>
      <c r="D40" s="468">
        <f>+'AND 1'!D40</f>
        <v>0</v>
      </c>
      <c r="E40" s="468"/>
      <c r="F40" s="468">
        <f>+'AND 1'!F40</f>
        <v>0</v>
      </c>
      <c r="G40" s="468"/>
      <c r="H40" s="468">
        <f>+'AND 1'!H40</f>
        <v>25000000</v>
      </c>
      <c r="I40" s="468"/>
      <c r="J40" s="468">
        <f>+'AND 1'!J40</f>
        <v>0</v>
      </c>
      <c r="K40" s="468"/>
      <c r="L40" s="468">
        <f>+'AND 1'!L40</f>
        <v>0</v>
      </c>
      <c r="M40" s="468"/>
      <c r="N40" s="468">
        <f>+'AND 1'!N40</f>
        <v>0</v>
      </c>
      <c r="O40" s="468">
        <v>0</v>
      </c>
      <c r="P40" s="468">
        <f>+'AND 1'!P40</f>
        <v>0</v>
      </c>
      <c r="Q40" s="468">
        <v>0</v>
      </c>
      <c r="R40" s="468">
        <f>+'AND 1'!R40</f>
        <v>0</v>
      </c>
      <c r="S40" s="468">
        <v>0</v>
      </c>
      <c r="T40" s="468">
        <f>+'AND 1'!T40</f>
        <v>0</v>
      </c>
      <c r="U40" s="468">
        <v>0</v>
      </c>
      <c r="V40" s="468">
        <f>+'AND 1'!V40</f>
        <v>0</v>
      </c>
      <c r="W40" s="468"/>
      <c r="X40" s="468">
        <f>+'AND 1'!X40</f>
        <v>0</v>
      </c>
      <c r="Y40" s="468"/>
      <c r="Z40" s="468">
        <f>+'AND 1'!Z40</f>
        <v>0</v>
      </c>
      <c r="AA40" s="468"/>
      <c r="AB40" s="468">
        <f t="shared" si="23"/>
        <v>25000000</v>
      </c>
      <c r="AC40" s="560">
        <f t="shared" si="24"/>
        <v>27500000.000000004</v>
      </c>
      <c r="AD40" s="560">
        <f t="shared" si="24"/>
        <v>30250000.000000007</v>
      </c>
      <c r="AE40" s="560">
        <f t="shared" si="24"/>
        <v>33275000.000000011</v>
      </c>
      <c r="AF40" s="575">
        <f t="shared" si="2"/>
        <v>0</v>
      </c>
    </row>
    <row r="41" spans="1:32" ht="18.399999999999999" customHeight="1" x14ac:dyDescent="0.2">
      <c r="A41" s="445">
        <v>9</v>
      </c>
      <c r="B41" s="464" t="s">
        <v>79</v>
      </c>
      <c r="C41" s="474" t="s">
        <v>80</v>
      </c>
      <c r="D41" s="468">
        <f>+'AND 1'!D41</f>
        <v>0</v>
      </c>
      <c r="E41" s="468"/>
      <c r="F41" s="468">
        <f>+'AND 1'!F41</f>
        <v>0</v>
      </c>
      <c r="G41" s="468"/>
      <c r="H41" s="468">
        <f>+'AND 1'!H41</f>
        <v>0</v>
      </c>
      <c r="I41" s="468"/>
      <c r="J41" s="468">
        <f>+'AND 1'!J41</f>
        <v>0</v>
      </c>
      <c r="K41" s="468"/>
      <c r="L41" s="468">
        <f>+'AND 1'!L41</f>
        <v>0</v>
      </c>
      <c r="M41" s="468"/>
      <c r="N41" s="468">
        <f>+'AND 1'!N41</f>
        <v>8000000</v>
      </c>
      <c r="O41" s="468">
        <v>0</v>
      </c>
      <c r="P41" s="468">
        <f>+'AND 1'!P41</f>
        <v>0</v>
      </c>
      <c r="Q41" s="468">
        <v>0</v>
      </c>
      <c r="R41" s="468">
        <f>+'AND 1'!R41</f>
        <v>0</v>
      </c>
      <c r="S41" s="468">
        <v>0</v>
      </c>
      <c r="T41" s="468">
        <f>+'AND 1'!T41</f>
        <v>0</v>
      </c>
      <c r="U41" s="468">
        <v>0</v>
      </c>
      <c r="V41" s="468">
        <f>+'AND 1'!V41</f>
        <v>0</v>
      </c>
      <c r="W41" s="468"/>
      <c r="X41" s="468">
        <f>+'AND 1'!X41</f>
        <v>0</v>
      </c>
      <c r="Y41" s="468"/>
      <c r="Z41" s="468">
        <f>+'AND 1'!Z41</f>
        <v>0</v>
      </c>
      <c r="AA41" s="468"/>
      <c r="AB41" s="468">
        <f t="shared" si="23"/>
        <v>8000000</v>
      </c>
      <c r="AC41" s="560">
        <f t="shared" si="24"/>
        <v>8800000</v>
      </c>
      <c r="AD41" s="560">
        <f t="shared" si="24"/>
        <v>9680000</v>
      </c>
      <c r="AE41" s="560">
        <f t="shared" si="24"/>
        <v>10648000</v>
      </c>
      <c r="AF41" s="575">
        <f t="shared" si="2"/>
        <v>0</v>
      </c>
    </row>
    <row r="42" spans="1:32" ht="18.399999999999999" customHeight="1" x14ac:dyDescent="0.2">
      <c r="A42" s="445">
        <v>10</v>
      </c>
      <c r="B42" s="464" t="s">
        <v>79</v>
      </c>
      <c r="C42" s="474" t="s">
        <v>216</v>
      </c>
      <c r="D42" s="468">
        <f>+'AND 1'!D42</f>
        <v>0</v>
      </c>
      <c r="E42" s="468"/>
      <c r="F42" s="468">
        <f>+'AND 1'!F42</f>
        <v>0</v>
      </c>
      <c r="G42" s="468"/>
      <c r="H42" s="468">
        <f>+'AND 1'!H42</f>
        <v>0</v>
      </c>
      <c r="I42" s="468"/>
      <c r="J42" s="468">
        <f>+'AND 1'!J42</f>
        <v>0</v>
      </c>
      <c r="K42" s="468"/>
      <c r="L42" s="468">
        <f>+'AND 1'!L42</f>
        <v>0</v>
      </c>
      <c r="M42" s="468"/>
      <c r="N42" s="468">
        <f>+'AND 1'!N42</f>
        <v>0</v>
      </c>
      <c r="O42" s="468">
        <v>0</v>
      </c>
      <c r="P42" s="468">
        <f>+'AND 1'!P42</f>
        <v>0</v>
      </c>
      <c r="Q42" s="468">
        <v>0</v>
      </c>
      <c r="R42" s="468">
        <f>+'AND 1'!R42</f>
        <v>0</v>
      </c>
      <c r="S42" s="468">
        <v>0</v>
      </c>
      <c r="T42" s="468">
        <f>+'AND 1'!T42</f>
        <v>0</v>
      </c>
      <c r="U42" s="468">
        <v>0</v>
      </c>
      <c r="V42" s="468">
        <f>+'AND 1'!V42</f>
        <v>15000000</v>
      </c>
      <c r="W42" s="468"/>
      <c r="X42" s="468">
        <f>+'AND 1'!X42</f>
        <v>0</v>
      </c>
      <c r="Y42" s="468"/>
      <c r="Z42" s="468">
        <f>+'AND 1'!Z42</f>
        <v>0</v>
      </c>
      <c r="AA42" s="468"/>
      <c r="AB42" s="468">
        <f t="shared" si="23"/>
        <v>15000000</v>
      </c>
      <c r="AC42" s="560">
        <f t="shared" si="24"/>
        <v>16500000.000000002</v>
      </c>
      <c r="AD42" s="560">
        <f t="shared" si="24"/>
        <v>18150000.000000004</v>
      </c>
      <c r="AE42" s="560">
        <f t="shared" si="24"/>
        <v>19965000.000000007</v>
      </c>
      <c r="AF42" s="575">
        <f t="shared" si="2"/>
        <v>0</v>
      </c>
    </row>
    <row r="43" spans="1:32" s="62" customFormat="1" ht="18.399999999999999" customHeight="1" x14ac:dyDescent="0.2">
      <c r="A43" s="445">
        <v>11</v>
      </c>
      <c r="B43" s="464" t="s">
        <v>79</v>
      </c>
      <c r="C43" s="474" t="s">
        <v>82</v>
      </c>
      <c r="D43" s="468">
        <f>+'AND 1'!D43</f>
        <v>0</v>
      </c>
      <c r="E43" s="468"/>
      <c r="F43" s="468">
        <f>+'AND 1'!F43</f>
        <v>0</v>
      </c>
      <c r="G43" s="468"/>
      <c r="H43" s="468">
        <f>+'AND 1'!H43</f>
        <v>0</v>
      </c>
      <c r="I43" s="468"/>
      <c r="J43" s="468">
        <f>+'AND 1'!J43</f>
        <v>0</v>
      </c>
      <c r="K43" s="468"/>
      <c r="L43" s="468">
        <f>+'AND 1'!L43</f>
        <v>0</v>
      </c>
      <c r="M43" s="468"/>
      <c r="N43" s="468">
        <f>+'AND 1'!N43</f>
        <v>0</v>
      </c>
      <c r="O43" s="468">
        <v>0</v>
      </c>
      <c r="P43" s="468">
        <f>+'AND 1'!P43</f>
        <v>0</v>
      </c>
      <c r="Q43" s="468">
        <v>0</v>
      </c>
      <c r="R43" s="468">
        <f>+'AND 1'!R43</f>
        <v>0</v>
      </c>
      <c r="S43" s="468">
        <v>0</v>
      </c>
      <c r="T43" s="468">
        <f>+'AND 1'!T43</f>
        <v>0</v>
      </c>
      <c r="U43" s="468">
        <v>0</v>
      </c>
      <c r="V43" s="468">
        <f>+'AND 1'!V43</f>
        <v>15000000</v>
      </c>
      <c r="W43" s="468"/>
      <c r="X43" s="468">
        <f>+'AND 1'!X43</f>
        <v>0</v>
      </c>
      <c r="Y43" s="468"/>
      <c r="Z43" s="468">
        <f>+'AND 1'!Z43</f>
        <v>0</v>
      </c>
      <c r="AA43" s="468"/>
      <c r="AB43" s="468">
        <f t="shared" si="23"/>
        <v>15000000</v>
      </c>
      <c r="AC43" s="560">
        <f t="shared" si="24"/>
        <v>16500000.000000002</v>
      </c>
      <c r="AD43" s="560">
        <f t="shared" si="24"/>
        <v>18150000.000000004</v>
      </c>
      <c r="AE43" s="560">
        <f t="shared" si="24"/>
        <v>19965000.000000007</v>
      </c>
      <c r="AF43" s="575">
        <f t="shared" si="2"/>
        <v>0</v>
      </c>
    </row>
    <row r="44" spans="1:32" s="2" customFormat="1" ht="18.399999999999999" customHeight="1" x14ac:dyDescent="0.2">
      <c r="A44" s="493"/>
      <c r="B44" s="464"/>
      <c r="C44" s="486" t="s">
        <v>83</v>
      </c>
      <c r="D44" s="487">
        <f t="shared" ref="D44:I44" si="25">SUM(D33:D43)</f>
        <v>23500000</v>
      </c>
      <c r="E44" s="487">
        <f t="shared" si="25"/>
        <v>24734055.649999999</v>
      </c>
      <c r="F44" s="487">
        <f t="shared" si="25"/>
        <v>23500000</v>
      </c>
      <c r="G44" s="487">
        <f t="shared" si="25"/>
        <v>20969421.960000001</v>
      </c>
      <c r="H44" s="487">
        <f t="shared" si="25"/>
        <v>48500000</v>
      </c>
      <c r="I44" s="487">
        <f t="shared" si="25"/>
        <v>12698664.74</v>
      </c>
      <c r="J44" s="487">
        <f t="shared" ref="J44:AE44" si="26">SUM(J33:J43)</f>
        <v>23500000</v>
      </c>
      <c r="K44" s="487">
        <f t="shared" si="26"/>
        <v>13519064</v>
      </c>
      <c r="L44" s="487">
        <f t="shared" si="26"/>
        <v>23500000</v>
      </c>
      <c r="M44" s="487">
        <f t="shared" si="26"/>
        <v>15124955</v>
      </c>
      <c r="N44" s="487">
        <f t="shared" si="26"/>
        <v>31500000</v>
      </c>
      <c r="O44" s="487">
        <f t="shared" si="26"/>
        <v>16351800</v>
      </c>
      <c r="P44" s="487">
        <f t="shared" si="26"/>
        <v>23500000</v>
      </c>
      <c r="Q44" s="487">
        <f t="shared" si="26"/>
        <v>19623550</v>
      </c>
      <c r="R44" s="487">
        <f t="shared" si="26"/>
        <v>23500000</v>
      </c>
      <c r="S44" s="487">
        <f t="shared" si="26"/>
        <v>17456390</v>
      </c>
      <c r="T44" s="487">
        <f t="shared" si="26"/>
        <v>23500000</v>
      </c>
      <c r="U44" s="487">
        <f t="shared" si="26"/>
        <v>24361840</v>
      </c>
      <c r="V44" s="487">
        <f t="shared" si="26"/>
        <v>53500000</v>
      </c>
      <c r="W44" s="487">
        <f t="shared" si="26"/>
        <v>29429850</v>
      </c>
      <c r="X44" s="487">
        <f t="shared" si="26"/>
        <v>23500000</v>
      </c>
      <c r="Y44" s="487">
        <f t="shared" si="26"/>
        <v>36198240</v>
      </c>
      <c r="Z44" s="487">
        <f t="shared" si="26"/>
        <v>23500000</v>
      </c>
      <c r="AA44" s="487">
        <f t="shared" si="26"/>
        <v>43765840</v>
      </c>
      <c r="AB44" s="487">
        <f t="shared" si="26"/>
        <v>345000000</v>
      </c>
      <c r="AC44" s="487">
        <f t="shared" si="26"/>
        <v>379500000</v>
      </c>
      <c r="AD44" s="487">
        <f t="shared" si="26"/>
        <v>417450000</v>
      </c>
      <c r="AE44" s="487">
        <f t="shared" si="26"/>
        <v>459195000</v>
      </c>
      <c r="AF44" s="575">
        <f t="shared" si="2"/>
        <v>274233671.35000002</v>
      </c>
    </row>
    <row r="45" spans="1:32" s="2" customFormat="1" ht="18.399999999999999" customHeight="1" x14ac:dyDescent="0.2">
      <c r="A45" s="445">
        <v>12</v>
      </c>
      <c r="B45" s="464" t="s">
        <v>53</v>
      </c>
      <c r="C45" s="475" t="s">
        <v>84</v>
      </c>
      <c r="D45" s="468">
        <f>+'AND 1'!D45</f>
        <v>15000000</v>
      </c>
      <c r="E45" s="468">
        <v>7483156</v>
      </c>
      <c r="F45" s="468">
        <f>+'AND 1'!F45</f>
        <v>15000000</v>
      </c>
      <c r="G45" s="468">
        <v>906000</v>
      </c>
      <c r="H45" s="468">
        <f>+'AND 1'!H45</f>
        <v>15000000</v>
      </c>
      <c r="I45" s="468">
        <v>11211448</v>
      </c>
      <c r="J45" s="468">
        <f>+'AND 1'!J45</f>
        <v>15000000</v>
      </c>
      <c r="K45" s="468">
        <v>3091000</v>
      </c>
      <c r="L45" s="468">
        <f>+'AND 1'!L45</f>
        <v>15000000</v>
      </c>
      <c r="M45" s="468">
        <v>7149700</v>
      </c>
      <c r="N45" s="468">
        <f>+'AND 1'!N45</f>
        <v>15000000</v>
      </c>
      <c r="O45" s="468">
        <v>19740345</v>
      </c>
      <c r="P45" s="468">
        <f>+'AND 1'!P45</f>
        <v>15000000</v>
      </c>
      <c r="Q45" s="468">
        <v>12503640</v>
      </c>
      <c r="R45" s="468">
        <f>+'AND 1'!R45</f>
        <v>15000000</v>
      </c>
      <c r="S45" s="468">
        <v>17890600</v>
      </c>
      <c r="T45" s="468">
        <f>+'AND 1'!T45</f>
        <v>15000000</v>
      </c>
      <c r="U45" s="468">
        <v>20150600</v>
      </c>
      <c r="V45" s="468">
        <f>+'AND 1'!V45</f>
        <v>15000000</v>
      </c>
      <c r="W45" s="468">
        <v>62340500</v>
      </c>
      <c r="X45" s="468">
        <f>+'AND 1'!X45</f>
        <v>15000000</v>
      </c>
      <c r="Y45" s="468">
        <v>54300200</v>
      </c>
      <c r="Z45" s="468">
        <f>+'AND 1'!Z45</f>
        <v>15000000</v>
      </c>
      <c r="AA45" s="468">
        <v>78432100</v>
      </c>
      <c r="AB45" s="468">
        <f t="shared" ref="AB45:AB55" si="27">Z45+X45+V45++T45+R45+P45+N45+L45+J45+H45+F45+D45</f>
        <v>180000000</v>
      </c>
      <c r="AC45" s="560">
        <f t="shared" si="24"/>
        <v>198000000.00000003</v>
      </c>
      <c r="AD45" s="560">
        <f t="shared" si="24"/>
        <v>217800000.00000006</v>
      </c>
      <c r="AE45" s="560">
        <f t="shared" si="24"/>
        <v>239580000.00000009</v>
      </c>
      <c r="AF45" s="575">
        <f t="shared" si="2"/>
        <v>295199289</v>
      </c>
    </row>
    <row r="46" spans="1:32" s="2" customFormat="1" ht="18.399999999999999" customHeight="1" x14ac:dyDescent="0.2">
      <c r="A46" s="445">
        <v>13</v>
      </c>
      <c r="B46" s="464" t="s">
        <v>85</v>
      </c>
      <c r="C46" s="475" t="s">
        <v>86</v>
      </c>
      <c r="D46" s="468">
        <f>+'AND 1'!D46</f>
        <v>0</v>
      </c>
      <c r="E46" s="468"/>
      <c r="F46" s="468">
        <f>+'AND 1'!F46</f>
        <v>0</v>
      </c>
      <c r="G46" s="468"/>
      <c r="H46" s="468">
        <f>+'AND 1'!H46</f>
        <v>0</v>
      </c>
      <c r="I46" s="468"/>
      <c r="J46" s="468">
        <f>+'AND 1'!J46</f>
        <v>0</v>
      </c>
      <c r="K46" s="468"/>
      <c r="L46" s="468">
        <f>+'AND 1'!L46</f>
        <v>0</v>
      </c>
      <c r="M46" s="468"/>
      <c r="N46" s="468">
        <f>+'AND 1'!N46</f>
        <v>30000000</v>
      </c>
      <c r="O46" s="468"/>
      <c r="P46" s="468">
        <f>+'AND 1'!P46</f>
        <v>0</v>
      </c>
      <c r="Q46" s="468">
        <v>2750600</v>
      </c>
      <c r="R46" s="468">
        <f>+'AND 1'!R46</f>
        <v>0</v>
      </c>
      <c r="S46" s="468">
        <v>3700000</v>
      </c>
      <c r="T46" s="468">
        <f>+'AND 1'!T46</f>
        <v>0</v>
      </c>
      <c r="U46" s="468">
        <v>4807900</v>
      </c>
      <c r="V46" s="468">
        <f>+'AND 1'!V46</f>
        <v>30000000</v>
      </c>
      <c r="W46" s="468">
        <v>45678900</v>
      </c>
      <c r="X46" s="468">
        <f>+'AND 1'!X46</f>
        <v>0</v>
      </c>
      <c r="Y46" s="468">
        <v>92478900</v>
      </c>
      <c r="Z46" s="468">
        <f>+'AND 1'!Z46</f>
        <v>0</v>
      </c>
      <c r="AA46" s="468">
        <v>62234000</v>
      </c>
      <c r="AB46" s="468">
        <f t="shared" si="27"/>
        <v>60000000</v>
      </c>
      <c r="AC46" s="560">
        <f t="shared" si="24"/>
        <v>66000000.000000007</v>
      </c>
      <c r="AD46" s="560">
        <f t="shared" si="24"/>
        <v>72600000.000000015</v>
      </c>
      <c r="AE46" s="560">
        <f t="shared" si="24"/>
        <v>79860000.00000003</v>
      </c>
      <c r="AF46" s="575">
        <f t="shared" si="2"/>
        <v>211650300</v>
      </c>
    </row>
    <row r="47" spans="1:32" ht="18.399999999999999" customHeight="1" x14ac:dyDescent="0.2">
      <c r="A47" s="445">
        <v>14</v>
      </c>
      <c r="B47" s="464" t="s">
        <v>87</v>
      </c>
      <c r="C47" s="497" t="s">
        <v>88</v>
      </c>
      <c r="D47" s="468">
        <f>+'AND 1'!D47</f>
        <v>65500000</v>
      </c>
      <c r="E47" s="468">
        <v>107282000</v>
      </c>
      <c r="F47" s="468">
        <f>+'AND 1'!F47</f>
        <v>65500000</v>
      </c>
      <c r="G47" s="468">
        <v>107282000</v>
      </c>
      <c r="H47" s="468">
        <f>+'AND 1'!H47</f>
        <v>65500000</v>
      </c>
      <c r="I47" s="468">
        <v>107282000</v>
      </c>
      <c r="J47" s="468">
        <f>+'AND 1'!J47</f>
        <v>65500000</v>
      </c>
      <c r="K47" s="468">
        <v>107282000</v>
      </c>
      <c r="L47" s="468">
        <f>+'AND 1'!L47</f>
        <v>65500000</v>
      </c>
      <c r="M47" s="468">
        <v>107282000</v>
      </c>
      <c r="N47" s="468">
        <f>+'AND 1'!N47</f>
        <v>65500000</v>
      </c>
      <c r="O47" s="468">
        <v>107282000</v>
      </c>
      <c r="P47" s="468">
        <f>+'AND 1'!P47</f>
        <v>65500000</v>
      </c>
      <c r="Q47" s="468">
        <v>107282000</v>
      </c>
      <c r="R47" s="468">
        <f>+'AND 1'!R47</f>
        <v>65500000</v>
      </c>
      <c r="S47" s="468">
        <v>107282000</v>
      </c>
      <c r="T47" s="468">
        <f>+'AND 1'!T47</f>
        <v>65500000</v>
      </c>
      <c r="U47" s="468">
        <v>107282000</v>
      </c>
      <c r="V47" s="468">
        <f>+'AND 1'!V47</f>
        <v>65500000</v>
      </c>
      <c r="W47" s="468">
        <v>107282000</v>
      </c>
      <c r="X47" s="468">
        <f>+'AND 1'!X47</f>
        <v>65500000</v>
      </c>
      <c r="Y47" s="468">
        <v>107282000</v>
      </c>
      <c r="Z47" s="468">
        <f>+'AND 1'!Z47</f>
        <v>65500000</v>
      </c>
      <c r="AA47" s="468">
        <v>107282000</v>
      </c>
      <c r="AB47" s="468">
        <f t="shared" si="27"/>
        <v>786000000</v>
      </c>
      <c r="AC47" s="560">
        <f t="shared" si="24"/>
        <v>864600000.00000012</v>
      </c>
      <c r="AD47" s="560">
        <f t="shared" si="24"/>
        <v>951060000.00000024</v>
      </c>
      <c r="AE47" s="560">
        <f t="shared" si="24"/>
        <v>1046166000.0000004</v>
      </c>
      <c r="AF47" s="575">
        <f t="shared" si="2"/>
        <v>1287384000</v>
      </c>
    </row>
    <row r="48" spans="1:32" ht="18.399999999999999" customHeight="1" x14ac:dyDescent="0.2">
      <c r="A48" s="445">
        <v>15</v>
      </c>
      <c r="B48" s="464" t="s">
        <v>89</v>
      </c>
      <c r="C48" s="475" t="s">
        <v>90</v>
      </c>
      <c r="D48" s="468">
        <f>+'AND 1'!D48</f>
        <v>6500000</v>
      </c>
      <c r="E48" s="468">
        <v>6429042.04</v>
      </c>
      <c r="F48" s="468">
        <f>+'AND 1'!F48</f>
        <v>6500000</v>
      </c>
      <c r="G48" s="468">
        <v>6177516.04</v>
      </c>
      <c r="H48" s="468">
        <f>+'AND 1'!H48</f>
        <v>6500000</v>
      </c>
      <c r="I48" s="468">
        <v>26803</v>
      </c>
      <c r="J48" s="468">
        <f>+'AND 1'!J48</f>
        <v>6500000</v>
      </c>
      <c r="K48" s="468">
        <v>6672068</v>
      </c>
      <c r="L48" s="468">
        <f>+'AND 1'!L48</f>
        <v>6500000</v>
      </c>
      <c r="M48" s="468">
        <v>6035237</v>
      </c>
      <c r="N48" s="468">
        <f>+'AND 1'!N48</f>
        <v>6500000</v>
      </c>
      <c r="O48" s="468">
        <v>6177142</v>
      </c>
      <c r="P48" s="468">
        <f>+'AND 1'!P48</f>
        <v>6500000</v>
      </c>
      <c r="Q48" s="468">
        <v>6501230</v>
      </c>
      <c r="R48" s="468">
        <f>+'AND 1'!R48</f>
        <v>6500000</v>
      </c>
      <c r="S48" s="468">
        <v>5780900</v>
      </c>
      <c r="T48" s="468">
        <f>+'AND 1'!T48</f>
        <v>6500000</v>
      </c>
      <c r="U48" s="468">
        <v>5240600</v>
      </c>
      <c r="V48" s="468">
        <f>+'AND 1'!V48</f>
        <v>6500000</v>
      </c>
      <c r="W48" s="468">
        <v>13195481.210000001</v>
      </c>
      <c r="X48" s="468">
        <f>+'AND 1'!X48</f>
        <v>6500000</v>
      </c>
      <c r="Y48" s="468">
        <v>6964920.04</v>
      </c>
      <c r="Z48" s="468">
        <f>+'AND 1'!Z48</f>
        <v>6500000</v>
      </c>
      <c r="AA48" s="468">
        <v>6650473.4400000004</v>
      </c>
      <c r="AB48" s="468">
        <f t="shared" si="27"/>
        <v>78000000</v>
      </c>
      <c r="AC48" s="560">
        <f t="shared" si="24"/>
        <v>85800000</v>
      </c>
      <c r="AD48" s="560">
        <f t="shared" si="24"/>
        <v>94380000.000000015</v>
      </c>
      <c r="AE48" s="560">
        <f t="shared" si="24"/>
        <v>103818000.00000003</v>
      </c>
      <c r="AF48" s="575">
        <f t="shared" si="2"/>
        <v>75851412.769999996</v>
      </c>
    </row>
    <row r="49" spans="1:32" ht="18.399999999999999" customHeight="1" x14ac:dyDescent="0.2">
      <c r="A49" s="445">
        <v>16</v>
      </c>
      <c r="B49" s="464" t="s">
        <v>91</v>
      </c>
      <c r="C49" s="475" t="s">
        <v>92</v>
      </c>
      <c r="D49" s="468">
        <f>+'AND 1'!D49</f>
        <v>20000000</v>
      </c>
      <c r="E49" s="468">
        <v>18582889</v>
      </c>
      <c r="F49" s="468">
        <f>+'AND 1'!F49</f>
        <v>20000000</v>
      </c>
      <c r="G49" s="468">
        <v>16557723</v>
      </c>
      <c r="H49" s="468">
        <f>+'AND 1'!H49</f>
        <v>20000000</v>
      </c>
      <c r="I49" s="468">
        <v>7871990</v>
      </c>
      <c r="J49" s="468">
        <f>+'AND 1'!J49</f>
        <v>20000000</v>
      </c>
      <c r="K49" s="468">
        <f>33968648-15606000</f>
        <v>18362648</v>
      </c>
      <c r="L49" s="468">
        <f>+'AND 1'!L49</f>
        <v>20000000</v>
      </c>
      <c r="M49" s="468">
        <f>31213131-15606000</f>
        <v>15607131</v>
      </c>
      <c r="N49" s="468">
        <f>+'AND 1'!N49</f>
        <v>20000000</v>
      </c>
      <c r="O49" s="468">
        <f>35196871-15606000</f>
        <v>19590871</v>
      </c>
      <c r="P49" s="468">
        <f>+'AND 1'!P49</f>
        <v>20000000</v>
      </c>
      <c r="Q49" s="468">
        <v>37840506</v>
      </c>
      <c r="R49" s="468">
        <f>+'AND 1'!R49</f>
        <v>20000000</v>
      </c>
      <c r="S49" s="468">
        <v>75603120</v>
      </c>
      <c r="T49" s="468">
        <f>+'AND 1'!T49</f>
        <v>20000000</v>
      </c>
      <c r="U49" s="468">
        <v>33560700</v>
      </c>
      <c r="V49" s="468">
        <f>+'AND 1'!V49</f>
        <v>20000000</v>
      </c>
      <c r="W49" s="468">
        <v>35971917</v>
      </c>
      <c r="X49" s="468">
        <f>+'AND 1'!X49</f>
        <v>20000000</v>
      </c>
      <c r="Y49" s="468">
        <v>29408168</v>
      </c>
      <c r="Z49" s="468">
        <f>+'AND 1'!Z49</f>
        <v>20000000</v>
      </c>
      <c r="AA49" s="468">
        <v>43115901</v>
      </c>
      <c r="AB49" s="468">
        <f t="shared" si="27"/>
        <v>240000000</v>
      </c>
      <c r="AC49" s="560">
        <f t="shared" si="24"/>
        <v>264000000.00000003</v>
      </c>
      <c r="AD49" s="560">
        <f t="shared" si="24"/>
        <v>290400000.00000006</v>
      </c>
      <c r="AE49" s="560">
        <f t="shared" si="24"/>
        <v>319440000.00000012</v>
      </c>
      <c r="AF49" s="575">
        <f t="shared" si="2"/>
        <v>352073564</v>
      </c>
    </row>
    <row r="50" spans="1:32" ht="18.399999999999999" customHeight="1" x14ac:dyDescent="0.2">
      <c r="A50" s="445">
        <v>17</v>
      </c>
      <c r="B50" s="464" t="s">
        <v>93</v>
      </c>
      <c r="C50" s="475" t="s">
        <v>94</v>
      </c>
      <c r="D50" s="468">
        <f>+'AND 1'!D50</f>
        <v>23000000</v>
      </c>
      <c r="E50" s="468">
        <v>29718666.670000002</v>
      </c>
      <c r="F50" s="468">
        <f>+'AND 1'!F50</f>
        <v>23000000</v>
      </c>
      <c r="G50" s="468">
        <v>26842666.670000002</v>
      </c>
      <c r="H50" s="468">
        <f>+'AND 1'!H50</f>
        <v>23000000</v>
      </c>
      <c r="I50" s="468">
        <v>29718666.66</v>
      </c>
      <c r="J50" s="468">
        <f>+'AND 1'!J50</f>
        <v>23000000</v>
      </c>
      <c r="K50" s="468">
        <v>28443956</v>
      </c>
      <c r="L50" s="468">
        <f>+'AND 1'!L50</f>
        <v>23000000</v>
      </c>
      <c r="M50" s="468">
        <v>29392088</v>
      </c>
      <c r="N50" s="468">
        <f>+'AND 1'!N50</f>
        <v>23000000</v>
      </c>
      <c r="O50" s="468">
        <v>28443956</v>
      </c>
      <c r="P50" s="468">
        <f>+'AND 1'!P50</f>
        <v>23000000</v>
      </c>
      <c r="Q50" s="468">
        <v>28760000</v>
      </c>
      <c r="R50" s="468">
        <f>+'AND 1'!R50</f>
        <v>23000000</v>
      </c>
      <c r="S50" s="468">
        <v>28760000</v>
      </c>
      <c r="T50" s="468">
        <f>+'AND 1'!T50</f>
        <v>23000000</v>
      </c>
      <c r="U50" s="468">
        <v>28760000</v>
      </c>
      <c r="V50" s="468">
        <f>+'AND 1'!V50</f>
        <v>23000000</v>
      </c>
      <c r="W50" s="468">
        <v>29072608.690000001</v>
      </c>
      <c r="X50" s="468">
        <f>+'AND 1'!X50</f>
        <v>23000000</v>
      </c>
      <c r="Y50" s="468">
        <v>28134782.609999999</v>
      </c>
      <c r="Z50" s="468">
        <f>+'AND 1'!Z50</f>
        <v>23000000</v>
      </c>
      <c r="AA50" s="468">
        <v>29072608.699999999</v>
      </c>
      <c r="AB50" s="468">
        <f t="shared" si="27"/>
        <v>276000000</v>
      </c>
      <c r="AC50" s="560">
        <f t="shared" si="24"/>
        <v>303600000</v>
      </c>
      <c r="AD50" s="560">
        <f t="shared" si="24"/>
        <v>333960000</v>
      </c>
      <c r="AE50" s="560">
        <f t="shared" si="24"/>
        <v>367356000</v>
      </c>
      <c r="AF50" s="575">
        <f t="shared" si="2"/>
        <v>345120000</v>
      </c>
    </row>
    <row r="51" spans="1:32" s="57" customFormat="1" ht="27.6" customHeight="1" x14ac:dyDescent="0.2">
      <c r="A51" s="445">
        <v>18</v>
      </c>
      <c r="B51" s="489" t="s">
        <v>95</v>
      </c>
      <c r="C51" s="469" t="s">
        <v>96</v>
      </c>
      <c r="D51" s="468">
        <f>+'AND 1'!D51</f>
        <v>1000000</v>
      </c>
      <c r="E51" s="468">
        <v>150000</v>
      </c>
      <c r="F51" s="468">
        <f>+'AND 1'!F51</f>
        <v>1000000</v>
      </c>
      <c r="G51" s="468">
        <v>150000</v>
      </c>
      <c r="H51" s="468">
        <f>+'AND 1'!H51</f>
        <v>1000000</v>
      </c>
      <c r="I51" s="468">
        <v>150000</v>
      </c>
      <c r="J51" s="468">
        <f>+'AND 1'!J51</f>
        <v>1000000</v>
      </c>
      <c r="K51" s="468">
        <v>150000</v>
      </c>
      <c r="L51" s="468">
        <f>+'AND 1'!L51</f>
        <v>1000000</v>
      </c>
      <c r="M51" s="468">
        <v>150000</v>
      </c>
      <c r="N51" s="468">
        <f>+'AND 1'!N51</f>
        <v>1000000</v>
      </c>
      <c r="O51" s="468">
        <v>150000</v>
      </c>
      <c r="P51" s="468">
        <f>+'AND 1'!P51</f>
        <v>1000000</v>
      </c>
      <c r="Q51" s="468">
        <v>150000</v>
      </c>
      <c r="R51" s="468">
        <f>+'AND 1'!R51</f>
        <v>1000000</v>
      </c>
      <c r="S51" s="468">
        <v>150000</v>
      </c>
      <c r="T51" s="468">
        <f>+'AND 1'!T51</f>
        <v>1000000</v>
      </c>
      <c r="U51" s="468">
        <v>150000</v>
      </c>
      <c r="V51" s="468">
        <f>+'AND 1'!V51</f>
        <v>1000000</v>
      </c>
      <c r="W51" s="468">
        <v>150000</v>
      </c>
      <c r="X51" s="468">
        <f>+'AND 1'!X51</f>
        <v>1000000</v>
      </c>
      <c r="Y51" s="468">
        <v>150000</v>
      </c>
      <c r="Z51" s="468">
        <f>+'AND 1'!Z51</f>
        <v>1000000</v>
      </c>
      <c r="AA51" s="468">
        <v>150000</v>
      </c>
      <c r="AB51" s="468">
        <f t="shared" si="27"/>
        <v>12000000</v>
      </c>
      <c r="AC51" s="560">
        <f t="shared" si="24"/>
        <v>13200000.000000002</v>
      </c>
      <c r="AD51" s="560">
        <f t="shared" si="24"/>
        <v>14520000.000000004</v>
      </c>
      <c r="AE51" s="560">
        <f t="shared" si="24"/>
        <v>15972000.000000006</v>
      </c>
      <c r="AF51" s="575">
        <f t="shared" si="2"/>
        <v>1800000</v>
      </c>
    </row>
    <row r="52" spans="1:32" ht="18.399999999999999" customHeight="1" x14ac:dyDescent="0.2">
      <c r="A52" s="445">
        <v>19</v>
      </c>
      <c r="B52" s="464" t="s">
        <v>97</v>
      </c>
      <c r="C52" s="475" t="s">
        <v>98</v>
      </c>
      <c r="D52" s="468">
        <f>+'AND 1'!D52</f>
        <v>2500000</v>
      </c>
      <c r="E52" s="468"/>
      <c r="F52" s="468">
        <f>+'AND 1'!F52</f>
        <v>2500000</v>
      </c>
      <c r="G52" s="468"/>
      <c r="H52" s="468">
        <f>+'AND 1'!H52</f>
        <v>2500000</v>
      </c>
      <c r="I52" s="468"/>
      <c r="J52" s="468">
        <f>+'AND 1'!J52</f>
        <v>2500000</v>
      </c>
      <c r="K52" s="468"/>
      <c r="L52" s="468">
        <f>+'AND 1'!L52</f>
        <v>2500000</v>
      </c>
      <c r="M52" s="468"/>
      <c r="N52" s="468">
        <f>+'AND 1'!N52</f>
        <v>2500000</v>
      </c>
      <c r="O52" s="468"/>
      <c r="P52" s="468">
        <f>+'AND 1'!P52</f>
        <v>2500000</v>
      </c>
      <c r="Q52" s="468"/>
      <c r="R52" s="468">
        <f>+'AND 1'!R52</f>
        <v>2500000</v>
      </c>
      <c r="S52" s="468"/>
      <c r="T52" s="468">
        <f>+'AND 1'!T52</f>
        <v>2500000</v>
      </c>
      <c r="U52" s="468"/>
      <c r="V52" s="468">
        <f>+'AND 1'!V52</f>
        <v>2500000</v>
      </c>
      <c r="W52" s="468"/>
      <c r="X52" s="468">
        <f>+'AND 1'!X52</f>
        <v>2500000</v>
      </c>
      <c r="Y52" s="468"/>
      <c r="Z52" s="468">
        <f>+'AND 1'!Z52</f>
        <v>2500000</v>
      </c>
      <c r="AA52" s="468"/>
      <c r="AB52" s="468">
        <f t="shared" si="27"/>
        <v>30000000</v>
      </c>
      <c r="AC52" s="560">
        <f t="shared" si="24"/>
        <v>33000000.000000004</v>
      </c>
      <c r="AD52" s="560">
        <f t="shared" si="24"/>
        <v>36300000.000000007</v>
      </c>
      <c r="AE52" s="560">
        <f t="shared" si="24"/>
        <v>39930000.000000015</v>
      </c>
      <c r="AF52" s="575">
        <f t="shared" si="2"/>
        <v>0</v>
      </c>
    </row>
    <row r="53" spans="1:32" ht="18.399999999999999" customHeight="1" x14ac:dyDescent="0.2">
      <c r="A53" s="445">
        <v>20</v>
      </c>
      <c r="B53" s="464" t="s">
        <v>99</v>
      </c>
      <c r="C53" s="475" t="s">
        <v>100</v>
      </c>
      <c r="D53" s="468">
        <f>+'AND 1'!D53</f>
        <v>10000000</v>
      </c>
      <c r="E53" s="468">
        <v>7579312.1500000004</v>
      </c>
      <c r="F53" s="468">
        <f>+'AND 1'!F53</f>
        <v>10000000</v>
      </c>
      <c r="G53" s="468">
        <v>8599788.4000000004</v>
      </c>
      <c r="H53" s="468">
        <f>+'AND 1'!H53</f>
        <v>10000000</v>
      </c>
      <c r="I53" s="468">
        <v>15343778.15</v>
      </c>
      <c r="J53" s="468">
        <f>+'AND 1'!J53</f>
        <v>10000000</v>
      </c>
      <c r="K53" s="468">
        <v>7314431</v>
      </c>
      <c r="L53" s="468">
        <f>+'AND 1'!L53</f>
        <v>10000000</v>
      </c>
      <c r="M53" s="468">
        <v>7606555</v>
      </c>
      <c r="N53" s="468">
        <f>+'AND 1'!N53</f>
        <v>10000000</v>
      </c>
      <c r="O53" s="468">
        <v>12624396</v>
      </c>
      <c r="P53" s="468">
        <f>+'AND 1'!P53</f>
        <v>10000000</v>
      </c>
      <c r="Q53" s="468">
        <v>7580900</v>
      </c>
      <c r="R53" s="468">
        <f>+'AND 1'!R53</f>
        <v>10000000</v>
      </c>
      <c r="S53" s="468">
        <v>8405623</v>
      </c>
      <c r="T53" s="468">
        <f>+'AND 1'!T53</f>
        <v>10000000</v>
      </c>
      <c r="U53" s="468">
        <v>7894200</v>
      </c>
      <c r="V53" s="468">
        <f>+'AND 1'!V53</f>
        <v>10000000</v>
      </c>
      <c r="W53" s="468">
        <v>14780300</v>
      </c>
      <c r="X53" s="468">
        <f>+'AND 1'!X53</f>
        <v>10000000</v>
      </c>
      <c r="Y53" s="468">
        <v>12650700</v>
      </c>
      <c r="Z53" s="468">
        <f>+'AND 1'!Z53</f>
        <v>10000000</v>
      </c>
      <c r="AA53" s="468">
        <v>17450100</v>
      </c>
      <c r="AB53" s="468">
        <f t="shared" si="27"/>
        <v>120000000</v>
      </c>
      <c r="AC53" s="560">
        <f t="shared" si="24"/>
        <v>132000000.00000001</v>
      </c>
      <c r="AD53" s="560">
        <f t="shared" si="24"/>
        <v>145200000.00000003</v>
      </c>
      <c r="AE53" s="560">
        <f t="shared" si="24"/>
        <v>159720000.00000006</v>
      </c>
      <c r="AF53" s="575">
        <f t="shared" si="2"/>
        <v>127830083.7</v>
      </c>
    </row>
    <row r="54" spans="1:32" ht="18.399999999999999" customHeight="1" x14ac:dyDescent="0.2">
      <c r="A54" s="445">
        <v>21</v>
      </c>
      <c r="B54" s="464" t="s">
        <v>64</v>
      </c>
      <c r="C54" s="475" t="s">
        <v>101</v>
      </c>
      <c r="D54" s="468">
        <f>+'AND 1'!D54</f>
        <v>40000000</v>
      </c>
      <c r="E54" s="468"/>
      <c r="F54" s="468">
        <f>+'AND 1'!F54</f>
        <v>0</v>
      </c>
      <c r="G54" s="468"/>
      <c r="H54" s="468">
        <f>+'AND 1'!H54</f>
        <v>0</v>
      </c>
      <c r="I54" s="468"/>
      <c r="J54" s="468">
        <f>+'AND 1'!J54</f>
        <v>0</v>
      </c>
      <c r="K54" s="468"/>
      <c r="L54" s="468">
        <f>+'AND 1'!L54</f>
        <v>0</v>
      </c>
      <c r="M54" s="468"/>
      <c r="N54" s="468">
        <f>+'AND 1'!N54</f>
        <v>0</v>
      </c>
      <c r="O54" s="468"/>
      <c r="P54" s="468">
        <f>+'AND 1'!P54</f>
        <v>0</v>
      </c>
      <c r="Q54" s="468"/>
      <c r="R54" s="468">
        <f>+'AND 1'!R54</f>
        <v>0</v>
      </c>
      <c r="S54" s="468"/>
      <c r="T54" s="468">
        <f>+'AND 1'!T54</f>
        <v>0</v>
      </c>
      <c r="U54" s="468"/>
      <c r="V54" s="468">
        <f>+'AND 1'!V54</f>
        <v>0</v>
      </c>
      <c r="W54" s="468"/>
      <c r="X54" s="468">
        <f>+'AND 1'!X54</f>
        <v>0</v>
      </c>
      <c r="Y54" s="468"/>
      <c r="Z54" s="468">
        <f>+'AND 1'!Z54</f>
        <v>0</v>
      </c>
      <c r="AA54" s="468"/>
      <c r="AB54" s="468">
        <f t="shared" si="27"/>
        <v>40000000</v>
      </c>
      <c r="AC54" s="560">
        <f t="shared" si="24"/>
        <v>44000000</v>
      </c>
      <c r="AD54" s="560">
        <f t="shared" si="24"/>
        <v>48400000.000000007</v>
      </c>
      <c r="AE54" s="560">
        <f t="shared" si="24"/>
        <v>53240000.000000015</v>
      </c>
      <c r="AF54" s="575">
        <f t="shared" si="2"/>
        <v>0</v>
      </c>
    </row>
    <row r="55" spans="1:32" ht="18.399999999999999" customHeight="1" x14ac:dyDescent="0.2">
      <c r="A55" s="445">
        <v>22</v>
      </c>
      <c r="B55" s="464" t="s">
        <v>64</v>
      </c>
      <c r="C55" s="475" t="s">
        <v>102</v>
      </c>
      <c r="D55" s="468">
        <f>+'AND 1'!D55</f>
        <v>20000000</v>
      </c>
      <c r="E55" s="468"/>
      <c r="F55" s="468">
        <f>+'AND 1'!F55</f>
        <v>2500000</v>
      </c>
      <c r="G55" s="468"/>
      <c r="H55" s="468">
        <f>+'AND 1'!H55</f>
        <v>0</v>
      </c>
      <c r="I55" s="468"/>
      <c r="J55" s="468">
        <f>+'AND 1'!J55</f>
        <v>0</v>
      </c>
      <c r="K55" s="468"/>
      <c r="L55" s="468">
        <f>+'AND 1'!L55</f>
        <v>0</v>
      </c>
      <c r="M55" s="468"/>
      <c r="N55" s="468">
        <f>+'AND 1'!N55</f>
        <v>0</v>
      </c>
      <c r="O55" s="468"/>
      <c r="P55" s="468">
        <f>+'AND 1'!P55</f>
        <v>2500000</v>
      </c>
      <c r="Q55" s="468"/>
      <c r="R55" s="468">
        <f>+'AND 1'!R55</f>
        <v>2500000</v>
      </c>
      <c r="S55" s="468"/>
      <c r="T55" s="468">
        <f>+'AND 1'!T55</f>
        <v>0</v>
      </c>
      <c r="U55" s="468"/>
      <c r="V55" s="468">
        <f>+'AND 1'!V55</f>
        <v>0</v>
      </c>
      <c r="W55" s="468"/>
      <c r="X55" s="468">
        <f>+'AND 1'!X55</f>
        <v>0</v>
      </c>
      <c r="Y55" s="468"/>
      <c r="Z55" s="468">
        <f>+'AND 1'!Z55</f>
        <v>0</v>
      </c>
      <c r="AA55" s="468"/>
      <c r="AB55" s="468">
        <f t="shared" si="27"/>
        <v>27500000</v>
      </c>
      <c r="AC55" s="560">
        <f>AB55*1.1</f>
        <v>30250000.000000004</v>
      </c>
      <c r="AD55" s="560">
        <f>AC55*1.1</f>
        <v>33275000.000000007</v>
      </c>
      <c r="AE55" s="560">
        <f>AD55*1.1</f>
        <v>36602500.000000007</v>
      </c>
      <c r="AF55" s="575">
        <f t="shared" si="2"/>
        <v>0</v>
      </c>
    </row>
    <row r="56" spans="1:32" s="21" customFormat="1" ht="18.399999999999999" customHeight="1" x14ac:dyDescent="0.2">
      <c r="A56" s="434"/>
      <c r="B56" s="464"/>
      <c r="C56" s="470" t="s">
        <v>103</v>
      </c>
      <c r="D56" s="487">
        <f t="shared" ref="D56:I56" si="28">SUM(D45:D55)</f>
        <v>203500000</v>
      </c>
      <c r="E56" s="487">
        <f t="shared" si="28"/>
        <v>177225065.86000004</v>
      </c>
      <c r="F56" s="487">
        <f t="shared" si="28"/>
        <v>146000000</v>
      </c>
      <c r="G56" s="487">
        <f t="shared" si="28"/>
        <v>166515694.11000001</v>
      </c>
      <c r="H56" s="487">
        <f t="shared" si="28"/>
        <v>143500000</v>
      </c>
      <c r="I56" s="487">
        <f t="shared" si="28"/>
        <v>171604685.81</v>
      </c>
      <c r="J56" s="487">
        <f t="shared" ref="J56:AE56" si="29">SUM(J45:J55)</f>
        <v>143500000</v>
      </c>
      <c r="K56" s="487">
        <f t="shared" si="29"/>
        <v>171316103</v>
      </c>
      <c r="L56" s="487">
        <f t="shared" si="29"/>
        <v>143500000</v>
      </c>
      <c r="M56" s="487">
        <f t="shared" si="29"/>
        <v>173222711</v>
      </c>
      <c r="N56" s="487">
        <f t="shared" si="29"/>
        <v>173500000</v>
      </c>
      <c r="O56" s="487">
        <f t="shared" si="29"/>
        <v>194008710</v>
      </c>
      <c r="P56" s="487">
        <f t="shared" si="29"/>
        <v>146000000</v>
      </c>
      <c r="Q56" s="487">
        <f t="shared" ref="Q56" si="30">SUM(Q45:Q55)</f>
        <v>203368876</v>
      </c>
      <c r="R56" s="487">
        <f t="shared" si="29"/>
        <v>146000000</v>
      </c>
      <c r="S56" s="487">
        <f t="shared" ref="S56" si="31">SUM(S45:S55)</f>
        <v>247572243</v>
      </c>
      <c r="T56" s="487">
        <f t="shared" si="29"/>
        <v>143500000</v>
      </c>
      <c r="U56" s="487">
        <f t="shared" ref="U56" si="32">SUM(U45:U55)</f>
        <v>207846000</v>
      </c>
      <c r="V56" s="487">
        <f t="shared" si="29"/>
        <v>173500000</v>
      </c>
      <c r="W56" s="487">
        <f t="shared" ref="W56" si="33">SUM(W45:W55)</f>
        <v>308471706.90000004</v>
      </c>
      <c r="X56" s="487">
        <f t="shared" si="29"/>
        <v>143500000</v>
      </c>
      <c r="Y56" s="487">
        <f t="shared" ref="Y56" si="34">SUM(Y45:Y55)</f>
        <v>331369670.64999998</v>
      </c>
      <c r="Z56" s="487">
        <f t="shared" si="29"/>
        <v>143500000</v>
      </c>
      <c r="AA56" s="487">
        <f t="shared" ref="AA56" si="35">SUM(AA45:AA55)</f>
        <v>344387183.13999999</v>
      </c>
      <c r="AB56" s="487">
        <f t="shared" si="29"/>
        <v>1849500000</v>
      </c>
      <c r="AC56" s="487">
        <f t="shared" si="29"/>
        <v>2034450000.0000002</v>
      </c>
      <c r="AD56" s="487">
        <f t="shared" si="29"/>
        <v>2237895000.0000005</v>
      </c>
      <c r="AE56" s="487">
        <f t="shared" si="29"/>
        <v>2461684500.0000005</v>
      </c>
      <c r="AF56" s="575">
        <f t="shared" si="2"/>
        <v>2696908649.4699998</v>
      </c>
    </row>
    <row r="57" spans="1:32" s="2" customFormat="1" ht="18.399999999999999" customHeight="1" x14ac:dyDescent="0.2">
      <c r="A57" s="493"/>
      <c r="B57" s="444"/>
      <c r="C57" s="486" t="s">
        <v>104</v>
      </c>
      <c r="D57" s="494">
        <f t="shared" ref="D57:I57" si="36">D56+D44</f>
        <v>227000000</v>
      </c>
      <c r="E57" s="494">
        <f t="shared" si="36"/>
        <v>201959121.51000005</v>
      </c>
      <c r="F57" s="494">
        <f t="shared" si="36"/>
        <v>169500000</v>
      </c>
      <c r="G57" s="494">
        <f t="shared" si="36"/>
        <v>187485116.07000002</v>
      </c>
      <c r="H57" s="494">
        <f t="shared" si="36"/>
        <v>192000000</v>
      </c>
      <c r="I57" s="494">
        <f t="shared" si="36"/>
        <v>184303350.55000001</v>
      </c>
      <c r="J57" s="494">
        <f t="shared" ref="J57:AE57" si="37">J56+J44</f>
        <v>167000000</v>
      </c>
      <c r="K57" s="494">
        <f t="shared" si="37"/>
        <v>184835167</v>
      </c>
      <c r="L57" s="494">
        <f t="shared" si="37"/>
        <v>167000000</v>
      </c>
      <c r="M57" s="494">
        <f t="shared" si="37"/>
        <v>188347666</v>
      </c>
      <c r="N57" s="494">
        <f t="shared" si="37"/>
        <v>205000000</v>
      </c>
      <c r="O57" s="494">
        <f t="shared" si="37"/>
        <v>210360510</v>
      </c>
      <c r="P57" s="494">
        <f t="shared" si="37"/>
        <v>169500000</v>
      </c>
      <c r="Q57" s="494">
        <f t="shared" ref="Q57" si="38">Q56+Q44</f>
        <v>222992426</v>
      </c>
      <c r="R57" s="494">
        <f t="shared" si="37"/>
        <v>169500000</v>
      </c>
      <c r="S57" s="494">
        <f t="shared" ref="S57" si="39">S56+S44</f>
        <v>265028633</v>
      </c>
      <c r="T57" s="494">
        <f t="shared" si="37"/>
        <v>167000000</v>
      </c>
      <c r="U57" s="494">
        <f t="shared" ref="U57" si="40">U56+U44</f>
        <v>232207840</v>
      </c>
      <c r="V57" s="494">
        <f t="shared" si="37"/>
        <v>227000000</v>
      </c>
      <c r="W57" s="494">
        <f t="shared" ref="W57" si="41">W56+W44</f>
        <v>337901556.90000004</v>
      </c>
      <c r="X57" s="494">
        <f t="shared" si="37"/>
        <v>167000000</v>
      </c>
      <c r="Y57" s="494">
        <f t="shared" ref="Y57" si="42">Y56+Y44</f>
        <v>367567910.64999998</v>
      </c>
      <c r="Z57" s="494">
        <f t="shared" si="37"/>
        <v>167000000</v>
      </c>
      <c r="AA57" s="494">
        <f t="shared" ref="AA57" si="43">AA56+AA44</f>
        <v>388153023.13999999</v>
      </c>
      <c r="AB57" s="494">
        <f t="shared" si="37"/>
        <v>2194500000</v>
      </c>
      <c r="AC57" s="494">
        <f t="shared" si="37"/>
        <v>2413950000</v>
      </c>
      <c r="AD57" s="494">
        <f t="shared" si="37"/>
        <v>2655345000.0000005</v>
      </c>
      <c r="AE57" s="494">
        <f t="shared" si="37"/>
        <v>2920879500.0000005</v>
      </c>
      <c r="AF57" s="575">
        <f>E57+G57+I57+K57+M57+O57+Q57+S57+U57+W57+Y57+AA57</f>
        <v>2971142320.8200002</v>
      </c>
    </row>
    <row r="58" spans="1:32" ht="18.399999999999999" customHeight="1" x14ac:dyDescent="0.2">
      <c r="A58" s="445">
        <v>1</v>
      </c>
      <c r="B58" s="464" t="s">
        <v>105</v>
      </c>
      <c r="C58" s="475" t="s">
        <v>106</v>
      </c>
      <c r="D58" s="468">
        <f>+'Expenses ICT'!B20</f>
        <v>1900000</v>
      </c>
      <c r="E58" s="468"/>
      <c r="F58" s="468">
        <f>+'Expenses ICT'!C20</f>
        <v>0</v>
      </c>
      <c r="G58" s="468">
        <v>2285000</v>
      </c>
      <c r="H58" s="468">
        <f>+'Expenses ICT'!D20</f>
        <v>0</v>
      </c>
      <c r="I58" s="468">
        <v>455000</v>
      </c>
      <c r="J58" s="468">
        <f>+'Expenses ICT'!E20</f>
        <v>0</v>
      </c>
      <c r="K58" s="468"/>
      <c r="L58" s="468">
        <f>+'Expenses ICT'!F20</f>
        <v>0</v>
      </c>
      <c r="M58" s="468"/>
      <c r="N58" s="468">
        <f>+'Expenses ICT'!G20</f>
        <v>0</v>
      </c>
      <c r="O58" s="468"/>
      <c r="P58" s="468">
        <f>+'Expenses ICT'!H20</f>
        <v>0</v>
      </c>
      <c r="Q58" s="468"/>
      <c r="R58" s="468">
        <f>+'Expenses ICT'!I20</f>
        <v>0</v>
      </c>
      <c r="S58" s="468"/>
      <c r="T58" s="468">
        <f>+'Expenses ICT'!J20</f>
        <v>0</v>
      </c>
      <c r="U58" s="468"/>
      <c r="V58" s="468">
        <f>+'Expenses ICT'!K20</f>
        <v>0</v>
      </c>
      <c r="W58" s="468"/>
      <c r="X58" s="468">
        <f>+'Expenses ICT'!L20</f>
        <v>0</v>
      </c>
      <c r="Y58" s="468"/>
      <c r="Z58" s="468">
        <f>+'Expenses ICT'!M20</f>
        <v>0</v>
      </c>
      <c r="AA58" s="468"/>
      <c r="AB58" s="468">
        <f t="shared" ref="AB58:AB63" si="44">Z58+X58+V58++T58+R58+P58+N58+L58+J58+H58+F58+D58</f>
        <v>1900000</v>
      </c>
      <c r="AC58" s="560">
        <f t="shared" ref="AC58:AE63" si="45">AB58*1.1</f>
        <v>2090000.0000000002</v>
      </c>
      <c r="AD58" s="560">
        <f t="shared" si="45"/>
        <v>2299000.0000000005</v>
      </c>
      <c r="AE58" s="560">
        <f t="shared" si="45"/>
        <v>2528900.0000000009</v>
      </c>
      <c r="AF58" s="575">
        <f t="shared" si="2"/>
        <v>2740000</v>
      </c>
    </row>
    <row r="59" spans="1:32" ht="18.399999999999999" customHeight="1" x14ac:dyDescent="0.2">
      <c r="A59" s="445">
        <v>2</v>
      </c>
      <c r="B59" s="464" t="s">
        <v>107</v>
      </c>
      <c r="C59" s="475" t="s">
        <v>108</v>
      </c>
      <c r="D59" s="468">
        <f>+'Expenses ICT'!B19</f>
        <v>674500</v>
      </c>
      <c r="E59" s="468"/>
      <c r="F59" s="468">
        <f>+'Expenses ICT'!C19</f>
        <v>674500</v>
      </c>
      <c r="G59" s="468"/>
      <c r="H59" s="468">
        <f>+'Expenses ICT'!D19</f>
        <v>674500</v>
      </c>
      <c r="I59" s="468"/>
      <c r="J59" s="468">
        <f>+'Expenses ICT'!E19</f>
        <v>674500</v>
      </c>
      <c r="K59" s="468"/>
      <c r="L59" s="468">
        <f>+'Expenses ICT'!F19</f>
        <v>674500</v>
      </c>
      <c r="M59" s="468"/>
      <c r="N59" s="468">
        <f>+'Expenses ICT'!G19</f>
        <v>674500</v>
      </c>
      <c r="O59" s="468"/>
      <c r="P59" s="468">
        <f>+'Expenses ICT'!H19</f>
        <v>674500</v>
      </c>
      <c r="Q59" s="468"/>
      <c r="R59" s="468">
        <f>+'Expenses ICT'!I19</f>
        <v>674500</v>
      </c>
      <c r="S59" s="468"/>
      <c r="T59" s="468">
        <f>+'Expenses ICT'!J19</f>
        <v>674500</v>
      </c>
      <c r="U59" s="468"/>
      <c r="V59" s="468">
        <f>+'Expenses ICT'!K19</f>
        <v>674500</v>
      </c>
      <c r="W59" s="468"/>
      <c r="X59" s="468">
        <f>+'Expenses ICT'!L19</f>
        <v>674500</v>
      </c>
      <c r="Y59" s="468"/>
      <c r="Z59" s="468">
        <f>+'Expenses ICT'!M19</f>
        <v>674500</v>
      </c>
      <c r="AA59" s="468"/>
      <c r="AB59" s="468">
        <f t="shared" si="44"/>
        <v>8094000</v>
      </c>
      <c r="AC59" s="560">
        <f t="shared" si="45"/>
        <v>8903400</v>
      </c>
      <c r="AD59" s="560">
        <f t="shared" si="45"/>
        <v>9793740</v>
      </c>
      <c r="AE59" s="560">
        <f t="shared" si="45"/>
        <v>10773114</v>
      </c>
      <c r="AF59" s="575">
        <f t="shared" si="2"/>
        <v>0</v>
      </c>
    </row>
    <row r="60" spans="1:32" ht="18.399999999999999" customHeight="1" x14ac:dyDescent="0.2">
      <c r="A60" s="445">
        <v>3</v>
      </c>
      <c r="B60" s="464" t="s">
        <v>109</v>
      </c>
      <c r="C60" s="474" t="s">
        <v>299</v>
      </c>
      <c r="D60" s="468">
        <f>+'Expenses ICT'!B22</f>
        <v>16910000</v>
      </c>
      <c r="E60" s="468">
        <v>14106000</v>
      </c>
      <c r="F60" s="468">
        <f>+'Expenses ICT'!C22</f>
        <v>16910000</v>
      </c>
      <c r="G60" s="468">
        <v>18170516</v>
      </c>
      <c r="H60" s="468">
        <f>+'Expenses ICT'!D22</f>
        <v>16910000</v>
      </c>
      <c r="I60" s="468">
        <v>15606000</v>
      </c>
      <c r="J60" s="468">
        <f>+'Expenses ICT'!E22</f>
        <v>16910000</v>
      </c>
      <c r="K60" s="468">
        <v>15606000</v>
      </c>
      <c r="L60" s="468">
        <f>+'Expenses ICT'!F22</f>
        <v>16910000</v>
      </c>
      <c r="M60" s="468">
        <v>15606000</v>
      </c>
      <c r="N60" s="468">
        <f>+'Expenses ICT'!G22</f>
        <v>16910000</v>
      </c>
      <c r="O60" s="468">
        <v>15606000</v>
      </c>
      <c r="P60" s="468">
        <f>+'Expenses ICT'!H22</f>
        <v>16910000</v>
      </c>
      <c r="Q60" s="468">
        <v>528000</v>
      </c>
      <c r="R60" s="468">
        <f>+'Expenses ICT'!I22</f>
        <v>16910000</v>
      </c>
      <c r="S60" s="468">
        <v>1500000</v>
      </c>
      <c r="T60" s="468">
        <f>+'Expenses ICT'!J22</f>
        <v>16910000</v>
      </c>
      <c r="U60" s="468">
        <v>15670890</v>
      </c>
      <c r="V60" s="468">
        <f>+'Expenses ICT'!K22</f>
        <v>16910000</v>
      </c>
      <c r="W60" s="468">
        <v>19430600</v>
      </c>
      <c r="X60" s="468">
        <f>+'Expenses ICT'!L22</f>
        <v>16910000</v>
      </c>
      <c r="Y60" s="468">
        <v>5678000</v>
      </c>
      <c r="Z60" s="468">
        <f>+'Expenses ICT'!M22</f>
        <v>16910000</v>
      </c>
      <c r="AA60" s="468">
        <v>7894500</v>
      </c>
      <c r="AB60" s="468">
        <f t="shared" si="44"/>
        <v>202920000</v>
      </c>
      <c r="AC60" s="560">
        <f t="shared" si="45"/>
        <v>223212000.00000003</v>
      </c>
      <c r="AD60" s="560">
        <f t="shared" si="45"/>
        <v>245533200.00000006</v>
      </c>
      <c r="AE60" s="560">
        <f t="shared" si="45"/>
        <v>270086520.00000006</v>
      </c>
      <c r="AF60" s="575">
        <f t="shared" si="2"/>
        <v>145402506</v>
      </c>
    </row>
    <row r="61" spans="1:32" ht="18.399999999999999" customHeight="1" x14ac:dyDescent="0.2">
      <c r="A61" s="445">
        <v>4</v>
      </c>
      <c r="B61" s="464" t="s">
        <v>47</v>
      </c>
      <c r="C61" s="474" t="s">
        <v>217</v>
      </c>
      <c r="D61" s="468">
        <f>+'Expenses ICT'!B17</f>
        <v>6650000</v>
      </c>
      <c r="E61" s="468"/>
      <c r="F61" s="468">
        <f>+'Expenses ICT'!C17</f>
        <v>0</v>
      </c>
      <c r="G61" s="468"/>
      <c r="H61" s="468">
        <f>+'Expenses ICT'!D17</f>
        <v>0</v>
      </c>
      <c r="I61" s="468"/>
      <c r="J61" s="468">
        <f>+'Expenses ICT'!E17</f>
        <v>0</v>
      </c>
      <c r="K61" s="468"/>
      <c r="L61" s="468">
        <f>+'Expenses ICT'!F17</f>
        <v>0</v>
      </c>
      <c r="M61" s="468"/>
      <c r="N61" s="468">
        <f>+'Expenses ICT'!G17</f>
        <v>0</v>
      </c>
      <c r="O61" s="468"/>
      <c r="P61" s="468">
        <f>+'Expenses ICT'!H17</f>
        <v>6650000</v>
      </c>
      <c r="Q61" s="468"/>
      <c r="R61" s="468">
        <f>+'Expenses ICT'!I17</f>
        <v>0</v>
      </c>
      <c r="S61" s="468"/>
      <c r="T61" s="468">
        <f>+'Expenses ICT'!J17</f>
        <v>0</v>
      </c>
      <c r="U61" s="468"/>
      <c r="V61" s="468">
        <f>+'Expenses ICT'!K17</f>
        <v>0</v>
      </c>
      <c r="W61" s="468"/>
      <c r="X61" s="468">
        <f>+'Expenses ICT'!L17</f>
        <v>0</v>
      </c>
      <c r="Y61" s="468"/>
      <c r="Z61" s="468">
        <f>+'Expenses ICT'!M17</f>
        <v>0</v>
      </c>
      <c r="AA61" s="468"/>
      <c r="AB61" s="468">
        <f t="shared" si="44"/>
        <v>13300000</v>
      </c>
      <c r="AC61" s="560">
        <f t="shared" si="45"/>
        <v>14630000.000000002</v>
      </c>
      <c r="AD61" s="560">
        <f t="shared" si="45"/>
        <v>16093000.000000004</v>
      </c>
      <c r="AE61" s="560">
        <f t="shared" si="45"/>
        <v>17702300.000000004</v>
      </c>
      <c r="AF61" s="575">
        <f t="shared" si="2"/>
        <v>0</v>
      </c>
    </row>
    <row r="62" spans="1:32" ht="18.399999999999999" customHeight="1" x14ac:dyDescent="0.2">
      <c r="A62" s="445">
        <v>5</v>
      </c>
      <c r="B62" s="464" t="s">
        <v>53</v>
      </c>
      <c r="C62" s="474" t="s">
        <v>112</v>
      </c>
      <c r="D62" s="468">
        <v>0</v>
      </c>
      <c r="E62" s="468"/>
      <c r="F62" s="468">
        <f>+'Expenses ICT'!C18</f>
        <v>0</v>
      </c>
      <c r="G62" s="468"/>
      <c r="H62" s="468">
        <f>+'Expenses ICT'!D18</f>
        <v>4750000</v>
      </c>
      <c r="I62" s="468"/>
      <c r="J62" s="468">
        <f>+'Expenses ICT'!E18</f>
        <v>0</v>
      </c>
      <c r="K62" s="468"/>
      <c r="L62" s="468">
        <f>+'Expenses ICT'!F18</f>
        <v>0</v>
      </c>
      <c r="M62" s="468"/>
      <c r="N62" s="468">
        <f>+'Expenses ICT'!G18</f>
        <v>0</v>
      </c>
      <c r="O62" s="468"/>
      <c r="P62" s="468">
        <f>+'Expenses ICT'!H18</f>
        <v>4750000</v>
      </c>
      <c r="Q62" s="468"/>
      <c r="R62" s="468">
        <f>+'Expenses ICT'!I18</f>
        <v>0</v>
      </c>
      <c r="S62" s="468"/>
      <c r="T62" s="468">
        <f>+'Expenses ICT'!J18</f>
        <v>0</v>
      </c>
      <c r="U62" s="468"/>
      <c r="V62" s="468">
        <f>+'Expenses ICT'!K18</f>
        <v>0</v>
      </c>
      <c r="W62" s="468"/>
      <c r="X62" s="468">
        <f>+'Expenses ICT'!L18</f>
        <v>4750000</v>
      </c>
      <c r="Y62" s="468"/>
      <c r="Z62" s="468">
        <f>+'Expenses ICT'!M18</f>
        <v>0</v>
      </c>
      <c r="AA62" s="468"/>
      <c r="AB62" s="468">
        <f t="shared" si="44"/>
        <v>14250000</v>
      </c>
      <c r="AC62" s="560">
        <f t="shared" si="45"/>
        <v>15675000.000000002</v>
      </c>
      <c r="AD62" s="560">
        <f t="shared" si="45"/>
        <v>17242500.000000004</v>
      </c>
      <c r="AE62" s="560">
        <f t="shared" si="45"/>
        <v>18966750.000000007</v>
      </c>
      <c r="AF62" s="575">
        <f t="shared" si="2"/>
        <v>0</v>
      </c>
    </row>
    <row r="63" spans="1:32" ht="18.399999999999999" customHeight="1" x14ac:dyDescent="0.2">
      <c r="A63" s="445"/>
      <c r="B63" s="464" t="s">
        <v>36</v>
      </c>
      <c r="C63" s="474" t="s">
        <v>113</v>
      </c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468"/>
      <c r="Q63" s="468"/>
      <c r="R63" s="468"/>
      <c r="S63" s="468"/>
      <c r="T63" s="468"/>
      <c r="U63" s="468"/>
      <c r="V63" s="468"/>
      <c r="W63" s="468"/>
      <c r="X63" s="468"/>
      <c r="Y63" s="468"/>
      <c r="Z63" s="468"/>
      <c r="AA63" s="468"/>
      <c r="AB63" s="468">
        <f t="shared" si="44"/>
        <v>0</v>
      </c>
      <c r="AC63" s="560">
        <f t="shared" si="45"/>
        <v>0</v>
      </c>
      <c r="AD63" s="560">
        <f t="shared" si="45"/>
        <v>0</v>
      </c>
      <c r="AE63" s="560">
        <f t="shared" si="45"/>
        <v>0</v>
      </c>
      <c r="AF63" s="575">
        <f t="shared" si="2"/>
        <v>0</v>
      </c>
    </row>
    <row r="64" spans="1:32" s="2" customFormat="1" ht="18.399999999999999" customHeight="1" x14ac:dyDescent="0.2">
      <c r="A64" s="445"/>
      <c r="B64" s="464"/>
      <c r="C64" s="486" t="s">
        <v>114</v>
      </c>
      <c r="D64" s="487">
        <f t="shared" ref="D64:I64" si="46">SUM(D58:D63)</f>
        <v>26134500</v>
      </c>
      <c r="E64" s="487">
        <f t="shared" si="46"/>
        <v>14106000</v>
      </c>
      <c r="F64" s="487">
        <f t="shared" si="46"/>
        <v>17584500</v>
      </c>
      <c r="G64" s="487">
        <f t="shared" si="46"/>
        <v>20455516</v>
      </c>
      <c r="H64" s="487">
        <f t="shared" si="46"/>
        <v>22334500</v>
      </c>
      <c r="I64" s="487">
        <f t="shared" si="46"/>
        <v>16061000</v>
      </c>
      <c r="J64" s="487">
        <f t="shared" ref="J64:AE64" si="47">SUM(J58:J63)</f>
        <v>17584500</v>
      </c>
      <c r="K64" s="487">
        <f t="shared" si="47"/>
        <v>15606000</v>
      </c>
      <c r="L64" s="487">
        <f t="shared" si="47"/>
        <v>17584500</v>
      </c>
      <c r="M64" s="487">
        <f t="shared" si="47"/>
        <v>15606000</v>
      </c>
      <c r="N64" s="487">
        <f t="shared" si="47"/>
        <v>17584500</v>
      </c>
      <c r="O64" s="487">
        <f t="shared" si="47"/>
        <v>15606000</v>
      </c>
      <c r="P64" s="487">
        <f t="shared" si="47"/>
        <v>28984500</v>
      </c>
      <c r="Q64" s="487">
        <f t="shared" si="47"/>
        <v>528000</v>
      </c>
      <c r="R64" s="487">
        <f t="shared" si="47"/>
        <v>17584500</v>
      </c>
      <c r="S64" s="487">
        <f t="shared" si="47"/>
        <v>1500000</v>
      </c>
      <c r="T64" s="487">
        <f t="shared" si="47"/>
        <v>17584500</v>
      </c>
      <c r="U64" s="487">
        <f t="shared" si="47"/>
        <v>15670890</v>
      </c>
      <c r="V64" s="487">
        <f t="shared" si="47"/>
        <v>17584500</v>
      </c>
      <c r="W64" s="487">
        <f t="shared" si="47"/>
        <v>19430600</v>
      </c>
      <c r="X64" s="487">
        <f t="shared" si="47"/>
        <v>22334500</v>
      </c>
      <c r="Y64" s="487">
        <f t="shared" si="47"/>
        <v>5678000</v>
      </c>
      <c r="Z64" s="487">
        <f t="shared" si="47"/>
        <v>17584500</v>
      </c>
      <c r="AA64" s="487">
        <f t="shared" si="47"/>
        <v>7894500</v>
      </c>
      <c r="AB64" s="487">
        <f t="shared" si="47"/>
        <v>240464000</v>
      </c>
      <c r="AC64" s="487">
        <f t="shared" si="47"/>
        <v>264510400.00000003</v>
      </c>
      <c r="AD64" s="487">
        <f t="shared" si="47"/>
        <v>290961440.00000006</v>
      </c>
      <c r="AE64" s="487">
        <f t="shared" si="47"/>
        <v>320057584.00000006</v>
      </c>
      <c r="AF64" s="575">
        <f t="shared" si="2"/>
        <v>148142506</v>
      </c>
    </row>
    <row r="65" spans="1:32" s="27" customFormat="1" ht="18.399999999999999" customHeight="1" x14ac:dyDescent="0.2">
      <c r="A65" s="439">
        <v>1</v>
      </c>
      <c r="B65" s="464" t="s">
        <v>47</v>
      </c>
      <c r="C65" s="474" t="s">
        <v>217</v>
      </c>
      <c r="D65" s="468"/>
      <c r="E65" s="468"/>
      <c r="F65" s="468"/>
      <c r="G65" s="468"/>
      <c r="H65" s="468"/>
      <c r="I65" s="468"/>
      <c r="J65" s="468"/>
      <c r="K65" s="468"/>
      <c r="L65" s="468"/>
      <c r="M65" s="468"/>
      <c r="N65" s="468"/>
      <c r="O65" s="468"/>
      <c r="P65" s="468"/>
      <c r="Q65" s="468"/>
      <c r="R65" s="468"/>
      <c r="S65" s="468"/>
      <c r="T65" s="468"/>
      <c r="U65" s="468"/>
      <c r="V65" s="468"/>
      <c r="W65" s="468"/>
      <c r="X65" s="468"/>
      <c r="Y65" s="468"/>
      <c r="Z65" s="468"/>
      <c r="AA65" s="468"/>
      <c r="AB65" s="468">
        <f>Z65+X65+V65++T65+R65+P65+N65+L65+J65+H65+F65+D65</f>
        <v>0</v>
      </c>
      <c r="AC65" s="560">
        <f t="shared" ref="AC65:AE66" si="48">AB65*1.1</f>
        <v>0</v>
      </c>
      <c r="AD65" s="560">
        <f t="shared" si="48"/>
        <v>0</v>
      </c>
      <c r="AE65" s="560">
        <f t="shared" si="48"/>
        <v>0</v>
      </c>
      <c r="AF65" s="575">
        <f>E65+G65+I65+K65+M65+O65+Q65+S65+U65+W65+Y65+AA65</f>
        <v>0</v>
      </c>
    </row>
    <row r="66" spans="1:32" s="27" customFormat="1" ht="18.399999999999999" customHeight="1" x14ac:dyDescent="0.2">
      <c r="A66" s="439">
        <v>2</v>
      </c>
      <c r="B66" s="464" t="s">
        <v>53</v>
      </c>
      <c r="C66" s="474" t="s">
        <v>112</v>
      </c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68"/>
      <c r="O66" s="468"/>
      <c r="P66" s="468"/>
      <c r="Q66" s="468"/>
      <c r="R66" s="468"/>
      <c r="S66" s="468"/>
      <c r="T66" s="468"/>
      <c r="U66" s="468"/>
      <c r="V66" s="468"/>
      <c r="W66" s="468"/>
      <c r="X66" s="468"/>
      <c r="Y66" s="468"/>
      <c r="Z66" s="468"/>
      <c r="AA66" s="468"/>
      <c r="AB66" s="468">
        <f>Z66+X66+V66++T66+R66+P66+N66+L66+J66+H66+F66+D66</f>
        <v>0</v>
      </c>
      <c r="AC66" s="560">
        <f t="shared" si="48"/>
        <v>0</v>
      </c>
      <c r="AD66" s="560">
        <f t="shared" si="48"/>
        <v>0</v>
      </c>
      <c r="AE66" s="560">
        <f t="shared" si="48"/>
        <v>0</v>
      </c>
      <c r="AF66" s="575">
        <f t="shared" si="2"/>
        <v>0</v>
      </c>
    </row>
    <row r="67" spans="1:32" s="2" customFormat="1" ht="18.399999999999999" customHeight="1" x14ac:dyDescent="0.2">
      <c r="A67" s="493"/>
      <c r="B67" s="498"/>
      <c r="C67" s="486" t="s">
        <v>115</v>
      </c>
      <c r="D67" s="487">
        <f t="shared" ref="D67:I67" si="49">SUM(D65:D66)</f>
        <v>0</v>
      </c>
      <c r="E67" s="487">
        <f t="shared" si="49"/>
        <v>0</v>
      </c>
      <c r="F67" s="487">
        <f t="shared" si="49"/>
        <v>0</v>
      </c>
      <c r="G67" s="487">
        <f t="shared" si="49"/>
        <v>0</v>
      </c>
      <c r="H67" s="487">
        <f t="shared" si="49"/>
        <v>0</v>
      </c>
      <c r="I67" s="487">
        <f t="shared" si="49"/>
        <v>0</v>
      </c>
      <c r="J67" s="487">
        <f t="shared" ref="J67:AE67" si="50">SUM(J65:J66)</f>
        <v>0</v>
      </c>
      <c r="K67" s="487">
        <f t="shared" si="50"/>
        <v>0</v>
      </c>
      <c r="L67" s="487">
        <f t="shared" si="50"/>
        <v>0</v>
      </c>
      <c r="M67" s="487">
        <f t="shared" si="50"/>
        <v>0</v>
      </c>
      <c r="N67" s="487">
        <f t="shared" si="50"/>
        <v>0</v>
      </c>
      <c r="O67" s="487">
        <f t="shared" si="50"/>
        <v>0</v>
      </c>
      <c r="P67" s="487">
        <f t="shared" si="50"/>
        <v>0</v>
      </c>
      <c r="Q67" s="487">
        <f t="shared" si="50"/>
        <v>0</v>
      </c>
      <c r="R67" s="487">
        <f t="shared" si="50"/>
        <v>0</v>
      </c>
      <c r="S67" s="487">
        <f t="shared" si="50"/>
        <v>0</v>
      </c>
      <c r="T67" s="487">
        <f t="shared" si="50"/>
        <v>0</v>
      </c>
      <c r="U67" s="487">
        <f t="shared" si="50"/>
        <v>0</v>
      </c>
      <c r="V67" s="487">
        <f t="shared" si="50"/>
        <v>0</v>
      </c>
      <c r="W67" s="487">
        <f t="shared" si="50"/>
        <v>0</v>
      </c>
      <c r="X67" s="487">
        <f t="shared" si="50"/>
        <v>0</v>
      </c>
      <c r="Y67" s="487">
        <f t="shared" si="50"/>
        <v>0</v>
      </c>
      <c r="Z67" s="487">
        <f t="shared" si="50"/>
        <v>0</v>
      </c>
      <c r="AA67" s="487">
        <f t="shared" si="50"/>
        <v>0</v>
      </c>
      <c r="AB67" s="487">
        <f t="shared" si="50"/>
        <v>0</v>
      </c>
      <c r="AC67" s="487">
        <f t="shared" si="50"/>
        <v>0</v>
      </c>
      <c r="AD67" s="487">
        <f t="shared" si="50"/>
        <v>0</v>
      </c>
      <c r="AE67" s="487">
        <f t="shared" si="50"/>
        <v>0</v>
      </c>
      <c r="AF67" s="575">
        <f t="shared" si="2"/>
        <v>0</v>
      </c>
    </row>
    <row r="68" spans="1:32" ht="18.399999999999999" customHeight="1" x14ac:dyDescent="0.2">
      <c r="A68" s="445">
        <v>1</v>
      </c>
      <c r="B68" s="464" t="s">
        <v>47</v>
      </c>
      <c r="C68" s="475" t="s">
        <v>217</v>
      </c>
      <c r="D68" s="468">
        <f>+'AND 1'!D68</f>
        <v>3000000</v>
      </c>
      <c r="E68" s="468"/>
      <c r="F68" s="468">
        <f>+'AND 1'!F68</f>
        <v>3000000</v>
      </c>
      <c r="G68" s="468"/>
      <c r="H68" s="468">
        <f>+'AND 1'!H68</f>
        <v>3000000</v>
      </c>
      <c r="I68" s="468"/>
      <c r="J68" s="468">
        <f>+'AND 1'!J68</f>
        <v>3000000</v>
      </c>
      <c r="K68" s="468"/>
      <c r="L68" s="468">
        <f>+'AND 1'!L68</f>
        <v>3000000</v>
      </c>
      <c r="M68" s="468"/>
      <c r="N68" s="468">
        <f>+'AND 1'!N68</f>
        <v>3000000</v>
      </c>
      <c r="O68" s="468"/>
      <c r="P68" s="468">
        <f>+'AND 1'!P68</f>
        <v>3000000</v>
      </c>
      <c r="Q68" s="468"/>
      <c r="R68" s="468">
        <f>+'AND 1'!R68</f>
        <v>3000000</v>
      </c>
      <c r="S68" s="468"/>
      <c r="T68" s="468">
        <f>+'AND 1'!T68</f>
        <v>3000000</v>
      </c>
      <c r="U68" s="468"/>
      <c r="V68" s="468">
        <f>+'AND 1'!V68</f>
        <v>3000000</v>
      </c>
      <c r="W68" s="468"/>
      <c r="X68" s="468">
        <f>+'AND 1'!X68</f>
        <v>3000000</v>
      </c>
      <c r="Y68" s="468"/>
      <c r="Z68" s="468">
        <f>+'AND 1'!Z68</f>
        <v>3000000</v>
      </c>
      <c r="AA68" s="468"/>
      <c r="AB68" s="468">
        <f>Z68+X68+V68++T68+R68+P68+N68+L68+J68+H68+F68+D68</f>
        <v>36000000</v>
      </c>
      <c r="AC68" s="560">
        <f t="shared" ref="AC68:AE72" si="51">AB68*1.1</f>
        <v>39600000</v>
      </c>
      <c r="AD68" s="560">
        <f t="shared" si="51"/>
        <v>43560000</v>
      </c>
      <c r="AE68" s="560">
        <f t="shared" si="51"/>
        <v>47916000.000000007</v>
      </c>
      <c r="AF68" s="575">
        <f t="shared" si="2"/>
        <v>0</v>
      </c>
    </row>
    <row r="69" spans="1:32" ht="18.399999999999999" customHeight="1" x14ac:dyDescent="0.2">
      <c r="A69" s="445">
        <v>2</v>
      </c>
      <c r="B69" s="464" t="s">
        <v>47</v>
      </c>
      <c r="C69" s="490" t="s">
        <v>116</v>
      </c>
      <c r="D69" s="468">
        <f>+'AND 1'!D69</f>
        <v>0</v>
      </c>
      <c r="E69" s="468"/>
      <c r="F69" s="468">
        <f>+'AND 1'!F69</f>
        <v>0</v>
      </c>
      <c r="G69" s="468"/>
      <c r="H69" s="468">
        <f>+'AND 1'!H69</f>
        <v>0</v>
      </c>
      <c r="I69" s="468"/>
      <c r="J69" s="468">
        <f>+'AND 1'!J69</f>
        <v>0</v>
      </c>
      <c r="K69" s="468"/>
      <c r="L69" s="468">
        <f>+'AND 1'!L69</f>
        <v>0</v>
      </c>
      <c r="M69" s="468"/>
      <c r="N69" s="468">
        <f>+'AND 1'!N69</f>
        <v>0</v>
      </c>
      <c r="O69" s="468"/>
      <c r="P69" s="468">
        <f>+'AND 1'!P69</f>
        <v>0</v>
      </c>
      <c r="Q69" s="468"/>
      <c r="R69" s="468">
        <f>+'AND 1'!R69</f>
        <v>0</v>
      </c>
      <c r="S69" s="468"/>
      <c r="T69" s="468">
        <f>+'AND 1'!T69</f>
        <v>0</v>
      </c>
      <c r="U69" s="468"/>
      <c r="V69" s="468">
        <f>+'AND 1'!V69</f>
        <v>0</v>
      </c>
      <c r="W69" s="468"/>
      <c r="X69" s="468">
        <f>+'AND 1'!X69</f>
        <v>0</v>
      </c>
      <c r="Y69" s="468"/>
      <c r="Z69" s="468">
        <f>+'AND 1'!Z69</f>
        <v>0</v>
      </c>
      <c r="AA69" s="468"/>
      <c r="AB69" s="468">
        <f>Z69+X69+V69++T69+R69+P69+N69+L69+J69+H69+F69+D69</f>
        <v>0</v>
      </c>
      <c r="AC69" s="560">
        <f t="shared" si="51"/>
        <v>0</v>
      </c>
      <c r="AD69" s="560">
        <f t="shared" si="51"/>
        <v>0</v>
      </c>
      <c r="AE69" s="560">
        <f t="shared" si="51"/>
        <v>0</v>
      </c>
      <c r="AF69" s="575">
        <f t="shared" si="2"/>
        <v>0</v>
      </c>
    </row>
    <row r="70" spans="1:32" ht="18.399999999999999" customHeight="1" x14ac:dyDescent="0.2">
      <c r="A70" s="445">
        <v>3</v>
      </c>
      <c r="B70" s="464" t="s">
        <v>36</v>
      </c>
      <c r="C70" s="475" t="s">
        <v>117</v>
      </c>
      <c r="D70" s="468">
        <f>+'AND 1'!D70</f>
        <v>0</v>
      </c>
      <c r="E70" s="468"/>
      <c r="F70" s="468">
        <f>+'AND 1'!F70</f>
        <v>0</v>
      </c>
      <c r="G70" s="468"/>
      <c r="H70" s="468">
        <f>+'AND 1'!H70</f>
        <v>0</v>
      </c>
      <c r="I70" s="468"/>
      <c r="J70" s="468">
        <f>+'AND 1'!J70</f>
        <v>0</v>
      </c>
      <c r="K70" s="468"/>
      <c r="L70" s="468">
        <f>+'AND 1'!L70</f>
        <v>75000000</v>
      </c>
      <c r="M70" s="468"/>
      <c r="N70" s="468">
        <f>+'AND 1'!N70</f>
        <v>0</v>
      </c>
      <c r="O70" s="468"/>
      <c r="P70" s="468">
        <f>+'AND 1'!P70</f>
        <v>0</v>
      </c>
      <c r="Q70" s="468"/>
      <c r="R70" s="468">
        <f>+'AND 1'!R70</f>
        <v>0</v>
      </c>
      <c r="S70" s="468"/>
      <c r="T70" s="468">
        <f>+'AND 1'!T70</f>
        <v>0</v>
      </c>
      <c r="U70" s="468"/>
      <c r="V70" s="468">
        <f>+'AND 1'!V70</f>
        <v>0</v>
      </c>
      <c r="W70" s="468"/>
      <c r="X70" s="468">
        <f>+'AND 1'!X70</f>
        <v>0</v>
      </c>
      <c r="Y70" s="468"/>
      <c r="Z70" s="468">
        <f>+'AND 1'!Z70</f>
        <v>0</v>
      </c>
      <c r="AA70" s="468"/>
      <c r="AB70" s="468">
        <f>Z70+X70+V70++T70+R70+P70+N70+L70+J70+H70+F70+D70</f>
        <v>75000000</v>
      </c>
      <c r="AC70" s="560">
        <f t="shared" si="51"/>
        <v>82500000</v>
      </c>
      <c r="AD70" s="560">
        <f t="shared" si="51"/>
        <v>90750000</v>
      </c>
      <c r="AE70" s="560">
        <f t="shared" si="51"/>
        <v>99825000.000000015</v>
      </c>
      <c r="AF70" s="575">
        <f t="shared" si="2"/>
        <v>0</v>
      </c>
    </row>
    <row r="71" spans="1:32" ht="18.399999999999999" customHeight="1" x14ac:dyDescent="0.2">
      <c r="A71" s="445">
        <v>4</v>
      </c>
      <c r="B71" s="464" t="s">
        <v>47</v>
      </c>
      <c r="C71" s="475" t="s">
        <v>118</v>
      </c>
      <c r="D71" s="468">
        <f>+'AND 1'!D71</f>
        <v>0</v>
      </c>
      <c r="E71" s="468"/>
      <c r="F71" s="468">
        <f>+'AND 1'!F71</f>
        <v>0</v>
      </c>
      <c r="G71" s="468"/>
      <c r="H71" s="468">
        <f>+'AND 1'!H71</f>
        <v>15000000</v>
      </c>
      <c r="I71" s="468"/>
      <c r="J71" s="468">
        <f>+'AND 1'!J71</f>
        <v>0</v>
      </c>
      <c r="K71" s="468"/>
      <c r="L71" s="468">
        <f>+'AND 1'!L71</f>
        <v>0</v>
      </c>
      <c r="M71" s="468"/>
      <c r="N71" s="468">
        <f>+'AND 1'!N71</f>
        <v>0</v>
      </c>
      <c r="O71" s="468"/>
      <c r="P71" s="468">
        <f>+'AND 1'!P71</f>
        <v>0</v>
      </c>
      <c r="Q71" s="468"/>
      <c r="R71" s="468">
        <f>+'AND 1'!R71</f>
        <v>0</v>
      </c>
      <c r="S71" s="468"/>
      <c r="T71" s="468">
        <f>+'AND 1'!T71</f>
        <v>0</v>
      </c>
      <c r="U71" s="468"/>
      <c r="V71" s="468">
        <f>+'AND 1'!V71</f>
        <v>0</v>
      </c>
      <c r="W71" s="468"/>
      <c r="X71" s="468">
        <f>+'AND 1'!X71</f>
        <v>0</v>
      </c>
      <c r="Y71" s="468"/>
      <c r="Z71" s="468">
        <f>+'AND 1'!Z71</f>
        <v>0</v>
      </c>
      <c r="AA71" s="468"/>
      <c r="AB71" s="468">
        <f>Z71+X71+V71++T71+R71+P71+N71+L71+J71+H71+F71+D71</f>
        <v>15000000</v>
      </c>
      <c r="AC71" s="560">
        <f t="shared" si="51"/>
        <v>16500000.000000002</v>
      </c>
      <c r="AD71" s="560">
        <f t="shared" si="51"/>
        <v>18150000.000000004</v>
      </c>
      <c r="AE71" s="560">
        <f t="shared" si="51"/>
        <v>19965000.000000007</v>
      </c>
      <c r="AF71" s="575">
        <f t="shared" ref="AF71:AF134" si="52">E71+G71+I71+K71+M71+O71+Q71+S71+U71+W71+Y71+AA71</f>
        <v>0</v>
      </c>
    </row>
    <row r="72" spans="1:32" ht="18.399999999999999" customHeight="1" x14ac:dyDescent="0.2">
      <c r="A72" s="445">
        <v>5</v>
      </c>
      <c r="B72" s="464" t="s">
        <v>47</v>
      </c>
      <c r="C72" s="475" t="s">
        <v>119</v>
      </c>
      <c r="D72" s="468">
        <f>+'AND 1'!D72</f>
        <v>1000000</v>
      </c>
      <c r="E72" s="468"/>
      <c r="F72" s="468">
        <f>+'AND 1'!F72</f>
        <v>1000000</v>
      </c>
      <c r="G72" s="468"/>
      <c r="H72" s="468">
        <f>+'AND 1'!H72</f>
        <v>1000000</v>
      </c>
      <c r="I72" s="468"/>
      <c r="J72" s="468">
        <f>+'AND 1'!J72</f>
        <v>1000000</v>
      </c>
      <c r="K72" s="468"/>
      <c r="L72" s="468">
        <f>+'AND 1'!L72</f>
        <v>1000000</v>
      </c>
      <c r="M72" s="468"/>
      <c r="N72" s="468">
        <f>+'AND 1'!N72</f>
        <v>1000000</v>
      </c>
      <c r="O72" s="468"/>
      <c r="P72" s="468">
        <f>+'AND 1'!P72</f>
        <v>1000000</v>
      </c>
      <c r="Q72" s="468"/>
      <c r="R72" s="468">
        <f>+'AND 1'!R72</f>
        <v>1000000</v>
      </c>
      <c r="S72" s="468"/>
      <c r="T72" s="468">
        <f>+'AND 1'!T72</f>
        <v>1000000</v>
      </c>
      <c r="U72" s="468"/>
      <c r="V72" s="468">
        <f>+'AND 1'!V72</f>
        <v>1000000</v>
      </c>
      <c r="W72" s="468"/>
      <c r="X72" s="468">
        <f>+'AND 1'!X72</f>
        <v>1000000</v>
      </c>
      <c r="Y72" s="468"/>
      <c r="Z72" s="468">
        <f>+'AND 1'!Z72</f>
        <v>1000000</v>
      </c>
      <c r="AA72" s="468"/>
      <c r="AB72" s="468">
        <f>Z72+X72+V72++T72+R72+P72+N72+L72+J72+H72+F72+D72</f>
        <v>12000000</v>
      </c>
      <c r="AC72" s="560">
        <f t="shared" si="51"/>
        <v>13200000.000000002</v>
      </c>
      <c r="AD72" s="560">
        <f t="shared" si="51"/>
        <v>14520000.000000004</v>
      </c>
      <c r="AE72" s="560">
        <f t="shared" si="51"/>
        <v>15972000.000000006</v>
      </c>
      <c r="AF72" s="575">
        <f t="shared" si="52"/>
        <v>0</v>
      </c>
    </row>
    <row r="73" spans="1:32" s="2" customFormat="1" ht="18.399999999999999" customHeight="1" x14ac:dyDescent="0.2">
      <c r="A73" s="493"/>
      <c r="B73" s="567"/>
      <c r="C73" s="486" t="s">
        <v>120</v>
      </c>
      <c r="D73" s="487">
        <f t="shared" ref="D73:I73" si="53">SUM(D68:D72)</f>
        <v>4000000</v>
      </c>
      <c r="E73" s="487">
        <f t="shared" si="53"/>
        <v>0</v>
      </c>
      <c r="F73" s="487">
        <f t="shared" si="53"/>
        <v>4000000</v>
      </c>
      <c r="G73" s="487">
        <f t="shared" si="53"/>
        <v>0</v>
      </c>
      <c r="H73" s="487">
        <f t="shared" si="53"/>
        <v>19000000</v>
      </c>
      <c r="I73" s="487">
        <f t="shared" si="53"/>
        <v>0</v>
      </c>
      <c r="J73" s="487">
        <f t="shared" ref="J73:AE73" si="54">SUM(J68:J72)</f>
        <v>4000000</v>
      </c>
      <c r="K73" s="487">
        <f t="shared" si="54"/>
        <v>0</v>
      </c>
      <c r="L73" s="487">
        <f t="shared" si="54"/>
        <v>79000000</v>
      </c>
      <c r="M73" s="487">
        <f t="shared" si="54"/>
        <v>0</v>
      </c>
      <c r="N73" s="487">
        <f t="shared" si="54"/>
        <v>4000000</v>
      </c>
      <c r="O73" s="487">
        <f t="shared" si="54"/>
        <v>0</v>
      </c>
      <c r="P73" s="487">
        <f t="shared" si="54"/>
        <v>4000000</v>
      </c>
      <c r="Q73" s="487">
        <f t="shared" si="54"/>
        <v>0</v>
      </c>
      <c r="R73" s="487">
        <f t="shared" si="54"/>
        <v>4000000</v>
      </c>
      <c r="S73" s="487">
        <f t="shared" si="54"/>
        <v>0</v>
      </c>
      <c r="T73" s="487">
        <f t="shared" si="54"/>
        <v>4000000</v>
      </c>
      <c r="U73" s="487">
        <f t="shared" si="54"/>
        <v>0</v>
      </c>
      <c r="V73" s="487">
        <f t="shared" si="54"/>
        <v>4000000</v>
      </c>
      <c r="W73" s="487">
        <f t="shared" si="54"/>
        <v>0</v>
      </c>
      <c r="X73" s="487">
        <f t="shared" si="54"/>
        <v>4000000</v>
      </c>
      <c r="Y73" s="487">
        <f t="shared" si="54"/>
        <v>0</v>
      </c>
      <c r="Z73" s="487">
        <f t="shared" si="54"/>
        <v>4000000</v>
      </c>
      <c r="AA73" s="487">
        <f t="shared" si="54"/>
        <v>0</v>
      </c>
      <c r="AB73" s="487">
        <f t="shared" si="54"/>
        <v>138000000</v>
      </c>
      <c r="AC73" s="487">
        <f t="shared" si="54"/>
        <v>151800000</v>
      </c>
      <c r="AD73" s="487">
        <f t="shared" si="54"/>
        <v>166980000</v>
      </c>
      <c r="AE73" s="487">
        <f t="shared" si="54"/>
        <v>183678000.00000003</v>
      </c>
      <c r="AF73" s="575">
        <f t="shared" si="52"/>
        <v>0</v>
      </c>
    </row>
    <row r="74" spans="1:32" s="27" customFormat="1" ht="18.399999999999999" customHeight="1" x14ac:dyDescent="0.2">
      <c r="A74" s="499">
        <v>1</v>
      </c>
      <c r="B74" s="464" t="s">
        <v>79</v>
      </c>
      <c r="C74" s="474" t="s">
        <v>121</v>
      </c>
      <c r="D74" s="468">
        <f>+'AND 1'!D74</f>
        <v>6000000</v>
      </c>
      <c r="E74" s="468"/>
      <c r="F74" s="468">
        <f>+'AND 1'!F74</f>
        <v>0</v>
      </c>
      <c r="G74" s="468"/>
      <c r="H74" s="468">
        <f>+'AND 1'!H74</f>
        <v>0</v>
      </c>
      <c r="I74" s="468"/>
      <c r="J74" s="468">
        <f>+'AND 1'!J74</f>
        <v>6000000</v>
      </c>
      <c r="K74" s="468"/>
      <c r="L74" s="468">
        <f>+'AND 1'!L74</f>
        <v>0</v>
      </c>
      <c r="M74" s="468"/>
      <c r="N74" s="468">
        <f>+'AND 1'!N74</f>
        <v>0</v>
      </c>
      <c r="O74" s="468"/>
      <c r="P74" s="468">
        <f>+'AND 1'!P74</f>
        <v>6000000</v>
      </c>
      <c r="Q74" s="468"/>
      <c r="R74" s="468">
        <f>+'AND 1'!R74</f>
        <v>0</v>
      </c>
      <c r="S74" s="468"/>
      <c r="T74" s="468">
        <f>+'AND 1'!T74</f>
        <v>0</v>
      </c>
      <c r="U74" s="468"/>
      <c r="V74" s="468">
        <f>+'AND 1'!V74</f>
        <v>6000000</v>
      </c>
      <c r="W74" s="468"/>
      <c r="X74" s="468">
        <f>+'AND 1'!X74</f>
        <v>6000000</v>
      </c>
      <c r="Y74" s="468"/>
      <c r="Z74" s="468">
        <f>+'AND 1'!Z74</f>
        <v>6000000</v>
      </c>
      <c r="AA74" s="468"/>
      <c r="AB74" s="468">
        <f>Z74+X74+V74++T74+R74+P74+N74+L74+J74+H74+F74+D74</f>
        <v>36000000</v>
      </c>
      <c r="AC74" s="560">
        <f t="shared" ref="AC74:AE77" si="55">AB74*1.1</f>
        <v>39600000</v>
      </c>
      <c r="AD74" s="560">
        <f t="shared" si="55"/>
        <v>43560000</v>
      </c>
      <c r="AE74" s="560">
        <f t="shared" si="55"/>
        <v>47916000.000000007</v>
      </c>
      <c r="AF74" s="575">
        <f t="shared" si="52"/>
        <v>0</v>
      </c>
    </row>
    <row r="75" spans="1:32" s="27" customFormat="1" ht="18.399999999999999" customHeight="1" x14ac:dyDescent="0.2">
      <c r="A75" s="499">
        <v>2</v>
      </c>
      <c r="B75" s="464" t="s">
        <v>79</v>
      </c>
      <c r="C75" s="474" t="s">
        <v>122</v>
      </c>
      <c r="D75" s="468">
        <f>+'AND 1'!D75</f>
        <v>0</v>
      </c>
      <c r="E75" s="468"/>
      <c r="F75" s="468">
        <f>+'AND 1'!F75</f>
        <v>0</v>
      </c>
      <c r="G75" s="468"/>
      <c r="H75" s="468">
        <f>+'AND 1'!H75</f>
        <v>0</v>
      </c>
      <c r="I75" s="468"/>
      <c r="J75" s="468">
        <v>0</v>
      </c>
      <c r="K75" s="468"/>
      <c r="L75" s="468">
        <f>+'AND 1'!L75</f>
        <v>0</v>
      </c>
      <c r="M75" s="468"/>
      <c r="N75" s="468">
        <f>+'AND 1'!N75</f>
        <v>0</v>
      </c>
      <c r="O75" s="468"/>
      <c r="P75" s="468">
        <f>+'AND 1'!P75</f>
        <v>0</v>
      </c>
      <c r="Q75" s="468"/>
      <c r="R75" s="468">
        <f>+'AND 1'!R75</f>
        <v>0</v>
      </c>
      <c r="S75" s="468"/>
      <c r="T75" s="468">
        <f>+'AND 1'!T75</f>
        <v>0</v>
      </c>
      <c r="U75" s="468"/>
      <c r="V75" s="468">
        <f>+'AND 1'!V75</f>
        <v>0</v>
      </c>
      <c r="W75" s="468"/>
      <c r="X75" s="468">
        <f>+'AND 1'!X75</f>
        <v>0</v>
      </c>
      <c r="Y75" s="468"/>
      <c r="Z75" s="468">
        <f>+'AND 1'!Z75</f>
        <v>0</v>
      </c>
      <c r="AA75" s="468"/>
      <c r="AB75" s="468">
        <f>Z75+X75+V75++T75+R75+P75+N75+L75+J75+H75+F75+D75</f>
        <v>0</v>
      </c>
      <c r="AC75" s="560">
        <f t="shared" si="55"/>
        <v>0</v>
      </c>
      <c r="AD75" s="560">
        <f t="shared" si="55"/>
        <v>0</v>
      </c>
      <c r="AE75" s="560">
        <f t="shared" si="55"/>
        <v>0</v>
      </c>
      <c r="AF75" s="575">
        <f t="shared" si="52"/>
        <v>0</v>
      </c>
    </row>
    <row r="76" spans="1:32" s="27" customFormat="1" ht="18.399999999999999" customHeight="1" x14ac:dyDescent="0.2">
      <c r="A76" s="499">
        <v>3</v>
      </c>
      <c r="B76" s="563" t="s">
        <v>33</v>
      </c>
      <c r="C76" s="474" t="s">
        <v>123</v>
      </c>
      <c r="D76" s="468">
        <f>+'AND 1'!D76</f>
        <v>1000000</v>
      </c>
      <c r="E76" s="468"/>
      <c r="F76" s="468">
        <f>+'AND 1'!F76</f>
        <v>1000000</v>
      </c>
      <c r="G76" s="468"/>
      <c r="H76" s="468">
        <f>+'AND 1'!H76</f>
        <v>1000000</v>
      </c>
      <c r="I76" s="468"/>
      <c r="J76" s="468">
        <f>+'AND 1'!J76</f>
        <v>1000000</v>
      </c>
      <c r="K76" s="468"/>
      <c r="L76" s="468">
        <f>+'AND 1'!L76</f>
        <v>1000000</v>
      </c>
      <c r="M76" s="468"/>
      <c r="N76" s="468">
        <f>+'AND 1'!N76</f>
        <v>1000000</v>
      </c>
      <c r="O76" s="468"/>
      <c r="P76" s="468">
        <f>+'AND 1'!P76</f>
        <v>1000000</v>
      </c>
      <c r="Q76" s="468"/>
      <c r="R76" s="468">
        <f>+'AND 1'!R76</f>
        <v>1000000</v>
      </c>
      <c r="S76" s="468"/>
      <c r="T76" s="468">
        <f>+'AND 1'!T76</f>
        <v>1000000</v>
      </c>
      <c r="U76" s="468"/>
      <c r="V76" s="468">
        <f>+'AND 1'!V76</f>
        <v>1000000</v>
      </c>
      <c r="W76" s="468"/>
      <c r="X76" s="468">
        <f>+'AND 1'!X76</f>
        <v>1000000</v>
      </c>
      <c r="Y76" s="468"/>
      <c r="Z76" s="468">
        <f>+'AND 1'!Z76</f>
        <v>1000000</v>
      </c>
      <c r="AA76" s="468"/>
      <c r="AB76" s="468">
        <f>Z76+X76+V76++T76+R76+P76+N76+L76+J76+H76+F76+D76</f>
        <v>12000000</v>
      </c>
      <c r="AC76" s="560">
        <f t="shared" si="55"/>
        <v>13200000.000000002</v>
      </c>
      <c r="AD76" s="560">
        <f t="shared" si="55"/>
        <v>14520000.000000004</v>
      </c>
      <c r="AE76" s="560">
        <f t="shared" si="55"/>
        <v>15972000.000000006</v>
      </c>
      <c r="AF76" s="575">
        <f t="shared" si="52"/>
        <v>0</v>
      </c>
    </row>
    <row r="77" spans="1:32" s="27" customFormat="1" ht="18.399999999999999" customHeight="1" x14ac:dyDescent="0.2">
      <c r="A77" s="499">
        <v>4</v>
      </c>
      <c r="B77" s="563" t="s">
        <v>124</v>
      </c>
      <c r="C77" s="474" t="s">
        <v>125</v>
      </c>
      <c r="D77" s="468">
        <f>+'AND 1'!D77</f>
        <v>500000</v>
      </c>
      <c r="E77" s="468"/>
      <c r="F77" s="468">
        <f>+'AND 1'!F77</f>
        <v>500000</v>
      </c>
      <c r="G77" s="468"/>
      <c r="H77" s="468">
        <f>+'AND 1'!H77</f>
        <v>500000</v>
      </c>
      <c r="I77" s="468"/>
      <c r="J77" s="468">
        <f>+'AND 1'!J77</f>
        <v>500000</v>
      </c>
      <c r="K77" s="468"/>
      <c r="L77" s="468">
        <f>+'AND 1'!L77</f>
        <v>500000</v>
      </c>
      <c r="M77" s="468"/>
      <c r="N77" s="468">
        <f>+'AND 1'!N77</f>
        <v>500000</v>
      </c>
      <c r="O77" s="468"/>
      <c r="P77" s="468">
        <f>+'AND 1'!P77</f>
        <v>500000</v>
      </c>
      <c r="Q77" s="468"/>
      <c r="R77" s="468">
        <f>+'AND 1'!R77</f>
        <v>500000</v>
      </c>
      <c r="S77" s="468"/>
      <c r="T77" s="468">
        <f>+'AND 1'!T77</f>
        <v>500000</v>
      </c>
      <c r="U77" s="468"/>
      <c r="V77" s="468">
        <f>+'AND 1'!V77</f>
        <v>500000</v>
      </c>
      <c r="W77" s="468"/>
      <c r="X77" s="468">
        <f>+'AND 1'!X77</f>
        <v>500000</v>
      </c>
      <c r="Y77" s="468"/>
      <c r="Z77" s="468">
        <f>+'AND 1'!Z77</f>
        <v>500000</v>
      </c>
      <c r="AA77" s="468"/>
      <c r="AB77" s="468">
        <f>Z77+X77+V77++T77+R77+P77+N77+L77+J77+H77+F77+D77</f>
        <v>6000000</v>
      </c>
      <c r="AC77" s="560">
        <f t="shared" si="55"/>
        <v>6600000.0000000009</v>
      </c>
      <c r="AD77" s="560">
        <f t="shared" si="55"/>
        <v>7260000.0000000019</v>
      </c>
      <c r="AE77" s="560">
        <f t="shared" si="55"/>
        <v>7986000.0000000028</v>
      </c>
      <c r="AF77" s="575">
        <f t="shared" si="52"/>
        <v>0</v>
      </c>
    </row>
    <row r="78" spans="1:32" s="2" customFormat="1" ht="18.399999999999999" customHeight="1" x14ac:dyDescent="0.2">
      <c r="A78" s="493"/>
      <c r="B78" s="464"/>
      <c r="C78" s="486" t="s">
        <v>126</v>
      </c>
      <c r="D78" s="487">
        <f t="shared" ref="D78:I78" si="56">SUM(D74:D77)</f>
        <v>7500000</v>
      </c>
      <c r="E78" s="487">
        <f t="shared" si="56"/>
        <v>0</v>
      </c>
      <c r="F78" s="487">
        <f t="shared" si="56"/>
        <v>1500000</v>
      </c>
      <c r="G78" s="487">
        <f t="shared" si="56"/>
        <v>0</v>
      </c>
      <c r="H78" s="487">
        <f t="shared" si="56"/>
        <v>1500000</v>
      </c>
      <c r="I78" s="487">
        <f t="shared" si="56"/>
        <v>0</v>
      </c>
      <c r="J78" s="487">
        <f t="shared" ref="J78:AE78" si="57">SUM(J74:J77)</f>
        <v>7500000</v>
      </c>
      <c r="K78" s="487">
        <f t="shared" si="57"/>
        <v>0</v>
      </c>
      <c r="L78" s="487">
        <f t="shared" si="57"/>
        <v>1500000</v>
      </c>
      <c r="M78" s="487">
        <f t="shared" si="57"/>
        <v>0</v>
      </c>
      <c r="N78" s="487">
        <f t="shared" si="57"/>
        <v>1500000</v>
      </c>
      <c r="O78" s="487">
        <f t="shared" si="57"/>
        <v>0</v>
      </c>
      <c r="P78" s="487">
        <f t="shared" si="57"/>
        <v>7500000</v>
      </c>
      <c r="Q78" s="487">
        <f t="shared" si="57"/>
        <v>0</v>
      </c>
      <c r="R78" s="487">
        <f t="shared" si="57"/>
        <v>1500000</v>
      </c>
      <c r="S78" s="487">
        <f t="shared" si="57"/>
        <v>0</v>
      </c>
      <c r="T78" s="487">
        <f t="shared" si="57"/>
        <v>1500000</v>
      </c>
      <c r="U78" s="487">
        <f t="shared" si="57"/>
        <v>0</v>
      </c>
      <c r="V78" s="487">
        <f t="shared" si="57"/>
        <v>7500000</v>
      </c>
      <c r="W78" s="487">
        <f t="shared" si="57"/>
        <v>0</v>
      </c>
      <c r="X78" s="487">
        <f t="shared" si="57"/>
        <v>7500000</v>
      </c>
      <c r="Y78" s="487">
        <f t="shared" si="57"/>
        <v>0</v>
      </c>
      <c r="Z78" s="487">
        <f t="shared" si="57"/>
        <v>7500000</v>
      </c>
      <c r="AA78" s="487">
        <f t="shared" si="57"/>
        <v>0</v>
      </c>
      <c r="AB78" s="487">
        <f t="shared" si="57"/>
        <v>54000000</v>
      </c>
      <c r="AC78" s="487">
        <f t="shared" si="57"/>
        <v>59400000</v>
      </c>
      <c r="AD78" s="487">
        <f t="shared" si="57"/>
        <v>65340000</v>
      </c>
      <c r="AE78" s="487">
        <f t="shared" si="57"/>
        <v>71874000.000000015</v>
      </c>
      <c r="AF78" s="575">
        <f t="shared" si="52"/>
        <v>0</v>
      </c>
    </row>
    <row r="79" spans="1:32" ht="18.399999999999999" customHeight="1" x14ac:dyDescent="0.2">
      <c r="A79" s="445">
        <v>1</v>
      </c>
      <c r="B79" s="464" t="s">
        <v>57</v>
      </c>
      <c r="C79" s="475" t="s">
        <v>127</v>
      </c>
      <c r="D79" s="468">
        <v>1500000</v>
      </c>
      <c r="E79" s="468"/>
      <c r="F79" s="468">
        <v>1500000</v>
      </c>
      <c r="G79" s="468"/>
      <c r="H79" s="468">
        <v>1500000</v>
      </c>
      <c r="I79" s="468"/>
      <c r="J79" s="468">
        <v>1500000</v>
      </c>
      <c r="K79" s="468"/>
      <c r="L79" s="468">
        <v>1500000</v>
      </c>
      <c r="M79" s="468"/>
      <c r="N79" s="468">
        <v>1500000</v>
      </c>
      <c r="O79" s="468">
        <v>3000000</v>
      </c>
      <c r="P79" s="468">
        <v>1500000</v>
      </c>
      <c r="Q79" s="468">
        <v>30450600</v>
      </c>
      <c r="R79" s="468">
        <v>1500000</v>
      </c>
      <c r="S79" s="468">
        <v>0</v>
      </c>
      <c r="T79" s="468">
        <v>1500000</v>
      </c>
      <c r="U79" s="468">
        <v>64230500</v>
      </c>
      <c r="V79" s="468">
        <v>1500000</v>
      </c>
      <c r="W79" s="468"/>
      <c r="X79" s="468">
        <v>1500000</v>
      </c>
      <c r="Y79" s="468"/>
      <c r="Z79" s="468">
        <v>1500000</v>
      </c>
      <c r="AA79" s="468"/>
      <c r="AB79" s="468">
        <f t="shared" ref="AB79:AB85" si="58">Z79+X79+V79++T79+R79+P79+N79+L79+J79+H79+F79+D79</f>
        <v>18000000</v>
      </c>
      <c r="AC79" s="560">
        <f t="shared" ref="AC79:AE85" si="59">AB79*1.1</f>
        <v>19800000</v>
      </c>
      <c r="AD79" s="560">
        <f t="shared" si="59"/>
        <v>21780000</v>
      </c>
      <c r="AE79" s="560">
        <f t="shared" si="59"/>
        <v>23958000.000000004</v>
      </c>
      <c r="AF79" s="575">
        <f t="shared" si="52"/>
        <v>97681100</v>
      </c>
    </row>
    <row r="80" spans="1:32" ht="18.399999999999999" customHeight="1" x14ac:dyDescent="0.2">
      <c r="A80" s="445">
        <v>2</v>
      </c>
      <c r="B80" s="464" t="s">
        <v>79</v>
      </c>
      <c r="C80" s="475" t="s">
        <v>128</v>
      </c>
      <c r="D80" s="468">
        <v>12500000</v>
      </c>
      <c r="E80" s="468"/>
      <c r="F80" s="468">
        <v>7500000</v>
      </c>
      <c r="G80" s="468"/>
      <c r="H80" s="468">
        <v>7500000</v>
      </c>
      <c r="I80" s="468"/>
      <c r="J80" s="468">
        <v>7500000</v>
      </c>
      <c r="K80" s="468"/>
      <c r="L80" s="468">
        <v>7500000</v>
      </c>
      <c r="M80" s="468">
        <v>2500000</v>
      </c>
      <c r="N80" s="468">
        <v>7500000</v>
      </c>
      <c r="O80" s="468"/>
      <c r="P80" s="468">
        <v>7500000</v>
      </c>
      <c r="Q80" s="468"/>
      <c r="R80" s="468">
        <v>7500000</v>
      </c>
      <c r="S80" s="468"/>
      <c r="T80" s="468">
        <v>7500000</v>
      </c>
      <c r="U80" s="468"/>
      <c r="V80" s="468">
        <v>7500000</v>
      </c>
      <c r="W80" s="468"/>
      <c r="X80" s="468">
        <v>7500000</v>
      </c>
      <c r="Y80" s="468"/>
      <c r="Z80" s="468">
        <v>7500000</v>
      </c>
      <c r="AA80" s="468"/>
      <c r="AB80" s="468">
        <f t="shared" si="58"/>
        <v>95000000</v>
      </c>
      <c r="AC80" s="560">
        <f t="shared" si="59"/>
        <v>104500000.00000001</v>
      </c>
      <c r="AD80" s="560">
        <f t="shared" si="59"/>
        <v>114950000.00000003</v>
      </c>
      <c r="AE80" s="560">
        <f t="shared" si="59"/>
        <v>126445000.00000004</v>
      </c>
      <c r="AF80" s="575">
        <f t="shared" si="52"/>
        <v>2500000</v>
      </c>
    </row>
    <row r="81" spans="1:32" ht="18.399999999999999" customHeight="1" x14ac:dyDescent="0.2">
      <c r="A81" s="445">
        <v>3</v>
      </c>
      <c r="B81" s="464" t="s">
        <v>47</v>
      </c>
      <c r="C81" s="475" t="s">
        <v>217</v>
      </c>
      <c r="D81" s="468">
        <v>2500000</v>
      </c>
      <c r="E81" s="468"/>
      <c r="F81" s="468">
        <v>2500000</v>
      </c>
      <c r="G81" s="468"/>
      <c r="H81" s="468">
        <v>6000000</v>
      </c>
      <c r="I81" s="468"/>
      <c r="J81" s="468">
        <v>2500000</v>
      </c>
      <c r="K81" s="468"/>
      <c r="L81" s="468">
        <v>3750000</v>
      </c>
      <c r="M81" s="468"/>
      <c r="N81" s="468">
        <v>3750000</v>
      </c>
      <c r="O81" s="468"/>
      <c r="P81" s="468">
        <v>3750000</v>
      </c>
      <c r="Q81" s="468"/>
      <c r="R81" s="468">
        <v>3750000</v>
      </c>
      <c r="S81" s="468"/>
      <c r="T81" s="468">
        <v>2500000</v>
      </c>
      <c r="U81" s="468"/>
      <c r="V81" s="468">
        <v>2500000</v>
      </c>
      <c r="W81" s="468"/>
      <c r="X81" s="468">
        <v>2500000</v>
      </c>
      <c r="Y81" s="468"/>
      <c r="Z81" s="468">
        <v>2500000</v>
      </c>
      <c r="AA81" s="468"/>
      <c r="AB81" s="468">
        <f t="shared" si="58"/>
        <v>38500000</v>
      </c>
      <c r="AC81" s="560">
        <f t="shared" si="59"/>
        <v>42350000</v>
      </c>
      <c r="AD81" s="560">
        <f t="shared" si="59"/>
        <v>46585000.000000007</v>
      </c>
      <c r="AE81" s="560">
        <f t="shared" si="59"/>
        <v>51243500.000000015</v>
      </c>
      <c r="AF81" s="575">
        <f t="shared" si="52"/>
        <v>0</v>
      </c>
    </row>
    <row r="82" spans="1:32" ht="18.399999999999999" customHeight="1" x14ac:dyDescent="0.2">
      <c r="A82" s="445">
        <v>4</v>
      </c>
      <c r="B82" s="464" t="s">
        <v>129</v>
      </c>
      <c r="C82" s="475" t="s">
        <v>130</v>
      </c>
      <c r="D82" s="468">
        <v>1000000</v>
      </c>
      <c r="E82" s="468">
        <v>5000000</v>
      </c>
      <c r="F82" s="468">
        <v>1000000</v>
      </c>
      <c r="G82" s="468"/>
      <c r="H82" s="468">
        <v>1000000</v>
      </c>
      <c r="I82" s="468"/>
      <c r="J82" s="468">
        <v>1000000</v>
      </c>
      <c r="K82" s="468"/>
      <c r="L82" s="468">
        <v>1000000</v>
      </c>
      <c r="M82" s="468"/>
      <c r="N82" s="468">
        <v>1000000</v>
      </c>
      <c r="O82" s="468"/>
      <c r="P82" s="468">
        <v>1000000</v>
      </c>
      <c r="Q82" s="468"/>
      <c r="R82" s="468">
        <v>1000000</v>
      </c>
      <c r="S82" s="468"/>
      <c r="T82" s="468">
        <v>1000000</v>
      </c>
      <c r="U82" s="468"/>
      <c r="V82" s="468">
        <v>1000000</v>
      </c>
      <c r="W82" s="468"/>
      <c r="X82" s="468">
        <v>1000000</v>
      </c>
      <c r="Y82" s="468"/>
      <c r="Z82" s="468">
        <v>1000000</v>
      </c>
      <c r="AA82" s="468"/>
      <c r="AB82" s="468">
        <f t="shared" si="58"/>
        <v>12000000</v>
      </c>
      <c r="AC82" s="560">
        <f t="shared" si="59"/>
        <v>13200000.000000002</v>
      </c>
      <c r="AD82" s="560">
        <f t="shared" si="59"/>
        <v>14520000.000000004</v>
      </c>
      <c r="AE82" s="560">
        <f t="shared" si="59"/>
        <v>15972000.000000006</v>
      </c>
      <c r="AF82" s="575">
        <f t="shared" si="52"/>
        <v>5000000</v>
      </c>
    </row>
    <row r="83" spans="1:32" ht="18.399999999999999" customHeight="1" x14ac:dyDescent="0.2">
      <c r="A83" s="445">
        <v>5</v>
      </c>
      <c r="B83" s="464" t="s">
        <v>36</v>
      </c>
      <c r="C83" s="475" t="s">
        <v>131</v>
      </c>
      <c r="D83" s="468">
        <v>2500000</v>
      </c>
      <c r="E83" s="468"/>
      <c r="F83" s="468">
        <v>2500000</v>
      </c>
      <c r="G83" s="468"/>
      <c r="H83" s="468">
        <v>2500000</v>
      </c>
      <c r="I83" s="468"/>
      <c r="J83" s="468">
        <v>2500000</v>
      </c>
      <c r="K83" s="468"/>
      <c r="L83" s="468">
        <v>2500000</v>
      </c>
      <c r="M83" s="468"/>
      <c r="N83" s="468">
        <v>2500000</v>
      </c>
      <c r="O83" s="468"/>
      <c r="P83" s="468">
        <v>2500000</v>
      </c>
      <c r="Q83" s="468"/>
      <c r="R83" s="468">
        <v>2500000</v>
      </c>
      <c r="S83" s="468"/>
      <c r="T83" s="468">
        <v>2500000</v>
      </c>
      <c r="U83" s="468"/>
      <c r="V83" s="468">
        <v>2500000</v>
      </c>
      <c r="W83" s="468"/>
      <c r="X83" s="468">
        <v>2500000</v>
      </c>
      <c r="Y83" s="468"/>
      <c r="Z83" s="468">
        <v>2500000</v>
      </c>
      <c r="AA83" s="468"/>
      <c r="AB83" s="468">
        <f t="shared" si="58"/>
        <v>30000000</v>
      </c>
      <c r="AC83" s="560">
        <f t="shared" si="59"/>
        <v>33000000.000000004</v>
      </c>
      <c r="AD83" s="560">
        <f t="shared" si="59"/>
        <v>36300000.000000007</v>
      </c>
      <c r="AE83" s="560">
        <f t="shared" si="59"/>
        <v>39930000.000000015</v>
      </c>
      <c r="AF83" s="575">
        <f t="shared" si="52"/>
        <v>0</v>
      </c>
    </row>
    <row r="84" spans="1:32" ht="18.399999999999999" customHeight="1" x14ac:dyDescent="0.2">
      <c r="A84" s="445">
        <v>6</v>
      </c>
      <c r="B84" s="464" t="s">
        <v>39</v>
      </c>
      <c r="C84" s="475" t="s">
        <v>132</v>
      </c>
      <c r="D84" s="468"/>
      <c r="E84" s="468"/>
      <c r="F84" s="468"/>
      <c r="G84" s="468"/>
      <c r="H84" s="468"/>
      <c r="I84" s="468"/>
      <c r="J84" s="468"/>
      <c r="K84" s="468"/>
      <c r="L84" s="468"/>
      <c r="M84" s="468"/>
      <c r="N84" s="468"/>
      <c r="O84" s="468"/>
      <c r="P84" s="468"/>
      <c r="Q84" s="468"/>
      <c r="R84" s="468"/>
      <c r="S84" s="468"/>
      <c r="T84" s="468"/>
      <c r="U84" s="468"/>
      <c r="V84" s="468"/>
      <c r="W84" s="468"/>
      <c r="X84" s="468"/>
      <c r="Y84" s="468"/>
      <c r="Z84" s="468"/>
      <c r="AA84" s="468"/>
      <c r="AB84" s="468">
        <f t="shared" si="58"/>
        <v>0</v>
      </c>
      <c r="AC84" s="560">
        <f t="shared" si="59"/>
        <v>0</v>
      </c>
      <c r="AD84" s="560">
        <f t="shared" si="59"/>
        <v>0</v>
      </c>
      <c r="AE84" s="560">
        <f t="shared" si="59"/>
        <v>0</v>
      </c>
      <c r="AF84" s="575">
        <f t="shared" si="52"/>
        <v>0</v>
      </c>
    </row>
    <row r="85" spans="1:32" ht="16.899999999999999" customHeight="1" x14ac:dyDescent="0.2">
      <c r="A85" s="445">
        <v>7</v>
      </c>
      <c r="B85" s="464" t="s">
        <v>53</v>
      </c>
      <c r="C85" s="475" t="s">
        <v>112</v>
      </c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>
        <f t="shared" si="58"/>
        <v>0</v>
      </c>
      <c r="AC85" s="560">
        <f t="shared" si="59"/>
        <v>0</v>
      </c>
      <c r="AD85" s="560">
        <f t="shared" si="59"/>
        <v>0</v>
      </c>
      <c r="AE85" s="560">
        <f t="shared" si="59"/>
        <v>0</v>
      </c>
      <c r="AF85" s="575">
        <f t="shared" si="52"/>
        <v>0</v>
      </c>
    </row>
    <row r="86" spans="1:32" s="2" customFormat="1" ht="18.399999999999999" customHeight="1" x14ac:dyDescent="0.2">
      <c r="A86" s="493"/>
      <c r="B86" s="464"/>
      <c r="C86" s="486" t="s">
        <v>133</v>
      </c>
      <c r="D86" s="494">
        <f t="shared" ref="D86:I86" si="60">SUM(D79:D85)</f>
        <v>20000000</v>
      </c>
      <c r="E86" s="494">
        <f t="shared" si="60"/>
        <v>5000000</v>
      </c>
      <c r="F86" s="494">
        <f t="shared" si="60"/>
        <v>15000000</v>
      </c>
      <c r="G86" s="494">
        <f t="shared" si="60"/>
        <v>0</v>
      </c>
      <c r="H86" s="494">
        <f t="shared" si="60"/>
        <v>18500000</v>
      </c>
      <c r="I86" s="494">
        <f t="shared" si="60"/>
        <v>0</v>
      </c>
      <c r="J86" s="494">
        <f t="shared" ref="J86:AE86" si="61">SUM(J79:J85)</f>
        <v>15000000</v>
      </c>
      <c r="K86" s="494">
        <f t="shared" si="61"/>
        <v>0</v>
      </c>
      <c r="L86" s="494">
        <f t="shared" si="61"/>
        <v>16250000</v>
      </c>
      <c r="M86" s="494">
        <f t="shared" si="61"/>
        <v>2500000</v>
      </c>
      <c r="N86" s="494">
        <f t="shared" si="61"/>
        <v>16250000</v>
      </c>
      <c r="O86" s="494">
        <f t="shared" si="61"/>
        <v>3000000</v>
      </c>
      <c r="P86" s="494">
        <f t="shared" si="61"/>
        <v>16250000</v>
      </c>
      <c r="Q86" s="494">
        <f t="shared" si="61"/>
        <v>30450600</v>
      </c>
      <c r="R86" s="494">
        <f t="shared" si="61"/>
        <v>16250000</v>
      </c>
      <c r="S86" s="494">
        <f t="shared" si="61"/>
        <v>0</v>
      </c>
      <c r="T86" s="494">
        <f t="shared" si="61"/>
        <v>15000000</v>
      </c>
      <c r="U86" s="494">
        <f t="shared" si="61"/>
        <v>64230500</v>
      </c>
      <c r="V86" s="494">
        <f t="shared" si="61"/>
        <v>15000000</v>
      </c>
      <c r="W86" s="494">
        <f t="shared" si="61"/>
        <v>0</v>
      </c>
      <c r="X86" s="494">
        <f t="shared" si="61"/>
        <v>15000000</v>
      </c>
      <c r="Y86" s="494">
        <f t="shared" si="61"/>
        <v>0</v>
      </c>
      <c r="Z86" s="494">
        <f t="shared" si="61"/>
        <v>15000000</v>
      </c>
      <c r="AA86" s="494">
        <f t="shared" si="61"/>
        <v>0</v>
      </c>
      <c r="AB86" s="494">
        <f t="shared" si="61"/>
        <v>193500000</v>
      </c>
      <c r="AC86" s="494">
        <f t="shared" si="61"/>
        <v>212850000</v>
      </c>
      <c r="AD86" s="494">
        <f t="shared" si="61"/>
        <v>234135000.00000003</v>
      </c>
      <c r="AE86" s="494">
        <f t="shared" si="61"/>
        <v>257548500.00000006</v>
      </c>
      <c r="AF86" s="575">
        <f t="shared" si="52"/>
        <v>105181100</v>
      </c>
    </row>
    <row r="87" spans="1:32" s="2" customFormat="1" ht="18.399999999999999" customHeight="1" x14ac:dyDescent="0.2">
      <c r="A87" s="445">
        <v>1</v>
      </c>
      <c r="B87" s="464" t="s">
        <v>47</v>
      </c>
      <c r="C87" s="475" t="s">
        <v>217</v>
      </c>
      <c r="D87" s="568">
        <v>0</v>
      </c>
      <c r="E87" s="568"/>
      <c r="F87" s="568">
        <v>8500000</v>
      </c>
      <c r="G87" s="568"/>
      <c r="H87" s="568">
        <v>0</v>
      </c>
      <c r="I87" s="568"/>
      <c r="J87" s="568">
        <v>0</v>
      </c>
      <c r="K87" s="568"/>
      <c r="L87" s="568">
        <v>8000000</v>
      </c>
      <c r="M87" s="568"/>
      <c r="N87" s="568">
        <v>0</v>
      </c>
      <c r="O87" s="568"/>
      <c r="P87" s="568">
        <v>0</v>
      </c>
      <c r="Q87" s="568"/>
      <c r="R87" s="568">
        <v>8500000</v>
      </c>
      <c r="S87" s="568"/>
      <c r="T87" s="568">
        <v>0</v>
      </c>
      <c r="U87" s="568"/>
      <c r="V87" s="568">
        <v>0</v>
      </c>
      <c r="W87" s="568"/>
      <c r="X87" s="568">
        <v>0</v>
      </c>
      <c r="Y87" s="568"/>
      <c r="Z87" s="568">
        <v>0</v>
      </c>
      <c r="AA87" s="568"/>
      <c r="AB87" s="468">
        <f t="shared" ref="AB87:AB92" si="62">Z87+X87+V87++T87+R87+P87+N87+L87+J87+H87+F87+D87</f>
        <v>25000000</v>
      </c>
      <c r="AC87" s="560">
        <f t="shared" ref="AC87:AE92" si="63">AB87*1.1</f>
        <v>27500000.000000004</v>
      </c>
      <c r="AD87" s="560">
        <f t="shared" si="63"/>
        <v>30250000.000000007</v>
      </c>
      <c r="AE87" s="560">
        <f t="shared" si="63"/>
        <v>33275000.000000011</v>
      </c>
      <c r="AF87" s="575">
        <f t="shared" si="52"/>
        <v>0</v>
      </c>
    </row>
    <row r="88" spans="1:32" s="2" customFormat="1" ht="18.399999999999999" customHeight="1" x14ac:dyDescent="0.2">
      <c r="A88" s="445">
        <v>2</v>
      </c>
      <c r="B88" s="464" t="s">
        <v>53</v>
      </c>
      <c r="C88" s="475" t="s">
        <v>112</v>
      </c>
      <c r="D88" s="468"/>
      <c r="E88" s="468"/>
      <c r="F88" s="466"/>
      <c r="G88" s="466"/>
      <c r="H88" s="468"/>
      <c r="I88" s="468"/>
      <c r="J88" s="468"/>
      <c r="K88" s="468"/>
      <c r="L88" s="468"/>
      <c r="M88" s="468"/>
      <c r="N88" s="468"/>
      <c r="O88" s="468"/>
      <c r="P88" s="468"/>
      <c r="Q88" s="468"/>
      <c r="R88" s="468"/>
      <c r="S88" s="468"/>
      <c r="T88" s="468"/>
      <c r="U88" s="468"/>
      <c r="V88" s="468"/>
      <c r="W88" s="468"/>
      <c r="X88" s="468"/>
      <c r="Y88" s="468"/>
      <c r="Z88" s="468"/>
      <c r="AA88" s="468"/>
      <c r="AB88" s="468">
        <f t="shared" si="62"/>
        <v>0</v>
      </c>
      <c r="AC88" s="560">
        <f t="shared" si="63"/>
        <v>0</v>
      </c>
      <c r="AD88" s="560">
        <f t="shared" si="63"/>
        <v>0</v>
      </c>
      <c r="AE88" s="560">
        <f t="shared" si="63"/>
        <v>0</v>
      </c>
      <c r="AF88" s="575">
        <f t="shared" si="52"/>
        <v>0</v>
      </c>
    </row>
    <row r="89" spans="1:32" s="2" customFormat="1" ht="18.399999999999999" customHeight="1" x14ac:dyDescent="0.2">
      <c r="A89" s="445">
        <v>3</v>
      </c>
      <c r="B89" s="464" t="s">
        <v>36</v>
      </c>
      <c r="C89" s="475" t="s">
        <v>158</v>
      </c>
      <c r="D89" s="468">
        <v>2000000</v>
      </c>
      <c r="E89" s="468"/>
      <c r="F89" s="468">
        <f>D89</f>
        <v>2000000</v>
      </c>
      <c r="G89" s="468"/>
      <c r="H89" s="468">
        <f>F89</f>
        <v>2000000</v>
      </c>
      <c r="I89" s="468"/>
      <c r="J89" s="468">
        <f>H89</f>
        <v>2000000</v>
      </c>
      <c r="K89" s="468"/>
      <c r="L89" s="468">
        <f>J89</f>
        <v>2000000</v>
      </c>
      <c r="M89" s="468"/>
      <c r="N89" s="468">
        <f>L89</f>
        <v>2000000</v>
      </c>
      <c r="O89" s="468"/>
      <c r="P89" s="468">
        <f>N89</f>
        <v>2000000</v>
      </c>
      <c r="Q89" s="468"/>
      <c r="R89" s="468">
        <f>P89</f>
        <v>2000000</v>
      </c>
      <c r="S89" s="468"/>
      <c r="T89" s="468">
        <f>R89</f>
        <v>2000000</v>
      </c>
      <c r="U89" s="468"/>
      <c r="V89" s="468">
        <f>T89</f>
        <v>2000000</v>
      </c>
      <c r="W89" s="468"/>
      <c r="X89" s="468">
        <f>V89</f>
        <v>2000000</v>
      </c>
      <c r="Y89" s="468"/>
      <c r="Z89" s="468">
        <f t="shared" ref="Z89" si="64">X89</f>
        <v>2000000</v>
      </c>
      <c r="AA89" s="468"/>
      <c r="AB89" s="468">
        <f t="shared" si="62"/>
        <v>24000000</v>
      </c>
      <c r="AC89" s="560">
        <f t="shared" si="63"/>
        <v>26400000.000000004</v>
      </c>
      <c r="AD89" s="560">
        <f t="shared" si="63"/>
        <v>29040000.000000007</v>
      </c>
      <c r="AE89" s="560">
        <f t="shared" si="63"/>
        <v>31944000.000000011</v>
      </c>
      <c r="AF89" s="575">
        <f t="shared" si="52"/>
        <v>0</v>
      </c>
    </row>
    <row r="90" spans="1:32" s="2" customFormat="1" ht="18.399999999999999" customHeight="1" x14ac:dyDescent="0.2">
      <c r="A90" s="445">
        <v>4</v>
      </c>
      <c r="B90" s="464" t="s">
        <v>36</v>
      </c>
      <c r="C90" s="475" t="s">
        <v>135</v>
      </c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  <c r="O90" s="468"/>
      <c r="P90" s="468"/>
      <c r="Q90" s="468"/>
      <c r="R90" s="468"/>
      <c r="S90" s="468"/>
      <c r="T90" s="468"/>
      <c r="U90" s="468"/>
      <c r="V90" s="468"/>
      <c r="W90" s="468"/>
      <c r="X90" s="468"/>
      <c r="Y90" s="468"/>
      <c r="Z90" s="468"/>
      <c r="AA90" s="468"/>
      <c r="AB90" s="468">
        <f t="shared" si="62"/>
        <v>0</v>
      </c>
      <c r="AC90" s="560">
        <f t="shared" si="63"/>
        <v>0</v>
      </c>
      <c r="AD90" s="560">
        <f t="shared" si="63"/>
        <v>0</v>
      </c>
      <c r="AE90" s="560">
        <f t="shared" si="63"/>
        <v>0</v>
      </c>
      <c r="AF90" s="575">
        <f t="shared" si="52"/>
        <v>0</v>
      </c>
    </row>
    <row r="91" spans="1:32" s="62" customFormat="1" ht="18.399999999999999" customHeight="1" x14ac:dyDescent="0.2">
      <c r="A91" s="445">
        <v>5</v>
      </c>
      <c r="B91" s="464" t="s">
        <v>136</v>
      </c>
      <c r="C91" s="475" t="s">
        <v>137</v>
      </c>
      <c r="D91" s="468">
        <v>2000000</v>
      </c>
      <c r="E91" s="468"/>
      <c r="F91" s="468">
        <f>D91</f>
        <v>2000000</v>
      </c>
      <c r="G91" s="468"/>
      <c r="H91" s="468">
        <f>F91</f>
        <v>2000000</v>
      </c>
      <c r="I91" s="468"/>
      <c r="J91" s="468">
        <f>H91</f>
        <v>2000000</v>
      </c>
      <c r="K91" s="468"/>
      <c r="L91" s="468">
        <f>J91</f>
        <v>2000000</v>
      </c>
      <c r="M91" s="468"/>
      <c r="N91" s="468">
        <f>L91</f>
        <v>2000000</v>
      </c>
      <c r="O91" s="468"/>
      <c r="P91" s="468">
        <f>N91</f>
        <v>2000000</v>
      </c>
      <c r="Q91" s="468"/>
      <c r="R91" s="468">
        <f>P91</f>
        <v>2000000</v>
      </c>
      <c r="S91" s="468"/>
      <c r="T91" s="468">
        <f>R91</f>
        <v>2000000</v>
      </c>
      <c r="U91" s="468">
        <v>10450239</v>
      </c>
      <c r="V91" s="468">
        <f>T91</f>
        <v>2000000</v>
      </c>
      <c r="W91" s="468"/>
      <c r="X91" s="468">
        <f>V91</f>
        <v>2000000</v>
      </c>
      <c r="Y91" s="468"/>
      <c r="Z91" s="468">
        <f t="shared" ref="Z91" si="65">X91</f>
        <v>2000000</v>
      </c>
      <c r="AA91" s="468"/>
      <c r="AB91" s="468">
        <f t="shared" si="62"/>
        <v>24000000</v>
      </c>
      <c r="AC91" s="560">
        <f t="shared" si="63"/>
        <v>26400000.000000004</v>
      </c>
      <c r="AD91" s="560">
        <f t="shared" si="63"/>
        <v>29040000.000000007</v>
      </c>
      <c r="AE91" s="560">
        <f t="shared" si="63"/>
        <v>31944000.000000011</v>
      </c>
      <c r="AF91" s="575">
        <f t="shared" si="52"/>
        <v>10450239</v>
      </c>
    </row>
    <row r="92" spans="1:32" s="62" customFormat="1" ht="18.399999999999999" customHeight="1" x14ac:dyDescent="0.2">
      <c r="A92" s="445">
        <v>6</v>
      </c>
      <c r="B92" s="464" t="s">
        <v>138</v>
      </c>
      <c r="C92" s="475" t="s">
        <v>218</v>
      </c>
      <c r="D92" s="468">
        <v>500000</v>
      </c>
      <c r="E92" s="468"/>
      <c r="F92" s="468">
        <f>D92</f>
        <v>500000</v>
      </c>
      <c r="G92" s="468"/>
      <c r="H92" s="468">
        <f>F92</f>
        <v>500000</v>
      </c>
      <c r="I92" s="468"/>
      <c r="J92" s="468">
        <f>H92</f>
        <v>500000</v>
      </c>
      <c r="K92" s="468"/>
      <c r="L92" s="468">
        <f>J92</f>
        <v>500000</v>
      </c>
      <c r="M92" s="468"/>
      <c r="N92" s="468">
        <f>L92</f>
        <v>500000</v>
      </c>
      <c r="O92" s="468"/>
      <c r="P92" s="468">
        <f>N92</f>
        <v>500000</v>
      </c>
      <c r="Q92" s="468"/>
      <c r="R92" s="468">
        <f>P92</f>
        <v>500000</v>
      </c>
      <c r="S92" s="468"/>
      <c r="T92" s="468">
        <f>R92</f>
        <v>500000</v>
      </c>
      <c r="U92" s="468"/>
      <c r="V92" s="468">
        <f>T92</f>
        <v>500000</v>
      </c>
      <c r="W92" s="468"/>
      <c r="X92" s="468">
        <f>V92</f>
        <v>500000</v>
      </c>
      <c r="Y92" s="468"/>
      <c r="Z92" s="468">
        <f t="shared" ref="Z92" si="66">X92</f>
        <v>500000</v>
      </c>
      <c r="AA92" s="468"/>
      <c r="AB92" s="468">
        <f t="shared" si="62"/>
        <v>6000000</v>
      </c>
      <c r="AC92" s="560">
        <f t="shared" si="63"/>
        <v>6600000.0000000009</v>
      </c>
      <c r="AD92" s="560">
        <f t="shared" si="63"/>
        <v>7260000.0000000019</v>
      </c>
      <c r="AE92" s="560">
        <f t="shared" si="63"/>
        <v>7986000.0000000028</v>
      </c>
      <c r="AF92" s="575">
        <f t="shared" si="52"/>
        <v>0</v>
      </c>
    </row>
    <row r="93" spans="1:32" s="2" customFormat="1" ht="18.399999999999999" customHeight="1" x14ac:dyDescent="0.2">
      <c r="A93" s="493"/>
      <c r="B93" s="464"/>
      <c r="C93" s="486" t="s">
        <v>140</v>
      </c>
      <c r="D93" s="494">
        <f t="shared" ref="D93:I93" si="67">SUM(D87:D92)</f>
        <v>4500000</v>
      </c>
      <c r="E93" s="494">
        <f t="shared" si="67"/>
        <v>0</v>
      </c>
      <c r="F93" s="494">
        <f t="shared" si="67"/>
        <v>13000000</v>
      </c>
      <c r="G93" s="494">
        <f t="shared" si="67"/>
        <v>0</v>
      </c>
      <c r="H93" s="494">
        <f t="shared" si="67"/>
        <v>4500000</v>
      </c>
      <c r="I93" s="494">
        <f t="shared" si="67"/>
        <v>0</v>
      </c>
      <c r="J93" s="494">
        <f t="shared" ref="J93:AE93" si="68">SUM(J87:J92)</f>
        <v>4500000</v>
      </c>
      <c r="K93" s="494">
        <f t="shared" si="68"/>
        <v>0</v>
      </c>
      <c r="L93" s="494">
        <f t="shared" si="68"/>
        <v>12500000</v>
      </c>
      <c r="M93" s="494">
        <f t="shared" si="68"/>
        <v>0</v>
      </c>
      <c r="N93" s="494">
        <f t="shared" si="68"/>
        <v>4500000</v>
      </c>
      <c r="O93" s="494">
        <f t="shared" si="68"/>
        <v>0</v>
      </c>
      <c r="P93" s="494">
        <f t="shared" si="68"/>
        <v>4500000</v>
      </c>
      <c r="Q93" s="494">
        <f t="shared" si="68"/>
        <v>0</v>
      </c>
      <c r="R93" s="494">
        <f t="shared" si="68"/>
        <v>13000000</v>
      </c>
      <c r="S93" s="494">
        <f t="shared" si="68"/>
        <v>0</v>
      </c>
      <c r="T93" s="494">
        <f t="shared" si="68"/>
        <v>4500000</v>
      </c>
      <c r="U93" s="494">
        <f t="shared" si="68"/>
        <v>10450239</v>
      </c>
      <c r="V93" s="494">
        <f t="shared" si="68"/>
        <v>4500000</v>
      </c>
      <c r="W93" s="494">
        <f t="shared" si="68"/>
        <v>0</v>
      </c>
      <c r="X93" s="494">
        <f t="shared" si="68"/>
        <v>4500000</v>
      </c>
      <c r="Y93" s="494">
        <f t="shared" si="68"/>
        <v>0</v>
      </c>
      <c r="Z93" s="494">
        <f t="shared" si="68"/>
        <v>4500000</v>
      </c>
      <c r="AA93" s="494">
        <f t="shared" si="68"/>
        <v>0</v>
      </c>
      <c r="AB93" s="494">
        <f t="shared" si="68"/>
        <v>79000000</v>
      </c>
      <c r="AC93" s="494">
        <f t="shared" si="68"/>
        <v>86900000.000000015</v>
      </c>
      <c r="AD93" s="494">
        <f t="shared" si="68"/>
        <v>95590000.00000003</v>
      </c>
      <c r="AE93" s="494">
        <f t="shared" si="68"/>
        <v>105149000.00000003</v>
      </c>
      <c r="AF93" s="575">
        <f t="shared" si="52"/>
        <v>10450239</v>
      </c>
    </row>
    <row r="94" spans="1:32" s="27" customFormat="1" ht="18.399999999999999" customHeight="1" x14ac:dyDescent="0.2">
      <c r="A94" s="439">
        <v>1</v>
      </c>
      <c r="B94" s="464" t="s">
        <v>53</v>
      </c>
      <c r="C94" s="474" t="s">
        <v>141</v>
      </c>
      <c r="D94" s="468"/>
      <c r="E94" s="468"/>
      <c r="F94" s="468"/>
      <c r="G94" s="468"/>
      <c r="H94" s="468"/>
      <c r="I94" s="468"/>
      <c r="J94" s="468"/>
      <c r="K94" s="468"/>
      <c r="L94" s="468"/>
      <c r="M94" s="468"/>
      <c r="N94" s="468"/>
      <c r="O94" s="468"/>
      <c r="P94" s="468"/>
      <c r="Q94" s="468"/>
      <c r="R94" s="468"/>
      <c r="S94" s="468"/>
      <c r="T94" s="468"/>
      <c r="U94" s="468"/>
      <c r="V94" s="468"/>
      <c r="W94" s="468"/>
      <c r="X94" s="468"/>
      <c r="Y94" s="468"/>
      <c r="Z94" s="468"/>
      <c r="AA94" s="468"/>
      <c r="AB94" s="468">
        <f>Z94+X94+V94++T94+R94+P94+N94+L94+J94+H94+F94+D94</f>
        <v>0</v>
      </c>
      <c r="AC94" s="560">
        <f t="shared" ref="AC94:AE95" si="69">AB94*1.1</f>
        <v>0</v>
      </c>
      <c r="AD94" s="560">
        <f t="shared" si="69"/>
        <v>0</v>
      </c>
      <c r="AE94" s="560">
        <f t="shared" si="69"/>
        <v>0</v>
      </c>
      <c r="AF94" s="575">
        <f t="shared" si="52"/>
        <v>0</v>
      </c>
    </row>
    <row r="95" spans="1:32" s="27" customFormat="1" ht="18.399999999999999" customHeight="1" x14ac:dyDescent="0.2">
      <c r="A95" s="439">
        <v>2</v>
      </c>
      <c r="B95" s="464" t="s">
        <v>47</v>
      </c>
      <c r="C95" s="475" t="s">
        <v>217</v>
      </c>
      <c r="D95" s="468"/>
      <c r="E95" s="468"/>
      <c r="F95" s="468"/>
      <c r="G95" s="468"/>
      <c r="H95" s="468"/>
      <c r="I95" s="468"/>
      <c r="J95" s="468"/>
      <c r="K95" s="468"/>
      <c r="L95" s="468"/>
      <c r="M95" s="468"/>
      <c r="N95" s="468"/>
      <c r="O95" s="468"/>
      <c r="P95" s="468"/>
      <c r="Q95" s="468"/>
      <c r="R95" s="468"/>
      <c r="S95" s="468"/>
      <c r="T95" s="468"/>
      <c r="U95" s="468"/>
      <c r="V95" s="468"/>
      <c r="W95" s="468"/>
      <c r="X95" s="468"/>
      <c r="Y95" s="468"/>
      <c r="Z95" s="468"/>
      <c r="AA95" s="468"/>
      <c r="AB95" s="468">
        <f>Z95+X95+V95++T95+R95+P95+N95+L95+J95+H95+F95+D95</f>
        <v>0</v>
      </c>
      <c r="AC95" s="560">
        <f t="shared" si="69"/>
        <v>0</v>
      </c>
      <c r="AD95" s="560">
        <f t="shared" si="69"/>
        <v>0</v>
      </c>
      <c r="AE95" s="560">
        <f t="shared" si="69"/>
        <v>0</v>
      </c>
      <c r="AF95" s="575">
        <f t="shared" si="52"/>
        <v>0</v>
      </c>
    </row>
    <row r="96" spans="1:32" s="2" customFormat="1" ht="18.399999999999999" customHeight="1" x14ac:dyDescent="0.2">
      <c r="A96" s="493"/>
      <c r="B96" s="464"/>
      <c r="C96" s="486" t="s">
        <v>142</v>
      </c>
      <c r="D96" s="487">
        <f t="shared" ref="D96:I96" si="70">SUM(D94:D95)</f>
        <v>0</v>
      </c>
      <c r="E96" s="487">
        <f t="shared" si="70"/>
        <v>0</v>
      </c>
      <c r="F96" s="487">
        <f t="shared" si="70"/>
        <v>0</v>
      </c>
      <c r="G96" s="487">
        <f t="shared" si="70"/>
        <v>0</v>
      </c>
      <c r="H96" s="487">
        <f t="shared" si="70"/>
        <v>0</v>
      </c>
      <c r="I96" s="487">
        <f t="shared" si="70"/>
        <v>0</v>
      </c>
      <c r="J96" s="487">
        <f t="shared" ref="J96:AE96" si="71">SUM(J94:J95)</f>
        <v>0</v>
      </c>
      <c r="K96" s="487">
        <f t="shared" si="71"/>
        <v>0</v>
      </c>
      <c r="L96" s="487">
        <f t="shared" si="71"/>
        <v>0</v>
      </c>
      <c r="M96" s="487">
        <f t="shared" si="71"/>
        <v>0</v>
      </c>
      <c r="N96" s="487">
        <f t="shared" si="71"/>
        <v>0</v>
      </c>
      <c r="O96" s="487">
        <f t="shared" si="71"/>
        <v>0</v>
      </c>
      <c r="P96" s="487">
        <f t="shared" si="71"/>
        <v>0</v>
      </c>
      <c r="Q96" s="487">
        <f t="shared" si="71"/>
        <v>0</v>
      </c>
      <c r="R96" s="487">
        <f t="shared" si="71"/>
        <v>0</v>
      </c>
      <c r="S96" s="487">
        <f t="shared" si="71"/>
        <v>0</v>
      </c>
      <c r="T96" s="487">
        <f t="shared" si="71"/>
        <v>0</v>
      </c>
      <c r="U96" s="487">
        <f t="shared" si="71"/>
        <v>0</v>
      </c>
      <c r="V96" s="487">
        <f t="shared" si="71"/>
        <v>0</v>
      </c>
      <c r="W96" s="487">
        <f t="shared" si="71"/>
        <v>0</v>
      </c>
      <c r="X96" s="487">
        <f t="shared" si="71"/>
        <v>0</v>
      </c>
      <c r="Y96" s="487">
        <f t="shared" si="71"/>
        <v>0</v>
      </c>
      <c r="Z96" s="487">
        <f t="shared" si="71"/>
        <v>0</v>
      </c>
      <c r="AA96" s="487">
        <f t="shared" si="71"/>
        <v>0</v>
      </c>
      <c r="AB96" s="487">
        <f t="shared" si="71"/>
        <v>0</v>
      </c>
      <c r="AC96" s="487">
        <f t="shared" si="71"/>
        <v>0</v>
      </c>
      <c r="AD96" s="487">
        <f t="shared" si="71"/>
        <v>0</v>
      </c>
      <c r="AE96" s="487">
        <f t="shared" si="71"/>
        <v>0</v>
      </c>
      <c r="AF96" s="575">
        <f t="shared" si="52"/>
        <v>0</v>
      </c>
    </row>
    <row r="97" spans="1:32" s="27" customFormat="1" ht="16.899999999999999" customHeight="1" x14ac:dyDescent="0.2">
      <c r="A97" s="439">
        <v>1</v>
      </c>
      <c r="B97" s="464" t="s">
        <v>53</v>
      </c>
      <c r="C97" s="474" t="s">
        <v>141</v>
      </c>
      <c r="D97" s="468"/>
      <c r="E97" s="468"/>
      <c r="F97" s="468"/>
      <c r="G97" s="468"/>
      <c r="H97" s="468"/>
      <c r="I97" s="468"/>
      <c r="J97" s="468"/>
      <c r="K97" s="468"/>
      <c r="L97" s="468"/>
      <c r="M97" s="468"/>
      <c r="N97" s="468"/>
      <c r="O97" s="468"/>
      <c r="P97" s="468"/>
      <c r="Q97" s="468"/>
      <c r="R97" s="468"/>
      <c r="S97" s="468"/>
      <c r="T97" s="468"/>
      <c r="U97" s="468"/>
      <c r="V97" s="468"/>
      <c r="W97" s="468"/>
      <c r="X97" s="468"/>
      <c r="Y97" s="468"/>
      <c r="Z97" s="468"/>
      <c r="AA97" s="468"/>
      <c r="AB97" s="467">
        <f>Z97+X97+V97+T97+R97+P97+N97+L97+J97+H97+F97+D97</f>
        <v>0</v>
      </c>
      <c r="AC97" s="560">
        <f t="shared" ref="AC97:AE100" si="72">AB97*1.1</f>
        <v>0</v>
      </c>
      <c r="AD97" s="560">
        <f t="shared" si="72"/>
        <v>0</v>
      </c>
      <c r="AE97" s="560">
        <f t="shared" si="72"/>
        <v>0</v>
      </c>
      <c r="AF97" s="575">
        <f t="shared" si="52"/>
        <v>0</v>
      </c>
    </row>
    <row r="98" spans="1:32" s="27" customFormat="1" ht="16.899999999999999" customHeight="1" x14ac:dyDescent="0.2">
      <c r="A98" s="439">
        <v>2</v>
      </c>
      <c r="B98" s="464" t="s">
        <v>136</v>
      </c>
      <c r="C98" s="474" t="s">
        <v>146</v>
      </c>
      <c r="D98" s="468"/>
      <c r="E98" s="468"/>
      <c r="F98" s="468"/>
      <c r="G98" s="468"/>
      <c r="H98" s="468"/>
      <c r="I98" s="468"/>
      <c r="J98" s="468"/>
      <c r="K98" s="468"/>
      <c r="L98" s="468"/>
      <c r="M98" s="468"/>
      <c r="N98" s="468"/>
      <c r="O98" s="444"/>
      <c r="P98" s="468"/>
      <c r="Q98" s="468">
        <v>49000000</v>
      </c>
      <c r="R98" s="468"/>
      <c r="S98" s="468"/>
      <c r="T98" s="468"/>
      <c r="U98" s="468"/>
      <c r="V98" s="468"/>
      <c r="W98" s="468"/>
      <c r="X98" s="468"/>
      <c r="Y98" s="468"/>
      <c r="Z98" s="468"/>
      <c r="AA98" s="468"/>
      <c r="AB98" s="467">
        <f>Z98+X98+V98+T98+R98+P98+N98+L98+J98+H98+F98+D98</f>
        <v>0</v>
      </c>
      <c r="AC98" s="560">
        <f t="shared" si="72"/>
        <v>0</v>
      </c>
      <c r="AD98" s="560">
        <f t="shared" si="72"/>
        <v>0</v>
      </c>
      <c r="AE98" s="560">
        <f t="shared" si="72"/>
        <v>0</v>
      </c>
      <c r="AF98" s="575">
        <f t="shared" si="52"/>
        <v>49000000</v>
      </c>
    </row>
    <row r="99" spans="1:32" s="27" customFormat="1" ht="16.899999999999999" customHeight="1" x14ac:dyDescent="0.2">
      <c r="A99" s="439">
        <v>3</v>
      </c>
      <c r="B99" s="464" t="s">
        <v>36</v>
      </c>
      <c r="C99" s="474" t="s">
        <v>189</v>
      </c>
      <c r="D99" s="468"/>
      <c r="E99" s="468"/>
      <c r="F99" s="468"/>
      <c r="G99" s="468"/>
      <c r="H99" s="468"/>
      <c r="I99" s="468"/>
      <c r="J99" s="468"/>
      <c r="K99" s="468"/>
      <c r="L99" s="468"/>
      <c r="M99" s="468"/>
      <c r="N99" s="468"/>
      <c r="O99" s="468"/>
      <c r="P99" s="468"/>
      <c r="Q99" s="468"/>
      <c r="R99" s="468"/>
      <c r="S99" s="468"/>
      <c r="T99" s="468"/>
      <c r="U99" s="468"/>
      <c r="V99" s="468"/>
      <c r="W99" s="468"/>
      <c r="X99" s="468"/>
      <c r="Y99" s="468"/>
      <c r="Z99" s="468"/>
      <c r="AA99" s="468"/>
      <c r="AB99" s="467">
        <f>Z99+X99+V99+T99+R99+P99+N99+L99+J99+H99+F99+D99</f>
        <v>0</v>
      </c>
      <c r="AC99" s="560">
        <f t="shared" si="72"/>
        <v>0</v>
      </c>
      <c r="AD99" s="560">
        <f t="shared" si="72"/>
        <v>0</v>
      </c>
      <c r="AE99" s="560">
        <f t="shared" si="72"/>
        <v>0</v>
      </c>
      <c r="AF99" s="575">
        <f t="shared" si="52"/>
        <v>0</v>
      </c>
    </row>
    <row r="100" spans="1:32" s="27" customFormat="1" ht="16.899999999999999" customHeight="1" x14ac:dyDescent="0.2">
      <c r="A100" s="439">
        <v>4</v>
      </c>
      <c r="B100" s="464" t="s">
        <v>47</v>
      </c>
      <c r="C100" s="475" t="s">
        <v>111</v>
      </c>
      <c r="D100" s="468"/>
      <c r="E100" s="468"/>
      <c r="F100" s="468"/>
      <c r="G100" s="468"/>
      <c r="H100" s="468"/>
      <c r="I100" s="468"/>
      <c r="J100" s="468"/>
      <c r="K100" s="468"/>
      <c r="L100" s="468"/>
      <c r="M100" s="468"/>
      <c r="N100" s="468"/>
      <c r="O100" s="468"/>
      <c r="P100" s="468"/>
      <c r="Q100" s="468"/>
      <c r="R100" s="468"/>
      <c r="S100" s="468"/>
      <c r="T100" s="468"/>
      <c r="U100" s="468"/>
      <c r="V100" s="468"/>
      <c r="W100" s="468"/>
      <c r="X100" s="468"/>
      <c r="Y100" s="468"/>
      <c r="Z100" s="468"/>
      <c r="AA100" s="468"/>
      <c r="AB100" s="467">
        <f>Z100+X100+V100+T100+R100+P100+N100+L100+J100+H100+F100+D100</f>
        <v>0</v>
      </c>
      <c r="AC100" s="560">
        <f t="shared" si="72"/>
        <v>0</v>
      </c>
      <c r="AD100" s="560">
        <f t="shared" si="72"/>
        <v>0</v>
      </c>
      <c r="AE100" s="560">
        <f t="shared" si="72"/>
        <v>0</v>
      </c>
      <c r="AF100" s="575">
        <f t="shared" si="52"/>
        <v>0</v>
      </c>
    </row>
    <row r="101" spans="1:32" s="2" customFormat="1" ht="16.899999999999999" customHeight="1" x14ac:dyDescent="0.2">
      <c r="A101" s="493"/>
      <c r="B101" s="464"/>
      <c r="C101" s="486" t="s">
        <v>143</v>
      </c>
      <c r="D101" s="487">
        <f t="shared" ref="D101:I101" si="73">SUM(D97:D100)</f>
        <v>0</v>
      </c>
      <c r="E101" s="487">
        <f t="shared" si="73"/>
        <v>0</v>
      </c>
      <c r="F101" s="487">
        <f t="shared" si="73"/>
        <v>0</v>
      </c>
      <c r="G101" s="487">
        <f t="shared" si="73"/>
        <v>0</v>
      </c>
      <c r="H101" s="487">
        <f t="shared" si="73"/>
        <v>0</v>
      </c>
      <c r="I101" s="487">
        <f t="shared" si="73"/>
        <v>0</v>
      </c>
      <c r="J101" s="487">
        <f t="shared" ref="J101:AE101" si="74">SUM(J97:J100)</f>
        <v>0</v>
      </c>
      <c r="K101" s="487">
        <f t="shared" si="74"/>
        <v>0</v>
      </c>
      <c r="L101" s="487">
        <f t="shared" si="74"/>
        <v>0</v>
      </c>
      <c r="M101" s="487">
        <f t="shared" si="74"/>
        <v>0</v>
      </c>
      <c r="N101" s="487">
        <f t="shared" si="74"/>
        <v>0</v>
      </c>
      <c r="O101" s="487">
        <f t="shared" si="74"/>
        <v>0</v>
      </c>
      <c r="P101" s="487">
        <f t="shared" si="74"/>
        <v>0</v>
      </c>
      <c r="Q101" s="487">
        <f t="shared" si="74"/>
        <v>49000000</v>
      </c>
      <c r="R101" s="487">
        <f t="shared" si="74"/>
        <v>0</v>
      </c>
      <c r="S101" s="487">
        <f t="shared" si="74"/>
        <v>0</v>
      </c>
      <c r="T101" s="487">
        <f t="shared" si="74"/>
        <v>0</v>
      </c>
      <c r="U101" s="487">
        <f t="shared" si="74"/>
        <v>0</v>
      </c>
      <c r="V101" s="487">
        <f t="shared" si="74"/>
        <v>0</v>
      </c>
      <c r="W101" s="487">
        <f t="shared" si="74"/>
        <v>0</v>
      </c>
      <c r="X101" s="487">
        <f t="shared" si="74"/>
        <v>0</v>
      </c>
      <c r="Y101" s="487">
        <f t="shared" si="74"/>
        <v>0</v>
      </c>
      <c r="Z101" s="487">
        <f t="shared" si="74"/>
        <v>0</v>
      </c>
      <c r="AA101" s="487">
        <f t="shared" si="74"/>
        <v>0</v>
      </c>
      <c r="AB101" s="487">
        <f t="shared" si="74"/>
        <v>0</v>
      </c>
      <c r="AC101" s="487">
        <f t="shared" si="74"/>
        <v>0</v>
      </c>
      <c r="AD101" s="487">
        <f t="shared" si="74"/>
        <v>0</v>
      </c>
      <c r="AE101" s="487">
        <f t="shared" si="74"/>
        <v>0</v>
      </c>
      <c r="AF101" s="575">
        <f t="shared" si="52"/>
        <v>49000000</v>
      </c>
    </row>
    <row r="102" spans="1:32" s="62" customFormat="1" ht="18.399999999999999" customHeight="1" x14ac:dyDescent="0.2">
      <c r="A102" s="445">
        <v>1</v>
      </c>
      <c r="B102" s="464" t="s">
        <v>53</v>
      </c>
      <c r="C102" s="475" t="s">
        <v>84</v>
      </c>
      <c r="D102" s="468"/>
      <c r="E102" s="468"/>
      <c r="F102" s="468"/>
      <c r="G102" s="468"/>
      <c r="H102" s="468"/>
      <c r="I102" s="468"/>
      <c r="J102" s="468"/>
      <c r="K102" s="468"/>
      <c r="L102" s="468"/>
      <c r="M102" s="468"/>
      <c r="N102" s="468"/>
      <c r="O102" s="468"/>
      <c r="P102" s="468"/>
      <c r="Q102" s="468"/>
      <c r="R102" s="468"/>
      <c r="S102" s="468"/>
      <c r="T102" s="468"/>
      <c r="U102" s="468"/>
      <c r="V102" s="468"/>
      <c r="W102" s="468"/>
      <c r="X102" s="468"/>
      <c r="Y102" s="468"/>
      <c r="Z102" s="468"/>
      <c r="AA102" s="468"/>
      <c r="AB102" s="468">
        <f t="shared" ref="AB102:AB107" si="75">Z102+X102+V102++T102+R102+P102+N102+L102+J102+H102+F102+D102</f>
        <v>0</v>
      </c>
      <c r="AC102" s="560">
        <f t="shared" ref="AC102:AE107" si="76">AB102*1.1</f>
        <v>0</v>
      </c>
      <c r="AD102" s="560">
        <f t="shared" si="76"/>
        <v>0</v>
      </c>
      <c r="AE102" s="560">
        <f t="shared" si="76"/>
        <v>0</v>
      </c>
      <c r="AF102" s="575">
        <f t="shared" si="52"/>
        <v>0</v>
      </c>
    </row>
    <row r="103" spans="1:32" s="62" customFormat="1" ht="18.399999999999999" customHeight="1" x14ac:dyDescent="0.2">
      <c r="A103" s="445">
        <v>2</v>
      </c>
      <c r="B103" s="464" t="s">
        <v>144</v>
      </c>
      <c r="C103" s="474" t="s">
        <v>145</v>
      </c>
      <c r="D103" s="468">
        <v>7500000</v>
      </c>
      <c r="E103" s="468">
        <v>4474043.5199999996</v>
      </c>
      <c r="F103" s="468">
        <f>D103</f>
        <v>7500000</v>
      </c>
      <c r="G103" s="468">
        <v>1450165.7300000002</v>
      </c>
      <c r="H103" s="468">
        <f>F103</f>
        <v>7500000</v>
      </c>
      <c r="I103" s="468">
        <v>156595</v>
      </c>
      <c r="J103" s="468">
        <f>H103</f>
        <v>7500000</v>
      </c>
      <c r="K103" s="468">
        <v>4613635</v>
      </c>
      <c r="L103" s="468">
        <f>J103</f>
        <v>7500000</v>
      </c>
      <c r="M103" s="468">
        <v>5777215</v>
      </c>
      <c r="N103" s="468">
        <f>L103</f>
        <v>7500000</v>
      </c>
      <c r="O103" s="468">
        <v>5242365</v>
      </c>
      <c r="P103" s="468">
        <f>N103</f>
        <v>7500000</v>
      </c>
      <c r="Q103" s="468">
        <v>90325560</v>
      </c>
      <c r="R103" s="468">
        <f>P103</f>
        <v>7500000</v>
      </c>
      <c r="S103" s="468">
        <v>54236800</v>
      </c>
      <c r="T103" s="468">
        <f>R103</f>
        <v>7500000</v>
      </c>
      <c r="U103" s="468">
        <v>140567200</v>
      </c>
      <c r="V103" s="468">
        <f>T103</f>
        <v>7500000</v>
      </c>
      <c r="W103" s="468">
        <v>5200000</v>
      </c>
      <c r="X103" s="468">
        <f>V103</f>
        <v>7500000</v>
      </c>
      <c r="Y103" s="468">
        <v>7200000</v>
      </c>
      <c r="Z103" s="468">
        <f t="shared" ref="Z103" si="77">X103</f>
        <v>7500000</v>
      </c>
      <c r="AA103" s="468">
        <v>5600000</v>
      </c>
      <c r="AB103" s="468">
        <f t="shared" si="75"/>
        <v>90000000</v>
      </c>
      <c r="AC103" s="560">
        <f t="shared" si="76"/>
        <v>99000000.000000015</v>
      </c>
      <c r="AD103" s="560">
        <f t="shared" si="76"/>
        <v>108900000.00000003</v>
      </c>
      <c r="AE103" s="560">
        <f t="shared" si="76"/>
        <v>119790000.00000004</v>
      </c>
      <c r="AF103" s="575">
        <f t="shared" si="52"/>
        <v>324843579.25</v>
      </c>
    </row>
    <row r="104" spans="1:32" s="62" customFormat="1" ht="18.399999999999999" customHeight="1" x14ac:dyDescent="0.2">
      <c r="A104" s="445">
        <v>3</v>
      </c>
      <c r="B104" s="464" t="s">
        <v>73</v>
      </c>
      <c r="C104" s="475" t="s">
        <v>74</v>
      </c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  <c r="O104" s="468"/>
      <c r="P104" s="468"/>
      <c r="Q104" s="468"/>
      <c r="R104" s="468"/>
      <c r="S104" s="468"/>
      <c r="T104" s="468"/>
      <c r="U104" s="468"/>
      <c r="V104" s="468"/>
      <c r="W104" s="468"/>
      <c r="X104" s="468"/>
      <c r="Y104" s="468"/>
      <c r="Z104" s="468"/>
      <c r="AA104" s="468"/>
      <c r="AB104" s="468">
        <f t="shared" si="75"/>
        <v>0</v>
      </c>
      <c r="AC104" s="560">
        <f t="shared" si="76"/>
        <v>0</v>
      </c>
      <c r="AD104" s="560">
        <f t="shared" si="76"/>
        <v>0</v>
      </c>
      <c r="AE104" s="560">
        <f t="shared" si="76"/>
        <v>0</v>
      </c>
      <c r="AF104" s="575">
        <f t="shared" si="52"/>
        <v>0</v>
      </c>
    </row>
    <row r="105" spans="1:32" s="62" customFormat="1" ht="18.399999999999999" customHeight="1" x14ac:dyDescent="0.2">
      <c r="A105" s="445">
        <v>4</v>
      </c>
      <c r="B105" s="464" t="s">
        <v>47</v>
      </c>
      <c r="C105" s="475" t="s">
        <v>217</v>
      </c>
      <c r="D105" s="468"/>
      <c r="E105" s="468"/>
      <c r="F105" s="468"/>
      <c r="G105" s="468"/>
      <c r="H105" s="468"/>
      <c r="I105" s="468"/>
      <c r="J105" s="468"/>
      <c r="K105" s="468"/>
      <c r="L105" s="468"/>
      <c r="M105" s="468"/>
      <c r="N105" s="468"/>
      <c r="O105" s="468"/>
      <c r="P105" s="468"/>
      <c r="Q105" s="468"/>
      <c r="R105" s="468"/>
      <c r="S105" s="468"/>
      <c r="T105" s="468"/>
      <c r="U105" s="468"/>
      <c r="V105" s="468"/>
      <c r="W105" s="468"/>
      <c r="X105" s="468"/>
      <c r="Y105" s="468"/>
      <c r="Z105" s="468"/>
      <c r="AA105" s="468"/>
      <c r="AB105" s="468">
        <f t="shared" si="75"/>
        <v>0</v>
      </c>
      <c r="AC105" s="560">
        <f t="shared" si="76"/>
        <v>0</v>
      </c>
      <c r="AD105" s="560">
        <f t="shared" si="76"/>
        <v>0</v>
      </c>
      <c r="AE105" s="560">
        <f t="shared" si="76"/>
        <v>0</v>
      </c>
      <c r="AF105" s="575">
        <f t="shared" si="52"/>
        <v>0</v>
      </c>
    </row>
    <row r="106" spans="1:32" s="62" customFormat="1" ht="18.399999999999999" customHeight="1" x14ac:dyDescent="0.2">
      <c r="A106" s="445">
        <v>5</v>
      </c>
      <c r="B106" s="464" t="s">
        <v>136</v>
      </c>
      <c r="C106" s="474" t="s">
        <v>146</v>
      </c>
      <c r="D106" s="468">
        <v>25000000</v>
      </c>
      <c r="E106" s="468"/>
      <c r="F106" s="468"/>
      <c r="G106" s="468"/>
      <c r="H106" s="468"/>
      <c r="I106" s="468">
        <v>21000000</v>
      </c>
      <c r="J106" s="468"/>
      <c r="K106" s="468"/>
      <c r="L106" s="468"/>
      <c r="M106" s="468"/>
      <c r="N106" s="468"/>
      <c r="O106" s="468">
        <v>3184631</v>
      </c>
      <c r="P106" s="468">
        <v>30000000</v>
      </c>
      <c r="Q106" s="468"/>
      <c r="R106" s="468"/>
      <c r="S106" s="468"/>
      <c r="T106" s="468"/>
      <c r="U106" s="468"/>
      <c r="V106" s="468"/>
      <c r="W106" s="468"/>
      <c r="X106" s="468"/>
      <c r="Y106" s="468"/>
      <c r="Z106" s="468"/>
      <c r="AA106" s="468"/>
      <c r="AB106" s="468">
        <f t="shared" si="75"/>
        <v>55000000</v>
      </c>
      <c r="AC106" s="560">
        <f t="shared" si="76"/>
        <v>60500000.000000007</v>
      </c>
      <c r="AD106" s="560">
        <f t="shared" si="76"/>
        <v>66550000.000000015</v>
      </c>
      <c r="AE106" s="560">
        <f t="shared" si="76"/>
        <v>73205000.000000015</v>
      </c>
      <c r="AF106" s="575">
        <f t="shared" si="52"/>
        <v>24184631</v>
      </c>
    </row>
    <row r="107" spans="1:32" s="62" customFormat="1" ht="18.399999999999999" customHeight="1" x14ac:dyDescent="0.2">
      <c r="A107" s="445">
        <v>6</v>
      </c>
      <c r="B107" s="464" t="s">
        <v>147</v>
      </c>
      <c r="C107" s="475" t="s">
        <v>148</v>
      </c>
      <c r="D107" s="468"/>
      <c r="E107" s="468"/>
      <c r="F107" s="468"/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468"/>
      <c r="U107" s="468"/>
      <c r="V107" s="468"/>
      <c r="W107" s="468"/>
      <c r="X107" s="468"/>
      <c r="Y107" s="468"/>
      <c r="Z107" s="468"/>
      <c r="AA107" s="468"/>
      <c r="AB107" s="468">
        <f t="shared" si="75"/>
        <v>0</v>
      </c>
      <c r="AC107" s="560">
        <f t="shared" si="76"/>
        <v>0</v>
      </c>
      <c r="AD107" s="560">
        <f t="shared" si="76"/>
        <v>0</v>
      </c>
      <c r="AE107" s="560">
        <f t="shared" si="76"/>
        <v>0</v>
      </c>
      <c r="AF107" s="575">
        <f t="shared" si="52"/>
        <v>0</v>
      </c>
    </row>
    <row r="108" spans="1:32" s="2" customFormat="1" ht="18.399999999999999" customHeight="1" x14ac:dyDescent="0.2">
      <c r="A108" s="493"/>
      <c r="B108" s="440"/>
      <c r="C108" s="486" t="s">
        <v>149</v>
      </c>
      <c r="D108" s="485">
        <f t="shared" ref="D108:I108" si="78">SUM(D102:D107)</f>
        <v>32500000</v>
      </c>
      <c r="E108" s="485">
        <f t="shared" si="78"/>
        <v>4474043.5199999996</v>
      </c>
      <c r="F108" s="485">
        <f t="shared" si="78"/>
        <v>7500000</v>
      </c>
      <c r="G108" s="485">
        <f t="shared" si="78"/>
        <v>1450165.7300000002</v>
      </c>
      <c r="H108" s="485">
        <f t="shared" si="78"/>
        <v>7500000</v>
      </c>
      <c r="I108" s="485">
        <f t="shared" si="78"/>
        <v>21156595</v>
      </c>
      <c r="J108" s="485">
        <f t="shared" ref="J108:AE108" si="79">SUM(J102:J107)</f>
        <v>7500000</v>
      </c>
      <c r="K108" s="485">
        <f t="shared" si="79"/>
        <v>4613635</v>
      </c>
      <c r="L108" s="485">
        <f t="shared" si="79"/>
        <v>7500000</v>
      </c>
      <c r="M108" s="485">
        <f t="shared" si="79"/>
        <v>5777215</v>
      </c>
      <c r="N108" s="485">
        <f t="shared" si="79"/>
        <v>7500000</v>
      </c>
      <c r="O108" s="485">
        <f t="shared" si="79"/>
        <v>8426996</v>
      </c>
      <c r="P108" s="485">
        <f t="shared" si="79"/>
        <v>37500000</v>
      </c>
      <c r="Q108" s="485">
        <f t="shared" si="79"/>
        <v>90325560</v>
      </c>
      <c r="R108" s="485">
        <f t="shared" si="79"/>
        <v>7500000</v>
      </c>
      <c r="S108" s="485">
        <f t="shared" si="79"/>
        <v>54236800</v>
      </c>
      <c r="T108" s="485">
        <f t="shared" si="79"/>
        <v>7500000</v>
      </c>
      <c r="U108" s="485">
        <f t="shared" si="79"/>
        <v>140567200</v>
      </c>
      <c r="V108" s="485">
        <f t="shared" si="79"/>
        <v>7500000</v>
      </c>
      <c r="W108" s="485">
        <f t="shared" si="79"/>
        <v>5200000</v>
      </c>
      <c r="X108" s="485">
        <f t="shared" si="79"/>
        <v>7500000</v>
      </c>
      <c r="Y108" s="485">
        <f t="shared" si="79"/>
        <v>7200000</v>
      </c>
      <c r="Z108" s="485">
        <f t="shared" si="79"/>
        <v>7500000</v>
      </c>
      <c r="AA108" s="485">
        <f t="shared" si="79"/>
        <v>5600000</v>
      </c>
      <c r="AB108" s="485">
        <f t="shared" si="79"/>
        <v>145000000</v>
      </c>
      <c r="AC108" s="494">
        <f t="shared" si="79"/>
        <v>159500000.00000003</v>
      </c>
      <c r="AD108" s="494">
        <f t="shared" si="79"/>
        <v>175450000.00000006</v>
      </c>
      <c r="AE108" s="494">
        <f t="shared" si="79"/>
        <v>192995000.00000006</v>
      </c>
      <c r="AF108" s="575">
        <f t="shared" si="52"/>
        <v>349028210.25</v>
      </c>
    </row>
    <row r="109" spans="1:32" ht="18.399999999999999" customHeight="1" x14ac:dyDescent="0.2">
      <c r="A109" s="445">
        <v>1</v>
      </c>
      <c r="B109" s="464" t="s">
        <v>21</v>
      </c>
      <c r="C109" s="475" t="s">
        <v>150</v>
      </c>
      <c r="D109" s="468">
        <v>99329562</v>
      </c>
      <c r="E109" s="468"/>
      <c r="F109" s="468">
        <f>D109</f>
        <v>99329562</v>
      </c>
      <c r="G109" s="468"/>
      <c r="H109" s="468">
        <f>F109</f>
        <v>99329562</v>
      </c>
      <c r="I109" s="468"/>
      <c r="J109" s="468">
        <f>H109</f>
        <v>99329562</v>
      </c>
      <c r="K109" s="468"/>
      <c r="L109" s="468">
        <f>J109</f>
        <v>99329562</v>
      </c>
      <c r="M109" s="468"/>
      <c r="N109" s="468">
        <f>L109</f>
        <v>99329562</v>
      </c>
      <c r="O109" s="468"/>
      <c r="P109" s="468">
        <f>N109</f>
        <v>99329562</v>
      </c>
      <c r="Q109" s="468"/>
      <c r="R109" s="468">
        <f>P109*2.5</f>
        <v>248323905</v>
      </c>
      <c r="S109" s="468"/>
      <c r="T109" s="468">
        <f>P109</f>
        <v>99329562</v>
      </c>
      <c r="U109" s="468"/>
      <c r="V109" s="468">
        <f>T109</f>
        <v>99329562</v>
      </c>
      <c r="W109" s="468"/>
      <c r="X109" s="468">
        <f t="shared" ref="X109" si="80">V109</f>
        <v>99329562</v>
      </c>
      <c r="Y109" s="468"/>
      <c r="Z109" s="468">
        <f>X109*2</f>
        <v>198659124</v>
      </c>
      <c r="AA109" s="468"/>
      <c r="AB109" s="468">
        <f t="shared" ref="AB109:AB118" si="81">Z109+X109+V109++T109+R109+P109+N109+L109+J109+H109+F109+D109</f>
        <v>1440278649</v>
      </c>
      <c r="AC109" s="560">
        <f t="shared" ref="AC109:AE118" si="82">AB109*1.1</f>
        <v>1584306513.9000001</v>
      </c>
      <c r="AD109" s="560">
        <f t="shared" si="82"/>
        <v>1742737165.2900002</v>
      </c>
      <c r="AE109" s="560">
        <f t="shared" si="82"/>
        <v>1917010881.8190005</v>
      </c>
      <c r="AF109" s="575">
        <f t="shared" si="52"/>
        <v>0</v>
      </c>
    </row>
    <row r="110" spans="1:32" ht="18.399999999999999" customHeight="1" x14ac:dyDescent="0.2">
      <c r="A110" s="445">
        <v>2</v>
      </c>
      <c r="B110" s="444" t="s">
        <v>33</v>
      </c>
      <c r="C110" s="475" t="s">
        <v>151</v>
      </c>
      <c r="D110" s="468">
        <v>14000000</v>
      </c>
      <c r="E110" s="468">
        <v>-23264889.539999999</v>
      </c>
      <c r="F110" s="468">
        <f>D110</f>
        <v>14000000</v>
      </c>
      <c r="G110" s="468">
        <v>-18281823.129999999</v>
      </c>
      <c r="H110" s="468">
        <f>F110</f>
        <v>14000000</v>
      </c>
      <c r="I110" s="468">
        <v>-27910972.080000002</v>
      </c>
      <c r="J110" s="468">
        <f>H110</f>
        <v>14000000</v>
      </c>
      <c r="K110" s="468"/>
      <c r="L110" s="468">
        <f>J110</f>
        <v>14000000</v>
      </c>
      <c r="M110" s="468"/>
      <c r="N110" s="468">
        <f>L110</f>
        <v>14000000</v>
      </c>
      <c r="O110" s="468"/>
      <c r="P110" s="468">
        <f>N110</f>
        <v>14000000</v>
      </c>
      <c r="Q110" s="468"/>
      <c r="R110" s="468">
        <f>P110</f>
        <v>14000000</v>
      </c>
      <c r="S110" s="468"/>
      <c r="T110" s="468">
        <f>R110</f>
        <v>14000000</v>
      </c>
      <c r="U110" s="468"/>
      <c r="V110" s="468">
        <f>T110</f>
        <v>14000000</v>
      </c>
      <c r="W110" s="468"/>
      <c r="X110" s="468">
        <f>V110</f>
        <v>14000000</v>
      </c>
      <c r="Y110" s="468"/>
      <c r="Z110" s="468">
        <f t="shared" ref="Z110" si="83">X110</f>
        <v>14000000</v>
      </c>
      <c r="AA110" s="468"/>
      <c r="AB110" s="468">
        <f t="shared" si="81"/>
        <v>168000000</v>
      </c>
      <c r="AC110" s="560">
        <f t="shared" si="82"/>
        <v>184800000.00000003</v>
      </c>
      <c r="AD110" s="560">
        <f t="shared" si="82"/>
        <v>203280000.00000006</v>
      </c>
      <c r="AE110" s="560">
        <f t="shared" si="82"/>
        <v>223608000.00000009</v>
      </c>
      <c r="AF110" s="575">
        <f t="shared" si="52"/>
        <v>-69457684.75</v>
      </c>
    </row>
    <row r="111" spans="1:32" ht="18.399999999999999" customHeight="1" x14ac:dyDescent="0.2">
      <c r="A111" s="445">
        <v>3</v>
      </c>
      <c r="B111" s="464" t="s">
        <v>53</v>
      </c>
      <c r="C111" s="475" t="s">
        <v>84</v>
      </c>
      <c r="D111" s="468"/>
      <c r="E111" s="468"/>
      <c r="F111" s="468"/>
      <c r="G111" s="468"/>
      <c r="H111" s="468"/>
      <c r="I111" s="468"/>
      <c r="J111" s="468"/>
      <c r="K111" s="468"/>
      <c r="L111" s="468"/>
      <c r="M111" s="468"/>
      <c r="N111" s="468"/>
      <c r="O111" s="468"/>
      <c r="P111" s="468"/>
      <c r="Q111" s="468"/>
      <c r="R111" s="560"/>
      <c r="S111" s="560"/>
      <c r="T111" s="468"/>
      <c r="U111" s="468"/>
      <c r="V111" s="468"/>
      <c r="W111" s="468"/>
      <c r="X111" s="468"/>
      <c r="Y111" s="468"/>
      <c r="Z111" s="468"/>
      <c r="AA111" s="468"/>
      <c r="AB111" s="468">
        <f t="shared" si="81"/>
        <v>0</v>
      </c>
      <c r="AC111" s="560">
        <f t="shared" si="82"/>
        <v>0</v>
      </c>
      <c r="AD111" s="560">
        <f t="shared" si="82"/>
        <v>0</v>
      </c>
      <c r="AE111" s="560">
        <f t="shared" si="82"/>
        <v>0</v>
      </c>
      <c r="AF111" s="575">
        <f t="shared" si="52"/>
        <v>0</v>
      </c>
    </row>
    <row r="112" spans="1:32" ht="18.399999999999999" customHeight="1" x14ac:dyDescent="0.2">
      <c r="A112" s="445">
        <v>4</v>
      </c>
      <c r="B112" s="476" t="s">
        <v>85</v>
      </c>
      <c r="C112" s="475" t="s">
        <v>86</v>
      </c>
      <c r="D112" s="468">
        <v>17000000</v>
      </c>
      <c r="E112" s="468"/>
      <c r="F112" s="468">
        <f>D112</f>
        <v>17000000</v>
      </c>
      <c r="G112" s="468"/>
      <c r="H112" s="468">
        <f>F112</f>
        <v>17000000</v>
      </c>
      <c r="I112" s="468"/>
      <c r="J112" s="468">
        <f>H112</f>
        <v>17000000</v>
      </c>
      <c r="K112" s="468"/>
      <c r="L112" s="468">
        <f>J112</f>
        <v>17000000</v>
      </c>
      <c r="M112" s="468"/>
      <c r="N112" s="468">
        <f>L112</f>
        <v>17000000</v>
      </c>
      <c r="O112" s="468"/>
      <c r="P112" s="468">
        <f>N112</f>
        <v>17000000</v>
      </c>
      <c r="Q112" s="468"/>
      <c r="R112" s="468">
        <f>P112</f>
        <v>17000000</v>
      </c>
      <c r="S112" s="468"/>
      <c r="T112" s="468">
        <f>R112</f>
        <v>17000000</v>
      </c>
      <c r="U112" s="468"/>
      <c r="V112" s="468">
        <f>T112</f>
        <v>17000000</v>
      </c>
      <c r="W112" s="468"/>
      <c r="X112" s="468">
        <f>V112</f>
        <v>17000000</v>
      </c>
      <c r="Y112" s="468"/>
      <c r="Z112" s="468">
        <f t="shared" ref="Z112" si="84">X112</f>
        <v>17000000</v>
      </c>
      <c r="AA112" s="468"/>
      <c r="AB112" s="468">
        <f t="shared" si="81"/>
        <v>204000000</v>
      </c>
      <c r="AC112" s="560">
        <f t="shared" si="82"/>
        <v>224400000.00000003</v>
      </c>
      <c r="AD112" s="560">
        <f t="shared" si="82"/>
        <v>246840000.00000006</v>
      </c>
      <c r="AE112" s="560">
        <f t="shared" si="82"/>
        <v>271524000.00000006</v>
      </c>
      <c r="AF112" s="575">
        <f t="shared" si="52"/>
        <v>0</v>
      </c>
    </row>
    <row r="113" spans="1:32" ht="18.399999999999999" customHeight="1" x14ac:dyDescent="0.2">
      <c r="A113" s="445">
        <v>5</v>
      </c>
      <c r="B113" s="464" t="s">
        <v>129</v>
      </c>
      <c r="C113" s="475" t="s">
        <v>152</v>
      </c>
      <c r="D113" s="468">
        <v>1500000</v>
      </c>
      <c r="E113" s="468"/>
      <c r="F113" s="468">
        <f>D113</f>
        <v>1500000</v>
      </c>
      <c r="G113" s="468"/>
      <c r="H113" s="468">
        <f>F113</f>
        <v>1500000</v>
      </c>
      <c r="I113" s="468"/>
      <c r="J113" s="468">
        <f>H113</f>
        <v>1500000</v>
      </c>
      <c r="K113" s="468"/>
      <c r="L113" s="468">
        <f>J113</f>
        <v>1500000</v>
      </c>
      <c r="M113" s="468">
        <v>2000000</v>
      </c>
      <c r="N113" s="468">
        <f>L113</f>
        <v>1500000</v>
      </c>
      <c r="O113" s="468">
        <f>127530+397740</f>
        <v>525270</v>
      </c>
      <c r="P113" s="468">
        <f>N113</f>
        <v>1500000</v>
      </c>
      <c r="Q113" s="468"/>
      <c r="R113" s="468">
        <f>P113</f>
        <v>1500000</v>
      </c>
      <c r="S113" s="468"/>
      <c r="T113" s="468">
        <f>R113</f>
        <v>1500000</v>
      </c>
      <c r="U113" s="468"/>
      <c r="V113" s="468">
        <f>T113</f>
        <v>1500000</v>
      </c>
      <c r="W113" s="468"/>
      <c r="X113" s="468">
        <f>V113</f>
        <v>1500000</v>
      </c>
      <c r="Y113" s="468"/>
      <c r="Z113" s="468">
        <f t="shared" ref="Z113" si="85">X113</f>
        <v>1500000</v>
      </c>
      <c r="AA113" s="468"/>
      <c r="AB113" s="468">
        <f t="shared" si="81"/>
        <v>18000000</v>
      </c>
      <c r="AC113" s="560">
        <f t="shared" si="82"/>
        <v>19800000</v>
      </c>
      <c r="AD113" s="560">
        <f t="shared" si="82"/>
        <v>21780000</v>
      </c>
      <c r="AE113" s="560">
        <f t="shared" si="82"/>
        <v>23958000.000000004</v>
      </c>
      <c r="AF113" s="575">
        <f t="shared" si="52"/>
        <v>2525270</v>
      </c>
    </row>
    <row r="114" spans="1:32" ht="18.399999999999999" customHeight="1" x14ac:dyDescent="0.2">
      <c r="A114" s="445">
        <v>6</v>
      </c>
      <c r="B114" s="464" t="s">
        <v>153</v>
      </c>
      <c r="C114" s="475" t="s">
        <v>154</v>
      </c>
      <c r="D114" s="468">
        <v>10000000</v>
      </c>
      <c r="E114" s="468"/>
      <c r="F114" s="468">
        <f>D114</f>
        <v>10000000</v>
      </c>
      <c r="G114" s="468"/>
      <c r="H114" s="468">
        <f>F114</f>
        <v>10000000</v>
      </c>
      <c r="I114" s="468"/>
      <c r="J114" s="468">
        <f>H114</f>
        <v>10000000</v>
      </c>
      <c r="K114" s="468">
        <v>13250000</v>
      </c>
      <c r="L114" s="468">
        <f>J114</f>
        <v>10000000</v>
      </c>
      <c r="M114" s="468">
        <v>19250000</v>
      </c>
      <c r="N114" s="468">
        <f>L114</f>
        <v>10000000</v>
      </c>
      <c r="O114" s="468">
        <v>13250000</v>
      </c>
      <c r="P114" s="468">
        <f>N114</f>
        <v>10000000</v>
      </c>
      <c r="Q114" s="468">
        <v>14560900</v>
      </c>
      <c r="R114" s="468">
        <f>P114</f>
        <v>10000000</v>
      </c>
      <c r="S114" s="468">
        <v>29850600</v>
      </c>
      <c r="T114" s="468">
        <f>R114</f>
        <v>10000000</v>
      </c>
      <c r="U114" s="468">
        <v>18560200</v>
      </c>
      <c r="V114" s="468">
        <f>T114</f>
        <v>10000000</v>
      </c>
      <c r="W114" s="468">
        <v>23250000</v>
      </c>
      <c r="X114" s="468">
        <f>V114</f>
        <v>10000000</v>
      </c>
      <c r="Y114" s="468">
        <v>23250000</v>
      </c>
      <c r="Z114" s="468">
        <f t="shared" ref="Z114:Z115" si="86">X114</f>
        <v>10000000</v>
      </c>
      <c r="AA114" s="468">
        <v>23250000</v>
      </c>
      <c r="AB114" s="468">
        <f t="shared" si="81"/>
        <v>120000000</v>
      </c>
      <c r="AC114" s="560">
        <f t="shared" si="82"/>
        <v>132000000.00000001</v>
      </c>
      <c r="AD114" s="560">
        <f t="shared" si="82"/>
        <v>145200000.00000003</v>
      </c>
      <c r="AE114" s="560">
        <f t="shared" si="82"/>
        <v>159720000.00000006</v>
      </c>
      <c r="AF114" s="575">
        <f t="shared" si="52"/>
        <v>178471700</v>
      </c>
    </row>
    <row r="115" spans="1:32" ht="18.399999999999999" customHeight="1" x14ac:dyDescent="0.2">
      <c r="A115" s="445">
        <v>7</v>
      </c>
      <c r="B115" s="464" t="s">
        <v>155</v>
      </c>
      <c r="C115" s="475" t="s">
        <v>156</v>
      </c>
      <c r="D115" s="468">
        <v>12000000</v>
      </c>
      <c r="E115" s="468">
        <v>3412017.4600000004</v>
      </c>
      <c r="F115" s="468">
        <f>D115</f>
        <v>12000000</v>
      </c>
      <c r="G115" s="468">
        <v>9355404.2199999988</v>
      </c>
      <c r="H115" s="468">
        <f>F115</f>
        <v>12000000</v>
      </c>
      <c r="I115" s="468">
        <v>6182468.9600000009</v>
      </c>
      <c r="J115" s="468">
        <f>H115</f>
        <v>12000000</v>
      </c>
      <c r="K115" s="468">
        <v>21837527</v>
      </c>
      <c r="L115" s="468">
        <f>J115</f>
        <v>12000000</v>
      </c>
      <c r="M115" s="468">
        <v>15891219</v>
      </c>
      <c r="N115" s="468">
        <f>L115</f>
        <v>12000000</v>
      </c>
      <c r="O115" s="468">
        <v>18061017</v>
      </c>
      <c r="P115" s="468">
        <f>N115</f>
        <v>12000000</v>
      </c>
      <c r="Q115" s="468">
        <v>12780900</v>
      </c>
      <c r="R115" s="468">
        <f>P115</f>
        <v>12000000</v>
      </c>
      <c r="S115" s="468">
        <v>18560200</v>
      </c>
      <c r="T115" s="468">
        <f>R115</f>
        <v>12000000</v>
      </c>
      <c r="U115" s="468">
        <v>25870900</v>
      </c>
      <c r="V115" s="468">
        <f>T115</f>
        <v>12000000</v>
      </c>
      <c r="W115" s="468">
        <v>17865000</v>
      </c>
      <c r="X115" s="468">
        <f>V115</f>
        <v>12000000</v>
      </c>
      <c r="Y115" s="468">
        <v>27890400</v>
      </c>
      <c r="Z115" s="468">
        <f t="shared" si="86"/>
        <v>12000000</v>
      </c>
      <c r="AA115" s="468">
        <v>24670200</v>
      </c>
      <c r="AB115" s="468">
        <f t="shared" si="81"/>
        <v>144000000</v>
      </c>
      <c r="AC115" s="560">
        <f t="shared" si="82"/>
        <v>158400000</v>
      </c>
      <c r="AD115" s="560">
        <f t="shared" si="82"/>
        <v>174240000</v>
      </c>
      <c r="AE115" s="560">
        <f t="shared" si="82"/>
        <v>191664000.00000003</v>
      </c>
      <c r="AF115" s="575">
        <f t="shared" si="52"/>
        <v>202377253.63999999</v>
      </c>
    </row>
    <row r="116" spans="1:32" ht="18.399999999999999" customHeight="1" x14ac:dyDescent="0.2">
      <c r="A116" s="445">
        <v>8</v>
      </c>
      <c r="B116" s="464" t="s">
        <v>47</v>
      </c>
      <c r="C116" s="475" t="s">
        <v>111</v>
      </c>
      <c r="D116" s="468"/>
      <c r="E116" s="468"/>
      <c r="F116" s="468"/>
      <c r="G116" s="468"/>
      <c r="H116" s="468"/>
      <c r="I116" s="468"/>
      <c r="J116" s="468"/>
      <c r="K116" s="468"/>
      <c r="L116" s="468"/>
      <c r="M116" s="468"/>
      <c r="N116" s="468"/>
      <c r="O116" s="468"/>
      <c r="P116" s="468"/>
      <c r="Q116" s="468"/>
      <c r="R116" s="468"/>
      <c r="S116" s="468"/>
      <c r="T116" s="468"/>
      <c r="U116" s="468"/>
      <c r="V116" s="468"/>
      <c r="W116" s="468"/>
      <c r="X116" s="468"/>
      <c r="Y116" s="468"/>
      <c r="Z116" s="468"/>
      <c r="AA116" s="468"/>
      <c r="AB116" s="468">
        <f t="shared" si="81"/>
        <v>0</v>
      </c>
      <c r="AC116" s="560">
        <f t="shared" si="82"/>
        <v>0</v>
      </c>
      <c r="AD116" s="560">
        <f t="shared" si="82"/>
        <v>0</v>
      </c>
      <c r="AE116" s="560">
        <f t="shared" si="82"/>
        <v>0</v>
      </c>
      <c r="AF116" s="575">
        <f t="shared" si="52"/>
        <v>0</v>
      </c>
    </row>
    <row r="117" spans="1:32" ht="18.399999999999999" customHeight="1" x14ac:dyDescent="0.2">
      <c r="A117" s="445">
        <v>9</v>
      </c>
      <c r="B117" s="464" t="s">
        <v>147</v>
      </c>
      <c r="C117" s="475" t="s">
        <v>157</v>
      </c>
      <c r="D117" s="468">
        <v>500000</v>
      </c>
      <c r="E117" s="468"/>
      <c r="F117" s="468">
        <f>D117</f>
        <v>500000</v>
      </c>
      <c r="G117" s="468"/>
      <c r="H117" s="468">
        <f>F117</f>
        <v>500000</v>
      </c>
      <c r="I117" s="468"/>
      <c r="J117" s="468">
        <f>H117</f>
        <v>500000</v>
      </c>
      <c r="K117" s="468">
        <v>3325099</v>
      </c>
      <c r="L117" s="468">
        <f>J117</f>
        <v>500000</v>
      </c>
      <c r="M117" s="468">
        <v>3435935</v>
      </c>
      <c r="N117" s="468">
        <f>L117</f>
        <v>500000</v>
      </c>
      <c r="O117" s="468">
        <v>3325099</v>
      </c>
      <c r="P117" s="468">
        <f>N117</f>
        <v>500000</v>
      </c>
      <c r="Q117" s="468">
        <v>2780900</v>
      </c>
      <c r="R117" s="468">
        <f>P117</f>
        <v>500000</v>
      </c>
      <c r="S117" s="468">
        <v>4800600</v>
      </c>
      <c r="T117" s="468">
        <f>R117</f>
        <v>500000</v>
      </c>
      <c r="U117" s="468">
        <v>3560200</v>
      </c>
      <c r="V117" s="468">
        <f>T117</f>
        <v>500000</v>
      </c>
      <c r="W117" s="468"/>
      <c r="X117" s="468">
        <f>V117</f>
        <v>500000</v>
      </c>
      <c r="Y117" s="468"/>
      <c r="Z117" s="468">
        <f t="shared" ref="Z117:Z118" si="87">X117</f>
        <v>500000</v>
      </c>
      <c r="AA117" s="468"/>
      <c r="AB117" s="468">
        <f t="shared" si="81"/>
        <v>6000000</v>
      </c>
      <c r="AC117" s="560">
        <f t="shared" si="82"/>
        <v>6600000.0000000009</v>
      </c>
      <c r="AD117" s="560">
        <f t="shared" si="82"/>
        <v>7260000.0000000019</v>
      </c>
      <c r="AE117" s="560">
        <f t="shared" si="82"/>
        <v>7986000.0000000028</v>
      </c>
      <c r="AF117" s="575">
        <f t="shared" si="52"/>
        <v>21227833</v>
      </c>
    </row>
    <row r="118" spans="1:32" ht="18.399999999999999" customHeight="1" x14ac:dyDescent="0.2">
      <c r="A118" s="445">
        <v>10</v>
      </c>
      <c r="B118" s="464" t="s">
        <v>36</v>
      </c>
      <c r="C118" s="475" t="s">
        <v>158</v>
      </c>
      <c r="D118" s="468">
        <v>50000000</v>
      </c>
      <c r="E118" s="468">
        <v>34005212.5</v>
      </c>
      <c r="F118" s="468">
        <f>D118</f>
        <v>50000000</v>
      </c>
      <c r="G118" s="468">
        <v>92583700</v>
      </c>
      <c r="H118" s="468">
        <f>F118</f>
        <v>50000000</v>
      </c>
      <c r="I118" s="468"/>
      <c r="J118" s="468">
        <f>H118</f>
        <v>50000000</v>
      </c>
      <c r="K118" s="468">
        <v>58082717</v>
      </c>
      <c r="L118" s="468">
        <f>J118</f>
        <v>50000000</v>
      </c>
      <c r="M118" s="468">
        <v>31204970</v>
      </c>
      <c r="N118" s="468">
        <f>L118</f>
        <v>50000000</v>
      </c>
      <c r="O118" s="468">
        <f>10635683+3202500+68354600</f>
        <v>82192783</v>
      </c>
      <c r="P118" s="468">
        <f>N118</f>
        <v>50000000</v>
      </c>
      <c r="Q118" s="468">
        <v>24650300</v>
      </c>
      <c r="R118" s="468">
        <f>P118</f>
        <v>50000000</v>
      </c>
      <c r="S118" s="468">
        <v>56840900</v>
      </c>
      <c r="T118" s="468">
        <f>R118</f>
        <v>50000000</v>
      </c>
      <c r="U118" s="468">
        <v>25600170</v>
      </c>
      <c r="V118" s="468">
        <f>T118</f>
        <v>50000000</v>
      </c>
      <c r="W118" s="468">
        <v>92340000</v>
      </c>
      <c r="X118" s="468">
        <f>V118</f>
        <v>50000000</v>
      </c>
      <c r="Y118" s="468">
        <v>112340700</v>
      </c>
      <c r="Z118" s="468">
        <f t="shared" si="87"/>
        <v>50000000</v>
      </c>
      <c r="AA118" s="468">
        <v>97650000</v>
      </c>
      <c r="AB118" s="468">
        <f t="shared" si="81"/>
        <v>600000000</v>
      </c>
      <c r="AC118" s="560">
        <f t="shared" si="82"/>
        <v>660000000</v>
      </c>
      <c r="AD118" s="560">
        <f t="shared" si="82"/>
        <v>726000000</v>
      </c>
      <c r="AE118" s="560">
        <f t="shared" si="82"/>
        <v>798600000.00000012</v>
      </c>
      <c r="AF118" s="575">
        <f t="shared" si="52"/>
        <v>707491452.5</v>
      </c>
    </row>
    <row r="119" spans="1:32" s="2" customFormat="1" ht="18.399999999999999" customHeight="1" x14ac:dyDescent="0.2">
      <c r="A119" s="493"/>
      <c r="B119" s="440"/>
      <c r="C119" s="486" t="s">
        <v>159</v>
      </c>
      <c r="D119" s="494">
        <f t="shared" ref="D119:I119" si="88">SUM(D109:D118)</f>
        <v>204329562</v>
      </c>
      <c r="E119" s="494">
        <f t="shared" si="88"/>
        <v>14152340.420000002</v>
      </c>
      <c r="F119" s="494">
        <f t="shared" si="88"/>
        <v>204329562</v>
      </c>
      <c r="G119" s="494">
        <f t="shared" si="88"/>
        <v>83657281.090000004</v>
      </c>
      <c r="H119" s="494">
        <f t="shared" si="88"/>
        <v>204329562</v>
      </c>
      <c r="I119" s="494">
        <f t="shared" si="88"/>
        <v>-21728503.120000001</v>
      </c>
      <c r="J119" s="494">
        <f t="shared" ref="J119:AE119" si="89">SUM(J109:J118)</f>
        <v>204329562</v>
      </c>
      <c r="K119" s="494">
        <f t="shared" si="89"/>
        <v>96495343</v>
      </c>
      <c r="L119" s="494">
        <f t="shared" si="89"/>
        <v>204329562</v>
      </c>
      <c r="M119" s="494">
        <f t="shared" si="89"/>
        <v>71782124</v>
      </c>
      <c r="N119" s="494">
        <f t="shared" si="89"/>
        <v>204329562</v>
      </c>
      <c r="O119" s="494">
        <f t="shared" si="89"/>
        <v>117354169</v>
      </c>
      <c r="P119" s="494">
        <f t="shared" si="89"/>
        <v>204329562</v>
      </c>
      <c r="Q119" s="494">
        <f t="shared" ref="Q119" si="90">SUM(Q109:Q118)</f>
        <v>54773000</v>
      </c>
      <c r="R119" s="494">
        <f t="shared" si="89"/>
        <v>353323905</v>
      </c>
      <c r="S119" s="494">
        <f t="shared" ref="S119" si="91">SUM(S109:S118)</f>
        <v>110052300</v>
      </c>
      <c r="T119" s="494">
        <f t="shared" si="89"/>
        <v>204329562</v>
      </c>
      <c r="U119" s="494">
        <f t="shared" ref="U119" si="92">SUM(U109:U118)</f>
        <v>73591470</v>
      </c>
      <c r="V119" s="494">
        <f t="shared" si="89"/>
        <v>204329562</v>
      </c>
      <c r="W119" s="494">
        <f t="shared" ref="W119" si="93">SUM(W109:W118)</f>
        <v>133455000</v>
      </c>
      <c r="X119" s="494">
        <f t="shared" si="89"/>
        <v>204329562</v>
      </c>
      <c r="Y119" s="494">
        <f t="shared" ref="Y119" si="94">SUM(Y109:Y118)</f>
        <v>163481100</v>
      </c>
      <c r="Z119" s="494">
        <f t="shared" si="89"/>
        <v>303659124</v>
      </c>
      <c r="AA119" s="494">
        <f t="shared" ref="AA119" si="95">SUM(AA109:AA118)</f>
        <v>145570200</v>
      </c>
      <c r="AB119" s="494">
        <f t="shared" si="89"/>
        <v>2700278649</v>
      </c>
      <c r="AC119" s="494">
        <f t="shared" si="89"/>
        <v>2970306513.9000001</v>
      </c>
      <c r="AD119" s="494">
        <f t="shared" si="89"/>
        <v>3267337165.2900004</v>
      </c>
      <c r="AE119" s="494">
        <f t="shared" si="89"/>
        <v>3594070881.8190007</v>
      </c>
      <c r="AF119" s="575">
        <f t="shared" si="52"/>
        <v>1042635824.39</v>
      </c>
    </row>
    <row r="120" spans="1:32" s="2" customFormat="1" ht="18.399999999999999" customHeight="1" x14ac:dyDescent="0.2">
      <c r="A120" s="493"/>
      <c r="B120" s="440"/>
      <c r="C120" s="486" t="s">
        <v>160</v>
      </c>
      <c r="D120" s="487">
        <f t="shared" ref="D120:AB120" si="96">D119+D108+D96+D93+D86+D67+D78+D73+D64+D57+D32+D23+D22+D11+D101</f>
        <v>1030556249.6</v>
      </c>
      <c r="E120" s="487">
        <f>E119+E108+E96+E93+E86+E67+E78+E73+E64+E57+E32+E23+E22+E11+E101</f>
        <v>956829269.45000005</v>
      </c>
      <c r="F120" s="487">
        <f>F119+F108+F96+F93+F86+F67+F78+F73+F64+F57+F32+F23+F22+F11+F101</f>
        <v>937006249.60000002</v>
      </c>
      <c r="G120" s="487">
        <f>G119+G108+G96+G93+G86+G67+G78+G73+G64+G57+G32+G23+G22+G11+G101</f>
        <v>895477218.8900001</v>
      </c>
      <c r="H120" s="487">
        <f>H119+H108+H96+H93+H86+H67+H78+H73+H64+H57+H32+H23+H22+H11+H101</f>
        <v>1019756249.6</v>
      </c>
      <c r="I120" s="487">
        <f>I119+I108+I96+I93+I86+I67+I78+I73+I64+I57+I32+I23+I22+I11+I101</f>
        <v>782407130.43000007</v>
      </c>
      <c r="J120" s="487">
        <f t="shared" si="96"/>
        <v>1170693005.5999999</v>
      </c>
      <c r="K120" s="487">
        <f t="shared" si="96"/>
        <v>802979791</v>
      </c>
      <c r="L120" s="487">
        <f t="shared" si="96"/>
        <v>1052993600.8</v>
      </c>
      <c r="M120" s="487">
        <f t="shared" si="96"/>
        <v>795936842</v>
      </c>
      <c r="N120" s="487">
        <f t="shared" si="96"/>
        <v>1049993600.8</v>
      </c>
      <c r="O120" s="487">
        <f t="shared" si="96"/>
        <v>845658665</v>
      </c>
      <c r="P120" s="487">
        <f t="shared" si="96"/>
        <v>1026893600.8</v>
      </c>
      <c r="Q120" s="487">
        <f t="shared" ref="Q120" si="97">Q119+Q108+Q96+Q93+Q86+Q67+Q78+Q73+Q64+Q57+Q32+Q23+Q22+Q11+Q101</f>
        <v>1029711154</v>
      </c>
      <c r="R120" s="487">
        <f t="shared" si="96"/>
        <v>1999181954.4000001</v>
      </c>
      <c r="S120" s="487">
        <f t="shared" ref="S120" si="98">S119+S108+S96+S93+S86+S67+S78+S73+S64+S57+S32+S23+S22+S11+S101</f>
        <v>1023704790</v>
      </c>
      <c r="T120" s="487">
        <f t="shared" si="96"/>
        <v>969243600.79999995</v>
      </c>
      <c r="U120" s="487">
        <f t="shared" ref="U120" si="99">U119+U108+U96+U93+U86+U67+U78+U73+U64+U57+U32+U23+U22+U11+U101</f>
        <v>1134269544</v>
      </c>
      <c r="V120" s="487">
        <f t="shared" si="96"/>
        <v>1047243600.8</v>
      </c>
      <c r="W120" s="487">
        <f t="shared" ref="W120" si="100">W119+W108+W96+W93+W86+W67+W78+W73+W64+W57+W32+W23+W22+W11+W101</f>
        <v>1107178061.9000001</v>
      </c>
      <c r="X120" s="487">
        <f t="shared" si="96"/>
        <v>999493600.79999995</v>
      </c>
      <c r="Y120" s="487">
        <f t="shared" ref="Y120" si="101">Y119+Y108+Y96+Y93+Y86+Y67+Y78+Y73+Y64+Y57+Y32+Y23+Y22+Y11+Y101</f>
        <v>1204411404.6500001</v>
      </c>
      <c r="Z120" s="487">
        <f t="shared" si="96"/>
        <v>1094573162.8</v>
      </c>
      <c r="AA120" s="487">
        <f t="shared" ref="AA120" si="102">AA119+AA108+AA96+AA93+AA86+AA67+AA78+AA73+AA64+AA57+AA32+AA23+AA22+AA11+AA101</f>
        <v>1141320209.1399999</v>
      </c>
      <c r="AB120" s="487">
        <f t="shared" si="96"/>
        <v>13397628476.4</v>
      </c>
      <c r="AC120" s="487">
        <f>AC119+AC108+AC96+AC93+AC86+AC78+AC73+AC67+AC64+AC57+AC32+AC23+AC22+AC11+AC101</f>
        <v>14737391324.040001</v>
      </c>
      <c r="AD120" s="487">
        <f>AD119+AD108+AD96+AD93+AD86+AD78+AD73+AD67+AD64+AD57+AD32+AD23+AD22+AD11+AD101</f>
        <v>16211130456.444002</v>
      </c>
      <c r="AE120" s="487">
        <f>AE119+AE108+AE96+AE93+AE86+AE78+AE73+AE67+AE64+AE57+AE32+AE23+AE22+AE11+AE101</f>
        <v>17832243502.088406</v>
      </c>
      <c r="AF120" s="575">
        <f t="shared" si="52"/>
        <v>11719884080.459999</v>
      </c>
    </row>
    <row r="121" spans="1:32" s="27" customFormat="1" ht="18.399999999999999" customHeight="1" x14ac:dyDescent="0.2">
      <c r="A121" s="439"/>
      <c r="B121" s="440"/>
      <c r="C121" s="503"/>
      <c r="D121" s="504"/>
      <c r="E121" s="504"/>
      <c r="F121" s="504"/>
      <c r="G121" s="504"/>
      <c r="H121" s="504"/>
      <c r="I121" s="504"/>
      <c r="J121" s="504"/>
      <c r="K121" s="504"/>
      <c r="L121" s="504"/>
      <c r="M121" s="504"/>
      <c r="N121" s="504"/>
      <c r="O121" s="504"/>
      <c r="P121" s="504"/>
      <c r="Q121" s="504"/>
      <c r="R121" s="504"/>
      <c r="S121" s="504"/>
      <c r="T121" s="504"/>
      <c r="U121" s="504"/>
      <c r="V121" s="504"/>
      <c r="W121" s="504"/>
      <c r="X121" s="504"/>
      <c r="Y121" s="504"/>
      <c r="Z121" s="504"/>
      <c r="AA121" s="504"/>
      <c r="AB121" s="504"/>
      <c r="AC121" s="560">
        <f t="shared" ref="AC121:AE123" si="103">AB121*1.1</f>
        <v>0</v>
      </c>
      <c r="AD121" s="560">
        <f t="shared" si="103"/>
        <v>0</v>
      </c>
      <c r="AE121" s="560">
        <f t="shared" si="103"/>
        <v>0</v>
      </c>
      <c r="AF121" s="575">
        <f t="shared" si="52"/>
        <v>0</v>
      </c>
    </row>
    <row r="122" spans="1:32" s="2" customFormat="1" ht="18.399999999999999" customHeight="1" x14ac:dyDescent="0.2">
      <c r="A122" s="493"/>
      <c r="B122" s="440"/>
      <c r="C122" s="569" t="s">
        <v>163</v>
      </c>
      <c r="D122" s="570">
        <v>107845351</v>
      </c>
      <c r="E122" s="570">
        <v>107845351</v>
      </c>
      <c r="F122" s="570">
        <f>D122</f>
        <v>107845351</v>
      </c>
      <c r="G122" s="570">
        <v>107845351</v>
      </c>
      <c r="H122" s="570">
        <f>F122</f>
        <v>107845351</v>
      </c>
      <c r="I122" s="570">
        <v>107845351</v>
      </c>
      <c r="J122" s="570">
        <f>H122</f>
        <v>107845351</v>
      </c>
      <c r="K122" s="570">
        <f t="shared" ref="K122" si="104">I122</f>
        <v>107845351</v>
      </c>
      <c r="L122" s="570">
        <f>J122</f>
        <v>107845351</v>
      </c>
      <c r="M122" s="570">
        <f t="shared" ref="M122" si="105">K122</f>
        <v>107845351</v>
      </c>
      <c r="N122" s="570">
        <f>L122</f>
        <v>107845351</v>
      </c>
      <c r="O122" s="570">
        <f t="shared" ref="O122" si="106">M122</f>
        <v>107845351</v>
      </c>
      <c r="P122" s="570">
        <f t="shared" ref="P122:Y122" si="107">N122</f>
        <v>107845351</v>
      </c>
      <c r="Q122" s="570">
        <f t="shared" si="107"/>
        <v>107845351</v>
      </c>
      <c r="R122" s="570">
        <f t="shared" si="107"/>
        <v>107845351</v>
      </c>
      <c r="S122" s="570">
        <f t="shared" si="107"/>
        <v>107845351</v>
      </c>
      <c r="T122" s="570">
        <f t="shared" si="107"/>
        <v>107845351</v>
      </c>
      <c r="U122" s="570">
        <f t="shared" si="107"/>
        <v>107845351</v>
      </c>
      <c r="V122" s="570">
        <f t="shared" si="107"/>
        <v>107845351</v>
      </c>
      <c r="W122" s="570">
        <f t="shared" si="107"/>
        <v>107845351</v>
      </c>
      <c r="X122" s="570">
        <f t="shared" si="107"/>
        <v>107845351</v>
      </c>
      <c r="Y122" s="570">
        <f t="shared" si="107"/>
        <v>107845351</v>
      </c>
      <c r="Z122" s="570">
        <f t="shared" ref="Z122" si="108">X122</f>
        <v>107845351</v>
      </c>
      <c r="AA122" s="570">
        <f>Y122</f>
        <v>107845351</v>
      </c>
      <c r="AB122" s="468">
        <f>Z122+X122+V122++T122+R122+P122+N122+L122+J122+H122+F122+D122</f>
        <v>1294144212</v>
      </c>
      <c r="AC122" s="560">
        <f t="shared" si="103"/>
        <v>1423558633.2</v>
      </c>
      <c r="AD122" s="560">
        <f t="shared" si="103"/>
        <v>1565914496.5200002</v>
      </c>
      <c r="AE122" s="560">
        <f t="shared" si="103"/>
        <v>1722505946.1720004</v>
      </c>
      <c r="AF122" s="575">
        <f t="shared" si="52"/>
        <v>1294144212</v>
      </c>
    </row>
    <row r="123" spans="1:32" s="2" customFormat="1" ht="18.399999999999999" customHeight="1" x14ac:dyDescent="0.2">
      <c r="A123" s="493"/>
      <c r="B123" s="440"/>
      <c r="C123" s="507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1"/>
      <c r="O123" s="571"/>
      <c r="P123" s="571"/>
      <c r="Q123" s="571"/>
      <c r="R123" s="571"/>
      <c r="S123" s="571"/>
      <c r="T123" s="571"/>
      <c r="U123" s="571"/>
      <c r="V123" s="571"/>
      <c r="W123" s="571"/>
      <c r="X123" s="571"/>
      <c r="Y123" s="571"/>
      <c r="Z123" s="571"/>
      <c r="AA123" s="571"/>
      <c r="AB123" s="468">
        <f>Z123+X123+V123++T123+R123+P123+N123+L123+J123+H123+F123+D123</f>
        <v>0</v>
      </c>
      <c r="AC123" s="560">
        <f t="shared" si="103"/>
        <v>0</v>
      </c>
      <c r="AD123" s="560">
        <f t="shared" si="103"/>
        <v>0</v>
      </c>
      <c r="AE123" s="560">
        <f t="shared" si="103"/>
        <v>0</v>
      </c>
      <c r="AF123" s="575">
        <f t="shared" si="52"/>
        <v>0</v>
      </c>
    </row>
    <row r="124" spans="1:32" s="2" customFormat="1" ht="18.399999999999999" customHeight="1" x14ac:dyDescent="0.2">
      <c r="A124" s="493"/>
      <c r="B124" s="464" t="s">
        <v>163</v>
      </c>
      <c r="C124" s="486" t="s">
        <v>164</v>
      </c>
      <c r="D124" s="509">
        <f t="shared" ref="D124:I124" si="109">SUM(D122:D123)</f>
        <v>107845351</v>
      </c>
      <c r="E124" s="509">
        <f t="shared" si="109"/>
        <v>107845351</v>
      </c>
      <c r="F124" s="509">
        <f t="shared" si="109"/>
        <v>107845351</v>
      </c>
      <c r="G124" s="509">
        <f t="shared" si="109"/>
        <v>107845351</v>
      </c>
      <c r="H124" s="509">
        <f t="shared" si="109"/>
        <v>107845351</v>
      </c>
      <c r="I124" s="509">
        <f t="shared" si="109"/>
        <v>107845351</v>
      </c>
      <c r="J124" s="509">
        <f t="shared" ref="J124:AE124" si="110">SUM(J122:J123)</f>
        <v>107845351</v>
      </c>
      <c r="K124" s="509">
        <f t="shared" si="110"/>
        <v>107845351</v>
      </c>
      <c r="L124" s="509">
        <f t="shared" si="110"/>
        <v>107845351</v>
      </c>
      <c r="M124" s="509">
        <f t="shared" si="110"/>
        <v>107845351</v>
      </c>
      <c r="N124" s="509">
        <f t="shared" si="110"/>
        <v>107845351</v>
      </c>
      <c r="O124" s="509">
        <f t="shared" si="110"/>
        <v>107845351</v>
      </c>
      <c r="P124" s="509">
        <f t="shared" si="110"/>
        <v>107845351</v>
      </c>
      <c r="Q124" s="509">
        <f t="shared" ref="Q124" si="111">SUM(Q122:Q123)</f>
        <v>107845351</v>
      </c>
      <c r="R124" s="509">
        <f t="shared" si="110"/>
        <v>107845351</v>
      </c>
      <c r="S124" s="509">
        <f t="shared" ref="S124" si="112">SUM(S122:S123)</f>
        <v>107845351</v>
      </c>
      <c r="T124" s="509">
        <f t="shared" si="110"/>
        <v>107845351</v>
      </c>
      <c r="U124" s="509">
        <f t="shared" ref="U124" si="113">SUM(U122:U123)</f>
        <v>107845351</v>
      </c>
      <c r="V124" s="509">
        <f t="shared" si="110"/>
        <v>107845351</v>
      </c>
      <c r="W124" s="509">
        <f t="shared" ref="W124" si="114">SUM(W122:W123)</f>
        <v>107845351</v>
      </c>
      <c r="X124" s="509">
        <f t="shared" si="110"/>
        <v>107845351</v>
      </c>
      <c r="Y124" s="509">
        <f t="shared" ref="Y124" si="115">SUM(Y122:Y123)</f>
        <v>107845351</v>
      </c>
      <c r="Z124" s="509">
        <f t="shared" si="110"/>
        <v>107845351</v>
      </c>
      <c r="AA124" s="509">
        <f t="shared" ref="AA124" si="116">SUM(AA122:AA123)</f>
        <v>107845351</v>
      </c>
      <c r="AB124" s="509">
        <f t="shared" si="110"/>
        <v>1294144212</v>
      </c>
      <c r="AC124" s="509">
        <f t="shared" si="110"/>
        <v>1423558633.2</v>
      </c>
      <c r="AD124" s="509">
        <f t="shared" si="110"/>
        <v>1565914496.5200002</v>
      </c>
      <c r="AE124" s="509">
        <f t="shared" si="110"/>
        <v>1722505946.1720004</v>
      </c>
      <c r="AF124" s="575">
        <f t="shared" si="52"/>
        <v>1294144212</v>
      </c>
    </row>
    <row r="125" spans="1:32" s="2" customFormat="1" ht="18.399999999999999" customHeight="1" x14ac:dyDescent="0.2">
      <c r="A125" s="493"/>
      <c r="B125" s="440"/>
      <c r="C125" s="486" t="s">
        <v>165</v>
      </c>
      <c r="D125" s="487">
        <f t="shared" ref="D125:I125" si="117">D120+D124</f>
        <v>1138401600.5999999</v>
      </c>
      <c r="E125" s="487">
        <f t="shared" si="117"/>
        <v>1064674620.45</v>
      </c>
      <c r="F125" s="487">
        <f t="shared" si="117"/>
        <v>1044851600.6</v>
      </c>
      <c r="G125" s="487">
        <f t="shared" si="117"/>
        <v>1003322569.8900001</v>
      </c>
      <c r="H125" s="487">
        <f t="shared" si="117"/>
        <v>1127601600.5999999</v>
      </c>
      <c r="I125" s="487">
        <f t="shared" si="117"/>
        <v>890252481.43000007</v>
      </c>
      <c r="J125" s="487">
        <f t="shared" ref="J125:AE125" si="118">J120+J124</f>
        <v>1278538356.5999999</v>
      </c>
      <c r="K125" s="487">
        <f t="shared" si="118"/>
        <v>910825142</v>
      </c>
      <c r="L125" s="487">
        <f t="shared" si="118"/>
        <v>1160838951.8</v>
      </c>
      <c r="M125" s="487">
        <f t="shared" si="118"/>
        <v>903782193</v>
      </c>
      <c r="N125" s="487">
        <f t="shared" si="118"/>
        <v>1157838951.8</v>
      </c>
      <c r="O125" s="487">
        <f t="shared" si="118"/>
        <v>953504016</v>
      </c>
      <c r="P125" s="487">
        <f t="shared" si="118"/>
        <v>1134738951.8</v>
      </c>
      <c r="Q125" s="487">
        <f t="shared" ref="Q125" si="119">Q120+Q124</f>
        <v>1137556505</v>
      </c>
      <c r="R125" s="487">
        <f t="shared" si="118"/>
        <v>2107027305.4000001</v>
      </c>
      <c r="S125" s="487">
        <f t="shared" ref="S125" si="120">S120+S124</f>
        <v>1131550141</v>
      </c>
      <c r="T125" s="487">
        <f t="shared" si="118"/>
        <v>1077088951.8</v>
      </c>
      <c r="U125" s="487">
        <f t="shared" ref="U125" si="121">U120+U124</f>
        <v>1242114895</v>
      </c>
      <c r="V125" s="487">
        <f t="shared" si="118"/>
        <v>1155088951.8</v>
      </c>
      <c r="W125" s="487">
        <f t="shared" ref="W125" si="122">W120+W124</f>
        <v>1215023412.9000001</v>
      </c>
      <c r="X125" s="487">
        <f t="shared" si="118"/>
        <v>1107338951.8</v>
      </c>
      <c r="Y125" s="487">
        <f t="shared" ref="Y125" si="123">Y120+Y124</f>
        <v>1312256755.6500001</v>
      </c>
      <c r="Z125" s="487">
        <f t="shared" si="118"/>
        <v>1202418513.8</v>
      </c>
      <c r="AA125" s="487">
        <f t="shared" ref="AA125" si="124">AA120+AA124</f>
        <v>1249165560.1399999</v>
      </c>
      <c r="AB125" s="487">
        <f t="shared" si="118"/>
        <v>14691772688.4</v>
      </c>
      <c r="AC125" s="487">
        <f t="shared" si="118"/>
        <v>16160949957.240002</v>
      </c>
      <c r="AD125" s="487">
        <f t="shared" si="118"/>
        <v>17777044952.964001</v>
      </c>
      <c r="AE125" s="487">
        <f t="shared" si="118"/>
        <v>19554749448.260406</v>
      </c>
      <c r="AF125" s="575">
        <f t="shared" si="52"/>
        <v>13014028292.459999</v>
      </c>
    </row>
    <row r="126" spans="1:32" x14ac:dyDescent="0.2">
      <c r="A126" s="445"/>
      <c r="B126" s="572"/>
      <c r="C126" s="475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60"/>
      <c r="AB126" s="468"/>
      <c r="AC126" s="560">
        <f t="shared" ref="AC126:AE129" si="125">AB126*1.1</f>
        <v>0</v>
      </c>
      <c r="AD126" s="560">
        <f t="shared" si="125"/>
        <v>0</v>
      </c>
      <c r="AE126" s="560">
        <f t="shared" si="125"/>
        <v>0</v>
      </c>
      <c r="AF126" s="575">
        <f t="shared" si="52"/>
        <v>0</v>
      </c>
    </row>
    <row r="127" spans="1:32" s="62" customFormat="1" x14ac:dyDescent="0.2">
      <c r="A127" s="445"/>
      <c r="B127" s="464" t="s">
        <v>166</v>
      </c>
      <c r="C127" s="475" t="s">
        <v>167</v>
      </c>
      <c r="D127" s="468">
        <v>2000000</v>
      </c>
      <c r="E127" s="468"/>
      <c r="F127" s="468">
        <f>D127</f>
        <v>2000000</v>
      </c>
      <c r="G127" s="468"/>
      <c r="H127" s="468">
        <f>F127</f>
        <v>2000000</v>
      </c>
      <c r="I127" s="468"/>
      <c r="J127" s="468">
        <f>H127</f>
        <v>2000000</v>
      </c>
      <c r="K127" s="468">
        <f>+J127</f>
        <v>2000000</v>
      </c>
      <c r="L127" s="468">
        <f t="shared" ref="L127:Y127" si="126">J127</f>
        <v>2000000</v>
      </c>
      <c r="M127" s="468">
        <f t="shared" si="126"/>
        <v>2000000</v>
      </c>
      <c r="N127" s="468">
        <f t="shared" si="126"/>
        <v>2000000</v>
      </c>
      <c r="O127" s="468">
        <f t="shared" si="126"/>
        <v>2000000</v>
      </c>
      <c r="P127" s="468">
        <f t="shared" si="126"/>
        <v>2000000</v>
      </c>
      <c r="Q127" s="468">
        <f t="shared" si="126"/>
        <v>2000000</v>
      </c>
      <c r="R127" s="468">
        <f t="shared" si="126"/>
        <v>2000000</v>
      </c>
      <c r="S127" s="468">
        <f t="shared" si="126"/>
        <v>2000000</v>
      </c>
      <c r="T127" s="468">
        <f t="shared" si="126"/>
        <v>2000000</v>
      </c>
      <c r="U127" s="468">
        <f t="shared" si="126"/>
        <v>2000000</v>
      </c>
      <c r="V127" s="468">
        <f t="shared" si="126"/>
        <v>2000000</v>
      </c>
      <c r="W127" s="468">
        <f t="shared" si="126"/>
        <v>2000000</v>
      </c>
      <c r="X127" s="468">
        <f t="shared" si="126"/>
        <v>2000000</v>
      </c>
      <c r="Y127" s="468">
        <f t="shared" si="126"/>
        <v>2000000</v>
      </c>
      <c r="Z127" s="468">
        <f t="shared" ref="Z127" si="127">X127</f>
        <v>2000000</v>
      </c>
      <c r="AA127" s="468">
        <f>Y127</f>
        <v>2000000</v>
      </c>
      <c r="AB127" s="468">
        <f>Z127+X127+V127++T127+R127+P127+N127+L127+J127+H127+F127+D127</f>
        <v>24000000</v>
      </c>
      <c r="AC127" s="560">
        <f t="shared" si="125"/>
        <v>26400000.000000004</v>
      </c>
      <c r="AD127" s="560">
        <f t="shared" si="125"/>
        <v>29040000.000000007</v>
      </c>
      <c r="AE127" s="560">
        <f t="shared" si="125"/>
        <v>31944000.000000011</v>
      </c>
      <c r="AF127" s="575">
        <f t="shared" si="52"/>
        <v>18000000</v>
      </c>
    </row>
    <row r="128" spans="1:32" s="62" customFormat="1" x14ac:dyDescent="0.2">
      <c r="A128" s="445"/>
      <c r="B128" s="464" t="s">
        <v>166</v>
      </c>
      <c r="C128" s="475" t="s">
        <v>219</v>
      </c>
      <c r="D128" s="468">
        <v>6750000</v>
      </c>
      <c r="E128" s="468">
        <v>6750000</v>
      </c>
      <c r="F128" s="468">
        <v>6750000</v>
      </c>
      <c r="G128" s="468">
        <v>6750000</v>
      </c>
      <c r="H128" s="468">
        <v>6750000</v>
      </c>
      <c r="I128" s="468">
        <v>6750000</v>
      </c>
      <c r="J128" s="468">
        <v>6750000</v>
      </c>
      <c r="K128" s="468">
        <v>6750000</v>
      </c>
      <c r="L128" s="468">
        <v>6750000</v>
      </c>
      <c r="M128" s="468">
        <v>6750000</v>
      </c>
      <c r="N128" s="468">
        <v>6750000</v>
      </c>
      <c r="O128" s="468">
        <v>6750000</v>
      </c>
      <c r="P128" s="468">
        <v>6750000</v>
      </c>
      <c r="Q128" s="468">
        <v>6750000</v>
      </c>
      <c r="R128" s="468">
        <v>6750000</v>
      </c>
      <c r="S128" s="468">
        <v>6750000</v>
      </c>
      <c r="T128" s="468">
        <v>6750000</v>
      </c>
      <c r="U128" s="468">
        <v>6750000</v>
      </c>
      <c r="V128" s="468">
        <v>6750000</v>
      </c>
      <c r="W128" s="468">
        <v>6750000</v>
      </c>
      <c r="X128" s="468">
        <v>6750000</v>
      </c>
      <c r="Y128" s="468">
        <v>6750000</v>
      </c>
      <c r="Z128" s="468">
        <v>6750000</v>
      </c>
      <c r="AA128" s="468">
        <v>6750000</v>
      </c>
      <c r="AB128" s="468">
        <f>Z128+X128+V128++T128+R128+P128+N128+L128+J128+H128+F128+D128</f>
        <v>81000000</v>
      </c>
      <c r="AC128" s="560">
        <f t="shared" si="125"/>
        <v>89100000</v>
      </c>
      <c r="AD128" s="560">
        <f t="shared" si="125"/>
        <v>98010000.000000015</v>
      </c>
      <c r="AE128" s="560">
        <f t="shared" si="125"/>
        <v>107811000.00000003</v>
      </c>
      <c r="AF128" s="575">
        <f t="shared" si="52"/>
        <v>81000000</v>
      </c>
    </row>
    <row r="129" spans="1:33" s="62" customFormat="1" x14ac:dyDescent="0.2">
      <c r="A129" s="445"/>
      <c r="B129" s="464" t="s">
        <v>166</v>
      </c>
      <c r="C129" s="475" t="s">
        <v>220</v>
      </c>
      <c r="D129" s="468">
        <v>900000</v>
      </c>
      <c r="E129" s="468">
        <v>900000</v>
      </c>
      <c r="F129" s="468">
        <v>900000</v>
      </c>
      <c r="G129" s="468">
        <v>900000</v>
      </c>
      <c r="H129" s="468">
        <v>900000</v>
      </c>
      <c r="I129" s="468">
        <v>900000</v>
      </c>
      <c r="J129" s="468">
        <v>900000</v>
      </c>
      <c r="K129" s="468">
        <v>900000</v>
      </c>
      <c r="L129" s="468">
        <v>900000</v>
      </c>
      <c r="M129" s="468">
        <v>900000</v>
      </c>
      <c r="N129" s="468">
        <v>900000</v>
      </c>
      <c r="O129" s="468">
        <v>900000</v>
      </c>
      <c r="P129" s="468">
        <v>900000</v>
      </c>
      <c r="Q129" s="468">
        <v>900000</v>
      </c>
      <c r="R129" s="468">
        <v>900000</v>
      </c>
      <c r="S129" s="468">
        <v>900000</v>
      </c>
      <c r="T129" s="468">
        <v>900000</v>
      </c>
      <c r="U129" s="468">
        <v>900000</v>
      </c>
      <c r="V129" s="468">
        <v>900000</v>
      </c>
      <c r="W129" s="468">
        <v>900000</v>
      </c>
      <c r="X129" s="468">
        <v>900000</v>
      </c>
      <c r="Y129" s="468">
        <v>900000</v>
      </c>
      <c r="Z129" s="468">
        <v>900000</v>
      </c>
      <c r="AA129" s="468">
        <v>900000</v>
      </c>
      <c r="AB129" s="468">
        <f>Z129+X129+V129++T129+R129+P129+N129+L129+J129+H129+F129+D129</f>
        <v>10800000</v>
      </c>
      <c r="AC129" s="560">
        <f t="shared" si="125"/>
        <v>11880000.000000002</v>
      </c>
      <c r="AD129" s="560">
        <f t="shared" si="125"/>
        <v>13068000.000000004</v>
      </c>
      <c r="AE129" s="560">
        <f t="shared" si="125"/>
        <v>14374800.000000006</v>
      </c>
      <c r="AF129" s="575">
        <f t="shared" si="52"/>
        <v>10800000</v>
      </c>
    </row>
    <row r="130" spans="1:33" s="2" customFormat="1" x14ac:dyDescent="0.2">
      <c r="A130" s="493"/>
      <c r="B130" s="513"/>
      <c r="C130" s="514" t="s">
        <v>170</v>
      </c>
      <c r="D130" s="515">
        <f t="shared" ref="D130:I130" si="128">SUM(D127:D129)</f>
        <v>9650000</v>
      </c>
      <c r="E130" s="515">
        <f t="shared" si="128"/>
        <v>7650000</v>
      </c>
      <c r="F130" s="515">
        <f t="shared" si="128"/>
        <v>9650000</v>
      </c>
      <c r="G130" s="515">
        <f t="shared" si="128"/>
        <v>7650000</v>
      </c>
      <c r="H130" s="515">
        <f t="shared" si="128"/>
        <v>9650000</v>
      </c>
      <c r="I130" s="515">
        <f t="shared" si="128"/>
        <v>7650000</v>
      </c>
      <c r="J130" s="515">
        <f t="shared" ref="J130:AE130" si="129">SUM(J127:J129)</f>
        <v>9650000</v>
      </c>
      <c r="K130" s="515">
        <f t="shared" si="129"/>
        <v>9650000</v>
      </c>
      <c r="L130" s="515">
        <f t="shared" si="129"/>
        <v>9650000</v>
      </c>
      <c r="M130" s="515">
        <f t="shared" si="129"/>
        <v>9650000</v>
      </c>
      <c r="N130" s="515">
        <f t="shared" si="129"/>
        <v>9650000</v>
      </c>
      <c r="O130" s="515">
        <f t="shared" si="129"/>
        <v>9650000</v>
      </c>
      <c r="P130" s="515">
        <f t="shared" si="129"/>
        <v>9650000</v>
      </c>
      <c r="Q130" s="515">
        <f t="shared" ref="Q130" si="130">SUM(Q127:Q129)</f>
        <v>9650000</v>
      </c>
      <c r="R130" s="515">
        <f t="shared" si="129"/>
        <v>9650000</v>
      </c>
      <c r="S130" s="515">
        <f t="shared" ref="S130" si="131">SUM(S127:S129)</f>
        <v>9650000</v>
      </c>
      <c r="T130" s="515">
        <f t="shared" si="129"/>
        <v>9650000</v>
      </c>
      <c r="U130" s="515">
        <f t="shared" ref="U130" si="132">SUM(U127:U129)</f>
        <v>9650000</v>
      </c>
      <c r="V130" s="515">
        <f t="shared" si="129"/>
        <v>9650000</v>
      </c>
      <c r="W130" s="515">
        <f t="shared" ref="W130" si="133">SUM(W127:W129)</f>
        <v>9650000</v>
      </c>
      <c r="X130" s="515">
        <f t="shared" si="129"/>
        <v>9650000</v>
      </c>
      <c r="Y130" s="515">
        <f t="shared" ref="Y130" si="134">SUM(Y127:Y129)</f>
        <v>9650000</v>
      </c>
      <c r="Z130" s="515">
        <f t="shared" si="129"/>
        <v>9650000</v>
      </c>
      <c r="AA130" s="515">
        <f t="shared" ref="AA130" si="135">SUM(AA127:AA129)</f>
        <v>9650000</v>
      </c>
      <c r="AB130" s="515">
        <f t="shared" si="129"/>
        <v>115800000</v>
      </c>
      <c r="AC130" s="515">
        <f t="shared" si="129"/>
        <v>127380000</v>
      </c>
      <c r="AD130" s="515">
        <f t="shared" si="129"/>
        <v>140118000.00000003</v>
      </c>
      <c r="AE130" s="515">
        <f t="shared" si="129"/>
        <v>154129800.00000003</v>
      </c>
      <c r="AF130" s="575">
        <f t="shared" si="52"/>
        <v>109800000</v>
      </c>
    </row>
    <row r="131" spans="1:33" x14ac:dyDescent="0.2">
      <c r="A131" s="10"/>
      <c r="B131" s="28"/>
      <c r="C131" s="377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359"/>
      <c r="Z131" s="359"/>
      <c r="AA131" s="359"/>
      <c r="AB131" s="359"/>
      <c r="AC131" s="344"/>
      <c r="AD131" s="344"/>
      <c r="AE131" s="344"/>
      <c r="AF131" s="575">
        <f t="shared" si="52"/>
        <v>0</v>
      </c>
    </row>
    <row r="132" spans="1:33" s="2" customFormat="1" x14ac:dyDescent="0.2">
      <c r="A132" s="32"/>
      <c r="B132" s="376"/>
      <c r="C132" s="378" t="s">
        <v>24</v>
      </c>
      <c r="D132" s="379">
        <f t="shared" ref="D132:I132" si="136">D125-D130</f>
        <v>1128751600.5999999</v>
      </c>
      <c r="E132" s="379">
        <f t="shared" si="136"/>
        <v>1057024620.45</v>
      </c>
      <c r="F132" s="379">
        <f t="shared" si="136"/>
        <v>1035201600.6</v>
      </c>
      <c r="G132" s="379">
        <f t="shared" si="136"/>
        <v>995672569.8900001</v>
      </c>
      <c r="H132" s="379">
        <f t="shared" si="136"/>
        <v>1117951600.5999999</v>
      </c>
      <c r="I132" s="379">
        <f t="shared" si="136"/>
        <v>882602481.43000007</v>
      </c>
      <c r="J132" s="379">
        <f t="shared" ref="J132:AE132" si="137">J125-J130</f>
        <v>1268888356.5999999</v>
      </c>
      <c r="K132" s="379">
        <f t="shared" si="137"/>
        <v>901175142</v>
      </c>
      <c r="L132" s="379">
        <f t="shared" si="137"/>
        <v>1151188951.8</v>
      </c>
      <c r="M132" s="379">
        <f t="shared" si="137"/>
        <v>894132193</v>
      </c>
      <c r="N132" s="379">
        <f t="shared" si="137"/>
        <v>1148188951.8</v>
      </c>
      <c r="O132" s="379">
        <f t="shared" si="137"/>
        <v>943854016</v>
      </c>
      <c r="P132" s="379">
        <f t="shared" si="137"/>
        <v>1125088951.8</v>
      </c>
      <c r="Q132" s="379">
        <f t="shared" ref="Q132" si="138">Q125-Q130</f>
        <v>1127906505</v>
      </c>
      <c r="R132" s="379">
        <f t="shared" si="137"/>
        <v>2097377305.4000001</v>
      </c>
      <c r="S132" s="379">
        <f t="shared" ref="S132" si="139">S125-S130</f>
        <v>1121900141</v>
      </c>
      <c r="T132" s="379">
        <f t="shared" si="137"/>
        <v>1067438951.8</v>
      </c>
      <c r="U132" s="379">
        <f t="shared" ref="U132" si="140">U125-U130</f>
        <v>1232464895</v>
      </c>
      <c r="V132" s="379">
        <f t="shared" si="137"/>
        <v>1145438951.8</v>
      </c>
      <c r="W132" s="379">
        <f t="shared" ref="W132" si="141">W125-W130</f>
        <v>1205373412.9000001</v>
      </c>
      <c r="X132" s="379">
        <f t="shared" si="137"/>
        <v>1097688951.8</v>
      </c>
      <c r="Y132" s="379">
        <f t="shared" ref="Y132" si="142">Y125-Y130</f>
        <v>1302606755.6500001</v>
      </c>
      <c r="Z132" s="379">
        <f t="shared" si="137"/>
        <v>1192768513.8</v>
      </c>
      <c r="AA132" s="379">
        <f t="shared" ref="AA132" si="143">AA125-AA130</f>
        <v>1239515560.1399999</v>
      </c>
      <c r="AB132" s="379">
        <f t="shared" si="137"/>
        <v>14575972688.4</v>
      </c>
      <c r="AC132" s="379">
        <f t="shared" si="137"/>
        <v>16033569957.240002</v>
      </c>
      <c r="AD132" s="379">
        <f t="shared" si="137"/>
        <v>17636926952.964001</v>
      </c>
      <c r="AE132" s="380">
        <f t="shared" si="137"/>
        <v>19400619648.260406</v>
      </c>
      <c r="AF132" s="575">
        <f>E132+G132+I132+K132+M132+O132+Q132+S132+U132+W132+Y132+AA132</f>
        <v>12904228292.459999</v>
      </c>
      <c r="AG132" s="21"/>
    </row>
    <row r="133" spans="1:33" x14ac:dyDescent="0.2"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575">
        <f t="shared" si="52"/>
        <v>0</v>
      </c>
    </row>
    <row r="134" spans="1:33" ht="18.399999999999999" customHeight="1" x14ac:dyDescent="0.2">
      <c r="A134" s="84">
        <v>23</v>
      </c>
      <c r="B134" s="85" t="s">
        <v>171</v>
      </c>
      <c r="C134" s="342" t="s">
        <v>172</v>
      </c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372"/>
      <c r="Z134" s="372"/>
      <c r="AA134" s="372"/>
      <c r="AB134" s="372">
        <f>Z134+X134+V134++T134+R134+P134+N134+L134+J134+H134+F134+D134</f>
        <v>0</v>
      </c>
      <c r="AC134" s="373">
        <f>AB134*1.1</f>
        <v>0</v>
      </c>
      <c r="AD134" s="373">
        <f>AC134*1.1</f>
        <v>0</v>
      </c>
      <c r="AE134" s="373">
        <f>AD134*1.1</f>
        <v>0</v>
      </c>
      <c r="AF134" s="575">
        <f t="shared" si="52"/>
        <v>0</v>
      </c>
    </row>
    <row r="135" spans="1:33" x14ac:dyDescent="0.2">
      <c r="AF135" s="575">
        <f t="shared" ref="AF135:AF184" si="144">E135+G135+I135+K135+M135+O135+Q135+S135+U135+W135+Y135+AA135</f>
        <v>0</v>
      </c>
    </row>
    <row r="136" spans="1:33" s="89" customFormat="1" x14ac:dyDescent="0.2">
      <c r="D136" s="90" t="s">
        <v>173</v>
      </c>
      <c r="E136" s="90"/>
      <c r="F136" s="90" t="s">
        <v>174</v>
      </c>
      <c r="G136" s="90"/>
      <c r="H136" s="90" t="s">
        <v>175</v>
      </c>
      <c r="I136" s="90"/>
      <c r="J136" s="91" t="s">
        <v>176</v>
      </c>
      <c r="K136" s="91"/>
      <c r="L136" s="91" t="s">
        <v>177</v>
      </c>
      <c r="M136" s="91"/>
      <c r="N136" s="91" t="s">
        <v>178</v>
      </c>
      <c r="O136" s="91"/>
      <c r="P136" s="91" t="s">
        <v>179</v>
      </c>
      <c r="Q136" s="91"/>
      <c r="R136" s="91" t="s">
        <v>180</v>
      </c>
      <c r="S136" s="91"/>
      <c r="T136" s="91" t="s">
        <v>181</v>
      </c>
      <c r="U136" s="91"/>
      <c r="V136" s="91" t="s">
        <v>182</v>
      </c>
      <c r="W136" s="91"/>
      <c r="X136" s="91" t="s">
        <v>183</v>
      </c>
      <c r="Y136" s="91"/>
      <c r="Z136" s="91" t="s">
        <v>184</v>
      </c>
      <c r="AA136" s="91"/>
      <c r="AB136" s="91" t="s">
        <v>18</v>
      </c>
      <c r="AC136" s="92"/>
      <c r="AD136" s="92"/>
      <c r="AE136" s="92"/>
      <c r="AF136" s="575">
        <f t="shared" si="144"/>
        <v>0</v>
      </c>
    </row>
    <row r="137" spans="1:33" x14ac:dyDescent="0.2">
      <c r="B137" s="104"/>
      <c r="C137" s="89"/>
      <c r="D137" s="91" t="s">
        <v>8</v>
      </c>
      <c r="E137" s="91"/>
      <c r="F137" s="91" t="s">
        <v>8</v>
      </c>
      <c r="G137" s="91"/>
      <c r="H137" s="91" t="s">
        <v>8</v>
      </c>
      <c r="I137" s="91"/>
      <c r="J137" s="91" t="s">
        <v>8</v>
      </c>
      <c r="K137" s="91"/>
      <c r="L137" s="91" t="s">
        <v>8</v>
      </c>
      <c r="M137" s="91"/>
      <c r="N137" s="91" t="s">
        <v>8</v>
      </c>
      <c r="O137" s="91"/>
      <c r="P137" s="91" t="s">
        <v>8</v>
      </c>
      <c r="Q137" s="91"/>
      <c r="R137" s="91" t="s">
        <v>8</v>
      </c>
      <c r="S137" s="91"/>
      <c r="T137" s="91" t="s">
        <v>8</v>
      </c>
      <c r="U137" s="91"/>
      <c r="V137" s="91" t="s">
        <v>8</v>
      </c>
      <c r="W137" s="91"/>
      <c r="X137" s="91" t="s">
        <v>8</v>
      </c>
      <c r="Y137" s="91"/>
      <c r="Z137" s="91" t="s">
        <v>8</v>
      </c>
      <c r="AA137" s="91"/>
      <c r="AB137" s="91" t="s">
        <v>8</v>
      </c>
      <c r="AF137" s="575">
        <f t="shared" si="144"/>
        <v>0</v>
      </c>
    </row>
    <row r="138" spans="1:33" x14ac:dyDescent="0.2">
      <c r="A138">
        <v>1</v>
      </c>
      <c r="B138" s="70" t="s">
        <v>185</v>
      </c>
      <c r="C138" s="1"/>
      <c r="D138" s="15">
        <f t="shared" ref="D138:Z138" si="145">D41+D42+D43+D74+D75+D80</f>
        <v>18500000</v>
      </c>
      <c r="E138" s="15">
        <f>E41+E42+E43+E74+E75+E80</f>
        <v>0</v>
      </c>
      <c r="F138" s="15">
        <f t="shared" si="145"/>
        <v>7500000</v>
      </c>
      <c r="G138" s="15">
        <f>G41+G42+G43+G74+G75+G80</f>
        <v>0</v>
      </c>
      <c r="H138" s="15">
        <f t="shared" si="145"/>
        <v>7500000</v>
      </c>
      <c r="I138" s="15">
        <f t="shared" ref="I138:Q138" si="146">I41+I42+I43+I74+I75+I80</f>
        <v>0</v>
      </c>
      <c r="J138" s="15">
        <f t="shared" si="146"/>
        <v>13500000</v>
      </c>
      <c r="K138" s="15">
        <f t="shared" si="146"/>
        <v>0</v>
      </c>
      <c r="L138" s="15">
        <f t="shared" si="146"/>
        <v>7500000</v>
      </c>
      <c r="M138" s="15">
        <f t="shared" si="146"/>
        <v>2500000</v>
      </c>
      <c r="N138" s="15">
        <f t="shared" si="146"/>
        <v>15500000</v>
      </c>
      <c r="O138" s="15">
        <f t="shared" si="146"/>
        <v>0</v>
      </c>
      <c r="P138" s="15">
        <f t="shared" si="146"/>
        <v>13500000</v>
      </c>
      <c r="Q138" s="15">
        <f t="shared" si="146"/>
        <v>0</v>
      </c>
      <c r="R138" s="15">
        <f t="shared" si="145"/>
        <v>7500000</v>
      </c>
      <c r="S138" s="15">
        <f t="shared" ref="S138" si="147">S41+S42+S43+S74+S75+S80</f>
        <v>0</v>
      </c>
      <c r="T138" s="15">
        <f t="shared" si="145"/>
        <v>7500000</v>
      </c>
      <c r="U138" s="15">
        <f t="shared" ref="U138" si="148">U41+U42+U43+U74+U75+U80</f>
        <v>0</v>
      </c>
      <c r="V138" s="15">
        <f>V41+V42+V43+V74+V75+V80</f>
        <v>43500000</v>
      </c>
      <c r="W138" s="15">
        <f>W41+W42+W43+W74+W75+W80</f>
        <v>0</v>
      </c>
      <c r="X138" s="15">
        <f t="shared" si="145"/>
        <v>13500000</v>
      </c>
      <c r="Y138" s="15">
        <f t="shared" ref="Y138" si="149">Y41+Y42+Y43+Y74+Y75+Y80</f>
        <v>0</v>
      </c>
      <c r="Z138" s="15">
        <f t="shared" si="145"/>
        <v>13500000</v>
      </c>
      <c r="AA138" s="15">
        <f t="shared" ref="AA138" si="150">AA41+AA42+AA43+AA74+AA75+AA80</f>
        <v>0</v>
      </c>
      <c r="AB138" s="1">
        <f>Z138+X138+V138+T138+R138+P138+N138+L138+J138+H138+F138+D138</f>
        <v>169000000</v>
      </c>
      <c r="AC138" s="15"/>
      <c r="AD138" s="15"/>
      <c r="AE138" s="15"/>
      <c r="AF138" s="575">
        <f t="shared" si="144"/>
        <v>2500000</v>
      </c>
    </row>
    <row r="139" spans="1:33" x14ac:dyDescent="0.2">
      <c r="A139">
        <v>2</v>
      </c>
      <c r="B139" s="70" t="s">
        <v>146</v>
      </c>
      <c r="C139" s="1"/>
      <c r="D139" s="15">
        <f>D106+D91+D98</f>
        <v>27000000</v>
      </c>
      <c r="E139" s="15">
        <f>E106+E91+E98</f>
        <v>0</v>
      </c>
      <c r="F139" s="15">
        <f t="shared" ref="F139:Z139" si="151">F106+F91+F98</f>
        <v>2000000</v>
      </c>
      <c r="G139" s="15">
        <f>G106+G91+G98</f>
        <v>0</v>
      </c>
      <c r="H139" s="15">
        <f t="shared" si="151"/>
        <v>2000000</v>
      </c>
      <c r="I139" s="15">
        <f>I106+I91+I98</f>
        <v>21000000</v>
      </c>
      <c r="J139" s="15">
        <f t="shared" si="151"/>
        <v>2000000</v>
      </c>
      <c r="K139" s="15">
        <f t="shared" ref="K139" si="152">K106+K91+K98</f>
        <v>0</v>
      </c>
      <c r="L139" s="15">
        <f t="shared" si="151"/>
        <v>2000000</v>
      </c>
      <c r="M139" s="15">
        <f t="shared" ref="M139" si="153">M106+M91+M98</f>
        <v>0</v>
      </c>
      <c r="N139" s="15">
        <f t="shared" si="151"/>
        <v>2000000</v>
      </c>
      <c r="O139" s="15">
        <f>O106+O91</f>
        <v>3184631</v>
      </c>
      <c r="P139" s="15">
        <f t="shared" si="151"/>
        <v>32000000</v>
      </c>
      <c r="Q139" s="15">
        <f>Q106+Q91+Q98</f>
        <v>49000000</v>
      </c>
      <c r="R139" s="15">
        <f t="shared" si="151"/>
        <v>2000000</v>
      </c>
      <c r="S139" s="15">
        <f t="shared" ref="S139" si="154">S106+S91+S98</f>
        <v>0</v>
      </c>
      <c r="T139" s="15">
        <f t="shared" si="151"/>
        <v>2000000</v>
      </c>
      <c r="U139" s="15">
        <f t="shared" ref="U139" si="155">U106+U91+U98</f>
        <v>10450239</v>
      </c>
      <c r="V139" s="15">
        <f t="shared" si="151"/>
        <v>2000000</v>
      </c>
      <c r="W139" s="15">
        <f t="shared" ref="W139" si="156">W106+W91+W98</f>
        <v>0</v>
      </c>
      <c r="X139" s="15">
        <f t="shared" si="151"/>
        <v>2000000</v>
      </c>
      <c r="Y139" s="15">
        <f t="shared" ref="Y139" si="157">Y106+Y91+Y98</f>
        <v>0</v>
      </c>
      <c r="Z139" s="15">
        <f t="shared" si="151"/>
        <v>2000000</v>
      </c>
      <c r="AA139" s="15">
        <f t="shared" ref="AA139" si="158">AA106+AA91+AA98</f>
        <v>0</v>
      </c>
      <c r="AB139" s="1">
        <f t="shared" ref="AB139:AB179" si="159">Z139+X139+V139+T139+R139+P139+N139+L139+J139+H139+F139+D139</f>
        <v>79000000</v>
      </c>
      <c r="AC139" s="15"/>
      <c r="AD139" s="15"/>
      <c r="AE139" s="15"/>
      <c r="AF139" s="575">
        <f t="shared" si="144"/>
        <v>83634870</v>
      </c>
    </row>
    <row r="140" spans="1:33" x14ac:dyDescent="0.2">
      <c r="A140">
        <v>3</v>
      </c>
      <c r="B140" s="70" t="s">
        <v>145</v>
      </c>
      <c r="D140" s="15">
        <f t="shared" ref="D140:Z140" si="160">D103</f>
        <v>7500000</v>
      </c>
      <c r="E140" s="15">
        <f>E103</f>
        <v>4474043.5199999996</v>
      </c>
      <c r="F140" s="15">
        <f t="shared" si="160"/>
        <v>7500000</v>
      </c>
      <c r="G140" s="15">
        <f>G103</f>
        <v>1450165.7300000002</v>
      </c>
      <c r="H140" s="15">
        <f t="shared" si="160"/>
        <v>7500000</v>
      </c>
      <c r="I140" s="15">
        <f t="shared" ref="I140:Q140" si="161">I103</f>
        <v>156595</v>
      </c>
      <c r="J140" s="15">
        <f t="shared" si="161"/>
        <v>7500000</v>
      </c>
      <c r="K140" s="15">
        <f t="shared" si="161"/>
        <v>4613635</v>
      </c>
      <c r="L140" s="15">
        <f t="shared" si="161"/>
        <v>7500000</v>
      </c>
      <c r="M140" s="15">
        <f t="shared" si="161"/>
        <v>5777215</v>
      </c>
      <c r="N140" s="15">
        <f t="shared" si="161"/>
        <v>7500000</v>
      </c>
      <c r="O140" s="15">
        <f t="shared" si="161"/>
        <v>5242365</v>
      </c>
      <c r="P140" s="15">
        <f t="shared" si="161"/>
        <v>7500000</v>
      </c>
      <c r="Q140" s="15">
        <f t="shared" si="161"/>
        <v>90325560</v>
      </c>
      <c r="R140" s="15">
        <f t="shared" si="160"/>
        <v>7500000</v>
      </c>
      <c r="S140" s="15">
        <f t="shared" ref="S140" si="162">S103</f>
        <v>54236800</v>
      </c>
      <c r="T140" s="15">
        <f t="shared" si="160"/>
        <v>7500000</v>
      </c>
      <c r="U140" s="15">
        <f t="shared" ref="U140" si="163">U103</f>
        <v>140567200</v>
      </c>
      <c r="V140" s="15">
        <f>V103</f>
        <v>7500000</v>
      </c>
      <c r="W140" s="15">
        <f>W103</f>
        <v>5200000</v>
      </c>
      <c r="X140" s="15">
        <f t="shared" si="160"/>
        <v>7500000</v>
      </c>
      <c r="Y140" s="15">
        <f t="shared" ref="Y140" si="164">Y103</f>
        <v>7200000</v>
      </c>
      <c r="Z140" s="15">
        <f t="shared" si="160"/>
        <v>7500000</v>
      </c>
      <c r="AA140" s="15">
        <f t="shared" ref="AA140" si="165">AA103</f>
        <v>5600000</v>
      </c>
      <c r="AB140" s="1">
        <f t="shared" si="159"/>
        <v>90000000</v>
      </c>
      <c r="AC140" s="15"/>
      <c r="AD140" s="15"/>
      <c r="AE140" s="15"/>
      <c r="AF140" s="575">
        <f t="shared" si="144"/>
        <v>324843579.25</v>
      </c>
    </row>
    <row r="141" spans="1:33" x14ac:dyDescent="0.2">
      <c r="A141">
        <v>4</v>
      </c>
      <c r="B141" s="70" t="s">
        <v>186</v>
      </c>
      <c r="D141" s="15">
        <f t="shared" ref="D141:Z141" si="166">D59</f>
        <v>674500</v>
      </c>
      <c r="E141" s="15">
        <f>E59</f>
        <v>0</v>
      </c>
      <c r="F141" s="15">
        <f t="shared" si="166"/>
        <v>674500</v>
      </c>
      <c r="G141" s="15">
        <f>G59</f>
        <v>0</v>
      </c>
      <c r="H141" s="15">
        <f t="shared" si="166"/>
        <v>674500</v>
      </c>
      <c r="I141" s="15">
        <f t="shared" ref="I141:Q141" si="167">I59</f>
        <v>0</v>
      </c>
      <c r="J141" s="15">
        <f t="shared" si="167"/>
        <v>674500</v>
      </c>
      <c r="K141" s="15">
        <f t="shared" si="167"/>
        <v>0</v>
      </c>
      <c r="L141" s="15">
        <f t="shared" si="167"/>
        <v>674500</v>
      </c>
      <c r="M141" s="15">
        <f t="shared" si="167"/>
        <v>0</v>
      </c>
      <c r="N141" s="15">
        <f t="shared" si="167"/>
        <v>674500</v>
      </c>
      <c r="O141" s="15">
        <f t="shared" si="167"/>
        <v>0</v>
      </c>
      <c r="P141" s="15">
        <f t="shared" si="167"/>
        <v>674500</v>
      </c>
      <c r="Q141" s="15">
        <f t="shared" si="167"/>
        <v>0</v>
      </c>
      <c r="R141" s="15">
        <f t="shared" si="166"/>
        <v>674500</v>
      </c>
      <c r="S141" s="15">
        <f t="shared" ref="S141" si="168">S59</f>
        <v>0</v>
      </c>
      <c r="T141" s="15">
        <f t="shared" si="166"/>
        <v>674500</v>
      </c>
      <c r="U141" s="15">
        <f t="shared" ref="U141" si="169">U59</f>
        <v>0</v>
      </c>
      <c r="V141" s="15">
        <f>V59</f>
        <v>674500</v>
      </c>
      <c r="W141" s="15">
        <f>W59</f>
        <v>0</v>
      </c>
      <c r="X141" s="15">
        <f t="shared" si="166"/>
        <v>674500</v>
      </c>
      <c r="Y141" s="15">
        <f t="shared" ref="Y141" si="170">Y59</f>
        <v>0</v>
      </c>
      <c r="Z141" s="15">
        <f t="shared" si="166"/>
        <v>674500</v>
      </c>
      <c r="AA141" s="15">
        <f t="shared" ref="AA141" si="171">AA59</f>
        <v>0</v>
      </c>
      <c r="AB141" s="1">
        <f t="shared" si="159"/>
        <v>8094000</v>
      </c>
      <c r="AC141" s="15"/>
      <c r="AD141" s="15"/>
      <c r="AE141" s="15"/>
      <c r="AF141" s="575">
        <f t="shared" si="144"/>
        <v>0</v>
      </c>
    </row>
    <row r="142" spans="1:33" x14ac:dyDescent="0.2">
      <c r="A142">
        <v>5</v>
      </c>
      <c r="B142" s="70" t="s">
        <v>106</v>
      </c>
      <c r="D142" s="15">
        <f t="shared" ref="D142:Z142" si="172">D58</f>
        <v>1900000</v>
      </c>
      <c r="E142" s="15">
        <f>E58</f>
        <v>0</v>
      </c>
      <c r="F142" s="15">
        <f t="shared" si="172"/>
        <v>0</v>
      </c>
      <c r="G142" s="15">
        <f>G58</f>
        <v>2285000</v>
      </c>
      <c r="H142" s="15">
        <f t="shared" si="172"/>
        <v>0</v>
      </c>
      <c r="I142" s="15">
        <f t="shared" ref="I142:Q142" si="173">I58</f>
        <v>455000</v>
      </c>
      <c r="J142" s="15">
        <f t="shared" si="173"/>
        <v>0</v>
      </c>
      <c r="K142" s="15">
        <f t="shared" si="173"/>
        <v>0</v>
      </c>
      <c r="L142" s="15">
        <f t="shared" si="173"/>
        <v>0</v>
      </c>
      <c r="M142" s="15">
        <f t="shared" si="173"/>
        <v>0</v>
      </c>
      <c r="N142" s="15">
        <f t="shared" si="173"/>
        <v>0</v>
      </c>
      <c r="O142" s="15">
        <f t="shared" si="173"/>
        <v>0</v>
      </c>
      <c r="P142" s="15">
        <f t="shared" si="173"/>
        <v>0</v>
      </c>
      <c r="Q142" s="15">
        <f t="shared" si="173"/>
        <v>0</v>
      </c>
      <c r="R142" s="15">
        <f t="shared" si="172"/>
        <v>0</v>
      </c>
      <c r="S142" s="15">
        <f t="shared" ref="S142" si="174">S58</f>
        <v>0</v>
      </c>
      <c r="T142" s="15">
        <f t="shared" si="172"/>
        <v>0</v>
      </c>
      <c r="U142" s="15">
        <f t="shared" ref="U142" si="175">U58</f>
        <v>0</v>
      </c>
      <c r="V142" s="15">
        <f>V58</f>
        <v>0</v>
      </c>
      <c r="W142" s="15">
        <f>W58</f>
        <v>0</v>
      </c>
      <c r="X142" s="15">
        <f t="shared" si="172"/>
        <v>0</v>
      </c>
      <c r="Y142" s="15">
        <f t="shared" ref="Y142" si="176">Y58</f>
        <v>0</v>
      </c>
      <c r="Z142" s="15">
        <f t="shared" si="172"/>
        <v>0</v>
      </c>
      <c r="AA142" s="15">
        <f t="shared" ref="AA142" si="177">AA58</f>
        <v>0</v>
      </c>
      <c r="AB142" s="1">
        <f t="shared" si="159"/>
        <v>1900000</v>
      </c>
      <c r="AC142" s="15"/>
      <c r="AD142" s="15"/>
      <c r="AE142" s="15"/>
      <c r="AF142" s="575">
        <f t="shared" si="144"/>
        <v>2740000</v>
      </c>
    </row>
    <row r="143" spans="1:33" x14ac:dyDescent="0.2">
      <c r="A143">
        <v>6</v>
      </c>
      <c r="B143" s="70" t="s">
        <v>187</v>
      </c>
      <c r="D143" s="15">
        <f>D21+D61+D68+D69+D71+D72+D65+D81+D87+D95+D105+D116+D100</f>
        <v>13150000</v>
      </c>
      <c r="E143" s="15">
        <f>E21+E61+E68+E69+E71+E72+E65+E81+E87+E95+E105+E116+E100</f>
        <v>0</v>
      </c>
      <c r="F143" s="15">
        <f t="shared" ref="F143:Z143" si="178">F21+F61+F68+F69+F71+F72+F65+F81+F87+F95+F105+F116+F100</f>
        <v>15000000</v>
      </c>
      <c r="G143" s="15">
        <f>G21+G61+G68+G69+G71+G72+G65+G81+G87+G95+G105+G116+G100</f>
        <v>0</v>
      </c>
      <c r="H143" s="15">
        <f t="shared" si="178"/>
        <v>25000000</v>
      </c>
      <c r="I143" s="15">
        <f t="shared" ref="I143:Q143" si="179">I21+I61+I68+I69+I71+I72+I65+I81+I87+I95+I105+I116+I100</f>
        <v>0</v>
      </c>
      <c r="J143" s="15">
        <f t="shared" si="179"/>
        <v>6500000</v>
      </c>
      <c r="K143" s="15">
        <f t="shared" si="179"/>
        <v>0</v>
      </c>
      <c r="L143" s="15">
        <f t="shared" si="179"/>
        <v>15750000</v>
      </c>
      <c r="M143" s="15">
        <f t="shared" si="179"/>
        <v>0</v>
      </c>
      <c r="N143" s="15">
        <f t="shared" si="179"/>
        <v>7750000</v>
      </c>
      <c r="O143" s="15">
        <f t="shared" si="179"/>
        <v>0</v>
      </c>
      <c r="P143" s="15">
        <f t="shared" si="179"/>
        <v>14400000</v>
      </c>
      <c r="Q143" s="15">
        <f t="shared" si="179"/>
        <v>0</v>
      </c>
      <c r="R143" s="15">
        <f t="shared" si="178"/>
        <v>16250000</v>
      </c>
      <c r="S143" s="15">
        <f t="shared" ref="S143" si="180">S21+S61+S68+S69+S71+S72+S65+S81+S87+S95+S105+S116+S100</f>
        <v>0</v>
      </c>
      <c r="T143" s="15">
        <f t="shared" si="178"/>
        <v>6500000</v>
      </c>
      <c r="U143" s="15">
        <f t="shared" ref="U143" si="181">U21+U61+U68+U69+U71+U72+U65+U81+U87+U95+U105+U116+U100</f>
        <v>0</v>
      </c>
      <c r="V143" s="15">
        <f>V21+V61+V68+V69+V71+V72+V65+V81+V87+V95+V105+V116+V100</f>
        <v>6500000</v>
      </c>
      <c r="W143" s="15">
        <f>W21+W61+W68+W69+W71+W72+W65+W81+W87+W95+W105+W116+W100</f>
        <v>0</v>
      </c>
      <c r="X143" s="15">
        <f t="shared" si="178"/>
        <v>6500000</v>
      </c>
      <c r="Y143" s="15">
        <f t="shared" ref="Y143" si="182">Y21+Y61+Y68+Y69+Y71+Y72+Y65+Y81+Y87+Y95+Y105+Y116+Y100</f>
        <v>0</v>
      </c>
      <c r="Z143" s="15">
        <f t="shared" si="178"/>
        <v>6500000</v>
      </c>
      <c r="AA143" s="15">
        <f t="shared" ref="AA143" si="183">AA21+AA61+AA68+AA69+AA71+AA72+AA65+AA81+AA87+AA95+AA105+AA116+AA100</f>
        <v>0</v>
      </c>
      <c r="AB143" s="1">
        <f t="shared" si="159"/>
        <v>139800000</v>
      </c>
      <c r="AC143" s="15"/>
      <c r="AD143" s="15"/>
      <c r="AE143" s="15"/>
      <c r="AF143" s="575">
        <f t="shared" si="144"/>
        <v>0</v>
      </c>
    </row>
    <row r="144" spans="1:33" x14ac:dyDescent="0.2">
      <c r="A144">
        <v>7</v>
      </c>
      <c r="B144" s="70" t="s">
        <v>188</v>
      </c>
      <c r="D144" s="15">
        <f t="shared" ref="D144:Z144" si="184">D48</f>
        <v>6500000</v>
      </c>
      <c r="E144" s="15">
        <f>E48</f>
        <v>6429042.04</v>
      </c>
      <c r="F144" s="15">
        <f t="shared" si="184"/>
        <v>6500000</v>
      </c>
      <c r="G144" s="15">
        <f>G48</f>
        <v>6177516.04</v>
      </c>
      <c r="H144" s="15">
        <f t="shared" si="184"/>
        <v>6500000</v>
      </c>
      <c r="I144" s="15">
        <f t="shared" ref="I144:Q144" si="185">I48</f>
        <v>26803</v>
      </c>
      <c r="J144" s="15">
        <f t="shared" si="185"/>
        <v>6500000</v>
      </c>
      <c r="K144" s="15">
        <f t="shared" si="185"/>
        <v>6672068</v>
      </c>
      <c r="L144" s="15">
        <f t="shared" si="185"/>
        <v>6500000</v>
      </c>
      <c r="M144" s="15">
        <f t="shared" si="185"/>
        <v>6035237</v>
      </c>
      <c r="N144" s="15">
        <f t="shared" si="185"/>
        <v>6500000</v>
      </c>
      <c r="O144" s="15">
        <f t="shared" si="185"/>
        <v>6177142</v>
      </c>
      <c r="P144" s="15">
        <f t="shared" si="185"/>
        <v>6500000</v>
      </c>
      <c r="Q144" s="15">
        <f t="shared" si="185"/>
        <v>6501230</v>
      </c>
      <c r="R144" s="15">
        <f t="shared" si="184"/>
        <v>6500000</v>
      </c>
      <c r="S144" s="15">
        <f t="shared" ref="S144" si="186">S48</f>
        <v>5780900</v>
      </c>
      <c r="T144" s="15">
        <f t="shared" si="184"/>
        <v>6500000</v>
      </c>
      <c r="U144" s="15">
        <f t="shared" ref="U144" si="187">U48</f>
        <v>5240600</v>
      </c>
      <c r="V144" s="15">
        <f>V48</f>
        <v>6500000</v>
      </c>
      <c r="W144" s="15">
        <f>W48</f>
        <v>13195481.210000001</v>
      </c>
      <c r="X144" s="15">
        <f t="shared" si="184"/>
        <v>6500000</v>
      </c>
      <c r="Y144" s="15">
        <f t="shared" ref="Y144" si="188">Y48</f>
        <v>6964920.04</v>
      </c>
      <c r="Z144" s="15">
        <f t="shared" si="184"/>
        <v>6500000</v>
      </c>
      <c r="AA144" s="15">
        <f t="shared" ref="AA144" si="189">AA48</f>
        <v>6650473.4400000004</v>
      </c>
      <c r="AB144" s="1">
        <f t="shared" si="159"/>
        <v>78000000</v>
      </c>
      <c r="AC144" s="15"/>
      <c r="AD144" s="15"/>
      <c r="AE144" s="15"/>
      <c r="AF144" s="575">
        <f t="shared" si="144"/>
        <v>75851412.769999996</v>
      </c>
    </row>
    <row r="145" spans="1:32" x14ac:dyDescent="0.2">
      <c r="A145">
        <v>8</v>
      </c>
      <c r="B145" s="70" t="s">
        <v>189</v>
      </c>
      <c r="D145" s="15">
        <f>D14+D15+D17+D18+D30+D31+D70+D83+D89+D90+D118+D63+D99</f>
        <v>58000000</v>
      </c>
      <c r="E145" s="15">
        <f>E14+E15+E17+E18+E30+E31+E70+E83+E89+E90+E118+E63+E99</f>
        <v>34005212.5</v>
      </c>
      <c r="F145" s="15">
        <f t="shared" ref="F145:Z145" si="190">F14+F15+F17+F18+F30+F31+F70+F83+F89+F90+F118+F63+F99</f>
        <v>58000000</v>
      </c>
      <c r="G145" s="15">
        <f>G14+G15+G17+G18+G30+G31+G70+G83+G89+G90+G118+G63+G99</f>
        <v>92583700</v>
      </c>
      <c r="H145" s="15">
        <f t="shared" si="190"/>
        <v>103000000</v>
      </c>
      <c r="I145" s="15">
        <f>I14+I15+I17+I18+I30+I31+I70+I83+I89+I90+I118+I63+I99</f>
        <v>0</v>
      </c>
      <c r="J145" s="15">
        <f t="shared" si="190"/>
        <v>58000000</v>
      </c>
      <c r="K145" s="15">
        <f t="shared" ref="K145" si="191">K14+K15+K17+K18+K30+K31+K70+K83+K89+K90+K118+K63+K99</f>
        <v>58082717</v>
      </c>
      <c r="L145" s="15">
        <f t="shared" si="190"/>
        <v>133000000</v>
      </c>
      <c r="M145" s="15">
        <f t="shared" ref="M145" si="192">M14+M15+M17+M18+M30+M31+M70+M83+M89+M90+M118+M63+M99</f>
        <v>31204970</v>
      </c>
      <c r="N145" s="15">
        <f t="shared" si="190"/>
        <v>59500000</v>
      </c>
      <c r="O145" s="15">
        <f t="shared" ref="O145" si="193">O14+O15+O17+O18+O30+O31+O70+O83+O89+O90+O118+O63+O99</f>
        <v>82192783</v>
      </c>
      <c r="P145" s="15">
        <f t="shared" si="190"/>
        <v>58000000</v>
      </c>
      <c r="Q145" s="15">
        <f t="shared" ref="Q145" si="194">Q14+Q15+Q17+Q18+Q30+Q31+Q70+Q83+Q89+Q90+Q118+Q63+Q99</f>
        <v>24650300</v>
      </c>
      <c r="R145" s="15">
        <f t="shared" si="190"/>
        <v>104500000</v>
      </c>
      <c r="S145" s="15">
        <f t="shared" ref="S145" si="195">S14+S15+S17+S18+S30+S31+S70+S83+S89+S90+S118+S63+S99</f>
        <v>63840900</v>
      </c>
      <c r="T145" s="15">
        <f t="shared" si="190"/>
        <v>58000000</v>
      </c>
      <c r="U145" s="15">
        <f t="shared" ref="U145" si="196">U14+U15+U17+U18+U30+U31+U70+U83+U89+U90+U118+U63+U99</f>
        <v>25600170</v>
      </c>
      <c r="V145" s="15">
        <f t="shared" si="190"/>
        <v>58000000</v>
      </c>
      <c r="W145" s="15">
        <f t="shared" ref="W145" si="197">W14+W15+W17+W18+W30+W31+W70+W83+W89+W90+W118+W63+W99</f>
        <v>92340000</v>
      </c>
      <c r="X145" s="15">
        <f t="shared" si="190"/>
        <v>58000000</v>
      </c>
      <c r="Y145" s="15">
        <f t="shared" ref="Y145" si="198">Y14+Y15+Y17+Y18+Y30+Y31+Y70+Y83+Y89+Y90+Y118+Y63+Y99</f>
        <v>112340700</v>
      </c>
      <c r="Z145" s="15">
        <f t="shared" si="190"/>
        <v>58000000</v>
      </c>
      <c r="AA145" s="15">
        <f t="shared" ref="AA145" si="199">AA14+AA15+AA17+AA18+AA30+AA31+AA70+AA83+AA89+AA90+AA118+AA63+AA99</f>
        <v>97650000</v>
      </c>
      <c r="AB145" s="1">
        <f t="shared" si="159"/>
        <v>864000000</v>
      </c>
      <c r="AC145" s="15"/>
      <c r="AD145" s="15"/>
      <c r="AE145" s="15"/>
      <c r="AF145" s="575">
        <f t="shared" si="144"/>
        <v>714491452.5</v>
      </c>
    </row>
    <row r="146" spans="1:32" x14ac:dyDescent="0.2">
      <c r="A146">
        <v>9</v>
      </c>
      <c r="B146" s="70" t="s">
        <v>190</v>
      </c>
      <c r="D146" s="15">
        <f t="shared" ref="D146:Z146" si="200">D26+D35</f>
        <v>1000000</v>
      </c>
      <c r="E146" s="15">
        <f>E26+E35</f>
        <v>3099000</v>
      </c>
      <c r="F146" s="15">
        <f t="shared" si="200"/>
        <v>1000000</v>
      </c>
      <c r="G146" s="15">
        <f>G26+G35</f>
        <v>3928680</v>
      </c>
      <c r="H146" s="15">
        <f t="shared" si="200"/>
        <v>1000000</v>
      </c>
      <c r="I146" s="15">
        <f t="shared" ref="I146:Q146" si="201">I26+I35</f>
        <v>3153000</v>
      </c>
      <c r="J146" s="15">
        <f t="shared" si="201"/>
        <v>1000000</v>
      </c>
      <c r="K146" s="15">
        <f t="shared" si="201"/>
        <v>4408850</v>
      </c>
      <c r="L146" s="15">
        <f t="shared" si="201"/>
        <v>1000000</v>
      </c>
      <c r="M146" s="15">
        <f t="shared" si="201"/>
        <v>3804540</v>
      </c>
      <c r="N146" s="15">
        <f t="shared" si="201"/>
        <v>1000000</v>
      </c>
      <c r="O146" s="15">
        <f t="shared" si="201"/>
        <v>4235250</v>
      </c>
      <c r="P146" s="15">
        <f t="shared" si="201"/>
        <v>1000000</v>
      </c>
      <c r="Q146" s="15">
        <f t="shared" si="201"/>
        <v>5780600</v>
      </c>
      <c r="R146" s="15">
        <f t="shared" si="200"/>
        <v>1000000</v>
      </c>
      <c r="S146" s="15">
        <f t="shared" ref="S146" si="202">S26+S35</f>
        <v>3548000</v>
      </c>
      <c r="T146" s="15">
        <f t="shared" si="200"/>
        <v>1000000</v>
      </c>
      <c r="U146" s="15">
        <f t="shared" ref="U146" si="203">U26+U35</f>
        <v>9500740</v>
      </c>
      <c r="V146" s="15">
        <f>V26+V35</f>
        <v>6000000</v>
      </c>
      <c r="W146" s="15">
        <f>W26+W35</f>
        <v>3028050</v>
      </c>
      <c r="X146" s="15">
        <f t="shared" si="200"/>
        <v>1000000</v>
      </c>
      <c r="Y146" s="15">
        <f t="shared" ref="Y146" si="204">Y26+Y35</f>
        <v>3610440</v>
      </c>
      <c r="Z146" s="15">
        <f t="shared" si="200"/>
        <v>1000000</v>
      </c>
      <c r="AA146" s="15">
        <f t="shared" ref="AA146" si="205">AA26+AA35</f>
        <v>4143540</v>
      </c>
      <c r="AB146" s="1">
        <f t="shared" si="159"/>
        <v>17000000</v>
      </c>
      <c r="AC146" s="15"/>
      <c r="AD146" s="15"/>
      <c r="AE146" s="15"/>
      <c r="AF146" s="575">
        <f t="shared" si="144"/>
        <v>52240690</v>
      </c>
    </row>
    <row r="147" spans="1:32" x14ac:dyDescent="0.2">
      <c r="A147">
        <v>10</v>
      </c>
      <c r="B147" s="70" t="s">
        <v>154</v>
      </c>
      <c r="D147" s="15">
        <f t="shared" ref="D147:Z147" si="206">D114</f>
        <v>10000000</v>
      </c>
      <c r="E147" s="15">
        <f>E114</f>
        <v>0</v>
      </c>
      <c r="F147" s="15">
        <f t="shared" si="206"/>
        <v>10000000</v>
      </c>
      <c r="G147" s="15">
        <f>G114</f>
        <v>0</v>
      </c>
      <c r="H147" s="15">
        <f t="shared" si="206"/>
        <v>10000000</v>
      </c>
      <c r="I147" s="15">
        <f t="shared" ref="I147:Q147" si="207">I114</f>
        <v>0</v>
      </c>
      <c r="J147" s="15">
        <f t="shared" si="207"/>
        <v>10000000</v>
      </c>
      <c r="K147" s="15">
        <f t="shared" si="207"/>
        <v>13250000</v>
      </c>
      <c r="L147" s="15">
        <f t="shared" si="207"/>
        <v>10000000</v>
      </c>
      <c r="M147" s="15">
        <f t="shared" si="207"/>
        <v>19250000</v>
      </c>
      <c r="N147" s="15">
        <f t="shared" si="207"/>
        <v>10000000</v>
      </c>
      <c r="O147" s="15">
        <f t="shared" si="207"/>
        <v>13250000</v>
      </c>
      <c r="P147" s="15">
        <f t="shared" si="207"/>
        <v>10000000</v>
      </c>
      <c r="Q147" s="15">
        <f t="shared" si="207"/>
        <v>14560900</v>
      </c>
      <c r="R147" s="15">
        <f t="shared" si="206"/>
        <v>10000000</v>
      </c>
      <c r="S147" s="15">
        <f t="shared" ref="S147" si="208">S114</f>
        <v>29850600</v>
      </c>
      <c r="T147" s="15">
        <f t="shared" si="206"/>
        <v>10000000</v>
      </c>
      <c r="U147" s="15">
        <f t="shared" ref="U147" si="209">U114</f>
        <v>18560200</v>
      </c>
      <c r="V147" s="15">
        <f>V114</f>
        <v>10000000</v>
      </c>
      <c r="W147" s="15">
        <f>W114</f>
        <v>23250000</v>
      </c>
      <c r="X147" s="15">
        <f t="shared" si="206"/>
        <v>10000000</v>
      </c>
      <c r="Y147" s="15">
        <f t="shared" ref="Y147" si="210">Y114</f>
        <v>23250000</v>
      </c>
      <c r="Z147" s="15">
        <f t="shared" si="206"/>
        <v>10000000</v>
      </c>
      <c r="AA147" s="15">
        <f t="shared" ref="AA147" si="211">AA114</f>
        <v>23250000</v>
      </c>
      <c r="AB147" s="1">
        <f t="shared" si="159"/>
        <v>120000000</v>
      </c>
      <c r="AC147" s="15"/>
      <c r="AD147" s="15"/>
      <c r="AE147" s="15"/>
      <c r="AF147" s="575">
        <f t="shared" si="144"/>
        <v>178471700</v>
      </c>
    </row>
    <row r="148" spans="1:32" x14ac:dyDescent="0.2">
      <c r="A148">
        <v>11</v>
      </c>
      <c r="B148" s="70" t="s">
        <v>129</v>
      </c>
      <c r="D148" s="15">
        <f t="shared" ref="D148:Z148" si="212">D82+D113</f>
        <v>2500000</v>
      </c>
      <c r="E148" s="15">
        <f>E82+E113</f>
        <v>5000000</v>
      </c>
      <c r="F148" s="15">
        <f t="shared" si="212"/>
        <v>2500000</v>
      </c>
      <c r="G148" s="15">
        <f>G82+G113</f>
        <v>0</v>
      </c>
      <c r="H148" s="15">
        <f t="shared" si="212"/>
        <v>2500000</v>
      </c>
      <c r="I148" s="15">
        <f t="shared" ref="I148:Q148" si="213">I82+I113</f>
        <v>0</v>
      </c>
      <c r="J148" s="15">
        <f t="shared" si="213"/>
        <v>2500000</v>
      </c>
      <c r="K148" s="15">
        <f t="shared" si="213"/>
        <v>0</v>
      </c>
      <c r="L148" s="15">
        <f t="shared" si="213"/>
        <v>2500000</v>
      </c>
      <c r="M148" s="15">
        <f t="shared" si="213"/>
        <v>2000000</v>
      </c>
      <c r="N148" s="15">
        <f t="shared" si="213"/>
        <v>2500000</v>
      </c>
      <c r="O148" s="15">
        <f t="shared" si="213"/>
        <v>525270</v>
      </c>
      <c r="P148" s="15">
        <f t="shared" si="213"/>
        <v>2500000</v>
      </c>
      <c r="Q148" s="15">
        <f t="shared" si="213"/>
        <v>0</v>
      </c>
      <c r="R148" s="15">
        <f t="shared" si="212"/>
        <v>2500000</v>
      </c>
      <c r="S148" s="15">
        <f t="shared" ref="S148" si="214">S82+S113</f>
        <v>0</v>
      </c>
      <c r="T148" s="15">
        <f t="shared" si="212"/>
        <v>2500000</v>
      </c>
      <c r="U148" s="15">
        <f t="shared" ref="U148" si="215">U82+U113</f>
        <v>0</v>
      </c>
      <c r="V148" s="15">
        <f>V82+V113</f>
        <v>2500000</v>
      </c>
      <c r="W148" s="15">
        <f>W82+W113</f>
        <v>0</v>
      </c>
      <c r="X148" s="15">
        <f t="shared" si="212"/>
        <v>2500000</v>
      </c>
      <c r="Y148" s="15">
        <f t="shared" ref="Y148" si="216">Y82+Y113</f>
        <v>0</v>
      </c>
      <c r="Z148" s="15">
        <f t="shared" si="212"/>
        <v>2500000</v>
      </c>
      <c r="AA148" s="15">
        <f t="shared" ref="AA148" si="217">AA82+AA113</f>
        <v>0</v>
      </c>
      <c r="AB148" s="1">
        <f t="shared" si="159"/>
        <v>30000000</v>
      </c>
      <c r="AC148" s="15"/>
      <c r="AD148" s="15"/>
      <c r="AE148" s="15"/>
      <c r="AF148" s="575">
        <f t="shared" si="144"/>
        <v>7525270</v>
      </c>
    </row>
    <row r="149" spans="1:32" x14ac:dyDescent="0.2">
      <c r="A149">
        <v>13</v>
      </c>
      <c r="B149" s="70" t="s">
        <v>191</v>
      </c>
      <c r="D149" s="15">
        <f t="shared" ref="D149:Z149" si="218">D8</f>
        <v>500000</v>
      </c>
      <c r="E149" s="15">
        <f>E8</f>
        <v>0</v>
      </c>
      <c r="F149" s="15">
        <f t="shared" si="218"/>
        <v>500000</v>
      </c>
      <c r="G149" s="15">
        <f>G8</f>
        <v>0</v>
      </c>
      <c r="H149" s="15">
        <f t="shared" si="218"/>
        <v>500000</v>
      </c>
      <c r="I149" s="15">
        <f t="shared" ref="I149:Q149" si="219">I8</f>
        <v>0</v>
      </c>
      <c r="J149" s="15">
        <f t="shared" si="219"/>
        <v>500000</v>
      </c>
      <c r="K149" s="15">
        <f t="shared" si="219"/>
        <v>0</v>
      </c>
      <c r="L149" s="15">
        <f t="shared" si="219"/>
        <v>500000</v>
      </c>
      <c r="M149" s="15">
        <f t="shared" si="219"/>
        <v>0</v>
      </c>
      <c r="N149" s="15">
        <f t="shared" si="219"/>
        <v>500000</v>
      </c>
      <c r="O149" s="15">
        <f t="shared" si="219"/>
        <v>0</v>
      </c>
      <c r="P149" s="15">
        <f t="shared" si="219"/>
        <v>500000</v>
      </c>
      <c r="Q149" s="15">
        <f t="shared" si="219"/>
        <v>0</v>
      </c>
      <c r="R149" s="15">
        <f t="shared" si="218"/>
        <v>500000</v>
      </c>
      <c r="S149" s="15"/>
      <c r="T149" s="15">
        <f t="shared" si="218"/>
        <v>500000</v>
      </c>
      <c r="U149" s="15">
        <f t="shared" ref="U149" si="220">U8</f>
        <v>0</v>
      </c>
      <c r="V149" s="15">
        <f>V8</f>
        <v>500000</v>
      </c>
      <c r="W149" s="15">
        <f>W8</f>
        <v>0</v>
      </c>
      <c r="X149" s="15">
        <f t="shared" si="218"/>
        <v>500000</v>
      </c>
      <c r="Y149" s="15">
        <f t="shared" ref="Y149" si="221">Y8</f>
        <v>0</v>
      </c>
      <c r="Z149" s="15">
        <f t="shared" si="218"/>
        <v>500000</v>
      </c>
      <c r="AA149" s="15">
        <f t="shared" ref="AA149" si="222">AA8</f>
        <v>0</v>
      </c>
      <c r="AB149" s="1">
        <f t="shared" si="159"/>
        <v>6000000</v>
      </c>
      <c r="AC149" s="15"/>
      <c r="AD149" s="15"/>
      <c r="AE149" s="15"/>
      <c r="AF149" s="575">
        <f t="shared" si="144"/>
        <v>0</v>
      </c>
    </row>
    <row r="150" spans="1:32" x14ac:dyDescent="0.2">
      <c r="A150">
        <v>14</v>
      </c>
      <c r="B150" s="70" t="s">
        <v>27</v>
      </c>
      <c r="D150" s="15">
        <f t="shared" ref="D150:Z150" si="223">D7</f>
        <v>750000</v>
      </c>
      <c r="E150" s="15">
        <f>E7</f>
        <v>826992</v>
      </c>
      <c r="F150" s="15">
        <f t="shared" si="223"/>
        <v>750000</v>
      </c>
      <c r="G150" s="15">
        <f>G7</f>
        <v>841675</v>
      </c>
      <c r="H150" s="15">
        <f t="shared" si="223"/>
        <v>750000</v>
      </c>
      <c r="I150" s="15">
        <f t="shared" ref="I150:Q150" si="224">I7</f>
        <v>849259</v>
      </c>
      <c r="J150" s="15">
        <f t="shared" si="224"/>
        <v>750000</v>
      </c>
      <c r="K150" s="15">
        <f t="shared" si="224"/>
        <v>793098</v>
      </c>
      <c r="L150" s="15">
        <f t="shared" si="224"/>
        <v>750000</v>
      </c>
      <c r="M150" s="15">
        <f t="shared" si="224"/>
        <v>781982</v>
      </c>
      <c r="N150" s="15">
        <f t="shared" si="224"/>
        <v>750000</v>
      </c>
      <c r="O150" s="15">
        <f t="shared" si="224"/>
        <v>720468</v>
      </c>
      <c r="P150" s="15">
        <f t="shared" si="224"/>
        <v>750000</v>
      </c>
      <c r="Q150" s="15">
        <f t="shared" si="224"/>
        <v>790135</v>
      </c>
      <c r="R150" s="15">
        <f t="shared" si="223"/>
        <v>750000</v>
      </c>
      <c r="S150" s="15">
        <f t="shared" ref="S150" si="225">S7</f>
        <v>778634</v>
      </c>
      <c r="T150" s="15">
        <f t="shared" si="223"/>
        <v>750000</v>
      </c>
      <c r="U150" s="15">
        <f t="shared" ref="U150" si="226">U7</f>
        <v>743471</v>
      </c>
      <c r="V150" s="15">
        <f>V7</f>
        <v>750000</v>
      </c>
      <c r="W150" s="15">
        <f>W7</f>
        <v>767688</v>
      </c>
      <c r="X150" s="15">
        <f t="shared" si="223"/>
        <v>750000</v>
      </c>
      <c r="Y150" s="15">
        <f t="shared" ref="Y150" si="227">Y7</f>
        <v>759551</v>
      </c>
      <c r="Z150" s="15">
        <f t="shared" si="223"/>
        <v>750000</v>
      </c>
      <c r="AA150" s="15">
        <f t="shared" ref="AA150" si="228">AA7</f>
        <v>759551</v>
      </c>
      <c r="AB150" s="1">
        <f t="shared" si="159"/>
        <v>9000000</v>
      </c>
      <c r="AC150" s="15"/>
      <c r="AD150" s="15"/>
      <c r="AE150" s="15"/>
      <c r="AF150" s="575">
        <f t="shared" si="144"/>
        <v>9412504</v>
      </c>
    </row>
    <row r="151" spans="1:32" x14ac:dyDescent="0.2">
      <c r="A151">
        <v>15</v>
      </c>
      <c r="B151" s="70" t="s">
        <v>192</v>
      </c>
      <c r="D151" s="15">
        <f t="shared" ref="D151:Z151" si="229">D27+D29+D79+D28</f>
        <v>1600000</v>
      </c>
      <c r="E151" s="15">
        <f>E27+E29+E79+E28</f>
        <v>0</v>
      </c>
      <c r="F151" s="15">
        <f t="shared" si="229"/>
        <v>1600000</v>
      </c>
      <c r="G151" s="15">
        <f>G27+G29+G79+G28</f>
        <v>0</v>
      </c>
      <c r="H151" s="15">
        <f t="shared" si="229"/>
        <v>2100000</v>
      </c>
      <c r="I151" s="15">
        <f t="shared" ref="I151:Q151" si="230">I27+I29+I79+I28</f>
        <v>500000</v>
      </c>
      <c r="J151" s="15">
        <f t="shared" si="230"/>
        <v>1600000</v>
      </c>
      <c r="K151" s="15">
        <f t="shared" si="230"/>
        <v>0</v>
      </c>
      <c r="L151" s="15">
        <f t="shared" si="230"/>
        <v>1600000</v>
      </c>
      <c r="M151" s="15">
        <f t="shared" si="230"/>
        <v>0</v>
      </c>
      <c r="N151" s="15">
        <f t="shared" si="230"/>
        <v>2100000</v>
      </c>
      <c r="O151" s="15">
        <f t="shared" si="230"/>
        <v>3000000</v>
      </c>
      <c r="P151" s="15">
        <f t="shared" si="230"/>
        <v>1600000</v>
      </c>
      <c r="Q151" s="15">
        <f t="shared" si="230"/>
        <v>30450600</v>
      </c>
      <c r="R151" s="15">
        <f t="shared" si="229"/>
        <v>1600000</v>
      </c>
      <c r="S151" s="15">
        <f t="shared" ref="S151" si="231">S27+S29+S79+S28</f>
        <v>0</v>
      </c>
      <c r="T151" s="15">
        <f t="shared" si="229"/>
        <v>2100000</v>
      </c>
      <c r="U151" s="15">
        <f t="shared" ref="U151" si="232">U27+U29+U79+U28</f>
        <v>64230500</v>
      </c>
      <c r="V151" s="15">
        <f>V27+V29+V79+V28</f>
        <v>1600000</v>
      </c>
      <c r="W151" s="15">
        <f>W27+W29+W79+W28</f>
        <v>0</v>
      </c>
      <c r="X151" s="15">
        <f t="shared" si="229"/>
        <v>1600000</v>
      </c>
      <c r="Y151" s="15">
        <f t="shared" ref="Y151" si="233">Y27+Y29+Y79+Y28</f>
        <v>0</v>
      </c>
      <c r="Z151" s="15">
        <f t="shared" si="229"/>
        <v>2100000</v>
      </c>
      <c r="AA151" s="15">
        <f t="shared" ref="AA151" si="234">AA27+AA29+AA79+AA28</f>
        <v>0</v>
      </c>
      <c r="AB151" s="1">
        <f t="shared" si="159"/>
        <v>21200000</v>
      </c>
      <c r="AC151" s="15"/>
      <c r="AD151" s="15"/>
      <c r="AE151" s="15"/>
      <c r="AF151" s="575">
        <f t="shared" si="144"/>
        <v>98181100</v>
      </c>
    </row>
    <row r="152" spans="1:32" x14ac:dyDescent="0.2">
      <c r="A152">
        <v>16</v>
      </c>
      <c r="B152" s="70" t="s">
        <v>100</v>
      </c>
      <c r="D152" s="15">
        <f t="shared" ref="D152:Z152" si="235">D53</f>
        <v>10000000</v>
      </c>
      <c r="E152" s="15">
        <f>E53</f>
        <v>7579312.1500000004</v>
      </c>
      <c r="F152" s="15">
        <f t="shared" si="235"/>
        <v>10000000</v>
      </c>
      <c r="G152" s="15">
        <f>G53</f>
        <v>8599788.4000000004</v>
      </c>
      <c r="H152" s="15">
        <f t="shared" si="235"/>
        <v>10000000</v>
      </c>
      <c r="I152" s="15">
        <f t="shared" ref="I152:Q152" si="236">I53</f>
        <v>15343778.15</v>
      </c>
      <c r="J152" s="15">
        <f t="shared" si="236"/>
        <v>10000000</v>
      </c>
      <c r="K152" s="15">
        <f t="shared" si="236"/>
        <v>7314431</v>
      </c>
      <c r="L152" s="15">
        <f t="shared" si="236"/>
        <v>10000000</v>
      </c>
      <c r="M152" s="15">
        <f t="shared" si="236"/>
        <v>7606555</v>
      </c>
      <c r="N152" s="15">
        <f t="shared" si="236"/>
        <v>10000000</v>
      </c>
      <c r="O152" s="15">
        <f t="shared" si="236"/>
        <v>12624396</v>
      </c>
      <c r="P152" s="15">
        <f t="shared" si="236"/>
        <v>10000000</v>
      </c>
      <c r="Q152" s="15">
        <f t="shared" si="236"/>
        <v>7580900</v>
      </c>
      <c r="R152" s="15">
        <f t="shared" si="235"/>
        <v>10000000</v>
      </c>
      <c r="S152" s="15">
        <f t="shared" ref="S152" si="237">S53</f>
        <v>8405623</v>
      </c>
      <c r="T152" s="15">
        <f t="shared" si="235"/>
        <v>10000000</v>
      </c>
      <c r="U152" s="15">
        <f t="shared" ref="U152" si="238">U53</f>
        <v>7894200</v>
      </c>
      <c r="V152" s="15">
        <f>V53</f>
        <v>10000000</v>
      </c>
      <c r="W152" s="15">
        <f>W53</f>
        <v>14780300</v>
      </c>
      <c r="X152" s="15">
        <f t="shared" si="235"/>
        <v>10000000</v>
      </c>
      <c r="Y152" s="15">
        <f t="shared" ref="Y152" si="239">Y53</f>
        <v>12650700</v>
      </c>
      <c r="Z152" s="15">
        <f t="shared" si="235"/>
        <v>10000000</v>
      </c>
      <c r="AA152" s="15">
        <f t="shared" ref="AA152" si="240">AA53</f>
        <v>17450100</v>
      </c>
      <c r="AB152" s="1">
        <f t="shared" si="159"/>
        <v>120000000</v>
      </c>
      <c r="AC152" s="15"/>
      <c r="AD152" s="15"/>
      <c r="AE152" s="15"/>
      <c r="AF152" s="575">
        <f t="shared" si="144"/>
        <v>127830083.7</v>
      </c>
    </row>
    <row r="153" spans="1:32" x14ac:dyDescent="0.2">
      <c r="A153">
        <v>17</v>
      </c>
      <c r="B153" s="70" t="s">
        <v>84</v>
      </c>
      <c r="D153" s="15">
        <f>D25+D45+D62+D66+D88+D94+D102+D111+D97+D85</f>
        <v>15000000</v>
      </c>
      <c r="E153" s="15">
        <f>E25+E45+E62+E66+E88+E94+E102+E111+E97+E85</f>
        <v>7483156</v>
      </c>
      <c r="F153" s="15">
        <f t="shared" ref="F153:Z153" si="241">F25+F45+F62+F66+F88+F94+F102+F111+F97+F85</f>
        <v>15000000</v>
      </c>
      <c r="G153" s="15">
        <f>G25+G45+G62+G66+G88+G94+G102+G111+G97+G85</f>
        <v>906000</v>
      </c>
      <c r="H153" s="15">
        <f t="shared" si="241"/>
        <v>19750000</v>
      </c>
      <c r="I153" s="15">
        <f t="shared" ref="I153:Q153" si="242">I25+I45+I62+I66+I88+I94+I102+I111+I97+I85</f>
        <v>11211448</v>
      </c>
      <c r="J153" s="15">
        <f t="shared" si="242"/>
        <v>15000000</v>
      </c>
      <c r="K153" s="15">
        <f t="shared" si="242"/>
        <v>3091000</v>
      </c>
      <c r="L153" s="15">
        <f t="shared" si="242"/>
        <v>15000000</v>
      </c>
      <c r="M153" s="15">
        <f t="shared" si="242"/>
        <v>7149700</v>
      </c>
      <c r="N153" s="15">
        <f t="shared" si="242"/>
        <v>15000000</v>
      </c>
      <c r="O153" s="15">
        <f t="shared" si="242"/>
        <v>19740345</v>
      </c>
      <c r="P153" s="15">
        <f t="shared" si="242"/>
        <v>19750000</v>
      </c>
      <c r="Q153" s="15">
        <f t="shared" si="242"/>
        <v>12503640</v>
      </c>
      <c r="R153" s="15">
        <f t="shared" si="241"/>
        <v>15000000</v>
      </c>
      <c r="S153" s="15">
        <f t="shared" ref="S153" si="243">S25+S45+S62+S66+S88+S94+S102+S111+S97+S85</f>
        <v>17890600</v>
      </c>
      <c r="T153" s="15">
        <f t="shared" si="241"/>
        <v>15000000</v>
      </c>
      <c r="U153" s="15">
        <f t="shared" ref="U153" si="244">U25+U45+U62+U66+U88+U94+U102+U111+U97+U85</f>
        <v>20150600</v>
      </c>
      <c r="V153" s="15">
        <f>V25+V45+V62+V66+V88+V94+V102+V111+V97+V85</f>
        <v>15000000</v>
      </c>
      <c r="W153" s="15">
        <f>W25+W45+W62+W66+W88+W94+W102+W111+W97+W85</f>
        <v>62340500</v>
      </c>
      <c r="X153" s="15">
        <f t="shared" si="241"/>
        <v>39750000</v>
      </c>
      <c r="Y153" s="15">
        <f t="shared" ref="Y153" si="245">Y25+Y45+Y62+Y66+Y88+Y94+Y102+Y111+Y97+Y85</f>
        <v>54300200</v>
      </c>
      <c r="Z153" s="15">
        <f t="shared" si="241"/>
        <v>35000000</v>
      </c>
      <c r="AA153" s="15">
        <f t="shared" ref="AA153" si="246">AA25+AA45+AA62+AA66+AA88+AA94+AA102+AA111+AA97+AA85</f>
        <v>78432100</v>
      </c>
      <c r="AB153" s="1">
        <f t="shared" si="159"/>
        <v>234250000</v>
      </c>
      <c r="AC153" s="15"/>
      <c r="AD153" s="15"/>
      <c r="AE153" s="15"/>
      <c r="AF153" s="575">
        <f t="shared" si="144"/>
        <v>295199289</v>
      </c>
    </row>
    <row r="154" spans="1:32" x14ac:dyDescent="0.2">
      <c r="A154">
        <v>18</v>
      </c>
      <c r="B154" s="70" t="s">
        <v>72</v>
      </c>
      <c r="D154" s="15">
        <f t="shared" ref="D154:Z154" si="247">D37</f>
        <v>4500000</v>
      </c>
      <c r="E154" s="15">
        <f>E37</f>
        <v>2484162</v>
      </c>
      <c r="F154" s="15">
        <f t="shared" si="247"/>
        <v>4500000</v>
      </c>
      <c r="G154" s="15">
        <f>G37</f>
        <v>2484162</v>
      </c>
      <c r="H154" s="15">
        <f t="shared" si="247"/>
        <v>4500000</v>
      </c>
      <c r="I154" s="15">
        <f>I37</f>
        <v>0</v>
      </c>
      <c r="J154" s="15">
        <f t="shared" si="247"/>
        <v>4500000</v>
      </c>
      <c r="K154" s="15">
        <f t="shared" ref="K154" si="248">K37</f>
        <v>1174634</v>
      </c>
      <c r="L154" s="15">
        <f t="shared" si="247"/>
        <v>4500000</v>
      </c>
      <c r="M154" s="15">
        <f t="shared" ref="M154" si="249">M37</f>
        <v>2032107</v>
      </c>
      <c r="N154" s="15">
        <f t="shared" si="247"/>
        <v>4500000</v>
      </c>
      <c r="O154" s="15">
        <f t="shared" ref="O154" si="250">O37</f>
        <v>2098438</v>
      </c>
      <c r="P154" s="15">
        <f t="shared" si="247"/>
        <v>4500000</v>
      </c>
      <c r="Q154" s="15">
        <f t="shared" ref="Q154" si="251">Q37</f>
        <v>1430200</v>
      </c>
      <c r="R154" s="15">
        <f t="shared" si="247"/>
        <v>4500000</v>
      </c>
      <c r="S154" s="15">
        <f t="shared" ref="S154" si="252">S37</f>
        <v>1375060</v>
      </c>
      <c r="T154" s="15">
        <f t="shared" si="247"/>
        <v>4500000</v>
      </c>
      <c r="U154" s="15">
        <f t="shared" ref="U154" si="253">U37</f>
        <v>2485300</v>
      </c>
      <c r="V154" s="15">
        <f t="shared" si="247"/>
        <v>4500000</v>
      </c>
      <c r="W154" s="15">
        <f t="shared" ref="W154" si="254">W37</f>
        <v>1234600</v>
      </c>
      <c r="X154" s="15">
        <f t="shared" si="247"/>
        <v>4500000</v>
      </c>
      <c r="Y154" s="15">
        <f t="shared" ref="Y154" si="255">Y37</f>
        <v>1117800</v>
      </c>
      <c r="Z154" s="15">
        <f t="shared" si="247"/>
        <v>4500000</v>
      </c>
      <c r="AA154" s="15">
        <f t="shared" ref="AA154" si="256">AA37</f>
        <v>1450600</v>
      </c>
      <c r="AB154" s="1">
        <f t="shared" si="159"/>
        <v>54000000</v>
      </c>
      <c r="AC154" s="15"/>
      <c r="AD154" s="15"/>
      <c r="AE154" s="15"/>
      <c r="AF154" s="575">
        <f t="shared" si="144"/>
        <v>19367063</v>
      </c>
    </row>
    <row r="155" spans="1:32" x14ac:dyDescent="0.2">
      <c r="A155">
        <v>19</v>
      </c>
      <c r="B155" s="70" t="s">
        <v>193</v>
      </c>
      <c r="D155" s="15">
        <f t="shared" ref="D155:Z155" si="257">D12+D13+D110+D76</f>
        <v>36368675.600000001</v>
      </c>
      <c r="E155" s="15">
        <f>E12+E13+E110+E76</f>
        <v>-20751089.539999999</v>
      </c>
      <c r="F155" s="15">
        <f t="shared" si="257"/>
        <v>36368675.600000001</v>
      </c>
      <c r="G155" s="15">
        <f>G12+G13+G110+G76</f>
        <v>-6193407.129999999</v>
      </c>
      <c r="H155" s="15">
        <f t="shared" si="257"/>
        <v>36368675.600000001</v>
      </c>
      <c r="I155" s="15">
        <f t="shared" ref="I155:Q155" si="258">I12+I13+I110+I76</f>
        <v>3193606.9199999981</v>
      </c>
      <c r="J155" s="15">
        <f t="shared" si="258"/>
        <v>36368675.600000001</v>
      </c>
      <c r="K155" s="15">
        <f t="shared" si="258"/>
        <v>5249700</v>
      </c>
      <c r="L155" s="15">
        <f t="shared" si="258"/>
        <v>36368675.600000001</v>
      </c>
      <c r="M155" s="15">
        <f t="shared" si="258"/>
        <v>25020653</v>
      </c>
      <c r="N155" s="15">
        <f t="shared" si="258"/>
        <v>76368675.599999994</v>
      </c>
      <c r="O155" s="15">
        <f t="shared" si="258"/>
        <v>31465205</v>
      </c>
      <c r="P155" s="15">
        <f t="shared" si="258"/>
        <v>36368675.600000001</v>
      </c>
      <c r="Q155" s="15">
        <f t="shared" si="258"/>
        <v>25004500</v>
      </c>
      <c r="R155" s="15">
        <f t="shared" si="257"/>
        <v>36368675.600000001</v>
      </c>
      <c r="S155" s="15">
        <f t="shared" ref="S155" si="259">S12+S13+S110+S76</f>
        <v>30256400</v>
      </c>
      <c r="T155" s="15">
        <f t="shared" si="257"/>
        <v>36368675.600000001</v>
      </c>
      <c r="U155" s="15">
        <f t="shared" ref="U155" si="260">U12+U13+U110+U76</f>
        <v>27890120</v>
      </c>
      <c r="V155" s="15">
        <f>V12+V13+V110+V76</f>
        <v>36368675.600000001</v>
      </c>
      <c r="W155" s="15">
        <f>W12+W13+W110+W76</f>
        <v>32560000</v>
      </c>
      <c r="X155" s="15">
        <f t="shared" si="257"/>
        <v>36368675.600000001</v>
      </c>
      <c r="Y155" s="15">
        <f t="shared" ref="Y155" si="261">Y12+Y13+Y110+Y76</f>
        <v>57432700</v>
      </c>
      <c r="Z155" s="15">
        <f t="shared" si="257"/>
        <v>36368675.600000001</v>
      </c>
      <c r="AA155" s="15">
        <f t="shared" ref="AA155" si="262">AA12+AA13+AA110+AA76</f>
        <v>19860500</v>
      </c>
      <c r="AB155" s="1">
        <f t="shared" si="159"/>
        <v>476424107.20000011</v>
      </c>
      <c r="AC155" s="15"/>
      <c r="AD155" s="15"/>
      <c r="AE155" s="15"/>
      <c r="AF155" s="575">
        <f t="shared" si="144"/>
        <v>230988888.25</v>
      </c>
    </row>
    <row r="156" spans="1:32" x14ac:dyDescent="0.2">
      <c r="A156">
        <v>20</v>
      </c>
      <c r="B156" s="70" t="s">
        <v>194</v>
      </c>
      <c r="D156" s="15">
        <f t="shared" ref="D156:Z156" si="263">D92</f>
        <v>500000</v>
      </c>
      <c r="E156" s="15">
        <f>E92</f>
        <v>0</v>
      </c>
      <c r="F156" s="15">
        <f t="shared" si="263"/>
        <v>500000</v>
      </c>
      <c r="G156" s="15">
        <f>G92</f>
        <v>0</v>
      </c>
      <c r="H156" s="15">
        <f t="shared" si="263"/>
        <v>500000</v>
      </c>
      <c r="I156" s="15">
        <f t="shared" ref="I156:Q156" si="264">I92</f>
        <v>0</v>
      </c>
      <c r="J156" s="15">
        <f t="shared" si="264"/>
        <v>500000</v>
      </c>
      <c r="K156" s="15">
        <f t="shared" si="264"/>
        <v>0</v>
      </c>
      <c r="L156" s="15">
        <f t="shared" si="264"/>
        <v>500000</v>
      </c>
      <c r="M156" s="15">
        <f t="shared" si="264"/>
        <v>0</v>
      </c>
      <c r="N156" s="15">
        <f t="shared" si="264"/>
        <v>500000</v>
      </c>
      <c r="O156" s="15">
        <f t="shared" si="264"/>
        <v>0</v>
      </c>
      <c r="P156" s="15">
        <f t="shared" si="264"/>
        <v>500000</v>
      </c>
      <c r="Q156" s="15">
        <f t="shared" si="264"/>
        <v>0</v>
      </c>
      <c r="R156" s="15">
        <f t="shared" si="263"/>
        <v>500000</v>
      </c>
      <c r="S156" s="15">
        <f t="shared" ref="S156" si="265">S92</f>
        <v>0</v>
      </c>
      <c r="T156" s="15">
        <f t="shared" si="263"/>
        <v>500000</v>
      </c>
      <c r="U156" s="15">
        <f t="shared" ref="U156" si="266">U92</f>
        <v>0</v>
      </c>
      <c r="V156" s="15">
        <f>V92</f>
        <v>500000</v>
      </c>
      <c r="W156" s="15">
        <f>W92</f>
        <v>0</v>
      </c>
      <c r="X156" s="15">
        <f t="shared" si="263"/>
        <v>500000</v>
      </c>
      <c r="Y156" s="15">
        <f t="shared" ref="Y156" si="267">Y92</f>
        <v>0</v>
      </c>
      <c r="Z156" s="15">
        <f t="shared" si="263"/>
        <v>500000</v>
      </c>
      <c r="AA156" s="15">
        <f t="shared" ref="AA156" si="268">AA92</f>
        <v>0</v>
      </c>
      <c r="AB156" s="1">
        <f t="shared" si="159"/>
        <v>6000000</v>
      </c>
      <c r="AC156" s="15"/>
      <c r="AD156" s="15"/>
      <c r="AE156" s="15"/>
      <c r="AF156" s="575">
        <f t="shared" si="144"/>
        <v>0</v>
      </c>
    </row>
    <row r="157" spans="1:32" x14ac:dyDescent="0.2">
      <c r="A157">
        <v>21</v>
      </c>
      <c r="B157" s="70" t="s">
        <v>195</v>
      </c>
      <c r="D157" s="15">
        <f t="shared" ref="D157:Z157" si="269">D38+D104</f>
        <v>1000000</v>
      </c>
      <c r="E157" s="15">
        <f>E38+E104</f>
        <v>3623423.08</v>
      </c>
      <c r="F157" s="15">
        <f t="shared" si="269"/>
        <v>1000000</v>
      </c>
      <c r="G157" s="15">
        <f>G38+G104</f>
        <v>737805.78</v>
      </c>
      <c r="H157" s="15">
        <f t="shared" si="269"/>
        <v>1000000</v>
      </c>
      <c r="I157" s="15">
        <f t="shared" ref="I157:Q157" si="270">I38+I104</f>
        <v>1123338.5699999998</v>
      </c>
      <c r="J157" s="15">
        <f t="shared" si="270"/>
        <v>1000000</v>
      </c>
      <c r="K157" s="15">
        <f t="shared" si="270"/>
        <v>797191</v>
      </c>
      <c r="L157" s="15">
        <f t="shared" si="270"/>
        <v>1000000</v>
      </c>
      <c r="M157" s="15">
        <f t="shared" si="270"/>
        <v>1159231</v>
      </c>
      <c r="N157" s="15">
        <f t="shared" si="270"/>
        <v>1000000</v>
      </c>
      <c r="O157" s="15">
        <f t="shared" si="270"/>
        <v>864338</v>
      </c>
      <c r="P157" s="15">
        <f t="shared" si="270"/>
        <v>1000000</v>
      </c>
      <c r="Q157" s="15">
        <f t="shared" si="270"/>
        <v>3200150</v>
      </c>
      <c r="R157" s="15">
        <f t="shared" si="269"/>
        <v>1000000</v>
      </c>
      <c r="S157" s="15">
        <f t="shared" ref="S157" si="271">S38+S104</f>
        <v>4892500</v>
      </c>
      <c r="T157" s="15">
        <f t="shared" si="269"/>
        <v>1000000</v>
      </c>
      <c r="U157" s="15">
        <f t="shared" ref="U157" si="272">U38+U104</f>
        <v>2786200</v>
      </c>
      <c r="V157" s="15">
        <f>V38+V104</f>
        <v>1000000</v>
      </c>
      <c r="W157" s="15">
        <f>W38+W104</f>
        <v>5673400</v>
      </c>
      <c r="X157" s="15">
        <f t="shared" si="269"/>
        <v>1000000</v>
      </c>
      <c r="Y157" s="15">
        <f t="shared" ref="Y157" si="273">Y38+Y104</f>
        <v>4578900</v>
      </c>
      <c r="Z157" s="15">
        <f t="shared" si="269"/>
        <v>1000000</v>
      </c>
      <c r="AA157" s="15">
        <f t="shared" ref="AA157" si="274">AA38+AA104</f>
        <v>8954000</v>
      </c>
      <c r="AB157" s="1">
        <f t="shared" si="159"/>
        <v>12000000</v>
      </c>
      <c r="AC157" s="15"/>
      <c r="AD157" s="15"/>
      <c r="AE157" s="15"/>
      <c r="AF157" s="575">
        <f t="shared" si="144"/>
        <v>38390477.43</v>
      </c>
    </row>
    <row r="158" spans="1:32" x14ac:dyDescent="0.2">
      <c r="A158">
        <v>22</v>
      </c>
      <c r="B158" s="70" t="s">
        <v>76</v>
      </c>
      <c r="D158" s="15">
        <f t="shared" ref="D158:Z158" si="275">D39</f>
        <v>6000000</v>
      </c>
      <c r="E158" s="15">
        <f>E39</f>
        <v>0</v>
      </c>
      <c r="F158" s="15">
        <f t="shared" si="275"/>
        <v>6000000</v>
      </c>
      <c r="G158" s="15">
        <f>G39</f>
        <v>0</v>
      </c>
      <c r="H158" s="15">
        <f t="shared" si="275"/>
        <v>6000000</v>
      </c>
      <c r="I158" s="15">
        <f t="shared" ref="I158:Q158" si="276">I39</f>
        <v>0</v>
      </c>
      <c r="J158" s="15">
        <f t="shared" si="276"/>
        <v>6000000</v>
      </c>
      <c r="K158" s="15">
        <f t="shared" si="276"/>
        <v>183620</v>
      </c>
      <c r="L158" s="15">
        <f t="shared" si="276"/>
        <v>6000000</v>
      </c>
      <c r="M158" s="15">
        <f t="shared" si="276"/>
        <v>221140</v>
      </c>
      <c r="N158" s="15">
        <f t="shared" si="276"/>
        <v>6000000</v>
      </c>
      <c r="O158" s="15">
        <f t="shared" si="276"/>
        <v>520000</v>
      </c>
      <c r="P158" s="15">
        <f t="shared" si="276"/>
        <v>6000000</v>
      </c>
      <c r="Q158" s="15">
        <f t="shared" si="276"/>
        <v>612000</v>
      </c>
      <c r="R158" s="15">
        <f t="shared" si="275"/>
        <v>6000000</v>
      </c>
      <c r="S158" s="15">
        <f t="shared" ref="S158" si="277">S39</f>
        <v>540300</v>
      </c>
      <c r="T158" s="15">
        <f t="shared" si="275"/>
        <v>6000000</v>
      </c>
      <c r="U158" s="15">
        <f t="shared" ref="U158" si="278">U39</f>
        <v>548700</v>
      </c>
      <c r="V158" s="15">
        <f>V39</f>
        <v>6000000</v>
      </c>
      <c r="W158" s="15">
        <f>W39</f>
        <v>672300</v>
      </c>
      <c r="X158" s="15">
        <f t="shared" si="275"/>
        <v>6000000</v>
      </c>
      <c r="Y158" s="15">
        <f t="shared" ref="Y158" si="279">Y39</f>
        <v>789400</v>
      </c>
      <c r="Z158" s="15">
        <f t="shared" si="275"/>
        <v>6000000</v>
      </c>
      <c r="AA158" s="15">
        <f t="shared" ref="AA158" si="280">AA39</f>
        <v>891200</v>
      </c>
      <c r="AB158" s="1">
        <f t="shared" si="159"/>
        <v>72000000</v>
      </c>
      <c r="AC158" s="15"/>
      <c r="AD158" s="15"/>
      <c r="AE158" s="15"/>
      <c r="AF158" s="575">
        <f t="shared" si="144"/>
        <v>4978660</v>
      </c>
    </row>
    <row r="159" spans="1:32" x14ac:dyDescent="0.2">
      <c r="A159">
        <v>23</v>
      </c>
      <c r="B159" s="70" t="s">
        <v>196</v>
      </c>
      <c r="D159" s="15">
        <f t="shared" ref="D159:Z159" si="281">D47</f>
        <v>65500000</v>
      </c>
      <c r="E159" s="15">
        <f>E47</f>
        <v>107282000</v>
      </c>
      <c r="F159" s="15">
        <f t="shared" si="281"/>
        <v>65500000</v>
      </c>
      <c r="G159" s="15">
        <f>G47</f>
        <v>107282000</v>
      </c>
      <c r="H159" s="15">
        <f t="shared" si="281"/>
        <v>65500000</v>
      </c>
      <c r="I159" s="15">
        <f t="shared" ref="I159:Q159" si="282">I47</f>
        <v>107282000</v>
      </c>
      <c r="J159" s="15">
        <f t="shared" si="282"/>
        <v>65500000</v>
      </c>
      <c r="K159" s="15">
        <f t="shared" si="282"/>
        <v>107282000</v>
      </c>
      <c r="L159" s="15">
        <f t="shared" si="282"/>
        <v>65500000</v>
      </c>
      <c r="M159" s="15">
        <f t="shared" si="282"/>
        <v>107282000</v>
      </c>
      <c r="N159" s="15">
        <f t="shared" si="282"/>
        <v>65500000</v>
      </c>
      <c r="O159" s="15">
        <f>O47</f>
        <v>107282000</v>
      </c>
      <c r="P159" s="15">
        <f t="shared" si="282"/>
        <v>65500000</v>
      </c>
      <c r="Q159" s="15">
        <f t="shared" si="282"/>
        <v>107282000</v>
      </c>
      <c r="R159" s="15">
        <f t="shared" si="281"/>
        <v>65500000</v>
      </c>
      <c r="S159" s="15">
        <f t="shared" ref="S159" si="283">S47</f>
        <v>107282000</v>
      </c>
      <c r="T159" s="15">
        <f t="shared" si="281"/>
        <v>65500000</v>
      </c>
      <c r="U159" s="15">
        <f t="shared" ref="U159" si="284">U47</f>
        <v>107282000</v>
      </c>
      <c r="V159" s="15">
        <f>V47</f>
        <v>65500000</v>
      </c>
      <c r="W159" s="15">
        <f>W47</f>
        <v>107282000</v>
      </c>
      <c r="X159" s="15">
        <f t="shared" si="281"/>
        <v>65500000</v>
      </c>
      <c r="Y159" s="15">
        <f t="shared" ref="Y159" si="285">Y47</f>
        <v>107282000</v>
      </c>
      <c r="Z159" s="15">
        <f t="shared" si="281"/>
        <v>65500000</v>
      </c>
      <c r="AA159" s="15">
        <f t="shared" ref="AA159" si="286">AA47</f>
        <v>107282000</v>
      </c>
      <c r="AB159" s="1">
        <f t="shared" si="159"/>
        <v>786000000</v>
      </c>
      <c r="AC159" s="15"/>
      <c r="AD159" s="15"/>
      <c r="AE159" s="15"/>
      <c r="AF159" s="575">
        <f t="shared" si="144"/>
        <v>1287384000</v>
      </c>
    </row>
    <row r="160" spans="1:32" x14ac:dyDescent="0.2">
      <c r="A160">
        <v>24</v>
      </c>
      <c r="B160" s="70" t="s">
        <v>83</v>
      </c>
      <c r="D160" s="15">
        <f t="shared" ref="D160:Z160" si="287">D34</f>
        <v>1000000</v>
      </c>
      <c r="E160" s="15">
        <f>E34</f>
        <v>0</v>
      </c>
      <c r="F160" s="15">
        <f t="shared" si="287"/>
        <v>1000000</v>
      </c>
      <c r="G160" s="15">
        <f>G34</f>
        <v>0</v>
      </c>
      <c r="H160" s="15">
        <f t="shared" si="287"/>
        <v>1000000</v>
      </c>
      <c r="I160" s="15">
        <f t="shared" ref="I160:Q160" si="288">I34</f>
        <v>0</v>
      </c>
      <c r="J160" s="15">
        <f t="shared" si="288"/>
        <v>1000000</v>
      </c>
      <c r="K160" s="15">
        <f t="shared" si="288"/>
        <v>0</v>
      </c>
      <c r="L160" s="15">
        <f t="shared" si="288"/>
        <v>1000000</v>
      </c>
      <c r="M160" s="15">
        <f t="shared" si="288"/>
        <v>0</v>
      </c>
      <c r="N160" s="15">
        <f t="shared" si="288"/>
        <v>1000000</v>
      </c>
      <c r="O160" s="15">
        <f t="shared" si="288"/>
        <v>0</v>
      </c>
      <c r="P160" s="15">
        <f t="shared" si="288"/>
        <v>1000000</v>
      </c>
      <c r="Q160" s="15">
        <f t="shared" si="288"/>
        <v>0</v>
      </c>
      <c r="R160" s="15">
        <f t="shared" si="287"/>
        <v>1000000</v>
      </c>
      <c r="S160" s="15">
        <f t="shared" ref="S160" si="289">S34</f>
        <v>0</v>
      </c>
      <c r="T160" s="15">
        <f t="shared" si="287"/>
        <v>1000000</v>
      </c>
      <c r="U160" s="15">
        <f t="shared" ref="U160" si="290">U34</f>
        <v>0</v>
      </c>
      <c r="V160" s="15">
        <f>V34</f>
        <v>1000000</v>
      </c>
      <c r="W160" s="15">
        <f>W34</f>
        <v>0</v>
      </c>
      <c r="X160" s="15">
        <f t="shared" si="287"/>
        <v>1000000</v>
      </c>
      <c r="Y160" s="15">
        <f t="shared" ref="Y160" si="291">Y34</f>
        <v>0</v>
      </c>
      <c r="Z160" s="15">
        <f t="shared" si="287"/>
        <v>1000000</v>
      </c>
      <c r="AA160" s="15">
        <f t="shared" ref="AA160" si="292">AA34</f>
        <v>0</v>
      </c>
      <c r="AB160" s="1">
        <f t="shared" si="159"/>
        <v>12000000</v>
      </c>
      <c r="AC160" s="15"/>
      <c r="AD160" s="15"/>
      <c r="AE160" s="15"/>
      <c r="AF160" s="575">
        <f t="shared" si="144"/>
        <v>0</v>
      </c>
    </row>
    <row r="161" spans="1:32" x14ac:dyDescent="0.2">
      <c r="A161">
        <v>25</v>
      </c>
      <c r="B161" s="70" t="s">
        <v>197</v>
      </c>
      <c r="D161" s="15">
        <f t="shared" ref="D161:Z161" si="293">D107+D117</f>
        <v>500000</v>
      </c>
      <c r="E161" s="15">
        <f>E107+E117</f>
        <v>0</v>
      </c>
      <c r="F161" s="15">
        <f t="shared" si="293"/>
        <v>500000</v>
      </c>
      <c r="G161" s="15">
        <f>G107+G117</f>
        <v>0</v>
      </c>
      <c r="H161" s="15">
        <f t="shared" si="293"/>
        <v>500000</v>
      </c>
      <c r="I161" s="15">
        <f t="shared" ref="I161:Q161" si="294">I107+I117</f>
        <v>0</v>
      </c>
      <c r="J161" s="15">
        <f t="shared" si="294"/>
        <v>500000</v>
      </c>
      <c r="K161" s="15">
        <f t="shared" si="294"/>
        <v>3325099</v>
      </c>
      <c r="L161" s="15">
        <f t="shared" si="294"/>
        <v>500000</v>
      </c>
      <c r="M161" s="15">
        <f t="shared" si="294"/>
        <v>3435935</v>
      </c>
      <c r="N161" s="15">
        <f t="shared" si="294"/>
        <v>500000</v>
      </c>
      <c r="O161" s="15">
        <f t="shared" si="294"/>
        <v>3325099</v>
      </c>
      <c r="P161" s="15">
        <f t="shared" si="294"/>
        <v>500000</v>
      </c>
      <c r="Q161" s="15">
        <f t="shared" si="294"/>
        <v>2780900</v>
      </c>
      <c r="R161" s="15">
        <f t="shared" si="293"/>
        <v>500000</v>
      </c>
      <c r="S161" s="15">
        <f t="shared" ref="S161" si="295">S107+S117</f>
        <v>4800600</v>
      </c>
      <c r="T161" s="15">
        <f t="shared" si="293"/>
        <v>500000</v>
      </c>
      <c r="U161" s="15">
        <f t="shared" ref="U161" si="296">U107+U117</f>
        <v>3560200</v>
      </c>
      <c r="V161" s="15">
        <f>V107+V117</f>
        <v>500000</v>
      </c>
      <c r="W161" s="15">
        <f>W107+W117</f>
        <v>0</v>
      </c>
      <c r="X161" s="15">
        <f t="shared" si="293"/>
        <v>500000</v>
      </c>
      <c r="Y161" s="15">
        <f t="shared" ref="Y161" si="297">Y107+Y117</f>
        <v>0</v>
      </c>
      <c r="Z161" s="15">
        <f t="shared" si="293"/>
        <v>500000</v>
      </c>
      <c r="AA161" s="15">
        <f t="shared" ref="AA161" si="298">AA107+AA117</f>
        <v>0</v>
      </c>
      <c r="AB161" s="1">
        <f t="shared" si="159"/>
        <v>6000000</v>
      </c>
      <c r="AC161" s="15"/>
      <c r="AD161" s="15"/>
      <c r="AE161" s="15"/>
      <c r="AF161" s="575">
        <f t="shared" si="144"/>
        <v>21227833</v>
      </c>
    </row>
    <row r="162" spans="1:32" x14ac:dyDescent="0.2">
      <c r="A162">
        <v>26</v>
      </c>
      <c r="B162" s="70" t="s">
        <v>198</v>
      </c>
      <c r="D162" s="15">
        <f t="shared" ref="D162:Z162" si="299">D23</f>
        <v>25000000</v>
      </c>
      <c r="E162" s="15">
        <f>E23</f>
        <v>11891185</v>
      </c>
      <c r="F162" s="15">
        <f t="shared" si="299"/>
        <v>25000000</v>
      </c>
      <c r="G162" s="15">
        <f>G23</f>
        <v>40691964</v>
      </c>
      <c r="H162" s="15">
        <f t="shared" si="299"/>
        <v>25000000</v>
      </c>
      <c r="I162" s="15">
        <f t="shared" ref="I162:Q162" si="300">I23</f>
        <v>0</v>
      </c>
      <c r="J162" s="15">
        <f t="shared" si="300"/>
        <v>25000000</v>
      </c>
      <c r="K162" s="15">
        <f t="shared" si="300"/>
        <v>37321466</v>
      </c>
      <c r="L162" s="15">
        <f t="shared" si="300"/>
        <v>25000000</v>
      </c>
      <c r="M162" s="15">
        <f t="shared" si="300"/>
        <v>32848951</v>
      </c>
      <c r="N162" s="15">
        <f t="shared" si="300"/>
        <v>25000000</v>
      </c>
      <c r="O162" s="15">
        <f t="shared" si="300"/>
        <v>32124367</v>
      </c>
      <c r="P162" s="15">
        <f t="shared" si="300"/>
        <v>25000000</v>
      </c>
      <c r="Q162" s="15">
        <f t="shared" si="300"/>
        <v>33469411</v>
      </c>
      <c r="R162" s="15">
        <f t="shared" si="299"/>
        <v>25000000</v>
      </c>
      <c r="S162" s="15">
        <f t="shared" ref="S162" si="301">S23</f>
        <v>33469411</v>
      </c>
      <c r="T162" s="15">
        <f t="shared" si="299"/>
        <v>25000000</v>
      </c>
      <c r="U162" s="15">
        <f t="shared" ref="U162" si="302">U23</f>
        <v>33469411</v>
      </c>
      <c r="V162" s="15">
        <f>V23</f>
        <v>25000000</v>
      </c>
      <c r="W162" s="15">
        <f>W23</f>
        <v>30679268</v>
      </c>
      <c r="X162" s="15">
        <f t="shared" si="299"/>
        <v>25000000</v>
      </c>
      <c r="Y162" s="15">
        <f t="shared" ref="Y162" si="303">Y23</f>
        <v>30517601</v>
      </c>
      <c r="Z162" s="15">
        <f t="shared" si="299"/>
        <v>25000000</v>
      </c>
      <c r="AA162" s="15">
        <f t="shared" ref="AA162" si="304">AA23</f>
        <v>31376911</v>
      </c>
      <c r="AB162" s="1">
        <f t="shared" si="159"/>
        <v>300000000</v>
      </c>
      <c r="AC162" s="15"/>
      <c r="AD162" s="15"/>
      <c r="AE162" s="15"/>
      <c r="AF162" s="575">
        <f t="shared" si="144"/>
        <v>347859946</v>
      </c>
    </row>
    <row r="163" spans="1:32" x14ac:dyDescent="0.2">
      <c r="A163">
        <v>27</v>
      </c>
      <c r="B163" s="70" t="s">
        <v>86</v>
      </c>
      <c r="D163" s="15">
        <f t="shared" ref="D163:Z163" si="305">D46+D112</f>
        <v>17000000</v>
      </c>
      <c r="E163" s="15">
        <f>E46+E112</f>
        <v>0</v>
      </c>
      <c r="F163" s="15">
        <f t="shared" si="305"/>
        <v>17000000</v>
      </c>
      <c r="G163" s="15">
        <f>G46+G112</f>
        <v>0</v>
      </c>
      <c r="H163" s="15">
        <f t="shared" si="305"/>
        <v>17000000</v>
      </c>
      <c r="I163" s="15">
        <f t="shared" ref="I163:Q163" si="306">I46+I112</f>
        <v>0</v>
      </c>
      <c r="J163" s="15">
        <f t="shared" si="306"/>
        <v>17000000</v>
      </c>
      <c r="K163" s="15">
        <f t="shared" si="306"/>
        <v>0</v>
      </c>
      <c r="L163" s="15">
        <f t="shared" si="306"/>
        <v>17000000</v>
      </c>
      <c r="M163" s="15">
        <f t="shared" si="306"/>
        <v>0</v>
      </c>
      <c r="N163" s="15">
        <f t="shared" si="306"/>
        <v>47000000</v>
      </c>
      <c r="O163" s="15">
        <f t="shared" si="306"/>
        <v>0</v>
      </c>
      <c r="P163" s="15">
        <f t="shared" si="306"/>
        <v>17000000</v>
      </c>
      <c r="Q163" s="15">
        <f t="shared" si="306"/>
        <v>2750600</v>
      </c>
      <c r="R163" s="15">
        <f t="shared" si="305"/>
        <v>17000000</v>
      </c>
      <c r="S163" s="15">
        <f t="shared" ref="S163" si="307">S46+S112</f>
        <v>3700000</v>
      </c>
      <c r="T163" s="15">
        <f t="shared" si="305"/>
        <v>17000000</v>
      </c>
      <c r="U163" s="15">
        <f t="shared" ref="U163" si="308">U46+U112</f>
        <v>4807900</v>
      </c>
      <c r="V163" s="15">
        <f>V46+V112</f>
        <v>47000000</v>
      </c>
      <c r="W163" s="15">
        <f>W46+W112</f>
        <v>45678900</v>
      </c>
      <c r="X163" s="15">
        <f t="shared" si="305"/>
        <v>17000000</v>
      </c>
      <c r="Y163" s="15">
        <f t="shared" ref="Y163" si="309">Y46+Y112</f>
        <v>92478900</v>
      </c>
      <c r="Z163" s="15">
        <f t="shared" si="305"/>
        <v>17000000</v>
      </c>
      <c r="AA163" s="15">
        <f t="shared" ref="AA163" si="310">AA46+AA112</f>
        <v>62234000</v>
      </c>
      <c r="AB163" s="1">
        <f t="shared" si="159"/>
        <v>264000000</v>
      </c>
      <c r="AC163" s="15"/>
      <c r="AD163" s="15"/>
      <c r="AE163" s="15"/>
      <c r="AF163" s="575">
        <f t="shared" si="144"/>
        <v>211650300</v>
      </c>
    </row>
    <row r="164" spans="1:32" x14ac:dyDescent="0.2">
      <c r="A164">
        <v>28</v>
      </c>
      <c r="B164" s="70" t="s">
        <v>199</v>
      </c>
      <c r="D164" s="15">
        <f t="shared" ref="D164:Z164" si="311">D16+D24+D84</f>
        <v>1000000</v>
      </c>
      <c r="E164" s="15">
        <f>E16+E24+E84</f>
        <v>0</v>
      </c>
      <c r="F164" s="15">
        <f t="shared" si="311"/>
        <v>1000000</v>
      </c>
      <c r="G164" s="15">
        <f>G16+G24+G84</f>
        <v>0</v>
      </c>
      <c r="H164" s="15">
        <f t="shared" si="311"/>
        <v>1000000</v>
      </c>
      <c r="I164" s="15">
        <f t="shared" ref="I164:Q164" si="312">I16+I24+I84</f>
        <v>0</v>
      </c>
      <c r="J164" s="15">
        <f t="shared" si="312"/>
        <v>26000000</v>
      </c>
      <c r="K164" s="15">
        <f t="shared" si="312"/>
        <v>0</v>
      </c>
      <c r="L164" s="15">
        <f t="shared" si="312"/>
        <v>1000000</v>
      </c>
      <c r="M164" s="15">
        <f t="shared" si="312"/>
        <v>0</v>
      </c>
      <c r="N164" s="15">
        <f t="shared" si="312"/>
        <v>1000000</v>
      </c>
      <c r="O164" s="15">
        <f t="shared" si="312"/>
        <v>0</v>
      </c>
      <c r="P164" s="15">
        <f t="shared" si="312"/>
        <v>1000000</v>
      </c>
      <c r="Q164" s="15">
        <f t="shared" si="312"/>
        <v>0</v>
      </c>
      <c r="R164" s="15">
        <f t="shared" si="311"/>
        <v>1000000</v>
      </c>
      <c r="S164" s="15">
        <f t="shared" ref="S164" si="313">S16+S24+S84</f>
        <v>0</v>
      </c>
      <c r="T164" s="15">
        <f t="shared" si="311"/>
        <v>1000000</v>
      </c>
      <c r="U164" s="15">
        <f t="shared" ref="U164" si="314">U16+U24+U84</f>
        <v>0</v>
      </c>
      <c r="V164" s="15">
        <f>V16+V24+V84</f>
        <v>1000000</v>
      </c>
      <c r="W164" s="15">
        <f>W16+W24+W84</f>
        <v>0</v>
      </c>
      <c r="X164" s="15">
        <f t="shared" si="311"/>
        <v>1000000</v>
      </c>
      <c r="Y164" s="15">
        <f t="shared" ref="Y164" si="315">Y16+Y24+Y84</f>
        <v>0</v>
      </c>
      <c r="Z164" s="15">
        <f t="shared" si="311"/>
        <v>1000000</v>
      </c>
      <c r="AA164" s="15">
        <f t="shared" ref="AA164" si="316">AA16+AA24+AA84</f>
        <v>0</v>
      </c>
      <c r="AB164" s="1">
        <f t="shared" si="159"/>
        <v>37000000</v>
      </c>
      <c r="AC164" s="15"/>
      <c r="AD164" s="15"/>
      <c r="AE164" s="15"/>
      <c r="AF164" s="575">
        <f t="shared" si="144"/>
        <v>0</v>
      </c>
    </row>
    <row r="165" spans="1:32" x14ac:dyDescent="0.2">
      <c r="A165">
        <v>29</v>
      </c>
      <c r="B165" s="70" t="s">
        <v>200</v>
      </c>
      <c r="D165" s="15">
        <f t="shared" ref="D165:Z165" si="317">D19</f>
        <v>0</v>
      </c>
      <c r="E165" s="15">
        <f>E19</f>
        <v>0</v>
      </c>
      <c r="F165" s="15">
        <f t="shared" si="317"/>
        <v>0</v>
      </c>
      <c r="G165" s="15">
        <f>G19</f>
        <v>0</v>
      </c>
      <c r="H165" s="15">
        <f t="shared" si="317"/>
        <v>0</v>
      </c>
      <c r="I165" s="15">
        <f t="shared" ref="I165:Q165" si="318">I19</f>
        <v>0</v>
      </c>
      <c r="J165" s="15">
        <f t="shared" si="318"/>
        <v>0</v>
      </c>
      <c r="K165" s="15">
        <f t="shared" si="318"/>
        <v>0</v>
      </c>
      <c r="L165" s="15">
        <f t="shared" si="318"/>
        <v>0</v>
      </c>
      <c r="M165" s="15">
        <f t="shared" si="318"/>
        <v>0</v>
      </c>
      <c r="N165" s="15">
        <f t="shared" si="318"/>
        <v>0</v>
      </c>
      <c r="O165" s="15">
        <f t="shared" si="318"/>
        <v>0</v>
      </c>
      <c r="P165" s="15">
        <f t="shared" si="318"/>
        <v>0</v>
      </c>
      <c r="Q165" s="15">
        <f t="shared" si="318"/>
        <v>0</v>
      </c>
      <c r="R165" s="15">
        <f t="shared" si="317"/>
        <v>0</v>
      </c>
      <c r="S165" s="15">
        <f t="shared" ref="S165" si="319">S19</f>
        <v>0</v>
      </c>
      <c r="T165" s="15">
        <f t="shared" si="317"/>
        <v>0</v>
      </c>
      <c r="U165" s="15">
        <f t="shared" ref="U165" si="320">U19</f>
        <v>0</v>
      </c>
      <c r="V165" s="15">
        <f>V19</f>
        <v>0</v>
      </c>
      <c r="W165" s="15">
        <f>W19</f>
        <v>0</v>
      </c>
      <c r="X165" s="15">
        <f t="shared" si="317"/>
        <v>0</v>
      </c>
      <c r="Y165" s="15">
        <f t="shared" ref="Y165" si="321">Y19</f>
        <v>28150000</v>
      </c>
      <c r="Z165" s="15">
        <f t="shared" si="317"/>
        <v>0</v>
      </c>
      <c r="AA165" s="15">
        <f t="shared" ref="AA165" si="322">AA19</f>
        <v>0</v>
      </c>
      <c r="AB165" s="1">
        <f t="shared" si="159"/>
        <v>0</v>
      </c>
      <c r="AC165" s="15"/>
      <c r="AD165" s="15"/>
      <c r="AE165" s="15"/>
      <c r="AF165" s="575">
        <f t="shared" si="144"/>
        <v>28150000</v>
      </c>
    </row>
    <row r="166" spans="1:32" x14ac:dyDescent="0.2">
      <c r="A166">
        <v>30</v>
      </c>
      <c r="B166" s="70" t="s">
        <v>125</v>
      </c>
      <c r="D166" s="15">
        <f t="shared" ref="D166:Z166" si="323">D77</f>
        <v>500000</v>
      </c>
      <c r="E166" s="15">
        <f>E77</f>
        <v>0</v>
      </c>
      <c r="F166" s="15">
        <f t="shared" si="323"/>
        <v>500000</v>
      </c>
      <c r="G166" s="15">
        <f>G77</f>
        <v>0</v>
      </c>
      <c r="H166" s="15">
        <f t="shared" si="323"/>
        <v>500000</v>
      </c>
      <c r="I166" s="15">
        <f t="shared" ref="I166:Q166" si="324">I77</f>
        <v>0</v>
      </c>
      <c r="J166" s="15">
        <f t="shared" si="324"/>
        <v>500000</v>
      </c>
      <c r="K166" s="15">
        <f t="shared" si="324"/>
        <v>0</v>
      </c>
      <c r="L166" s="15">
        <f t="shared" si="324"/>
        <v>500000</v>
      </c>
      <c r="M166" s="15">
        <f t="shared" si="324"/>
        <v>0</v>
      </c>
      <c r="N166" s="15">
        <f t="shared" si="324"/>
        <v>500000</v>
      </c>
      <c r="O166" s="15">
        <f t="shared" si="324"/>
        <v>0</v>
      </c>
      <c r="P166" s="15">
        <f t="shared" si="324"/>
        <v>500000</v>
      </c>
      <c r="Q166" s="15">
        <f t="shared" si="324"/>
        <v>0</v>
      </c>
      <c r="R166" s="15">
        <f t="shared" si="323"/>
        <v>500000</v>
      </c>
      <c r="S166" s="15">
        <f t="shared" ref="S166" si="325">S77</f>
        <v>0</v>
      </c>
      <c r="T166" s="15">
        <f t="shared" si="323"/>
        <v>500000</v>
      </c>
      <c r="U166" s="15">
        <f t="shared" ref="U166" si="326">U77</f>
        <v>0</v>
      </c>
      <c r="V166" s="15">
        <f>V77</f>
        <v>500000</v>
      </c>
      <c r="W166" s="15">
        <f>W77</f>
        <v>0</v>
      </c>
      <c r="X166" s="15">
        <f t="shared" si="323"/>
        <v>500000</v>
      </c>
      <c r="Y166" s="15">
        <f t="shared" ref="Y166" si="327">Y77</f>
        <v>0</v>
      </c>
      <c r="Z166" s="15">
        <f t="shared" si="323"/>
        <v>500000</v>
      </c>
      <c r="AA166" s="15">
        <f t="shared" ref="AA166" si="328">AA77</f>
        <v>0</v>
      </c>
      <c r="AB166" s="1">
        <f t="shared" si="159"/>
        <v>6000000</v>
      </c>
      <c r="AC166" s="15"/>
      <c r="AD166" s="15"/>
      <c r="AE166" s="15"/>
      <c r="AF166" s="575">
        <f t="shared" si="144"/>
        <v>0</v>
      </c>
    </row>
    <row r="167" spans="1:32" x14ac:dyDescent="0.2">
      <c r="A167">
        <v>31</v>
      </c>
      <c r="B167" s="70" t="s">
        <v>201</v>
      </c>
      <c r="D167" s="15">
        <f t="shared" ref="D167:Z167" si="329">D51</f>
        <v>1000000</v>
      </c>
      <c r="E167" s="15">
        <f>E51</f>
        <v>150000</v>
      </c>
      <c r="F167" s="15">
        <f t="shared" si="329"/>
        <v>1000000</v>
      </c>
      <c r="G167" s="15">
        <f>G51</f>
        <v>150000</v>
      </c>
      <c r="H167" s="15">
        <f t="shared" si="329"/>
        <v>1000000</v>
      </c>
      <c r="I167" s="15">
        <f t="shared" ref="I167:Q167" si="330">I51</f>
        <v>150000</v>
      </c>
      <c r="J167" s="15">
        <f t="shared" si="330"/>
        <v>1000000</v>
      </c>
      <c r="K167" s="15">
        <f t="shared" si="330"/>
        <v>150000</v>
      </c>
      <c r="L167" s="15">
        <f t="shared" si="330"/>
        <v>1000000</v>
      </c>
      <c r="M167" s="15">
        <f t="shared" si="330"/>
        <v>150000</v>
      </c>
      <c r="N167" s="15">
        <f t="shared" si="330"/>
        <v>1000000</v>
      </c>
      <c r="O167" s="15">
        <f t="shared" si="330"/>
        <v>150000</v>
      </c>
      <c r="P167" s="15">
        <f t="shared" si="330"/>
        <v>1000000</v>
      </c>
      <c r="Q167" s="15">
        <f t="shared" si="330"/>
        <v>150000</v>
      </c>
      <c r="R167" s="15">
        <f t="shared" si="329"/>
        <v>1000000</v>
      </c>
      <c r="S167" s="15">
        <f t="shared" ref="S167" si="331">S51</f>
        <v>150000</v>
      </c>
      <c r="T167" s="15">
        <f t="shared" si="329"/>
        <v>1000000</v>
      </c>
      <c r="U167" s="15">
        <f t="shared" ref="U167" si="332">U51</f>
        <v>150000</v>
      </c>
      <c r="V167" s="15">
        <f>V51</f>
        <v>1000000</v>
      </c>
      <c r="W167" s="15">
        <f>W51</f>
        <v>150000</v>
      </c>
      <c r="X167" s="15">
        <f t="shared" si="329"/>
        <v>1000000</v>
      </c>
      <c r="Y167" s="15">
        <f t="shared" ref="Y167" si="333">Y51</f>
        <v>150000</v>
      </c>
      <c r="Z167" s="15">
        <f t="shared" si="329"/>
        <v>1000000</v>
      </c>
      <c r="AA167" s="15">
        <f t="shared" ref="AA167" si="334">AA51</f>
        <v>150000</v>
      </c>
      <c r="AB167" s="1">
        <f t="shared" si="159"/>
        <v>12000000</v>
      </c>
      <c r="AC167" s="15"/>
      <c r="AD167" s="15"/>
      <c r="AE167" s="15"/>
      <c r="AF167" s="575">
        <f t="shared" si="144"/>
        <v>1800000</v>
      </c>
    </row>
    <row r="168" spans="1:32" x14ac:dyDescent="0.2">
      <c r="A168">
        <v>32</v>
      </c>
      <c r="B168" s="70" t="s">
        <v>202</v>
      </c>
      <c r="D168" s="15">
        <f t="shared" ref="D168:Z168" si="335">D20</f>
        <v>0</v>
      </c>
      <c r="E168" s="15">
        <f>E20</f>
        <v>0</v>
      </c>
      <c r="F168" s="15">
        <f t="shared" si="335"/>
        <v>0</v>
      </c>
      <c r="G168" s="15">
        <f>G20</f>
        <v>0</v>
      </c>
      <c r="H168" s="15">
        <f t="shared" si="335"/>
        <v>0</v>
      </c>
      <c r="I168" s="15">
        <f t="shared" ref="I168:Q168" si="336">I20</f>
        <v>0</v>
      </c>
      <c r="J168" s="15">
        <f t="shared" si="336"/>
        <v>0</v>
      </c>
      <c r="K168" s="15">
        <f t="shared" si="336"/>
        <v>0</v>
      </c>
      <c r="L168" s="15">
        <f t="shared" si="336"/>
        <v>0</v>
      </c>
      <c r="M168" s="15">
        <f t="shared" si="336"/>
        <v>0</v>
      </c>
      <c r="N168" s="15">
        <f t="shared" si="336"/>
        <v>0</v>
      </c>
      <c r="O168" s="15">
        <f t="shared" si="336"/>
        <v>0</v>
      </c>
      <c r="P168" s="15">
        <f t="shared" si="336"/>
        <v>0</v>
      </c>
      <c r="Q168" s="15">
        <f t="shared" si="336"/>
        <v>0</v>
      </c>
      <c r="R168" s="15">
        <f t="shared" si="335"/>
        <v>0</v>
      </c>
      <c r="S168" s="15">
        <f t="shared" ref="S168" si="337">S20</f>
        <v>0</v>
      </c>
      <c r="T168" s="15">
        <f t="shared" si="335"/>
        <v>0</v>
      </c>
      <c r="U168" s="15">
        <f t="shared" ref="U168" si="338">U20</f>
        <v>0</v>
      </c>
      <c r="V168" s="15">
        <f>V20</f>
        <v>0</v>
      </c>
      <c r="W168" s="15">
        <f>W20</f>
        <v>0</v>
      </c>
      <c r="X168" s="15">
        <f t="shared" si="335"/>
        <v>0</v>
      </c>
      <c r="Y168" s="15">
        <f t="shared" ref="Y168" si="339">Y20</f>
        <v>0</v>
      </c>
      <c r="Z168" s="15">
        <f t="shared" si="335"/>
        <v>0</v>
      </c>
      <c r="AA168" s="15">
        <f t="shared" ref="AA168" si="340">AA20</f>
        <v>0</v>
      </c>
      <c r="AB168" s="1">
        <f t="shared" si="159"/>
        <v>0</v>
      </c>
      <c r="AC168" s="15"/>
      <c r="AD168" s="15"/>
      <c r="AE168" s="15"/>
      <c r="AF168" s="575">
        <f t="shared" si="144"/>
        <v>0</v>
      </c>
    </row>
    <row r="169" spans="1:32" x14ac:dyDescent="0.2">
      <c r="A169">
        <v>33</v>
      </c>
      <c r="B169" s="70" t="s">
        <v>150</v>
      </c>
      <c r="D169" s="15">
        <f t="shared" ref="D169:Z169" si="341">D6+D10+D109</f>
        <v>526703074</v>
      </c>
      <c r="E169" s="15">
        <f>E6+E10+E109</f>
        <v>674099109</v>
      </c>
      <c r="F169" s="15">
        <f t="shared" si="341"/>
        <v>526703074</v>
      </c>
      <c r="G169" s="15">
        <f>G6+G10+G109</f>
        <v>520578878</v>
      </c>
      <c r="H169" s="15">
        <f t="shared" si="341"/>
        <v>526703074</v>
      </c>
      <c r="I169" s="15">
        <f t="shared" ref="I169:Q169" si="342">I6+I10+I109</f>
        <v>521714931</v>
      </c>
      <c r="J169" s="15">
        <f t="shared" si="342"/>
        <v>740389830</v>
      </c>
      <c r="K169" s="15">
        <f t="shared" si="342"/>
        <v>431231760</v>
      </c>
      <c r="L169" s="15">
        <f t="shared" si="342"/>
        <v>569440425.20000005</v>
      </c>
      <c r="M169" s="15">
        <f t="shared" si="342"/>
        <v>426757755</v>
      </c>
      <c r="N169" s="15">
        <f t="shared" si="342"/>
        <v>569440425.20000005</v>
      </c>
      <c r="O169" s="15">
        <f t="shared" si="342"/>
        <v>401852428</v>
      </c>
      <c r="P169" s="15">
        <f t="shared" si="342"/>
        <v>576440425.20000005</v>
      </c>
      <c r="Q169" s="15">
        <f t="shared" si="342"/>
        <v>495628971</v>
      </c>
      <c r="R169" s="15">
        <f t="shared" si="341"/>
        <v>1541128778.8</v>
      </c>
      <c r="S169" s="15">
        <f t="shared" ref="S169" si="343">S6+S10+S109</f>
        <v>494964209</v>
      </c>
      <c r="T169" s="15">
        <f t="shared" si="341"/>
        <v>569440425.20000005</v>
      </c>
      <c r="U169" s="15">
        <f t="shared" ref="U169" si="344">U6+U10+U109</f>
        <v>510039496</v>
      </c>
      <c r="V169" s="15">
        <f>V6+V10+V109</f>
        <v>576940425.20000005</v>
      </c>
      <c r="W169" s="15">
        <f>W6+W10+W109</f>
        <v>521079819</v>
      </c>
      <c r="X169" s="15">
        <f t="shared" si="341"/>
        <v>569440425.20000005</v>
      </c>
      <c r="Y169" s="15">
        <f t="shared" ref="Y169" si="345">Y6+Y10+Y109</f>
        <v>517754005</v>
      </c>
      <c r="Z169" s="15">
        <f t="shared" si="341"/>
        <v>668769987.20000005</v>
      </c>
      <c r="AA169" s="15">
        <f t="shared" ref="AA169" si="346">AA6+AA10+AA109</f>
        <v>516234987</v>
      </c>
      <c r="AB169" s="1">
        <f t="shared" si="159"/>
        <v>7961540369.1999998</v>
      </c>
      <c r="AC169" s="15"/>
      <c r="AD169" s="15"/>
      <c r="AE169" s="15"/>
      <c r="AF169" s="575">
        <f t="shared" si="144"/>
        <v>6031936348</v>
      </c>
    </row>
    <row r="170" spans="1:32" x14ac:dyDescent="0.2">
      <c r="A170">
        <v>34</v>
      </c>
      <c r="B170" s="70" t="s">
        <v>203</v>
      </c>
      <c r="D170" s="15">
        <f t="shared" ref="D170:Z170" si="347">D50</f>
        <v>23000000</v>
      </c>
      <c r="E170" s="15">
        <f>E50</f>
        <v>29718666.670000002</v>
      </c>
      <c r="F170" s="15">
        <f t="shared" si="347"/>
        <v>23000000</v>
      </c>
      <c r="G170" s="15">
        <f>G50</f>
        <v>26842666.670000002</v>
      </c>
      <c r="H170" s="15">
        <f t="shared" si="347"/>
        <v>23000000</v>
      </c>
      <c r="I170" s="15">
        <f t="shared" ref="I170:Q170" si="348">I50</f>
        <v>29718666.66</v>
      </c>
      <c r="J170" s="15">
        <f t="shared" si="348"/>
        <v>23000000</v>
      </c>
      <c r="K170" s="15">
        <f t="shared" si="348"/>
        <v>28443956</v>
      </c>
      <c r="L170" s="15">
        <f t="shared" si="348"/>
        <v>23000000</v>
      </c>
      <c r="M170" s="15">
        <f t="shared" si="348"/>
        <v>29392088</v>
      </c>
      <c r="N170" s="15">
        <f t="shared" si="348"/>
        <v>23000000</v>
      </c>
      <c r="O170" s="15">
        <f t="shared" si="348"/>
        <v>28443956</v>
      </c>
      <c r="P170" s="15">
        <f t="shared" si="348"/>
        <v>23000000</v>
      </c>
      <c r="Q170" s="15">
        <f t="shared" si="348"/>
        <v>28760000</v>
      </c>
      <c r="R170" s="15">
        <f t="shared" si="347"/>
        <v>23000000</v>
      </c>
      <c r="S170" s="15">
        <f t="shared" ref="S170" si="349">S50</f>
        <v>28760000</v>
      </c>
      <c r="T170" s="15">
        <f t="shared" si="347"/>
        <v>23000000</v>
      </c>
      <c r="U170" s="15">
        <f t="shared" ref="U170" si="350">U50</f>
        <v>28760000</v>
      </c>
      <c r="V170" s="15">
        <f>V50</f>
        <v>23000000</v>
      </c>
      <c r="W170" s="15">
        <f>W50</f>
        <v>29072608.690000001</v>
      </c>
      <c r="X170" s="15">
        <f t="shared" si="347"/>
        <v>23000000</v>
      </c>
      <c r="Y170" s="15">
        <f t="shared" ref="Y170" si="351">Y50</f>
        <v>28134782.609999999</v>
      </c>
      <c r="Z170" s="15">
        <f t="shared" si="347"/>
        <v>23000000</v>
      </c>
      <c r="AA170" s="15">
        <f t="shared" ref="AA170" si="352">AA50</f>
        <v>29072608.699999999</v>
      </c>
      <c r="AB170" s="1">
        <f t="shared" si="159"/>
        <v>276000000</v>
      </c>
      <c r="AC170" s="15"/>
      <c r="AD170" s="15"/>
      <c r="AE170" s="15"/>
      <c r="AF170" s="575">
        <f t="shared" si="144"/>
        <v>345120000</v>
      </c>
    </row>
    <row r="171" spans="1:32" x14ac:dyDescent="0.2">
      <c r="A171">
        <v>35</v>
      </c>
      <c r="B171" s="70" t="s">
        <v>110</v>
      </c>
      <c r="D171" s="15">
        <f t="shared" ref="D171:Z171" si="353">D60</f>
        <v>16910000</v>
      </c>
      <c r="E171" s="15">
        <f>E60</f>
        <v>14106000</v>
      </c>
      <c r="F171" s="15">
        <f t="shared" si="353"/>
        <v>16910000</v>
      </c>
      <c r="G171" s="15">
        <f>G60</f>
        <v>18170516</v>
      </c>
      <c r="H171" s="15">
        <f t="shared" si="353"/>
        <v>16910000</v>
      </c>
      <c r="I171" s="15">
        <f t="shared" ref="I171:Q171" si="354">I60</f>
        <v>15606000</v>
      </c>
      <c r="J171" s="15">
        <f t="shared" si="354"/>
        <v>16910000</v>
      </c>
      <c r="K171" s="15">
        <f t="shared" si="354"/>
        <v>15606000</v>
      </c>
      <c r="L171" s="15">
        <f t="shared" si="354"/>
        <v>16910000</v>
      </c>
      <c r="M171" s="15">
        <f t="shared" si="354"/>
        <v>15606000</v>
      </c>
      <c r="N171" s="15">
        <f t="shared" si="354"/>
        <v>16910000</v>
      </c>
      <c r="O171" s="15">
        <f t="shared" si="354"/>
        <v>15606000</v>
      </c>
      <c r="P171" s="15">
        <f t="shared" si="354"/>
        <v>16910000</v>
      </c>
      <c r="Q171" s="15">
        <f t="shared" si="354"/>
        <v>528000</v>
      </c>
      <c r="R171" s="15">
        <f t="shared" si="353"/>
        <v>16910000</v>
      </c>
      <c r="S171" s="15">
        <f t="shared" ref="S171" si="355">S60</f>
        <v>1500000</v>
      </c>
      <c r="T171" s="15">
        <f t="shared" si="353"/>
        <v>16910000</v>
      </c>
      <c r="U171" s="15">
        <f t="shared" ref="U171" si="356">U60</f>
        <v>15670890</v>
      </c>
      <c r="V171" s="15">
        <f>V60</f>
        <v>16910000</v>
      </c>
      <c r="W171" s="15">
        <f>W60</f>
        <v>19430600</v>
      </c>
      <c r="X171" s="15">
        <f t="shared" si="353"/>
        <v>16910000</v>
      </c>
      <c r="Y171" s="15">
        <f t="shared" ref="Y171" si="357">Y60</f>
        <v>5678000</v>
      </c>
      <c r="Z171" s="15">
        <f t="shared" si="353"/>
        <v>16910000</v>
      </c>
      <c r="AA171" s="15">
        <f t="shared" ref="AA171" si="358">AA60</f>
        <v>7894500</v>
      </c>
      <c r="AB171" s="1">
        <f t="shared" si="159"/>
        <v>202920000</v>
      </c>
      <c r="AC171" s="15"/>
      <c r="AD171" s="15"/>
      <c r="AE171" s="15"/>
      <c r="AF171" s="575">
        <f t="shared" si="144"/>
        <v>145402506</v>
      </c>
    </row>
    <row r="172" spans="1:32" x14ac:dyDescent="0.2">
      <c r="A172">
        <v>36</v>
      </c>
      <c r="B172" s="70" t="s">
        <v>204</v>
      </c>
      <c r="D172" s="15">
        <f t="shared" ref="D172:Z172" si="359">D52</f>
        <v>2500000</v>
      </c>
      <c r="E172" s="15">
        <f>E52</f>
        <v>0</v>
      </c>
      <c r="F172" s="15">
        <f t="shared" si="359"/>
        <v>2500000</v>
      </c>
      <c r="G172" s="15">
        <f>G52</f>
        <v>0</v>
      </c>
      <c r="H172" s="15">
        <f t="shared" si="359"/>
        <v>2500000</v>
      </c>
      <c r="I172" s="15">
        <f t="shared" ref="I172:Q172" si="360">I52</f>
        <v>0</v>
      </c>
      <c r="J172" s="15">
        <f t="shared" si="360"/>
        <v>2500000</v>
      </c>
      <c r="K172" s="15">
        <f t="shared" si="360"/>
        <v>0</v>
      </c>
      <c r="L172" s="15">
        <f t="shared" si="360"/>
        <v>2500000</v>
      </c>
      <c r="M172" s="15">
        <f t="shared" si="360"/>
        <v>0</v>
      </c>
      <c r="N172" s="15">
        <f t="shared" si="360"/>
        <v>2500000</v>
      </c>
      <c r="O172" s="15">
        <f t="shared" si="360"/>
        <v>0</v>
      </c>
      <c r="P172" s="15">
        <f t="shared" si="360"/>
        <v>2500000</v>
      </c>
      <c r="Q172" s="15">
        <f t="shared" si="360"/>
        <v>0</v>
      </c>
      <c r="R172" s="15">
        <f t="shared" si="359"/>
        <v>2500000</v>
      </c>
      <c r="S172" s="15">
        <f t="shared" ref="S172" si="361">S52</f>
        <v>0</v>
      </c>
      <c r="T172" s="15">
        <f t="shared" si="359"/>
        <v>2500000</v>
      </c>
      <c r="U172" s="15">
        <f t="shared" ref="U172" si="362">U52</f>
        <v>0</v>
      </c>
      <c r="V172" s="15">
        <f>V52</f>
        <v>2500000</v>
      </c>
      <c r="W172" s="15">
        <f>W52</f>
        <v>0</v>
      </c>
      <c r="X172" s="15">
        <f t="shared" si="359"/>
        <v>2500000</v>
      </c>
      <c r="Y172" s="15">
        <f t="shared" ref="Y172" si="363">Y52</f>
        <v>0</v>
      </c>
      <c r="Z172" s="15">
        <f t="shared" si="359"/>
        <v>2500000</v>
      </c>
      <c r="AA172" s="15">
        <f t="shared" ref="AA172" si="364">AA52</f>
        <v>0</v>
      </c>
      <c r="AB172" s="1">
        <f t="shared" si="159"/>
        <v>30000000</v>
      </c>
      <c r="AC172" s="15"/>
      <c r="AD172" s="15"/>
      <c r="AE172" s="15"/>
      <c r="AF172" s="575">
        <f t="shared" si="144"/>
        <v>0</v>
      </c>
    </row>
    <row r="173" spans="1:32" x14ac:dyDescent="0.2">
      <c r="A173">
        <v>37</v>
      </c>
      <c r="B173" s="70" t="s">
        <v>70</v>
      </c>
      <c r="D173" s="15">
        <f t="shared" ref="D173:Z173" si="365">D36</f>
        <v>5500000</v>
      </c>
      <c r="E173" s="15">
        <f>E36</f>
        <v>13179500</v>
      </c>
      <c r="F173" s="15">
        <f t="shared" si="365"/>
        <v>5500000</v>
      </c>
      <c r="G173" s="15">
        <f>G36</f>
        <v>11280000</v>
      </c>
      <c r="H173" s="15">
        <f t="shared" si="365"/>
        <v>5500000</v>
      </c>
      <c r="I173" s="15">
        <f t="shared" ref="I173:Q173" si="366">I36</f>
        <v>5904100</v>
      </c>
      <c r="J173" s="15">
        <f t="shared" si="366"/>
        <v>5500000</v>
      </c>
      <c r="K173" s="15">
        <f t="shared" si="366"/>
        <v>3056910</v>
      </c>
      <c r="L173" s="15">
        <f t="shared" si="366"/>
        <v>5500000</v>
      </c>
      <c r="M173" s="15">
        <f t="shared" si="366"/>
        <v>5773870</v>
      </c>
      <c r="N173" s="15">
        <f t="shared" si="366"/>
        <v>5500000</v>
      </c>
      <c r="O173" s="15">
        <f t="shared" si="366"/>
        <v>7260000</v>
      </c>
      <c r="P173" s="15">
        <f t="shared" si="366"/>
        <v>5500000</v>
      </c>
      <c r="Q173" s="15">
        <f t="shared" si="366"/>
        <v>6200000</v>
      </c>
      <c r="R173" s="15">
        <f t="shared" si="365"/>
        <v>5500000</v>
      </c>
      <c r="S173" s="15">
        <f t="shared" ref="S173" si="367">S36</f>
        <v>5900200</v>
      </c>
      <c r="T173" s="15">
        <f t="shared" si="365"/>
        <v>5500000</v>
      </c>
      <c r="U173" s="15">
        <f t="shared" ref="U173" si="368">U36</f>
        <v>6150300</v>
      </c>
      <c r="V173" s="15">
        <f>V36</f>
        <v>5500000</v>
      </c>
      <c r="W173" s="15">
        <f>W36</f>
        <v>9876500</v>
      </c>
      <c r="X173" s="15">
        <f t="shared" si="365"/>
        <v>5500000</v>
      </c>
      <c r="Y173" s="15">
        <f t="shared" ref="Y173" si="369">Y36</f>
        <v>13756100</v>
      </c>
      <c r="Z173" s="15">
        <f t="shared" si="365"/>
        <v>5500000</v>
      </c>
      <c r="AA173" s="15">
        <f t="shared" ref="AA173" si="370">AA36</f>
        <v>10435200</v>
      </c>
      <c r="AB173" s="1">
        <f t="shared" si="159"/>
        <v>66000000</v>
      </c>
      <c r="AC173" s="15"/>
      <c r="AD173" s="15"/>
      <c r="AE173" s="15"/>
      <c r="AF173" s="575">
        <f t="shared" si="144"/>
        <v>98772680</v>
      </c>
    </row>
    <row r="174" spans="1:32" x14ac:dyDescent="0.2">
      <c r="A174">
        <v>38</v>
      </c>
      <c r="B174" s="70" t="s">
        <v>205</v>
      </c>
      <c r="D174" s="15">
        <f t="shared" ref="D174:Z174" si="371">D49</f>
        <v>20000000</v>
      </c>
      <c r="E174" s="15">
        <f>E49</f>
        <v>18582889</v>
      </c>
      <c r="F174" s="15">
        <f t="shared" si="371"/>
        <v>20000000</v>
      </c>
      <c r="G174" s="15">
        <f>G49</f>
        <v>16557723</v>
      </c>
      <c r="H174" s="15">
        <f t="shared" si="371"/>
        <v>20000000</v>
      </c>
      <c r="I174" s="15">
        <f t="shared" ref="I174:Q174" si="372">I49</f>
        <v>7871990</v>
      </c>
      <c r="J174" s="15">
        <f t="shared" si="372"/>
        <v>20000000</v>
      </c>
      <c r="K174" s="15">
        <f t="shared" si="372"/>
        <v>18362648</v>
      </c>
      <c r="L174" s="15">
        <f t="shared" si="372"/>
        <v>20000000</v>
      </c>
      <c r="M174" s="15">
        <f t="shared" si="372"/>
        <v>15607131</v>
      </c>
      <c r="N174" s="15">
        <f t="shared" si="372"/>
        <v>20000000</v>
      </c>
      <c r="O174" s="15">
        <f t="shared" si="372"/>
        <v>19590871</v>
      </c>
      <c r="P174" s="15">
        <f t="shared" si="372"/>
        <v>20000000</v>
      </c>
      <c r="Q174" s="15">
        <f t="shared" si="372"/>
        <v>37840506</v>
      </c>
      <c r="R174" s="15">
        <f t="shared" si="371"/>
        <v>20000000</v>
      </c>
      <c r="S174" s="15">
        <f t="shared" ref="S174" si="373">S49</f>
        <v>75603120</v>
      </c>
      <c r="T174" s="15">
        <f t="shared" si="371"/>
        <v>20000000</v>
      </c>
      <c r="U174" s="15">
        <f t="shared" ref="U174" si="374">U49</f>
        <v>33560700</v>
      </c>
      <c r="V174" s="15">
        <f>V49</f>
        <v>20000000</v>
      </c>
      <c r="W174" s="15">
        <f>W49</f>
        <v>35971917</v>
      </c>
      <c r="X174" s="15">
        <f t="shared" si="371"/>
        <v>20000000</v>
      </c>
      <c r="Y174" s="15">
        <f t="shared" ref="Y174" si="375">Y49</f>
        <v>29408168</v>
      </c>
      <c r="Z174" s="15">
        <f t="shared" si="371"/>
        <v>20000000</v>
      </c>
      <c r="AA174" s="15">
        <f t="shared" ref="AA174" si="376">AA49</f>
        <v>43115901</v>
      </c>
      <c r="AB174" s="1">
        <f t="shared" si="159"/>
        <v>240000000</v>
      </c>
      <c r="AC174" s="15"/>
      <c r="AD174" s="15"/>
      <c r="AE174" s="15"/>
      <c r="AF174" s="575">
        <f t="shared" si="144"/>
        <v>352073564</v>
      </c>
    </row>
    <row r="175" spans="1:32" x14ac:dyDescent="0.2">
      <c r="A175">
        <v>39</v>
      </c>
      <c r="B175" s="70" t="s">
        <v>206</v>
      </c>
      <c r="D175" s="15">
        <f t="shared" ref="D175:Z175" si="377">D9</f>
        <v>25000000</v>
      </c>
      <c r="E175" s="15">
        <f>E9</f>
        <v>27806678</v>
      </c>
      <c r="F175" s="15">
        <f t="shared" si="377"/>
        <v>25000000</v>
      </c>
      <c r="G175" s="15">
        <f>G9</f>
        <v>28228207</v>
      </c>
      <c r="H175" s="15">
        <f t="shared" si="377"/>
        <v>25000000</v>
      </c>
      <c r="I175" s="15">
        <f t="shared" ref="I175:Q175" si="378">I9</f>
        <v>28445919</v>
      </c>
      <c r="J175" s="15">
        <f t="shared" si="378"/>
        <v>25000000</v>
      </c>
      <c r="K175" s="15">
        <f t="shared" si="378"/>
        <v>26833622</v>
      </c>
      <c r="L175" s="15">
        <f t="shared" si="378"/>
        <v>25000000</v>
      </c>
      <c r="M175" s="15">
        <f t="shared" si="378"/>
        <v>26514496</v>
      </c>
      <c r="N175" s="15">
        <f t="shared" si="378"/>
        <v>25000000</v>
      </c>
      <c r="O175" s="15">
        <f t="shared" si="378"/>
        <v>24748522</v>
      </c>
      <c r="P175" s="15">
        <f t="shared" si="378"/>
        <v>25000000</v>
      </c>
      <c r="Q175" s="15">
        <f t="shared" si="378"/>
        <v>26748551</v>
      </c>
      <c r="R175" s="15">
        <f t="shared" si="377"/>
        <v>25000000</v>
      </c>
      <c r="S175" s="15">
        <f>S9</f>
        <v>26418403</v>
      </c>
      <c r="T175" s="15">
        <f t="shared" si="377"/>
        <v>25000000</v>
      </c>
      <c r="U175" s="15">
        <f t="shared" ref="U175" si="379">U9</f>
        <v>25408907</v>
      </c>
      <c r="V175" s="15">
        <f>V9</f>
        <v>25000000</v>
      </c>
      <c r="W175" s="15">
        <f>W9</f>
        <v>26104130</v>
      </c>
      <c r="X175" s="15">
        <f t="shared" si="377"/>
        <v>25000000</v>
      </c>
      <c r="Y175" s="15">
        <f t="shared" ref="Y175" si="380">Y9</f>
        <v>25870537</v>
      </c>
      <c r="Z175" s="15">
        <f t="shared" si="377"/>
        <v>25000000</v>
      </c>
      <c r="AA175" s="15">
        <f t="shared" ref="AA175" si="381">AA9</f>
        <v>25870537</v>
      </c>
      <c r="AB175" s="1">
        <f t="shared" si="159"/>
        <v>300000000</v>
      </c>
      <c r="AC175" s="15"/>
      <c r="AD175" s="15"/>
      <c r="AE175" s="15"/>
      <c r="AF175" s="575">
        <f t="shared" si="144"/>
        <v>318998509</v>
      </c>
    </row>
    <row r="176" spans="1:32" x14ac:dyDescent="0.2">
      <c r="A176">
        <v>40</v>
      </c>
      <c r="B176" s="70" t="s">
        <v>207</v>
      </c>
      <c r="D176" s="15">
        <f t="shared" ref="D176:Z176" si="382">D115</f>
        <v>12000000</v>
      </c>
      <c r="E176" s="15">
        <f>E115</f>
        <v>3412017.4600000004</v>
      </c>
      <c r="F176" s="15">
        <f t="shared" si="382"/>
        <v>12000000</v>
      </c>
      <c r="G176" s="15">
        <f>G115</f>
        <v>9355404.2199999988</v>
      </c>
      <c r="H176" s="15">
        <f t="shared" si="382"/>
        <v>12000000</v>
      </c>
      <c r="I176" s="15">
        <f t="shared" ref="I176:Q176" si="383">I115</f>
        <v>6182468.9600000009</v>
      </c>
      <c r="J176" s="15">
        <f t="shared" si="383"/>
        <v>12000000</v>
      </c>
      <c r="K176" s="15">
        <f t="shared" si="383"/>
        <v>21837527</v>
      </c>
      <c r="L176" s="15">
        <f t="shared" si="383"/>
        <v>12000000</v>
      </c>
      <c r="M176" s="15">
        <f t="shared" si="383"/>
        <v>15891219</v>
      </c>
      <c r="N176" s="15">
        <f t="shared" si="383"/>
        <v>12000000</v>
      </c>
      <c r="O176" s="15">
        <f t="shared" si="383"/>
        <v>18061017</v>
      </c>
      <c r="P176" s="15">
        <f t="shared" si="383"/>
        <v>12000000</v>
      </c>
      <c r="Q176" s="15">
        <f t="shared" si="383"/>
        <v>12780900</v>
      </c>
      <c r="R176" s="15">
        <f t="shared" si="382"/>
        <v>12000000</v>
      </c>
      <c r="S176" s="15">
        <f t="shared" ref="S176" si="384">S115</f>
        <v>18560200</v>
      </c>
      <c r="T176" s="15">
        <f t="shared" si="382"/>
        <v>12000000</v>
      </c>
      <c r="U176" s="15">
        <f t="shared" ref="U176" si="385">U115</f>
        <v>25870900</v>
      </c>
      <c r="V176" s="15">
        <f>V115</f>
        <v>12000000</v>
      </c>
      <c r="W176" s="15">
        <f>W115</f>
        <v>17865000</v>
      </c>
      <c r="X176" s="15">
        <f t="shared" si="382"/>
        <v>12000000</v>
      </c>
      <c r="Y176" s="15">
        <f t="shared" ref="Y176" si="386">Y115</f>
        <v>27890400</v>
      </c>
      <c r="Z176" s="15">
        <f t="shared" si="382"/>
        <v>12000000</v>
      </c>
      <c r="AA176" s="15">
        <f t="shared" ref="AA176" si="387">AA115</f>
        <v>24670200</v>
      </c>
      <c r="AB176" s="1">
        <f t="shared" si="159"/>
        <v>144000000</v>
      </c>
      <c r="AC176" s="15"/>
      <c r="AD176" s="15"/>
      <c r="AE176" s="15"/>
      <c r="AF176" s="575">
        <f t="shared" si="144"/>
        <v>202377253.63999999</v>
      </c>
    </row>
    <row r="177" spans="1:34" s="21" customFormat="1" x14ac:dyDescent="0.2">
      <c r="A177">
        <v>41</v>
      </c>
      <c r="B177" s="70" t="s">
        <v>208</v>
      </c>
      <c r="C177"/>
      <c r="D177" s="15">
        <f t="shared" ref="D177:Z177" si="388">D33+D54+D55</f>
        <v>64500000</v>
      </c>
      <c r="E177" s="15">
        <f>E33+E54+E55</f>
        <v>2347970.5699999998</v>
      </c>
      <c r="F177" s="15">
        <f t="shared" si="388"/>
        <v>7000000</v>
      </c>
      <c r="G177" s="15">
        <f>G33+G54+G55</f>
        <v>2538774.1799999997</v>
      </c>
      <c r="H177" s="15">
        <f t="shared" si="388"/>
        <v>4500000</v>
      </c>
      <c r="I177" s="15">
        <f t="shared" ref="I177:Q177" si="389">I33+I54+I55</f>
        <v>2518226.17</v>
      </c>
      <c r="J177" s="15">
        <f t="shared" si="389"/>
        <v>4500000</v>
      </c>
      <c r="K177" s="15">
        <f t="shared" si="389"/>
        <v>3897859</v>
      </c>
      <c r="L177" s="15">
        <f t="shared" si="389"/>
        <v>4500000</v>
      </c>
      <c r="M177" s="15">
        <f t="shared" si="389"/>
        <v>2134067</v>
      </c>
      <c r="N177" s="15">
        <f t="shared" si="389"/>
        <v>4500000</v>
      </c>
      <c r="O177" s="15">
        <f t="shared" si="389"/>
        <v>1373774</v>
      </c>
      <c r="P177" s="15">
        <f t="shared" si="389"/>
        <v>7000000</v>
      </c>
      <c r="Q177" s="15">
        <f t="shared" si="389"/>
        <v>2400600</v>
      </c>
      <c r="R177" s="15">
        <f t="shared" si="388"/>
        <v>7000000</v>
      </c>
      <c r="S177" s="15">
        <f t="shared" ref="S177" si="390">S33+S54+S55</f>
        <v>1200330</v>
      </c>
      <c r="T177" s="15">
        <f t="shared" si="388"/>
        <v>4500000</v>
      </c>
      <c r="U177" s="15">
        <f t="shared" ref="U177" si="391">U33+U54+U55</f>
        <v>2890600</v>
      </c>
      <c r="V177" s="15">
        <f>V33+V54+V55</f>
        <v>4500000</v>
      </c>
      <c r="W177" s="15">
        <f>W33+W54+W55</f>
        <v>8945000</v>
      </c>
      <c r="X177" s="15">
        <f t="shared" si="388"/>
        <v>4500000</v>
      </c>
      <c r="Y177" s="15">
        <f t="shared" ref="Y177" si="392">Y33+Y54+Y55</f>
        <v>12345600</v>
      </c>
      <c r="Z177" s="15">
        <f t="shared" si="388"/>
        <v>4500000</v>
      </c>
      <c r="AA177" s="15">
        <f t="shared" ref="AA177" si="393">AA33+AA54+AA55</f>
        <v>17891300</v>
      </c>
      <c r="AB177" s="1">
        <f t="shared" si="159"/>
        <v>121500000</v>
      </c>
      <c r="AC177" s="15"/>
      <c r="AD177" s="15"/>
      <c r="AE177" s="15"/>
      <c r="AF177" s="575">
        <f t="shared" si="144"/>
        <v>60484100.920000002</v>
      </c>
    </row>
    <row r="178" spans="1:34" x14ac:dyDescent="0.2">
      <c r="A178">
        <v>42</v>
      </c>
      <c r="B178" s="70" t="s">
        <v>209</v>
      </c>
      <c r="D178" s="15">
        <f t="shared" ref="D178:Z178" si="394">D40</f>
        <v>0</v>
      </c>
      <c r="E178" s="15">
        <f>E40</f>
        <v>0</v>
      </c>
      <c r="F178" s="15">
        <f t="shared" si="394"/>
        <v>0</v>
      </c>
      <c r="G178" s="15">
        <f>G40</f>
        <v>0</v>
      </c>
      <c r="H178" s="15">
        <f t="shared" si="394"/>
        <v>25000000</v>
      </c>
      <c r="I178" s="15">
        <f t="shared" ref="I178:Q178" si="395">I40</f>
        <v>0</v>
      </c>
      <c r="J178" s="15">
        <f t="shared" si="395"/>
        <v>0</v>
      </c>
      <c r="K178" s="15">
        <f t="shared" si="395"/>
        <v>0</v>
      </c>
      <c r="L178" s="15">
        <f t="shared" si="395"/>
        <v>0</v>
      </c>
      <c r="M178" s="15">
        <f t="shared" si="395"/>
        <v>0</v>
      </c>
      <c r="N178" s="15">
        <f t="shared" si="395"/>
        <v>0</v>
      </c>
      <c r="O178" s="15">
        <f t="shared" si="395"/>
        <v>0</v>
      </c>
      <c r="P178" s="15">
        <f t="shared" si="395"/>
        <v>0</v>
      </c>
      <c r="Q178" s="15">
        <f t="shared" si="395"/>
        <v>0</v>
      </c>
      <c r="R178" s="15">
        <f t="shared" si="394"/>
        <v>0</v>
      </c>
      <c r="S178" s="15">
        <f t="shared" ref="S178" si="396">S40</f>
        <v>0</v>
      </c>
      <c r="T178" s="15">
        <f t="shared" si="394"/>
        <v>0</v>
      </c>
      <c r="U178" s="15">
        <f t="shared" ref="U178" si="397">U40</f>
        <v>0</v>
      </c>
      <c r="V178" s="15">
        <f>V40</f>
        <v>0</v>
      </c>
      <c r="W178" s="15">
        <f>W40</f>
        <v>0</v>
      </c>
      <c r="X178" s="15">
        <f t="shared" si="394"/>
        <v>0</v>
      </c>
      <c r="Y178" s="15">
        <f t="shared" ref="Y178" si="398">Y40</f>
        <v>0</v>
      </c>
      <c r="Z178" s="15">
        <f t="shared" si="394"/>
        <v>0</v>
      </c>
      <c r="AA178" s="15">
        <f t="shared" ref="AA178" si="399">AA40</f>
        <v>0</v>
      </c>
      <c r="AB178" s="1">
        <f t="shared" si="159"/>
        <v>25000000</v>
      </c>
      <c r="AC178" s="15"/>
      <c r="AD178" s="15"/>
      <c r="AE178" s="15"/>
      <c r="AF178" s="575">
        <f t="shared" si="144"/>
        <v>0</v>
      </c>
    </row>
    <row r="179" spans="1:34" x14ac:dyDescent="0.2">
      <c r="A179">
        <v>43</v>
      </c>
      <c r="B179" s="70" t="s">
        <v>210</v>
      </c>
      <c r="D179" s="15">
        <f t="shared" ref="D179:Z179" si="400">D122+D123</f>
        <v>107845351</v>
      </c>
      <c r="E179" s="15">
        <f>E122+E123</f>
        <v>107845351</v>
      </c>
      <c r="F179" s="15">
        <f t="shared" si="400"/>
        <v>107845351</v>
      </c>
      <c r="G179" s="15">
        <f>G122+G123</f>
        <v>107845351</v>
      </c>
      <c r="H179" s="15">
        <f t="shared" si="400"/>
        <v>107845351</v>
      </c>
      <c r="I179" s="15">
        <f t="shared" ref="I179:Q179" si="401">I122+I123</f>
        <v>107845351</v>
      </c>
      <c r="J179" s="15">
        <f t="shared" si="401"/>
        <v>107845351</v>
      </c>
      <c r="K179" s="15">
        <f t="shared" si="401"/>
        <v>107845351</v>
      </c>
      <c r="L179" s="15">
        <f t="shared" si="401"/>
        <v>107845351</v>
      </c>
      <c r="M179" s="15">
        <f t="shared" si="401"/>
        <v>107845351</v>
      </c>
      <c r="N179" s="15">
        <f t="shared" si="401"/>
        <v>107845351</v>
      </c>
      <c r="O179" s="15">
        <f t="shared" si="401"/>
        <v>107845351</v>
      </c>
      <c r="P179" s="15">
        <f t="shared" si="401"/>
        <v>107845351</v>
      </c>
      <c r="Q179" s="15">
        <f t="shared" si="401"/>
        <v>107845351</v>
      </c>
      <c r="R179" s="15">
        <f t="shared" si="400"/>
        <v>107845351</v>
      </c>
      <c r="S179" s="15">
        <f t="shared" ref="S179" si="402">S122+S123</f>
        <v>107845351</v>
      </c>
      <c r="T179" s="15">
        <f t="shared" si="400"/>
        <v>107845351</v>
      </c>
      <c r="U179" s="15">
        <f t="shared" ref="U179" si="403">U122+U123</f>
        <v>107845351</v>
      </c>
      <c r="V179" s="15">
        <f>V122+V123</f>
        <v>107845351</v>
      </c>
      <c r="W179" s="15">
        <f>W122+W123</f>
        <v>107845351</v>
      </c>
      <c r="X179" s="15">
        <f t="shared" si="400"/>
        <v>107845351</v>
      </c>
      <c r="Y179" s="15">
        <f t="shared" ref="Y179" si="404">Y122+Y123</f>
        <v>107845351</v>
      </c>
      <c r="Z179" s="15">
        <f t="shared" si="400"/>
        <v>107845351</v>
      </c>
      <c r="AA179" s="15">
        <f t="shared" ref="AA179" si="405">AA122+AA123</f>
        <v>107845351</v>
      </c>
      <c r="AB179" s="1">
        <f t="shared" si="159"/>
        <v>1294144212</v>
      </c>
      <c r="AC179" s="15"/>
      <c r="AD179" s="15"/>
      <c r="AE179" s="15"/>
      <c r="AF179" s="575">
        <f t="shared" si="144"/>
        <v>1294144212</v>
      </c>
    </row>
    <row r="180" spans="1:34" x14ac:dyDescent="0.2">
      <c r="A180" s="21"/>
      <c r="B180" s="93" t="s">
        <v>211</v>
      </c>
      <c r="C180" s="93"/>
      <c r="D180" s="93">
        <f t="shared" ref="D180:AB180" si="406">SUM(D138:D179)</f>
        <v>1138401600.5999999</v>
      </c>
      <c r="E180" s="93">
        <f>SUM(E138:E179)</f>
        <v>1064674620.45</v>
      </c>
      <c r="F180" s="93">
        <f t="shared" si="406"/>
        <v>1044851600.6</v>
      </c>
      <c r="G180" s="93">
        <f>SUM(G138:G179)</f>
        <v>1003322569.8899999</v>
      </c>
      <c r="H180" s="93">
        <f t="shared" si="406"/>
        <v>1127601600.5999999</v>
      </c>
      <c r="I180" s="93">
        <f t="shared" ref="I180:Q180" si="407">SUM(I138:I179)</f>
        <v>890252481.42999995</v>
      </c>
      <c r="J180" s="93">
        <f t="shared" si="407"/>
        <v>1278538356.5999999</v>
      </c>
      <c r="K180" s="93">
        <f t="shared" si="407"/>
        <v>910825142</v>
      </c>
      <c r="L180" s="93">
        <f t="shared" si="407"/>
        <v>1160838951.8000002</v>
      </c>
      <c r="M180" s="93">
        <f t="shared" si="407"/>
        <v>903782193</v>
      </c>
      <c r="N180" s="93">
        <f t="shared" si="407"/>
        <v>1157838951.8000002</v>
      </c>
      <c r="O180" s="93">
        <f t="shared" si="407"/>
        <v>953504016</v>
      </c>
      <c r="P180" s="93">
        <f t="shared" si="407"/>
        <v>1134738951.8000002</v>
      </c>
      <c r="Q180" s="93">
        <f t="shared" si="407"/>
        <v>1137556505</v>
      </c>
      <c r="R180" s="93">
        <f t="shared" si="406"/>
        <v>2107027305.4000001</v>
      </c>
      <c r="S180" s="93">
        <f t="shared" ref="S180" si="408">SUM(S138:S179)</f>
        <v>1131550141</v>
      </c>
      <c r="T180" s="93">
        <f t="shared" si="406"/>
        <v>1077088951.8000002</v>
      </c>
      <c r="U180" s="93">
        <f t="shared" ref="U180" si="409">SUM(U138:U179)</f>
        <v>1242114895</v>
      </c>
      <c r="V180" s="93">
        <f>SUM(V138:V179)</f>
        <v>1155088951.8000002</v>
      </c>
      <c r="W180" s="93">
        <f>SUM(W138:W179)</f>
        <v>1215023412.9000001</v>
      </c>
      <c r="X180" s="93">
        <f t="shared" si="406"/>
        <v>1107338951.8000002</v>
      </c>
      <c r="Y180" s="93">
        <f t="shared" ref="Y180" si="410">SUM(Y138:Y179)</f>
        <v>1312256755.6499999</v>
      </c>
      <c r="Z180" s="93">
        <f t="shared" si="406"/>
        <v>1202418513.8000002</v>
      </c>
      <c r="AA180" s="93">
        <f t="shared" ref="AA180" si="411">SUM(AA138:AA179)</f>
        <v>1249165560.1400001</v>
      </c>
      <c r="AB180" s="93">
        <f t="shared" si="406"/>
        <v>14691772688.4</v>
      </c>
      <c r="AC180" s="21"/>
      <c r="AD180" s="21"/>
      <c r="AE180" s="21"/>
      <c r="AF180" s="574">
        <f t="shared" si="144"/>
        <v>13014028292.459999</v>
      </c>
    </row>
    <row r="181" spans="1:34" x14ac:dyDescent="0.2">
      <c r="B181" s="70" t="s">
        <v>212</v>
      </c>
      <c r="D181" s="15">
        <f t="shared" ref="D181:Z181" si="412">D127+D128+D129</f>
        <v>9650000</v>
      </c>
      <c r="E181" s="15">
        <f>E127+E128+E129</f>
        <v>7650000</v>
      </c>
      <c r="F181" s="15">
        <f t="shared" si="412"/>
        <v>9650000</v>
      </c>
      <c r="G181" s="15">
        <f>G127+G128+G129</f>
        <v>7650000</v>
      </c>
      <c r="H181" s="15">
        <f t="shared" si="412"/>
        <v>9650000</v>
      </c>
      <c r="I181" s="15">
        <f t="shared" ref="I181:Q181" si="413">I127+I128+I129</f>
        <v>7650000</v>
      </c>
      <c r="J181" s="15">
        <f t="shared" si="413"/>
        <v>9650000</v>
      </c>
      <c r="K181" s="15">
        <f t="shared" si="413"/>
        <v>9650000</v>
      </c>
      <c r="L181" s="15">
        <f t="shared" si="413"/>
        <v>9650000</v>
      </c>
      <c r="M181" s="15">
        <f t="shared" si="413"/>
        <v>9650000</v>
      </c>
      <c r="N181" s="15">
        <f t="shared" si="413"/>
        <v>9650000</v>
      </c>
      <c r="O181" s="15">
        <f t="shared" si="413"/>
        <v>9650000</v>
      </c>
      <c r="P181" s="15">
        <f t="shared" si="413"/>
        <v>9650000</v>
      </c>
      <c r="Q181" s="15">
        <f t="shared" si="413"/>
        <v>9650000</v>
      </c>
      <c r="R181" s="15">
        <f t="shared" si="412"/>
        <v>9650000</v>
      </c>
      <c r="S181" s="15">
        <f t="shared" ref="S181" si="414">S127+S128+S129</f>
        <v>9650000</v>
      </c>
      <c r="T181" s="15">
        <f t="shared" si="412"/>
        <v>9650000</v>
      </c>
      <c r="U181" s="15">
        <f t="shared" ref="U181" si="415">U127+U128+U129</f>
        <v>9650000</v>
      </c>
      <c r="V181" s="15">
        <f>V127+V128+V129</f>
        <v>9650000</v>
      </c>
      <c r="W181" s="15">
        <f>W127+W128+W129</f>
        <v>9650000</v>
      </c>
      <c r="X181" s="15">
        <f t="shared" si="412"/>
        <v>9650000</v>
      </c>
      <c r="Y181" s="15">
        <f t="shared" ref="Y181" si="416">Y127+Y128+Y129</f>
        <v>9650000</v>
      </c>
      <c r="Z181" s="15">
        <f t="shared" si="412"/>
        <v>9650000</v>
      </c>
      <c r="AA181" s="15">
        <f t="shared" ref="AA181" si="417">AA127+AA128+AA129</f>
        <v>9650000</v>
      </c>
      <c r="AB181" s="1">
        <f>Z181+X181+V181+T181+R181+P181+N181+L181+J181+H181+F181+D181</f>
        <v>115800000</v>
      </c>
      <c r="AF181" s="575">
        <f t="shared" si="144"/>
        <v>109800000</v>
      </c>
    </row>
    <row r="182" spans="1:34" x14ac:dyDescent="0.2">
      <c r="B182" s="70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F182" s="575">
        <f t="shared" si="144"/>
        <v>0</v>
      </c>
    </row>
    <row r="183" spans="1:34" s="2" customFormat="1" x14ac:dyDescent="0.2">
      <c r="B183" s="96" t="s">
        <v>24</v>
      </c>
      <c r="D183" s="21">
        <f t="shared" ref="D183:AB183" si="418">D180-D181</f>
        <v>1128751600.5999999</v>
      </c>
      <c r="E183" s="21">
        <f>E180-E181</f>
        <v>1057024620.45</v>
      </c>
      <c r="F183" s="21">
        <f t="shared" si="418"/>
        <v>1035201600.6</v>
      </c>
      <c r="G183" s="21">
        <f>G180-G181</f>
        <v>995672569.88999987</v>
      </c>
      <c r="H183" s="21">
        <f t="shared" si="418"/>
        <v>1117951600.5999999</v>
      </c>
      <c r="I183" s="21">
        <f t="shared" ref="I183:Q183" si="419">I180-I181</f>
        <v>882602481.42999995</v>
      </c>
      <c r="J183" s="21">
        <f t="shared" si="419"/>
        <v>1268888356.5999999</v>
      </c>
      <c r="K183" s="21">
        <f t="shared" si="419"/>
        <v>901175142</v>
      </c>
      <c r="L183" s="21">
        <f t="shared" si="419"/>
        <v>1151188951.8000002</v>
      </c>
      <c r="M183" s="21">
        <f t="shared" si="419"/>
        <v>894132193</v>
      </c>
      <c r="N183" s="21">
        <f t="shared" si="419"/>
        <v>1148188951.8000002</v>
      </c>
      <c r="O183" s="21">
        <f t="shared" si="419"/>
        <v>943854016</v>
      </c>
      <c r="P183" s="21">
        <f t="shared" si="419"/>
        <v>1125088951.8000002</v>
      </c>
      <c r="Q183" s="21">
        <f t="shared" si="419"/>
        <v>1127906505</v>
      </c>
      <c r="R183" s="21">
        <f t="shared" si="418"/>
        <v>2097377305.4000001</v>
      </c>
      <c r="S183" s="21">
        <f t="shared" ref="S183" si="420">S180-S181</f>
        <v>1121900141</v>
      </c>
      <c r="T183" s="21">
        <f t="shared" si="418"/>
        <v>1067438951.8000002</v>
      </c>
      <c r="U183" s="21">
        <f t="shared" ref="U183" si="421">U180-U181</f>
        <v>1232464895</v>
      </c>
      <c r="V183" s="21">
        <f>V180-V181</f>
        <v>1145438951.8000002</v>
      </c>
      <c r="W183" s="21">
        <f>W180-W181</f>
        <v>1205373412.9000001</v>
      </c>
      <c r="X183" s="21">
        <f t="shared" si="418"/>
        <v>1097688951.8000002</v>
      </c>
      <c r="Y183" s="21">
        <f t="shared" ref="Y183" si="422">Y180-Y181</f>
        <v>1302606755.6499999</v>
      </c>
      <c r="Z183" s="21">
        <f t="shared" si="418"/>
        <v>1192768513.8000002</v>
      </c>
      <c r="AA183" s="21">
        <f t="shared" ref="AA183" si="423">AA180-AA181</f>
        <v>1239515560.1400001</v>
      </c>
      <c r="AB183" s="21">
        <f t="shared" si="418"/>
        <v>14575972688.4</v>
      </c>
      <c r="AC183" s="21"/>
      <c r="AD183" s="21"/>
      <c r="AE183" s="21"/>
      <c r="AF183" s="575">
        <f>E183+G183+I183+K183+M183+O183+Q183+S183+U183+W183+Y183+AA183</f>
        <v>12904228292.459999</v>
      </c>
      <c r="AH183" s="21">
        <f>AF183-AF132</f>
        <v>0</v>
      </c>
    </row>
    <row r="184" spans="1:34" x14ac:dyDescent="0.2">
      <c r="AF184" s="575">
        <f t="shared" si="144"/>
        <v>0</v>
      </c>
    </row>
    <row r="185" spans="1:34" x14ac:dyDescent="0.2">
      <c r="D185" s="1">
        <f>D183+'AND 1'!D183</f>
        <v>2483921385.4333334</v>
      </c>
      <c r="E185" s="1">
        <f>E183+'AND 1'!E183</f>
        <v>2097528791.3</v>
      </c>
      <c r="F185" s="1">
        <f>F183+'AND 1'!F183</f>
        <v>2383986885.4333334</v>
      </c>
      <c r="G185" s="1">
        <f>G183+'AND 1'!G183</f>
        <v>1855961916.8699999</v>
      </c>
      <c r="H185" s="1">
        <f>H183+'AND 1'!H183</f>
        <v>2357488885.4333334</v>
      </c>
      <c r="I185" s="1">
        <f>I183+'AND 1'!I183</f>
        <v>1630859417.01</v>
      </c>
      <c r="J185" s="1">
        <f>J183+'AND 1'!J183</f>
        <v>2598158641.4333334</v>
      </c>
      <c r="K185" s="1">
        <f>K183+'AND 1'!K183</f>
        <v>1753445880</v>
      </c>
      <c r="L185" s="1">
        <f>L183+'AND 1'!L183</f>
        <v>2471823236.6333332</v>
      </c>
      <c r="M185" s="1">
        <f>M183+'AND 1'!M183</f>
        <v>2053451985</v>
      </c>
      <c r="N185" s="1">
        <f>N183+'AND 1'!N183</f>
        <v>2515600236.6333332</v>
      </c>
      <c r="O185" s="1">
        <f>O183+'AND 1'!O183</f>
        <v>1867941622</v>
      </c>
      <c r="P185" s="1">
        <f>P183+'AND 1'!P183</f>
        <v>2365459236.6333332</v>
      </c>
      <c r="Q185" s="1">
        <f>Q183+'AND 1'!Q183</f>
        <v>2343048707.1233335</v>
      </c>
      <c r="R185" s="1">
        <f>R183+'AND 1'!R183</f>
        <v>4460846746.7333336</v>
      </c>
      <c r="S185" s="1">
        <f>S183+'AND 1'!S183</f>
        <v>2371460582.1233335</v>
      </c>
      <c r="T185" s="1">
        <f>T183+'AND 1'!T183</f>
        <v>2274609236.6333332</v>
      </c>
      <c r="U185" s="1">
        <f>U183+'AND 1'!U183</f>
        <v>2453606554.1233335</v>
      </c>
      <c r="V185" s="1">
        <f>V183+'AND 1'!V183</f>
        <v>2541786836.6333332</v>
      </c>
      <c r="W185" s="1">
        <f>W183+'AND 1'!W183</f>
        <v>2499384177.4200001</v>
      </c>
      <c r="X185" s="1">
        <f>X183+'AND 1'!X183</f>
        <v>2343309236.6333332</v>
      </c>
      <c r="Y185" s="1">
        <f>Y183+'AND 1'!Y183</f>
        <v>2329885569.3199997</v>
      </c>
      <c r="Z185" s="1">
        <f>Z183+'AND 1'!Z183</f>
        <v>2576901569.6333332</v>
      </c>
      <c r="AA185" s="1">
        <f>AA183+'AND 1'!AA183</f>
        <v>2407439989.54</v>
      </c>
      <c r="AB185" s="1">
        <f>D185+F185+H185+J185+L185+N185+P185+R185+T185+V185+X185+Z185</f>
        <v>31373892133.899994</v>
      </c>
      <c r="AC185" s="1">
        <f>E185+G185+I185+K185+M185+O185+Q185+S185+U185+W185+Y185+AA185</f>
        <v>25664015191.830002</v>
      </c>
      <c r="AF185" s="575">
        <f>E185+G185+I185+K185+M185+O185+Q185+S185+U185+W185+Y185+AA185</f>
        <v>25664015191.830002</v>
      </c>
    </row>
    <row r="186" spans="1:34" x14ac:dyDescent="0.2">
      <c r="D186" s="1">
        <f>D183-D132</f>
        <v>0</v>
      </c>
      <c r="E186" s="1">
        <f t="shared" ref="E186:AB186" si="424">E183-E132</f>
        <v>0</v>
      </c>
      <c r="F186" s="1">
        <f t="shared" si="424"/>
        <v>0</v>
      </c>
      <c r="G186" s="1">
        <f t="shared" si="424"/>
        <v>0</v>
      </c>
      <c r="H186" s="1">
        <f t="shared" si="424"/>
        <v>0</v>
      </c>
      <c r="I186" s="1">
        <f t="shared" si="424"/>
        <v>0</v>
      </c>
      <c r="J186" s="1">
        <f t="shared" si="424"/>
        <v>0</v>
      </c>
      <c r="K186" s="1">
        <f t="shared" si="424"/>
        <v>0</v>
      </c>
      <c r="L186" s="1">
        <f t="shared" si="424"/>
        <v>0</v>
      </c>
      <c r="M186" s="1">
        <f t="shared" si="424"/>
        <v>0</v>
      </c>
      <c r="N186" s="1">
        <f t="shared" si="424"/>
        <v>0</v>
      </c>
      <c r="O186" s="1">
        <f>O183-O132</f>
        <v>0</v>
      </c>
      <c r="P186" s="1">
        <f t="shared" si="424"/>
        <v>0</v>
      </c>
      <c r="Q186" s="1">
        <f t="shared" si="424"/>
        <v>0</v>
      </c>
      <c r="R186" s="1">
        <f t="shared" si="424"/>
        <v>0</v>
      </c>
      <c r="S186" s="1">
        <f t="shared" si="424"/>
        <v>0</v>
      </c>
      <c r="T186" s="1">
        <f t="shared" si="424"/>
        <v>0</v>
      </c>
      <c r="U186" s="1">
        <f t="shared" si="424"/>
        <v>0</v>
      </c>
      <c r="V186" s="1">
        <f t="shared" si="424"/>
        <v>0</v>
      </c>
      <c r="W186" s="1">
        <f t="shared" si="424"/>
        <v>0</v>
      </c>
      <c r="X186" s="1">
        <f t="shared" si="424"/>
        <v>0</v>
      </c>
      <c r="Y186" s="1">
        <f t="shared" si="424"/>
        <v>0</v>
      </c>
      <c r="Z186" s="1">
        <f t="shared" si="424"/>
        <v>0</v>
      </c>
      <c r="AA186" s="1">
        <f t="shared" si="424"/>
        <v>0</v>
      </c>
      <c r="AB186" s="1">
        <f t="shared" si="424"/>
        <v>0</v>
      </c>
      <c r="AC186" s="1">
        <f>'SUMMARY PER DIVISI'!T128-'ADY 1'!AC185</f>
        <v>835150356</v>
      </c>
    </row>
  </sheetData>
  <sheetProtection selectLockedCells="1" selectUnlockedCells="1"/>
  <mergeCells count="12">
    <mergeCell ref="Z4:AA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8749999999999998" right="0.78749999999999998" top="1.0527777777777778" bottom="1.0527777777777778" header="0.78749999999999998" footer="0.78749999999999998"/>
  <pageSetup scale="26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ignoredErrors>
    <ignoredError sqref="L11 L22 V11 V22 N11 N22 P11 P22 R11 R22 T11 T22 X11 X22 Z11 Z22 AB11 AB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5"/>
  <sheetViews>
    <sheetView zoomScale="64" zoomScaleNormal="64" zoomScaleSheetLayoutView="70" workbookViewId="0">
      <pane xSplit="3" ySplit="5" topLeftCell="I112" activePane="bottomRight" state="frozen"/>
      <selection pane="topRight" activeCell="P1" sqref="P1"/>
      <selection pane="bottomLeft" activeCell="A6" sqref="A6"/>
      <selection pane="bottomRight" activeCell="I116" sqref="I116"/>
    </sheetView>
  </sheetViews>
  <sheetFormatPr defaultColWidth="11.5703125" defaultRowHeight="12.75" x14ac:dyDescent="0.2"/>
  <cols>
    <col min="1" max="1" width="3.85546875" customWidth="1"/>
    <col min="2" max="2" width="43.85546875" hidden="1" customWidth="1"/>
    <col min="3" max="3" width="44.42578125" customWidth="1"/>
    <col min="4" max="4" width="17.7109375" style="1" bestFit="1" customWidth="1"/>
    <col min="5" max="5" width="17.7109375" style="1" customWidth="1"/>
    <col min="6" max="6" width="17.5703125" style="1" bestFit="1" customWidth="1"/>
    <col min="7" max="7" width="17.5703125" style="1" customWidth="1"/>
    <col min="8" max="8" width="17.5703125" style="1" bestFit="1" customWidth="1"/>
    <col min="9" max="12" width="17.5703125" style="1" customWidth="1"/>
    <col min="13" max="13" width="17.140625" style="1" bestFit="1" customWidth="1"/>
    <col min="14" max="16" width="17.5703125" style="1" bestFit="1" customWidth="1"/>
    <col min="17" max="17" width="17.140625" style="1" bestFit="1" customWidth="1"/>
    <col min="18" max="18" width="17.28515625" style="1" bestFit="1" customWidth="1"/>
    <col min="19" max="19" width="18.85546875" style="1" customWidth="1"/>
    <col min="20" max="22" width="18.42578125" style="1" hidden="1" customWidth="1"/>
  </cols>
  <sheetData>
    <row r="1" spans="1:22" x14ac:dyDescent="0.2">
      <c r="A1" s="2" t="s">
        <v>240</v>
      </c>
      <c r="B1" s="2"/>
    </row>
    <row r="2" spans="1:22" x14ac:dyDescent="0.2">
      <c r="A2" s="2" t="s">
        <v>221</v>
      </c>
      <c r="B2" s="2"/>
    </row>
    <row r="4" spans="1:22" s="8" customFormat="1" x14ac:dyDescent="0.2">
      <c r="A4" s="334" t="s">
        <v>2</v>
      </c>
      <c r="B4" s="334" t="s">
        <v>3</v>
      </c>
      <c r="C4" s="334" t="s">
        <v>4</v>
      </c>
      <c r="D4" s="339" t="s">
        <v>5</v>
      </c>
      <c r="E4" s="339"/>
      <c r="F4" s="339" t="s">
        <v>6</v>
      </c>
      <c r="G4" s="339"/>
      <c r="H4" s="339" t="s">
        <v>7</v>
      </c>
      <c r="I4" s="339"/>
      <c r="J4" s="340" t="s">
        <v>9</v>
      </c>
      <c r="K4" s="340" t="s">
        <v>10</v>
      </c>
      <c r="L4" s="340" t="s">
        <v>11</v>
      </c>
      <c r="M4" s="340" t="s">
        <v>12</v>
      </c>
      <c r="N4" s="340" t="s">
        <v>13</v>
      </c>
      <c r="O4" s="340" t="s">
        <v>14</v>
      </c>
      <c r="P4" s="340" t="s">
        <v>15</v>
      </c>
      <c r="Q4" s="340" t="s">
        <v>16</v>
      </c>
      <c r="R4" s="340" t="s">
        <v>17</v>
      </c>
      <c r="S4" s="340" t="s">
        <v>18</v>
      </c>
      <c r="T4" s="335" t="s">
        <v>19</v>
      </c>
      <c r="U4" s="335" t="s">
        <v>19</v>
      </c>
      <c r="V4" s="335" t="s">
        <v>19</v>
      </c>
    </row>
    <row r="5" spans="1:22" s="8" customFormat="1" x14ac:dyDescent="0.2">
      <c r="A5" s="336"/>
      <c r="B5" s="336"/>
      <c r="C5" s="336"/>
      <c r="D5" s="337" t="s">
        <v>20</v>
      </c>
      <c r="E5" s="337" t="s">
        <v>302</v>
      </c>
      <c r="F5" s="337" t="s">
        <v>20</v>
      </c>
      <c r="G5" s="337" t="s">
        <v>302</v>
      </c>
      <c r="H5" s="337" t="s">
        <v>20</v>
      </c>
      <c r="I5" s="337" t="s">
        <v>302</v>
      </c>
      <c r="J5" s="337" t="s">
        <v>20</v>
      </c>
      <c r="K5" s="337" t="s">
        <v>20</v>
      </c>
      <c r="L5" s="337" t="s">
        <v>20</v>
      </c>
      <c r="M5" s="337" t="s">
        <v>20</v>
      </c>
      <c r="N5" s="337" t="s">
        <v>20</v>
      </c>
      <c r="O5" s="337" t="s">
        <v>20</v>
      </c>
      <c r="P5" s="337" t="s">
        <v>20</v>
      </c>
      <c r="Q5" s="337" t="s">
        <v>20</v>
      </c>
      <c r="R5" s="337" t="s">
        <v>20</v>
      </c>
      <c r="S5" s="337" t="s">
        <v>241</v>
      </c>
      <c r="T5" s="338">
        <v>2014</v>
      </c>
      <c r="U5" s="338">
        <v>2015</v>
      </c>
      <c r="V5" s="338">
        <v>2016</v>
      </c>
    </row>
    <row r="6" spans="1:22" ht="16.899999999999999" customHeight="1" x14ac:dyDescent="0.2">
      <c r="A6" s="381">
        <v>1</v>
      </c>
      <c r="B6" s="382" t="s">
        <v>21</v>
      </c>
      <c r="C6" s="383" t="s">
        <v>22</v>
      </c>
      <c r="D6" s="349">
        <f>'AND 1'!D6+'ADY 1'!D6</f>
        <v>828073512</v>
      </c>
      <c r="E6" s="349"/>
      <c r="F6" s="349">
        <f>'AND 1'!F6+'ADY 1'!F6</f>
        <v>828073512</v>
      </c>
      <c r="G6" s="349"/>
      <c r="H6" s="349">
        <f>'AND 1'!H6+'ADY 1'!H6</f>
        <v>828073512</v>
      </c>
      <c r="I6" s="349"/>
      <c r="J6" s="349">
        <f>'AND 1'!J6+'ADY 1'!J6</f>
        <v>1121900268</v>
      </c>
      <c r="K6" s="349">
        <f>'AND 1'!L6+'ADY 1'!L6</f>
        <v>950950863.20000005</v>
      </c>
      <c r="L6" s="349">
        <f>'AND 1'!N6+'ADY 1'!N6</f>
        <v>950950863.20000005</v>
      </c>
      <c r="M6" s="349">
        <f>'AND 1'!P6+'ADY 1'!P6</f>
        <v>950950863.20000005</v>
      </c>
      <c r="N6" s="349">
        <f>'AND 1'!R6+'ADY 1'!R6</f>
        <v>2615114873.8000002</v>
      </c>
      <c r="O6" s="349">
        <f>'AND 1'!T6+'ADY 1'!T6</f>
        <v>950950863.20000005</v>
      </c>
      <c r="P6" s="349">
        <f>'AND 1'!V6+'ADY 1'!V6</f>
        <v>950950863.20000005</v>
      </c>
      <c r="Q6" s="349">
        <f>'AND 1'!X6+'ADY 1'!X6</f>
        <v>950950863.20000005</v>
      </c>
      <c r="R6" s="349">
        <f>'AND 1'!Z6+'ADY 1'!Z6</f>
        <v>950950863.20000005</v>
      </c>
      <c r="S6" s="384">
        <f>R6+Q6+P6+O6+N6+M6+L6+K6+J6+H6+F6+D6</f>
        <v>12877891720.200001</v>
      </c>
      <c r="T6" s="353">
        <f>S6*1.1</f>
        <v>14165680892.220001</v>
      </c>
      <c r="U6" s="353">
        <f t="shared" ref="U6:V10" si="0">T6*1.1</f>
        <v>15582248981.442003</v>
      </c>
      <c r="V6" s="353">
        <f t="shared" si="0"/>
        <v>17140473879.586205</v>
      </c>
    </row>
    <row r="7" spans="1:22" ht="16.899999999999999" customHeight="1" x14ac:dyDescent="0.2">
      <c r="A7" s="385">
        <v>2</v>
      </c>
      <c r="B7" s="386" t="s">
        <v>26</v>
      </c>
      <c r="C7" s="387" t="s">
        <v>27</v>
      </c>
      <c r="D7" s="347">
        <f>'AND 1'!D7+'ADY 1'!D7</f>
        <v>1500000</v>
      </c>
      <c r="E7" s="347"/>
      <c r="F7" s="347">
        <f>'AND 1'!F7+'ADY 1'!F7</f>
        <v>1500000</v>
      </c>
      <c r="G7" s="347"/>
      <c r="H7" s="347">
        <f>'AND 1'!H7+'ADY 1'!H7</f>
        <v>1500000</v>
      </c>
      <c r="I7" s="347"/>
      <c r="J7" s="347">
        <f>'AND 1'!J7+'ADY 1'!J7</f>
        <v>1500000</v>
      </c>
      <c r="K7" s="347">
        <f>'AND 1'!L7+'ADY 1'!L7</f>
        <v>1500000</v>
      </c>
      <c r="L7" s="347">
        <f>'AND 1'!N7+'ADY 1'!N7</f>
        <v>1500000</v>
      </c>
      <c r="M7" s="347">
        <f>'AND 1'!P7+'ADY 1'!P7</f>
        <v>1500000</v>
      </c>
      <c r="N7" s="347">
        <f>'AND 1'!R7+'ADY 1'!R7</f>
        <v>1500000</v>
      </c>
      <c r="O7" s="347">
        <f>'AND 1'!T7+'ADY 1'!T7</f>
        <v>1500000</v>
      </c>
      <c r="P7" s="347">
        <f>'AND 1'!V7+'ADY 1'!V7</f>
        <v>1500000</v>
      </c>
      <c r="Q7" s="347">
        <f>'AND 1'!X7+'ADY 1'!X7</f>
        <v>1500000</v>
      </c>
      <c r="R7" s="347">
        <f>'AND 1'!Z7+'ADY 1'!Z7</f>
        <v>1500000</v>
      </c>
      <c r="S7" s="348">
        <f>R7+Q7+P7+O7+N7+M7+L7+K7+J7+H7+F7+D7</f>
        <v>18000000</v>
      </c>
      <c r="T7" s="347">
        <f t="shared" ref="T7:V21" si="1">S7*1.1</f>
        <v>19800000</v>
      </c>
      <c r="U7" s="347">
        <f t="shared" si="0"/>
        <v>21780000</v>
      </c>
      <c r="V7" s="347">
        <f t="shared" si="0"/>
        <v>23958000.000000004</v>
      </c>
    </row>
    <row r="8" spans="1:22" ht="16.899999999999999" customHeight="1" x14ac:dyDescent="0.2">
      <c r="A8" s="385">
        <v>3</v>
      </c>
      <c r="B8" s="386" t="s">
        <v>28</v>
      </c>
      <c r="C8" s="387" t="s">
        <v>29</v>
      </c>
      <c r="D8" s="347">
        <f>'AND 1'!D8+'ADY 1'!D8</f>
        <v>1000000</v>
      </c>
      <c r="E8" s="347"/>
      <c r="F8" s="347">
        <f>'AND 1'!F8+'ADY 1'!F8</f>
        <v>1000000</v>
      </c>
      <c r="G8" s="347"/>
      <c r="H8" s="347">
        <f>'AND 1'!H8+'ADY 1'!H8</f>
        <v>1000000</v>
      </c>
      <c r="I8" s="347"/>
      <c r="J8" s="347">
        <f>'AND 1'!J8+'ADY 1'!J8</f>
        <v>1000000</v>
      </c>
      <c r="K8" s="347">
        <f>'AND 1'!L8+'ADY 1'!L8</f>
        <v>1000000</v>
      </c>
      <c r="L8" s="347">
        <f>'AND 1'!N8+'ADY 1'!N8</f>
        <v>1000000</v>
      </c>
      <c r="M8" s="347">
        <f>'AND 1'!P8+'ADY 1'!P8</f>
        <v>1000000</v>
      </c>
      <c r="N8" s="347">
        <f>'AND 1'!R8+'ADY 1'!R8</f>
        <v>1000000</v>
      </c>
      <c r="O8" s="347">
        <f>'AND 1'!T8+'ADY 1'!T8</f>
        <v>1000000</v>
      </c>
      <c r="P8" s="347">
        <f>'AND 1'!V8+'ADY 1'!V8</f>
        <v>1000000</v>
      </c>
      <c r="Q8" s="347">
        <f>'AND 1'!X8+'ADY 1'!X8</f>
        <v>1000000</v>
      </c>
      <c r="R8" s="347">
        <f>'AND 1'!Z8+'ADY 1'!Z8</f>
        <v>1000000</v>
      </c>
      <c r="S8" s="348">
        <f>R8+Q8+P8+O8+N8+M8+L8+K8+J8+H8+F8+D8</f>
        <v>12000000</v>
      </c>
      <c r="T8" s="347">
        <f t="shared" si="1"/>
        <v>13200000.000000002</v>
      </c>
      <c r="U8" s="347">
        <f t="shared" si="0"/>
        <v>14520000.000000004</v>
      </c>
      <c r="V8" s="347">
        <f t="shared" si="0"/>
        <v>15972000.000000006</v>
      </c>
    </row>
    <row r="9" spans="1:22" ht="16.899999999999999" customHeight="1" x14ac:dyDescent="0.2">
      <c r="A9" s="385">
        <v>4</v>
      </c>
      <c r="B9" s="386" t="s">
        <v>30</v>
      </c>
      <c r="C9" s="387" t="s">
        <v>31</v>
      </c>
      <c r="D9" s="347">
        <f>'AND 1'!D9+'ADY 1'!D9</f>
        <v>50000000</v>
      </c>
      <c r="E9" s="347"/>
      <c r="F9" s="347">
        <f>'AND 1'!F9+'ADY 1'!F9</f>
        <v>50000000</v>
      </c>
      <c r="G9" s="347"/>
      <c r="H9" s="347">
        <f>'AND 1'!H9+'ADY 1'!H9</f>
        <v>50000000</v>
      </c>
      <c r="I9" s="347"/>
      <c r="J9" s="347">
        <f>'AND 1'!J9+'ADY 1'!J9</f>
        <v>50000000</v>
      </c>
      <c r="K9" s="347">
        <f>'AND 1'!L9+'ADY 1'!L9</f>
        <v>50000000</v>
      </c>
      <c r="L9" s="347">
        <f>'AND 1'!N9+'ADY 1'!N9</f>
        <v>50000000</v>
      </c>
      <c r="M9" s="347">
        <f>'AND 1'!P9+'ADY 1'!P9</f>
        <v>50000000</v>
      </c>
      <c r="N9" s="347">
        <f>'AND 1'!R9+'ADY 1'!R9</f>
        <v>50000000</v>
      </c>
      <c r="O9" s="347">
        <f>'AND 1'!T9+'ADY 1'!T9</f>
        <v>50000000</v>
      </c>
      <c r="P9" s="347">
        <f>'AND 1'!V9+'ADY 1'!V9</f>
        <v>50000000</v>
      </c>
      <c r="Q9" s="347">
        <f>'AND 1'!X9+'ADY 1'!X9</f>
        <v>50000000</v>
      </c>
      <c r="R9" s="347">
        <f>'AND 1'!Z9+'ADY 1'!Z9</f>
        <v>50000000</v>
      </c>
      <c r="S9" s="348">
        <f>R9+Q9+P9+O9+N9+M9+L9+K9+J9+H9+F9+D9</f>
        <v>600000000</v>
      </c>
      <c r="T9" s="347">
        <f t="shared" si="1"/>
        <v>660000000</v>
      </c>
      <c r="U9" s="347">
        <f t="shared" si="0"/>
        <v>726000000</v>
      </c>
      <c r="V9" s="347">
        <f t="shared" si="0"/>
        <v>798600000.00000012</v>
      </c>
    </row>
    <row r="10" spans="1:22" s="36" customFormat="1" ht="16.899999999999999" customHeight="1" x14ac:dyDescent="0.2">
      <c r="A10" s="385">
        <v>5</v>
      </c>
      <c r="B10" s="386" t="s">
        <v>21</v>
      </c>
      <c r="C10" s="388" t="s">
        <v>32</v>
      </c>
      <c r="D10" s="347">
        <f>'AND 1'!D10+'ADY 1'!D10</f>
        <v>0</v>
      </c>
      <c r="E10" s="347"/>
      <c r="F10" s="347">
        <f>'AND 1'!F10+'ADY 1'!F10</f>
        <v>0</v>
      </c>
      <c r="G10" s="347"/>
      <c r="H10" s="347">
        <f>'AND 1'!H10+'ADY 1'!H10</f>
        <v>0</v>
      </c>
      <c r="I10" s="347"/>
      <c r="J10" s="347">
        <f>'AND 1'!J10+'ADY 1'!J10</f>
        <v>0</v>
      </c>
      <c r="K10" s="347">
        <f>'AND 1'!L10+'ADY 1'!L10</f>
        <v>0</v>
      </c>
      <c r="L10" s="347">
        <f>'AND 1'!N10+'ADY 1'!N10</f>
        <v>0</v>
      </c>
      <c r="M10" s="347">
        <f>'AND 1'!P10+'ADY 1'!P10</f>
        <v>14000000</v>
      </c>
      <c r="N10" s="347">
        <f>'AND 1'!R10+'ADY 1'!R10</f>
        <v>0</v>
      </c>
      <c r="O10" s="347">
        <f>'AND 1'!T10+'ADY 1'!T10</f>
        <v>0</v>
      </c>
      <c r="P10" s="347">
        <f>'AND 1'!V10+'ADY 1'!V10</f>
        <v>15000000</v>
      </c>
      <c r="Q10" s="347">
        <f>'AND 1'!X10+'ADY 1'!X10</f>
        <v>0</v>
      </c>
      <c r="R10" s="347">
        <f>'AND 1'!Z10+'ADY 1'!Z10</f>
        <v>0</v>
      </c>
      <c r="S10" s="348">
        <f>R10+Q10+P10+O10+N10+M10+L10+K10+J10+H10+F10+D10</f>
        <v>29000000</v>
      </c>
      <c r="T10" s="349">
        <f t="shared" si="1"/>
        <v>31900000.000000004</v>
      </c>
      <c r="U10" s="349">
        <f t="shared" si="0"/>
        <v>35090000.000000007</v>
      </c>
      <c r="V10" s="349">
        <f t="shared" si="0"/>
        <v>38599000.000000015</v>
      </c>
    </row>
    <row r="11" spans="1:22" s="21" customFormat="1" ht="16.899999999999999" customHeight="1" x14ac:dyDescent="0.2">
      <c r="A11" s="346"/>
      <c r="B11" s="389"/>
      <c r="C11" s="355" t="s">
        <v>23</v>
      </c>
      <c r="D11" s="350">
        <f t="shared" ref="D11:V11" si="2">SUM(D6:D10)</f>
        <v>880573512</v>
      </c>
      <c r="E11" s="350">
        <f t="shared" si="2"/>
        <v>0</v>
      </c>
      <c r="F11" s="350">
        <f t="shared" si="2"/>
        <v>880573512</v>
      </c>
      <c r="G11" s="350">
        <f t="shared" si="2"/>
        <v>0</v>
      </c>
      <c r="H11" s="350">
        <f t="shared" si="2"/>
        <v>880573512</v>
      </c>
      <c r="I11" s="350">
        <f t="shared" si="2"/>
        <v>0</v>
      </c>
      <c r="J11" s="350">
        <f t="shared" si="2"/>
        <v>1174400268</v>
      </c>
      <c r="K11" s="350">
        <f t="shared" si="2"/>
        <v>1003450863.2</v>
      </c>
      <c r="L11" s="350">
        <f t="shared" si="2"/>
        <v>1003450863.2</v>
      </c>
      <c r="M11" s="350">
        <f t="shared" si="2"/>
        <v>1017450863.2</v>
      </c>
      <c r="N11" s="350">
        <f t="shared" si="2"/>
        <v>2667614873.8000002</v>
      </c>
      <c r="O11" s="350">
        <f t="shared" si="2"/>
        <v>1003450863.2</v>
      </c>
      <c r="P11" s="350">
        <f t="shared" si="2"/>
        <v>1018450863.2</v>
      </c>
      <c r="Q11" s="350">
        <f t="shared" si="2"/>
        <v>1003450863.2</v>
      </c>
      <c r="R11" s="350">
        <f t="shared" si="2"/>
        <v>1003450863.2</v>
      </c>
      <c r="S11" s="350">
        <f t="shared" si="2"/>
        <v>13536891720.200001</v>
      </c>
      <c r="T11" s="351">
        <f t="shared" si="2"/>
        <v>14890580892.220001</v>
      </c>
      <c r="U11" s="351">
        <f t="shared" si="2"/>
        <v>16379638981.442003</v>
      </c>
      <c r="V11" s="351">
        <f t="shared" si="2"/>
        <v>18017602879.586205</v>
      </c>
    </row>
    <row r="12" spans="1:22" s="36" customFormat="1" ht="16.899999999999999" customHeight="1" x14ac:dyDescent="0.2">
      <c r="A12" s="348">
        <v>1</v>
      </c>
      <c r="B12" s="390" t="s">
        <v>33</v>
      </c>
      <c r="C12" s="386" t="s">
        <v>34</v>
      </c>
      <c r="D12" s="347">
        <f>'AND 1'!D12+'ADY 1'!D12</f>
        <v>41403675.600000001</v>
      </c>
      <c r="E12" s="347"/>
      <c r="F12" s="347">
        <f>'AND 1'!F12+'ADY 1'!F12</f>
        <v>41403675.600000001</v>
      </c>
      <c r="G12" s="347"/>
      <c r="H12" s="347">
        <f>'AND 1'!H12+'ADY 1'!H12</f>
        <v>41403675.600000001</v>
      </c>
      <c r="I12" s="347"/>
      <c r="J12" s="347">
        <f>'AND 1'!J12+'ADY 1'!J12</f>
        <v>45410675.600000001</v>
      </c>
      <c r="K12" s="347">
        <f>'AND 1'!L12+'ADY 1'!L12</f>
        <v>45410675.600000001</v>
      </c>
      <c r="L12" s="347">
        <f>'AND 1'!N12+'ADY 1'!N12</f>
        <v>45410675.600000001</v>
      </c>
      <c r="M12" s="347">
        <f>'AND 1'!P12+'ADY 1'!P12</f>
        <v>45410675.600000001</v>
      </c>
      <c r="N12" s="347">
        <f>'AND 1'!R12+'ADY 1'!R12</f>
        <v>45410675.600000001</v>
      </c>
      <c r="O12" s="347">
        <f>'AND 1'!T12+'ADY 1'!T12</f>
        <v>45410675.600000001</v>
      </c>
      <c r="P12" s="347">
        <f>'AND 1'!V12+'ADY 1'!V12</f>
        <v>45410675.600000001</v>
      </c>
      <c r="Q12" s="347">
        <f>'AND 1'!X12+'ADY 1'!X12</f>
        <v>45410675.600000001</v>
      </c>
      <c r="R12" s="347">
        <f>'AND 1'!Z12+'ADY 1'!Z12</f>
        <v>45410675.600000001</v>
      </c>
      <c r="S12" s="348">
        <f t="shared" ref="S12:S21" si="3">R12+Q12+P12+O12+N12+M12+L12+K12+J12+H12+F12+D12</f>
        <v>532907107.20000017</v>
      </c>
      <c r="T12" s="347">
        <f t="shared" si="1"/>
        <v>586197817.9200002</v>
      </c>
      <c r="U12" s="347">
        <f t="shared" si="1"/>
        <v>644817599.71200025</v>
      </c>
      <c r="V12" s="347">
        <f t="shared" si="1"/>
        <v>709299359.68320036</v>
      </c>
    </row>
    <row r="13" spans="1:22" s="36" customFormat="1" ht="16.899999999999999" customHeight="1" x14ac:dyDescent="0.2">
      <c r="A13" s="348">
        <v>2</v>
      </c>
      <c r="B13" s="390" t="s">
        <v>33</v>
      </c>
      <c r="C13" s="385" t="s">
        <v>35</v>
      </c>
      <c r="D13" s="347">
        <f>'AND 1'!D13+'ADY 1'!D13</f>
        <v>0</v>
      </c>
      <c r="E13" s="347"/>
      <c r="F13" s="347">
        <f>'AND 1'!F13+'ADY 1'!F13</f>
        <v>0</v>
      </c>
      <c r="G13" s="347"/>
      <c r="H13" s="347">
        <f>'AND 1'!H13+'ADY 1'!H13</f>
        <v>0</v>
      </c>
      <c r="I13" s="347"/>
      <c r="J13" s="347">
        <f>'AND 1'!J13+'ADY 1'!J13</f>
        <v>0</v>
      </c>
      <c r="K13" s="347">
        <f>'AND 1'!L13+'ADY 1'!L13</f>
        <v>0</v>
      </c>
      <c r="L13" s="347">
        <f>'AND 1'!N13+'ADY 1'!N13</f>
        <v>80000000</v>
      </c>
      <c r="M13" s="347">
        <f>'AND 1'!P13+'ADY 1'!P13</f>
        <v>0</v>
      </c>
      <c r="N13" s="347">
        <f>'AND 1'!R13+'ADY 1'!R13</f>
        <v>0</v>
      </c>
      <c r="O13" s="347">
        <f>'AND 1'!T13+'ADY 1'!T13</f>
        <v>0</v>
      </c>
      <c r="P13" s="347">
        <f>'AND 1'!V13+'ADY 1'!V13</f>
        <v>0</v>
      </c>
      <c r="Q13" s="347">
        <f>'AND 1'!X13+'ADY 1'!X13</f>
        <v>0</v>
      </c>
      <c r="R13" s="347">
        <f>'AND 1'!Z13+'ADY 1'!Z13</f>
        <v>0</v>
      </c>
      <c r="S13" s="348">
        <f t="shared" si="3"/>
        <v>80000000</v>
      </c>
      <c r="T13" s="347">
        <f t="shared" si="1"/>
        <v>88000000</v>
      </c>
      <c r="U13" s="347">
        <f t="shared" si="1"/>
        <v>96800000.000000015</v>
      </c>
      <c r="V13" s="347">
        <f t="shared" si="1"/>
        <v>106480000.00000003</v>
      </c>
    </row>
    <row r="14" spans="1:22" s="36" customFormat="1" ht="16.899999999999999" customHeight="1" x14ac:dyDescent="0.2">
      <c r="A14" s="348">
        <v>3</v>
      </c>
      <c r="B14" s="375" t="s">
        <v>36</v>
      </c>
      <c r="C14" s="391" t="s">
        <v>37</v>
      </c>
      <c r="D14" s="347">
        <f>'AND 1'!D14+'ADY 1'!D14</f>
        <v>0</v>
      </c>
      <c r="E14" s="347"/>
      <c r="F14" s="347">
        <f>'AND 1'!F14+'ADY 1'!F14</f>
        <v>0</v>
      </c>
      <c r="G14" s="347"/>
      <c r="H14" s="347">
        <f>'AND 1'!H14+'ADY 1'!H14</f>
        <v>90000000</v>
      </c>
      <c r="I14" s="347"/>
      <c r="J14" s="347">
        <f>'AND 1'!J14+'ADY 1'!J14</f>
        <v>0</v>
      </c>
      <c r="K14" s="347">
        <f>'AND 1'!L14+'ADY 1'!L14</f>
        <v>0</v>
      </c>
      <c r="L14" s="347">
        <f>'AND 1'!N14+'ADY 1'!N14</f>
        <v>0</v>
      </c>
      <c r="M14" s="347">
        <f>'AND 1'!P14+'ADY 1'!P14</f>
        <v>0</v>
      </c>
      <c r="N14" s="347">
        <f>'AND 1'!R14+'ADY 1'!R14</f>
        <v>0</v>
      </c>
      <c r="O14" s="347">
        <f>'AND 1'!T14+'ADY 1'!T14</f>
        <v>0</v>
      </c>
      <c r="P14" s="347">
        <f>'AND 1'!V14+'ADY 1'!V14</f>
        <v>0</v>
      </c>
      <c r="Q14" s="347">
        <f>'AND 1'!X14+'ADY 1'!X14</f>
        <v>0</v>
      </c>
      <c r="R14" s="347">
        <f>'AND 1'!Z14+'ADY 1'!Z14</f>
        <v>0</v>
      </c>
      <c r="S14" s="348">
        <f t="shared" si="3"/>
        <v>90000000</v>
      </c>
      <c r="T14" s="347">
        <f t="shared" si="1"/>
        <v>99000000.000000015</v>
      </c>
      <c r="U14" s="347">
        <f t="shared" si="1"/>
        <v>108900000.00000003</v>
      </c>
      <c r="V14" s="347">
        <f t="shared" si="1"/>
        <v>119790000.00000004</v>
      </c>
    </row>
    <row r="15" spans="1:22" s="36" customFormat="1" ht="16.899999999999999" customHeight="1" x14ac:dyDescent="0.2">
      <c r="A15" s="348">
        <v>4</v>
      </c>
      <c r="B15" s="375" t="s">
        <v>36</v>
      </c>
      <c r="C15" s="392" t="s">
        <v>38</v>
      </c>
      <c r="D15" s="347">
        <f>'AND 1'!D15+'ADY 1'!D15</f>
        <v>4000000</v>
      </c>
      <c r="E15" s="347"/>
      <c r="F15" s="347">
        <f>'AND 1'!F15+'ADY 1'!F15</f>
        <v>4000000</v>
      </c>
      <c r="G15" s="347"/>
      <c r="H15" s="347">
        <f>'AND 1'!H15+'ADY 1'!H15</f>
        <v>4000000</v>
      </c>
      <c r="I15" s="347"/>
      <c r="J15" s="347">
        <f>'AND 1'!J15+'ADY 1'!J15</f>
        <v>4000000</v>
      </c>
      <c r="K15" s="347">
        <f>'AND 1'!L15+'ADY 1'!L15</f>
        <v>4000000</v>
      </c>
      <c r="L15" s="347">
        <f>'AND 1'!N15+'ADY 1'!N15</f>
        <v>4000000</v>
      </c>
      <c r="M15" s="347">
        <f>'AND 1'!P15+'ADY 1'!P15</f>
        <v>4000000</v>
      </c>
      <c r="N15" s="347">
        <f>'AND 1'!R15+'ADY 1'!R15</f>
        <v>4000000</v>
      </c>
      <c r="O15" s="347">
        <f>'AND 1'!T15+'ADY 1'!T15</f>
        <v>4000000</v>
      </c>
      <c r="P15" s="347">
        <f>'AND 1'!V15+'ADY 1'!V15</f>
        <v>4000000</v>
      </c>
      <c r="Q15" s="347">
        <f>'AND 1'!X15+'ADY 1'!X15</f>
        <v>4000000</v>
      </c>
      <c r="R15" s="347">
        <f>'AND 1'!Z15+'ADY 1'!Z15</f>
        <v>4000000</v>
      </c>
      <c r="S15" s="348">
        <f t="shared" si="3"/>
        <v>48000000</v>
      </c>
      <c r="T15" s="347">
        <f t="shared" si="1"/>
        <v>52800000.000000007</v>
      </c>
      <c r="U15" s="347">
        <f t="shared" si="1"/>
        <v>58080000.000000015</v>
      </c>
      <c r="V15" s="347">
        <f t="shared" si="1"/>
        <v>63888000.000000022</v>
      </c>
    </row>
    <row r="16" spans="1:22" s="36" customFormat="1" ht="16.899999999999999" customHeight="1" x14ac:dyDescent="0.2">
      <c r="A16" s="348">
        <v>5</v>
      </c>
      <c r="B16" s="375" t="s">
        <v>39</v>
      </c>
      <c r="C16" s="392" t="s">
        <v>40</v>
      </c>
      <c r="D16" s="347">
        <f>'AND 1'!D16+'ADY 1'!D16</f>
        <v>2000000</v>
      </c>
      <c r="E16" s="347"/>
      <c r="F16" s="347">
        <f>'AND 1'!F16+'ADY 1'!F16</f>
        <v>2000000</v>
      </c>
      <c r="G16" s="347"/>
      <c r="H16" s="347">
        <f>'AND 1'!H16+'ADY 1'!H16</f>
        <v>2000000</v>
      </c>
      <c r="I16" s="347"/>
      <c r="J16" s="347">
        <f>'AND 1'!J16+'ADY 1'!J16</f>
        <v>2000000</v>
      </c>
      <c r="K16" s="347">
        <f>'AND 1'!L16+'ADY 1'!L16</f>
        <v>2000000</v>
      </c>
      <c r="L16" s="347">
        <f>'AND 1'!N16+'ADY 1'!N16</f>
        <v>2000000</v>
      </c>
      <c r="M16" s="347">
        <f>'AND 1'!P16+'ADY 1'!P16</f>
        <v>2000000</v>
      </c>
      <c r="N16" s="347">
        <f>'AND 1'!R16+'ADY 1'!R16</f>
        <v>2000000</v>
      </c>
      <c r="O16" s="347">
        <f>'AND 1'!T16+'ADY 1'!T16</f>
        <v>2000000</v>
      </c>
      <c r="P16" s="347">
        <f>'AND 1'!V16+'ADY 1'!V16</f>
        <v>2000000</v>
      </c>
      <c r="Q16" s="347">
        <f>'AND 1'!X16+'ADY 1'!X16</f>
        <v>2000000</v>
      </c>
      <c r="R16" s="347">
        <f>'AND 1'!Z16+'ADY 1'!Z16</f>
        <v>2000000</v>
      </c>
      <c r="S16" s="348">
        <f t="shared" si="3"/>
        <v>24000000</v>
      </c>
      <c r="T16" s="347">
        <f t="shared" si="1"/>
        <v>26400000.000000004</v>
      </c>
      <c r="U16" s="347">
        <f t="shared" si="1"/>
        <v>29040000.000000007</v>
      </c>
      <c r="V16" s="347">
        <f t="shared" si="1"/>
        <v>31944000.000000011</v>
      </c>
    </row>
    <row r="17" spans="1:22" s="36" customFormat="1" ht="16.899999999999999" customHeight="1" x14ac:dyDescent="0.2">
      <c r="A17" s="348">
        <v>6</v>
      </c>
      <c r="B17" s="375" t="s">
        <v>36</v>
      </c>
      <c r="C17" s="385" t="s">
        <v>41</v>
      </c>
      <c r="D17" s="347">
        <f>'AND 1'!D17+'ADY 1'!D17</f>
        <v>0</v>
      </c>
      <c r="E17" s="347"/>
      <c r="F17" s="347">
        <f>'AND 1'!F17+'ADY 1'!F17</f>
        <v>0</v>
      </c>
      <c r="G17" s="347"/>
      <c r="H17" s="347">
        <f>'AND 1'!H17+'ADY 1'!H17</f>
        <v>0</v>
      </c>
      <c r="I17" s="347"/>
      <c r="J17" s="347">
        <f>'AND 1'!J17+'ADY 1'!J17</f>
        <v>0</v>
      </c>
      <c r="K17" s="347">
        <f>'AND 1'!L17+'ADY 1'!L17</f>
        <v>0</v>
      </c>
      <c r="L17" s="347">
        <f>'AND 1'!N17+'ADY 1'!N17</f>
        <v>0</v>
      </c>
      <c r="M17" s="347">
        <f>'AND 1'!P17+'ADY 1'!P17</f>
        <v>0</v>
      </c>
      <c r="N17" s="347">
        <f>'AND 1'!R17+'ADY 1'!R17</f>
        <v>40000000</v>
      </c>
      <c r="O17" s="347">
        <f>'AND 1'!T17+'ADY 1'!T17</f>
        <v>0</v>
      </c>
      <c r="P17" s="347">
        <f>'AND 1'!V17+'ADY 1'!V17</f>
        <v>0</v>
      </c>
      <c r="Q17" s="347">
        <f>'AND 1'!X17+'ADY 1'!X17</f>
        <v>0</v>
      </c>
      <c r="R17" s="347">
        <f>'AND 1'!Z17+'ADY 1'!Z17</f>
        <v>0</v>
      </c>
      <c r="S17" s="348">
        <f t="shared" si="3"/>
        <v>40000000</v>
      </c>
      <c r="T17" s="347">
        <f t="shared" si="1"/>
        <v>44000000</v>
      </c>
      <c r="U17" s="347">
        <f t="shared" si="1"/>
        <v>48400000.000000007</v>
      </c>
      <c r="V17" s="347">
        <f t="shared" si="1"/>
        <v>53240000.000000015</v>
      </c>
    </row>
    <row r="18" spans="1:22" s="36" customFormat="1" ht="16.899999999999999" customHeight="1" x14ac:dyDescent="0.2">
      <c r="A18" s="348">
        <v>7</v>
      </c>
      <c r="B18" s="375" t="s">
        <v>36</v>
      </c>
      <c r="C18" s="385" t="s">
        <v>42</v>
      </c>
      <c r="D18" s="347">
        <f>'AND 1'!D18+'ADY 1'!D18</f>
        <v>0</v>
      </c>
      <c r="E18" s="347"/>
      <c r="F18" s="347">
        <f>'AND 1'!F18+'ADY 1'!F18</f>
        <v>0</v>
      </c>
      <c r="G18" s="347"/>
      <c r="H18" s="347">
        <f>'AND 1'!H18+'ADY 1'!H18</f>
        <v>0</v>
      </c>
      <c r="I18" s="347"/>
      <c r="J18" s="347">
        <f>'AND 1'!J18+'ADY 1'!J18</f>
        <v>0</v>
      </c>
      <c r="K18" s="347">
        <f>'AND 1'!L18+'ADY 1'!L18</f>
        <v>0</v>
      </c>
      <c r="L18" s="347">
        <f>'AND 1'!N18+'ADY 1'!N18</f>
        <v>0</v>
      </c>
      <c r="M18" s="347">
        <f>'AND 1'!P18+'ADY 1'!P18</f>
        <v>0</v>
      </c>
      <c r="N18" s="347">
        <f>'AND 1'!R18+'ADY 1'!R18</f>
        <v>50000000</v>
      </c>
      <c r="O18" s="347">
        <f>'AND 1'!T18+'ADY 1'!T18</f>
        <v>0</v>
      </c>
      <c r="P18" s="347">
        <f>'AND 1'!V18+'ADY 1'!V18</f>
        <v>0</v>
      </c>
      <c r="Q18" s="347">
        <f>'AND 1'!X18+'ADY 1'!X18</f>
        <v>0</v>
      </c>
      <c r="R18" s="347">
        <f>'AND 1'!Z18+'ADY 1'!Z18</f>
        <v>0</v>
      </c>
      <c r="S18" s="348">
        <f t="shared" si="3"/>
        <v>50000000</v>
      </c>
      <c r="T18" s="347">
        <f t="shared" si="1"/>
        <v>55000000.000000007</v>
      </c>
      <c r="U18" s="347">
        <f t="shared" si="1"/>
        <v>60500000.000000015</v>
      </c>
      <c r="V18" s="347">
        <f t="shared" si="1"/>
        <v>66550000.000000022</v>
      </c>
    </row>
    <row r="19" spans="1:22" s="36" customFormat="1" ht="16.899999999999999" customHeight="1" x14ac:dyDescent="0.2">
      <c r="A19" s="348">
        <v>8</v>
      </c>
      <c r="B19" s="375" t="s">
        <v>43</v>
      </c>
      <c r="C19" s="386" t="s">
        <v>44</v>
      </c>
      <c r="D19" s="347">
        <f>'AND 1'!D19+'ADY 1'!D19</f>
        <v>0</v>
      </c>
      <c r="E19" s="347"/>
      <c r="F19" s="347">
        <f>'AND 1'!F19+'ADY 1'!F19</f>
        <v>0</v>
      </c>
      <c r="G19" s="347"/>
      <c r="H19" s="347">
        <f>'AND 1'!H19+'ADY 1'!H19</f>
        <v>0</v>
      </c>
      <c r="I19" s="347"/>
      <c r="J19" s="347">
        <f>'AND 1'!J19+'ADY 1'!J19</f>
        <v>0</v>
      </c>
      <c r="K19" s="347">
        <f>'AND 1'!L19+'ADY 1'!L19</f>
        <v>0</v>
      </c>
      <c r="L19" s="347">
        <f>'AND 1'!N19+'ADY 1'!N19</f>
        <v>0</v>
      </c>
      <c r="M19" s="347">
        <f>'AND 1'!P19+'ADY 1'!P19</f>
        <v>0</v>
      </c>
      <c r="N19" s="347">
        <f>'AND 1'!R19+'ADY 1'!R19</f>
        <v>0</v>
      </c>
      <c r="O19" s="347">
        <f>'AND 1'!T19+'ADY 1'!T19</f>
        <v>0</v>
      </c>
      <c r="P19" s="347">
        <f>'AND 1'!V19+'ADY 1'!V19</f>
        <v>0</v>
      </c>
      <c r="Q19" s="347">
        <f>'AND 1'!X19+'ADY 1'!X19</f>
        <v>0</v>
      </c>
      <c r="R19" s="347">
        <f>'AND 1'!Z19+'ADY 1'!Z19</f>
        <v>0</v>
      </c>
      <c r="S19" s="348">
        <f t="shared" si="3"/>
        <v>0</v>
      </c>
      <c r="T19" s="347">
        <f t="shared" si="1"/>
        <v>0</v>
      </c>
      <c r="U19" s="347">
        <f t="shared" si="1"/>
        <v>0</v>
      </c>
      <c r="V19" s="347">
        <f t="shared" si="1"/>
        <v>0</v>
      </c>
    </row>
    <row r="20" spans="1:22" s="36" customFormat="1" ht="16.899999999999999" customHeight="1" x14ac:dyDescent="0.2">
      <c r="A20" s="348">
        <v>9</v>
      </c>
      <c r="B20" s="386" t="s">
        <v>45</v>
      </c>
      <c r="C20" s="386" t="s">
        <v>46</v>
      </c>
      <c r="D20" s="347">
        <f>'AND 1'!D20+'ADY 1'!D20</f>
        <v>0</v>
      </c>
      <c r="E20" s="347"/>
      <c r="F20" s="347">
        <f>'AND 1'!F20+'ADY 1'!F20</f>
        <v>150000000</v>
      </c>
      <c r="G20" s="347"/>
      <c r="H20" s="347">
        <f>'AND 1'!H20+'ADY 1'!H20</f>
        <v>0</v>
      </c>
      <c r="I20" s="347"/>
      <c r="J20" s="347">
        <f>'AND 1'!J20+'ADY 1'!J20</f>
        <v>35000000</v>
      </c>
      <c r="K20" s="347">
        <f>'AND 1'!L20+'ADY 1'!L20</f>
        <v>0</v>
      </c>
      <c r="L20" s="347">
        <f>'AND 1'!N20+'ADY 1'!N20</f>
        <v>0</v>
      </c>
      <c r="M20" s="347">
        <f>'AND 1'!P20+'ADY 1'!P20</f>
        <v>0</v>
      </c>
      <c r="N20" s="347">
        <f>'AND 1'!R20+'ADY 1'!R20</f>
        <v>0</v>
      </c>
      <c r="O20" s="347">
        <f>'AND 1'!T20+'ADY 1'!T20</f>
        <v>0</v>
      </c>
      <c r="P20" s="347">
        <f>'AND 1'!V20+'ADY 1'!V20</f>
        <v>0</v>
      </c>
      <c r="Q20" s="347">
        <f>'AND 1'!X20+'ADY 1'!X20</f>
        <v>0</v>
      </c>
      <c r="R20" s="347">
        <f>'AND 1'!Z20+'ADY 1'!Z20</f>
        <v>0</v>
      </c>
      <c r="S20" s="348">
        <f t="shared" si="3"/>
        <v>185000000</v>
      </c>
      <c r="T20" s="347">
        <f t="shared" si="1"/>
        <v>203500000.00000003</v>
      </c>
      <c r="U20" s="347">
        <f t="shared" si="1"/>
        <v>223850000.00000006</v>
      </c>
      <c r="V20" s="347">
        <f t="shared" si="1"/>
        <v>246235000.00000009</v>
      </c>
    </row>
    <row r="21" spans="1:22" s="36" customFormat="1" ht="16.899999999999999" customHeight="1" x14ac:dyDescent="0.2">
      <c r="A21" s="348">
        <v>10</v>
      </c>
      <c r="B21" s="386" t="s">
        <v>47</v>
      </c>
      <c r="C21" s="386" t="s">
        <v>48</v>
      </c>
      <c r="D21" s="347">
        <f>'AND 1'!D21+'ADY 1'!D21</f>
        <v>0</v>
      </c>
      <c r="E21" s="347"/>
      <c r="F21" s="347">
        <f>'AND 1'!F21+'ADY 1'!F21</f>
        <v>0</v>
      </c>
      <c r="G21" s="347"/>
      <c r="H21" s="347">
        <f>'AND 1'!H21+'ADY 1'!H21</f>
        <v>0</v>
      </c>
      <c r="I21" s="347"/>
      <c r="J21" s="347">
        <f>'AND 1'!J21+'ADY 1'!J21</f>
        <v>0</v>
      </c>
      <c r="K21" s="347">
        <f>'AND 1'!L21+'ADY 1'!L21</f>
        <v>0</v>
      </c>
      <c r="L21" s="347">
        <f>'AND 1'!N21+'ADY 1'!N21</f>
        <v>0</v>
      </c>
      <c r="M21" s="347">
        <f>'AND 1'!P21+'ADY 1'!P21</f>
        <v>0</v>
      </c>
      <c r="N21" s="347">
        <f>'AND 1'!R21+'ADY 1'!R21</f>
        <v>0</v>
      </c>
      <c r="O21" s="347">
        <f>'AND 1'!T21+'ADY 1'!T21</f>
        <v>0</v>
      </c>
      <c r="P21" s="347">
        <f>'AND 1'!V21+'ADY 1'!V21</f>
        <v>0</v>
      </c>
      <c r="Q21" s="347">
        <f>'AND 1'!X21+'ADY 1'!X21</f>
        <v>0</v>
      </c>
      <c r="R21" s="347">
        <f>'AND 1'!Z21+'ADY 1'!Z21</f>
        <v>0</v>
      </c>
      <c r="S21" s="348">
        <f t="shared" si="3"/>
        <v>0</v>
      </c>
      <c r="T21" s="347">
        <f t="shared" si="1"/>
        <v>0</v>
      </c>
      <c r="U21" s="347">
        <f t="shared" si="1"/>
        <v>0</v>
      </c>
      <c r="V21" s="347">
        <f t="shared" si="1"/>
        <v>0</v>
      </c>
    </row>
    <row r="22" spans="1:22" s="21" customFormat="1" ht="16.899999999999999" customHeight="1" x14ac:dyDescent="0.2">
      <c r="A22" s="346"/>
      <c r="B22" s="389"/>
      <c r="C22" s="355" t="s">
        <v>49</v>
      </c>
      <c r="D22" s="358">
        <f t="shared" ref="D22:V22" si="4">SUM(D12:D21)</f>
        <v>47403675.600000001</v>
      </c>
      <c r="E22" s="358">
        <f t="shared" si="4"/>
        <v>0</v>
      </c>
      <c r="F22" s="358">
        <f t="shared" si="4"/>
        <v>197403675.59999999</v>
      </c>
      <c r="G22" s="358">
        <f t="shared" si="4"/>
        <v>0</v>
      </c>
      <c r="H22" s="358">
        <f t="shared" si="4"/>
        <v>137403675.59999999</v>
      </c>
      <c r="I22" s="358">
        <f t="shared" si="4"/>
        <v>0</v>
      </c>
      <c r="J22" s="358">
        <f t="shared" si="4"/>
        <v>86410675.599999994</v>
      </c>
      <c r="K22" s="358">
        <f t="shared" si="4"/>
        <v>51410675.600000001</v>
      </c>
      <c r="L22" s="358">
        <f t="shared" si="4"/>
        <v>131410675.59999999</v>
      </c>
      <c r="M22" s="358">
        <f t="shared" si="4"/>
        <v>51410675.600000001</v>
      </c>
      <c r="N22" s="358">
        <f t="shared" si="4"/>
        <v>141410675.59999999</v>
      </c>
      <c r="O22" s="358">
        <f t="shared" si="4"/>
        <v>51410675.600000001</v>
      </c>
      <c r="P22" s="358">
        <f t="shared" si="4"/>
        <v>51410675.600000001</v>
      </c>
      <c r="Q22" s="358">
        <f t="shared" si="4"/>
        <v>51410675.600000001</v>
      </c>
      <c r="R22" s="358">
        <f t="shared" si="4"/>
        <v>51410675.600000001</v>
      </c>
      <c r="S22" s="358">
        <f t="shared" si="4"/>
        <v>1049907107.2000002</v>
      </c>
      <c r="T22" s="354">
        <f t="shared" si="4"/>
        <v>1154897817.9200003</v>
      </c>
      <c r="U22" s="354">
        <f t="shared" si="4"/>
        <v>1270387599.7120004</v>
      </c>
      <c r="V22" s="354">
        <f t="shared" si="4"/>
        <v>1397426359.6832004</v>
      </c>
    </row>
    <row r="23" spans="1:22" ht="16.899999999999999" customHeight="1" x14ac:dyDescent="0.2">
      <c r="A23" s="385">
        <v>1</v>
      </c>
      <c r="B23" s="386" t="s">
        <v>50</v>
      </c>
      <c r="C23" s="393" t="s">
        <v>51</v>
      </c>
      <c r="D23" s="394">
        <f>'AND 1'!D23+'ADY 1'!D23</f>
        <v>33500000</v>
      </c>
      <c r="E23" s="394"/>
      <c r="F23" s="394">
        <f>'AND 1'!F23+'ADY 1'!F23</f>
        <v>33500000</v>
      </c>
      <c r="G23" s="394"/>
      <c r="H23" s="394">
        <f>'AND 1'!H23+'ADY 1'!H23</f>
        <v>33500000</v>
      </c>
      <c r="I23" s="394"/>
      <c r="J23" s="394">
        <f>'AND 1'!J23+'ADY 1'!J23</f>
        <v>33500000</v>
      </c>
      <c r="K23" s="394">
        <f>'AND 1'!L23+'ADY 1'!L23</f>
        <v>33500000</v>
      </c>
      <c r="L23" s="394">
        <f>'AND 1'!N23+'ADY 1'!N23</f>
        <v>33500000</v>
      </c>
      <c r="M23" s="394">
        <f>'AND 1'!P23+'ADY 1'!P23</f>
        <v>33500000</v>
      </c>
      <c r="N23" s="394">
        <f>'AND 1'!R23+'ADY 1'!R23</f>
        <v>33500000</v>
      </c>
      <c r="O23" s="394">
        <f>'AND 1'!T23+'ADY 1'!T23</f>
        <v>33500000</v>
      </c>
      <c r="P23" s="394">
        <f>'AND 1'!V23+'ADY 1'!V23</f>
        <v>33500000</v>
      </c>
      <c r="Q23" s="394">
        <f>'AND 1'!X23+'ADY 1'!X23</f>
        <v>33500000</v>
      </c>
      <c r="R23" s="394">
        <f>'AND 1'!Z23+'ADY 1'!Z23</f>
        <v>33500000</v>
      </c>
      <c r="S23" s="374">
        <f t="shared" ref="S23:S31" si="5">R23+Q23+P23+O23+N23+M23+L23+K23+J23+H23+F23+D23</f>
        <v>402000000</v>
      </c>
      <c r="T23" s="356">
        <f t="shared" ref="T23:V38" si="6">S23*1.1</f>
        <v>442200000.00000006</v>
      </c>
      <c r="U23" s="356">
        <f t="shared" si="6"/>
        <v>486420000.00000012</v>
      </c>
      <c r="V23" s="356">
        <f t="shared" si="6"/>
        <v>535062000.00000018</v>
      </c>
    </row>
    <row r="24" spans="1:22" ht="16.899999999999999" customHeight="1" x14ac:dyDescent="0.2">
      <c r="A24" s="385">
        <v>1</v>
      </c>
      <c r="B24" s="375" t="s">
        <v>39</v>
      </c>
      <c r="C24" s="385" t="s">
        <v>52</v>
      </c>
      <c r="D24" s="347">
        <f>'AND 1'!D24+'ADY 1'!D24</f>
        <v>0</v>
      </c>
      <c r="E24" s="347"/>
      <c r="F24" s="347">
        <f>'AND 1'!F24+'ADY 1'!F24</f>
        <v>0</v>
      </c>
      <c r="G24" s="347"/>
      <c r="H24" s="347">
        <f>'AND 1'!H24+'ADY 1'!H24</f>
        <v>0</v>
      </c>
      <c r="I24" s="347"/>
      <c r="J24" s="347">
        <f>'AND 1'!J24+'ADY 1'!J24</f>
        <v>50000000</v>
      </c>
      <c r="K24" s="347">
        <f>'AND 1'!L24+'ADY 1'!L24</f>
        <v>0</v>
      </c>
      <c r="L24" s="347">
        <f>'AND 1'!N24+'ADY 1'!N24</f>
        <v>0</v>
      </c>
      <c r="M24" s="347">
        <f>'AND 1'!P24+'ADY 1'!P24</f>
        <v>0</v>
      </c>
      <c r="N24" s="347">
        <f>'AND 1'!R24+'ADY 1'!R24</f>
        <v>0</v>
      </c>
      <c r="O24" s="347">
        <f>'AND 1'!T24+'ADY 1'!T24</f>
        <v>0</v>
      </c>
      <c r="P24" s="347">
        <f>'AND 1'!V24+'ADY 1'!V24</f>
        <v>0</v>
      </c>
      <c r="Q24" s="347">
        <f>'AND 1'!X24+'ADY 1'!X24</f>
        <v>0</v>
      </c>
      <c r="R24" s="347">
        <f>'AND 1'!Z24+'ADY 1'!Z24</f>
        <v>0</v>
      </c>
      <c r="S24" s="348">
        <f t="shared" si="5"/>
        <v>50000000</v>
      </c>
      <c r="T24" s="347">
        <f t="shared" si="6"/>
        <v>55000000.000000007</v>
      </c>
      <c r="U24" s="347">
        <f t="shared" si="6"/>
        <v>60500000.000000015</v>
      </c>
      <c r="V24" s="347">
        <f t="shared" si="6"/>
        <v>66550000.000000022</v>
      </c>
    </row>
    <row r="25" spans="1:22" ht="16.899999999999999" customHeight="1" x14ac:dyDescent="0.2">
      <c r="A25" s="385">
        <v>2</v>
      </c>
      <c r="B25" s="375" t="s">
        <v>53</v>
      </c>
      <c r="C25" s="385" t="s">
        <v>54</v>
      </c>
      <c r="D25" s="347">
        <f>'AND 1'!D25+'ADY 1'!D25</f>
        <v>0</v>
      </c>
      <c r="E25" s="347"/>
      <c r="F25" s="347">
        <f>'AND 1'!F25+'ADY 1'!F25</f>
        <v>0</v>
      </c>
      <c r="G25" s="347"/>
      <c r="H25" s="347">
        <f>'AND 1'!H25+'ADY 1'!H25</f>
        <v>0</v>
      </c>
      <c r="I25" s="347"/>
      <c r="J25" s="347">
        <f>'AND 1'!J25+'ADY 1'!J25</f>
        <v>0</v>
      </c>
      <c r="K25" s="347">
        <f>'AND 1'!L25+'ADY 1'!L25</f>
        <v>0</v>
      </c>
      <c r="L25" s="347">
        <f>'AND 1'!N25+'ADY 1'!N25</f>
        <v>0</v>
      </c>
      <c r="M25" s="347">
        <f>'AND 1'!P25+'ADY 1'!P25</f>
        <v>0</v>
      </c>
      <c r="N25" s="347">
        <f>'AND 1'!R25+'ADY 1'!R25</f>
        <v>0</v>
      </c>
      <c r="O25" s="347">
        <f>'AND 1'!T25+'ADY 1'!T25</f>
        <v>0</v>
      </c>
      <c r="P25" s="347">
        <f>'AND 1'!V25+'ADY 1'!V25</f>
        <v>0</v>
      </c>
      <c r="Q25" s="347">
        <f>'AND 1'!X25+'ADY 1'!X25</f>
        <v>40000000</v>
      </c>
      <c r="R25" s="347">
        <f>'AND 1'!Z25+'ADY 1'!Z25</f>
        <v>40000000</v>
      </c>
      <c r="S25" s="348">
        <f t="shared" si="5"/>
        <v>80000000</v>
      </c>
      <c r="T25" s="347">
        <f t="shared" si="6"/>
        <v>88000000</v>
      </c>
      <c r="U25" s="347">
        <f t="shared" si="6"/>
        <v>96800000.000000015</v>
      </c>
      <c r="V25" s="347">
        <f t="shared" si="6"/>
        <v>106480000.00000003</v>
      </c>
    </row>
    <row r="26" spans="1:22" ht="16.899999999999999" customHeight="1" x14ac:dyDescent="0.2">
      <c r="A26" s="385">
        <v>3</v>
      </c>
      <c r="B26" s="375" t="s">
        <v>55</v>
      </c>
      <c r="C26" s="385" t="s">
        <v>56</v>
      </c>
      <c r="D26" s="347">
        <f>'AND 1'!D26+'ADY 1'!D26</f>
        <v>0</v>
      </c>
      <c r="E26" s="347"/>
      <c r="F26" s="347">
        <f>'AND 1'!F26+'ADY 1'!F26</f>
        <v>0</v>
      </c>
      <c r="G26" s="347"/>
      <c r="H26" s="347">
        <f>'AND 1'!H26+'ADY 1'!H26</f>
        <v>0</v>
      </c>
      <c r="I26" s="347"/>
      <c r="J26" s="347">
        <f>'AND 1'!J26+'ADY 1'!J26</f>
        <v>0</v>
      </c>
      <c r="K26" s="347">
        <f>'AND 1'!L26+'ADY 1'!L26</f>
        <v>0</v>
      </c>
      <c r="L26" s="347">
        <f>'AND 1'!N26+'ADY 1'!N26</f>
        <v>0</v>
      </c>
      <c r="M26" s="347">
        <f>'AND 1'!P26+'ADY 1'!P26</f>
        <v>0</v>
      </c>
      <c r="N26" s="347">
        <f>'AND 1'!R26+'ADY 1'!R26</f>
        <v>0</v>
      </c>
      <c r="O26" s="347">
        <f>'AND 1'!T26+'ADY 1'!T26</f>
        <v>0</v>
      </c>
      <c r="P26" s="347">
        <f>'AND 1'!V26+'ADY 1'!V26</f>
        <v>10000000</v>
      </c>
      <c r="Q26" s="347">
        <f>'AND 1'!X26+'ADY 1'!X26</f>
        <v>0</v>
      </c>
      <c r="R26" s="347">
        <f>'AND 1'!Z26+'ADY 1'!Z26</f>
        <v>0</v>
      </c>
      <c r="S26" s="348">
        <f t="shared" si="5"/>
        <v>10000000</v>
      </c>
      <c r="T26" s="347">
        <f t="shared" si="6"/>
        <v>11000000</v>
      </c>
      <c r="U26" s="347">
        <f t="shared" si="6"/>
        <v>12100000.000000002</v>
      </c>
      <c r="V26" s="347">
        <f t="shared" si="6"/>
        <v>13310000.000000004</v>
      </c>
    </row>
    <row r="27" spans="1:22" ht="16.899999999999999" customHeight="1" x14ac:dyDescent="0.2">
      <c r="A27" s="385">
        <v>4</v>
      </c>
      <c r="B27" s="386" t="s">
        <v>57</v>
      </c>
      <c r="C27" s="385" t="s">
        <v>58</v>
      </c>
      <c r="D27" s="347">
        <f>'AND 1'!D27+'ADY 1'!D27</f>
        <v>0</v>
      </c>
      <c r="E27" s="347"/>
      <c r="F27" s="347">
        <f>'AND 1'!F27+'ADY 1'!F27</f>
        <v>0</v>
      </c>
      <c r="G27" s="347"/>
      <c r="H27" s="347">
        <f>'AND 1'!H27+'ADY 1'!H27</f>
        <v>1000000</v>
      </c>
      <c r="I27" s="347"/>
      <c r="J27" s="347">
        <f>'AND 1'!J27+'ADY 1'!J27</f>
        <v>0</v>
      </c>
      <c r="K27" s="347">
        <f>'AND 1'!L27+'ADY 1'!L27</f>
        <v>0</v>
      </c>
      <c r="L27" s="347">
        <f>'AND 1'!N27+'ADY 1'!N27</f>
        <v>1000000</v>
      </c>
      <c r="M27" s="347">
        <f>'AND 1'!P27+'ADY 1'!P27</f>
        <v>0</v>
      </c>
      <c r="N27" s="347">
        <f>'AND 1'!R27+'ADY 1'!R27</f>
        <v>0</v>
      </c>
      <c r="O27" s="347">
        <f>'AND 1'!T27+'ADY 1'!T27</f>
        <v>1000000</v>
      </c>
      <c r="P27" s="347">
        <f>'AND 1'!V27+'ADY 1'!V27</f>
        <v>0</v>
      </c>
      <c r="Q27" s="347">
        <f>'AND 1'!X27+'ADY 1'!X27</f>
        <v>0</v>
      </c>
      <c r="R27" s="347">
        <f>'AND 1'!Z27+'ADY 1'!Z27</f>
        <v>1000000</v>
      </c>
      <c r="S27" s="348">
        <f t="shared" si="5"/>
        <v>4000000</v>
      </c>
      <c r="T27" s="347">
        <f t="shared" si="6"/>
        <v>4400000</v>
      </c>
      <c r="U27" s="347">
        <f t="shared" si="6"/>
        <v>4840000</v>
      </c>
      <c r="V27" s="347">
        <f t="shared" si="6"/>
        <v>5324000</v>
      </c>
    </row>
    <row r="28" spans="1:22" ht="16.899999999999999" customHeight="1" x14ac:dyDescent="0.2">
      <c r="A28" s="385">
        <v>5</v>
      </c>
      <c r="B28" s="386" t="s">
        <v>57</v>
      </c>
      <c r="C28" s="385" t="s">
        <v>59</v>
      </c>
      <c r="D28" s="347">
        <f>'AND 1'!D28+'ADY 1'!D28</f>
        <v>0</v>
      </c>
      <c r="E28" s="347"/>
      <c r="F28" s="347">
        <f>'AND 1'!F28+'ADY 1'!F28</f>
        <v>0</v>
      </c>
      <c r="G28" s="347"/>
      <c r="H28" s="347">
        <f>'AND 1'!H28+'ADY 1'!H28</f>
        <v>0</v>
      </c>
      <c r="I28" s="347"/>
      <c r="J28" s="347">
        <f>'AND 1'!J28+'ADY 1'!J28</f>
        <v>0</v>
      </c>
      <c r="K28" s="347">
        <f>'AND 1'!L28+'ADY 1'!L28</f>
        <v>0</v>
      </c>
      <c r="L28" s="347">
        <f>'AND 1'!N28+'ADY 1'!N28</f>
        <v>0</v>
      </c>
      <c r="M28" s="347">
        <f>'AND 1'!P28+'ADY 1'!P28</f>
        <v>0</v>
      </c>
      <c r="N28" s="347">
        <f>'AND 1'!R28+'ADY 1'!R28</f>
        <v>0</v>
      </c>
      <c r="O28" s="347">
        <f>'AND 1'!T28+'ADY 1'!T28</f>
        <v>0</v>
      </c>
      <c r="P28" s="347">
        <f>'AND 1'!V28+'ADY 1'!V28</f>
        <v>0</v>
      </c>
      <c r="Q28" s="347">
        <f>'AND 1'!X28+'ADY 1'!X28</f>
        <v>0</v>
      </c>
      <c r="R28" s="347">
        <f>'AND 1'!Z28+'ADY 1'!Z28</f>
        <v>0</v>
      </c>
      <c r="S28" s="348">
        <f t="shared" si="5"/>
        <v>0</v>
      </c>
      <c r="T28" s="347">
        <f t="shared" si="6"/>
        <v>0</v>
      </c>
      <c r="U28" s="347">
        <f t="shared" si="6"/>
        <v>0</v>
      </c>
      <c r="V28" s="347">
        <f t="shared" si="6"/>
        <v>0</v>
      </c>
    </row>
    <row r="29" spans="1:22" ht="16.899999999999999" customHeight="1" x14ac:dyDescent="0.2">
      <c r="A29" s="385">
        <v>6</v>
      </c>
      <c r="B29" s="386" t="s">
        <v>57</v>
      </c>
      <c r="C29" s="385" t="s">
        <v>60</v>
      </c>
      <c r="D29" s="347">
        <f>'AND 1'!D29+'ADY 1'!D29</f>
        <v>200000</v>
      </c>
      <c r="E29" s="347"/>
      <c r="F29" s="347">
        <f>'AND 1'!F29+'ADY 1'!F29</f>
        <v>200000</v>
      </c>
      <c r="G29" s="347"/>
      <c r="H29" s="347">
        <f>'AND 1'!H29+'ADY 1'!H29</f>
        <v>200000</v>
      </c>
      <c r="I29" s="347"/>
      <c r="J29" s="347">
        <f>'AND 1'!J29+'ADY 1'!J29</f>
        <v>200000</v>
      </c>
      <c r="K29" s="347">
        <f>'AND 1'!L29+'ADY 1'!L29</f>
        <v>200000</v>
      </c>
      <c r="L29" s="347">
        <f>'AND 1'!N29+'ADY 1'!N29</f>
        <v>200000</v>
      </c>
      <c r="M29" s="347">
        <f>'AND 1'!P29+'ADY 1'!P29</f>
        <v>200000</v>
      </c>
      <c r="N29" s="347">
        <f>'AND 1'!R29+'ADY 1'!R29</f>
        <v>200000</v>
      </c>
      <c r="O29" s="347">
        <f>'AND 1'!T29+'ADY 1'!T29</f>
        <v>200000</v>
      </c>
      <c r="P29" s="347">
        <f>'AND 1'!V29+'ADY 1'!V29</f>
        <v>200000</v>
      </c>
      <c r="Q29" s="347">
        <f>'AND 1'!X29+'ADY 1'!X29</f>
        <v>200000</v>
      </c>
      <c r="R29" s="347">
        <f>'AND 1'!Z29+'ADY 1'!Z29</f>
        <v>200000</v>
      </c>
      <c r="S29" s="348">
        <f t="shared" si="5"/>
        <v>2400000</v>
      </c>
      <c r="T29" s="347">
        <f t="shared" si="6"/>
        <v>2640000</v>
      </c>
      <c r="U29" s="347">
        <f t="shared" si="6"/>
        <v>2904000.0000000005</v>
      </c>
      <c r="V29" s="347">
        <f t="shared" si="6"/>
        <v>3194400.0000000009</v>
      </c>
    </row>
    <row r="30" spans="1:22" ht="16.899999999999999" customHeight="1" x14ac:dyDescent="0.2">
      <c r="A30" s="385">
        <v>7</v>
      </c>
      <c r="B30" s="386" t="s">
        <v>36</v>
      </c>
      <c r="C30" s="385" t="s">
        <v>61</v>
      </c>
      <c r="D30" s="347">
        <f>'AND 1'!D30+'ADY 1'!D30</f>
        <v>0</v>
      </c>
      <c r="E30" s="347"/>
      <c r="F30" s="347">
        <f>'AND 1'!F30+'ADY 1'!F30</f>
        <v>0</v>
      </c>
      <c r="G30" s="347"/>
      <c r="H30" s="347">
        <f>'AND 1'!H30+'ADY 1'!H30</f>
        <v>0</v>
      </c>
      <c r="I30" s="347"/>
      <c r="J30" s="347">
        <f>'AND 1'!J30+'ADY 1'!J30</f>
        <v>0</v>
      </c>
      <c r="K30" s="347">
        <f>'AND 1'!L30+'ADY 1'!L30</f>
        <v>0</v>
      </c>
      <c r="L30" s="347">
        <f>'AND 1'!N30+'ADY 1'!N30</f>
        <v>0</v>
      </c>
      <c r="M30" s="347">
        <f>'AND 1'!P30+'ADY 1'!P30</f>
        <v>0</v>
      </c>
      <c r="N30" s="347">
        <f>'AND 1'!R30+'ADY 1'!R30</f>
        <v>3000000</v>
      </c>
      <c r="O30" s="347">
        <f>'AND 1'!T30+'ADY 1'!T30</f>
        <v>0</v>
      </c>
      <c r="P30" s="347">
        <f>'AND 1'!V30+'ADY 1'!V30</f>
        <v>0</v>
      </c>
      <c r="Q30" s="347">
        <f>'AND 1'!X30+'ADY 1'!X30</f>
        <v>0</v>
      </c>
      <c r="R30" s="347">
        <f>'AND 1'!Z30+'ADY 1'!Z30</f>
        <v>0</v>
      </c>
      <c r="S30" s="348">
        <f t="shared" si="5"/>
        <v>3000000</v>
      </c>
      <c r="T30" s="347">
        <f t="shared" si="6"/>
        <v>3300000.0000000005</v>
      </c>
      <c r="U30" s="347">
        <f t="shared" si="6"/>
        <v>3630000.0000000009</v>
      </c>
      <c r="V30" s="347">
        <f t="shared" si="6"/>
        <v>3993000.0000000014</v>
      </c>
    </row>
    <row r="31" spans="1:22" s="66" customFormat="1" ht="38.25" x14ac:dyDescent="0.2">
      <c r="A31" s="388">
        <v>8</v>
      </c>
      <c r="B31" s="395" t="s">
        <v>36</v>
      </c>
      <c r="C31" s="395" t="s">
        <v>62</v>
      </c>
      <c r="D31" s="347">
        <f>'AND 1'!D31+'ADY 1'!D31</f>
        <v>3000000</v>
      </c>
      <c r="E31" s="347"/>
      <c r="F31" s="347">
        <f>'AND 1'!F31+'ADY 1'!F31</f>
        <v>3000000</v>
      </c>
      <c r="G31" s="347"/>
      <c r="H31" s="347">
        <f>'AND 1'!H31+'ADY 1'!H31</f>
        <v>3000000</v>
      </c>
      <c r="I31" s="347"/>
      <c r="J31" s="347">
        <f>'AND 1'!J31+'ADY 1'!J31</f>
        <v>3000000</v>
      </c>
      <c r="K31" s="347">
        <f>'AND 1'!L31+'ADY 1'!L31</f>
        <v>3000000</v>
      </c>
      <c r="L31" s="347">
        <f>'AND 1'!N31+'ADY 1'!N31</f>
        <v>6000000</v>
      </c>
      <c r="M31" s="347">
        <f>'AND 1'!P31+'ADY 1'!P31</f>
        <v>3000000</v>
      </c>
      <c r="N31" s="347">
        <f>'AND 1'!R31+'ADY 1'!R31</f>
        <v>3000000</v>
      </c>
      <c r="O31" s="347">
        <f>'AND 1'!T31+'ADY 1'!T31</f>
        <v>3000000</v>
      </c>
      <c r="P31" s="347">
        <f>'AND 1'!V31+'ADY 1'!V31</f>
        <v>3000000</v>
      </c>
      <c r="Q31" s="347">
        <f>'AND 1'!X31+'ADY 1'!X31</f>
        <v>3000000</v>
      </c>
      <c r="R31" s="347">
        <f>'AND 1'!Z31+'ADY 1'!Z31</f>
        <v>3000000</v>
      </c>
      <c r="S31" s="360">
        <f t="shared" si="5"/>
        <v>39000000</v>
      </c>
      <c r="T31" s="347">
        <f t="shared" si="6"/>
        <v>42900000</v>
      </c>
      <c r="U31" s="347">
        <f t="shared" si="6"/>
        <v>47190000.000000007</v>
      </c>
      <c r="V31" s="347">
        <f t="shared" si="6"/>
        <v>51909000.000000015</v>
      </c>
    </row>
    <row r="32" spans="1:22" s="2" customFormat="1" ht="16.899999999999999" customHeight="1" x14ac:dyDescent="0.2">
      <c r="A32" s="396"/>
      <c r="B32" s="390"/>
      <c r="C32" s="393" t="s">
        <v>63</v>
      </c>
      <c r="D32" s="358">
        <f t="shared" ref="D32:V32" si="7">SUM(D24:D31)</f>
        <v>3200000</v>
      </c>
      <c r="E32" s="358">
        <f t="shared" si="7"/>
        <v>0</v>
      </c>
      <c r="F32" s="358">
        <f t="shared" si="7"/>
        <v>3200000</v>
      </c>
      <c r="G32" s="358">
        <f t="shared" si="7"/>
        <v>0</v>
      </c>
      <c r="H32" s="358">
        <f t="shared" si="7"/>
        <v>4200000</v>
      </c>
      <c r="I32" s="358">
        <f t="shared" si="7"/>
        <v>0</v>
      </c>
      <c r="J32" s="358">
        <f t="shared" si="7"/>
        <v>53200000</v>
      </c>
      <c r="K32" s="358">
        <f t="shared" si="7"/>
        <v>3200000</v>
      </c>
      <c r="L32" s="358">
        <f t="shared" si="7"/>
        <v>7200000</v>
      </c>
      <c r="M32" s="358">
        <f t="shared" si="7"/>
        <v>3200000</v>
      </c>
      <c r="N32" s="358">
        <f t="shared" si="7"/>
        <v>6200000</v>
      </c>
      <c r="O32" s="358">
        <f t="shared" si="7"/>
        <v>4200000</v>
      </c>
      <c r="P32" s="358">
        <f t="shared" si="7"/>
        <v>13200000</v>
      </c>
      <c r="Q32" s="358">
        <f t="shared" si="7"/>
        <v>43200000</v>
      </c>
      <c r="R32" s="358">
        <f t="shared" si="7"/>
        <v>44200000</v>
      </c>
      <c r="S32" s="358">
        <f t="shared" si="7"/>
        <v>188400000</v>
      </c>
      <c r="T32" s="358">
        <f t="shared" si="7"/>
        <v>207240000</v>
      </c>
      <c r="U32" s="358">
        <f t="shared" si="7"/>
        <v>227964000.00000003</v>
      </c>
      <c r="V32" s="358">
        <f t="shared" si="7"/>
        <v>250760400.00000006</v>
      </c>
    </row>
    <row r="33" spans="1:22" ht="16.899999999999999" customHeight="1" x14ac:dyDescent="0.2">
      <c r="A33" s="385">
        <v>1</v>
      </c>
      <c r="B33" s="386" t="s">
        <v>64</v>
      </c>
      <c r="C33" s="385" t="s">
        <v>65</v>
      </c>
      <c r="D33" s="347">
        <f>'AND 1'!D33+'ADY 1'!D33</f>
        <v>9000000</v>
      </c>
      <c r="E33" s="347"/>
      <c r="F33" s="347">
        <f>'AND 1'!F33+'ADY 1'!F33</f>
        <v>9000000</v>
      </c>
      <c r="G33" s="347"/>
      <c r="H33" s="347">
        <f>'AND 1'!H33+'ADY 1'!H33</f>
        <v>9000000</v>
      </c>
      <c r="I33" s="347"/>
      <c r="J33" s="347">
        <f>'AND 1'!J33+'ADY 1'!J33</f>
        <v>9000000</v>
      </c>
      <c r="K33" s="347">
        <f>'AND 1'!L33+'ADY 1'!L33</f>
        <v>9000000</v>
      </c>
      <c r="L33" s="347">
        <f>'AND 1'!N33+'ADY 1'!N33</f>
        <v>9000000</v>
      </c>
      <c r="M33" s="347">
        <f>'AND 1'!P33+'ADY 1'!P33</f>
        <v>9000000</v>
      </c>
      <c r="N33" s="347">
        <f>'AND 1'!R33+'ADY 1'!R33</f>
        <v>9000000</v>
      </c>
      <c r="O33" s="347">
        <f>'AND 1'!T33+'ADY 1'!T33</f>
        <v>9000000</v>
      </c>
      <c r="P33" s="347">
        <f>'AND 1'!V33+'ADY 1'!V33</f>
        <v>9000000</v>
      </c>
      <c r="Q33" s="347">
        <f>'AND 1'!X33+'ADY 1'!X33</f>
        <v>9000000</v>
      </c>
      <c r="R33" s="347">
        <f>'AND 1'!Z33+'ADY 1'!Z33</f>
        <v>9000000</v>
      </c>
      <c r="S33" s="348">
        <f t="shared" ref="S33:S43" si="8">R33+Q33+P33+O33+N33+M33+L33+K33+J33+H33+F33+D33</f>
        <v>108000000</v>
      </c>
      <c r="T33" s="347">
        <f t="shared" si="6"/>
        <v>118800000.00000001</v>
      </c>
      <c r="U33" s="347">
        <f t="shared" si="6"/>
        <v>130680000.00000003</v>
      </c>
      <c r="V33" s="347">
        <f t="shared" si="6"/>
        <v>143748000.00000003</v>
      </c>
    </row>
    <row r="34" spans="1:22" ht="16.899999999999999" customHeight="1" x14ac:dyDescent="0.2">
      <c r="A34" s="385">
        <v>2</v>
      </c>
      <c r="B34" s="386" t="s">
        <v>66</v>
      </c>
      <c r="C34" s="385" t="s">
        <v>67</v>
      </c>
      <c r="D34" s="347">
        <f>'AND 1'!D34+'ADY 1'!D34</f>
        <v>2000000</v>
      </c>
      <c r="E34" s="347"/>
      <c r="F34" s="347">
        <f>'AND 1'!F34+'ADY 1'!F34</f>
        <v>2000000</v>
      </c>
      <c r="G34" s="347"/>
      <c r="H34" s="347">
        <f>'AND 1'!H34+'ADY 1'!H34</f>
        <v>2000000</v>
      </c>
      <c r="I34" s="347"/>
      <c r="J34" s="347">
        <f>'AND 1'!J34+'ADY 1'!J34</f>
        <v>2000000</v>
      </c>
      <c r="K34" s="347">
        <f>'AND 1'!L34+'ADY 1'!L34</f>
        <v>2000000</v>
      </c>
      <c r="L34" s="347">
        <f>'AND 1'!N34+'ADY 1'!N34</f>
        <v>2000000</v>
      </c>
      <c r="M34" s="347">
        <f>'AND 1'!P34+'ADY 1'!P34</f>
        <v>2000000</v>
      </c>
      <c r="N34" s="347">
        <f>'AND 1'!R34+'ADY 1'!R34</f>
        <v>2000000</v>
      </c>
      <c r="O34" s="347">
        <f>'AND 1'!T34+'ADY 1'!T34</f>
        <v>2000000</v>
      </c>
      <c r="P34" s="347">
        <f>'AND 1'!V34+'ADY 1'!V34</f>
        <v>2000000</v>
      </c>
      <c r="Q34" s="347">
        <f>'AND 1'!X34+'ADY 1'!X34</f>
        <v>2000000</v>
      </c>
      <c r="R34" s="347">
        <f>'AND 1'!Z34+'ADY 1'!Z34</f>
        <v>2000000</v>
      </c>
      <c r="S34" s="348">
        <f t="shared" si="8"/>
        <v>24000000</v>
      </c>
      <c r="T34" s="347">
        <f t="shared" si="6"/>
        <v>26400000.000000004</v>
      </c>
      <c r="U34" s="347">
        <f t="shared" si="6"/>
        <v>29040000.000000007</v>
      </c>
      <c r="V34" s="347">
        <f t="shared" si="6"/>
        <v>31944000.000000011</v>
      </c>
    </row>
    <row r="35" spans="1:22" ht="16.899999999999999" customHeight="1" x14ac:dyDescent="0.2">
      <c r="A35" s="385">
        <v>3</v>
      </c>
      <c r="B35" s="386" t="s">
        <v>55</v>
      </c>
      <c r="C35" s="385" t="s">
        <v>68</v>
      </c>
      <c r="D35" s="347">
        <f>'AND 1'!D35+'ADY 1'!D35</f>
        <v>2000000</v>
      </c>
      <c r="E35" s="347"/>
      <c r="F35" s="347">
        <f>'AND 1'!F35+'ADY 1'!F35</f>
        <v>2000000</v>
      </c>
      <c r="G35" s="347"/>
      <c r="H35" s="347">
        <f>'AND 1'!H35+'ADY 1'!H35</f>
        <v>2000000</v>
      </c>
      <c r="I35" s="347"/>
      <c r="J35" s="347">
        <f>'AND 1'!J35+'ADY 1'!J35</f>
        <v>2000000</v>
      </c>
      <c r="K35" s="347">
        <f>'AND 1'!L35+'ADY 1'!L35</f>
        <v>2000000</v>
      </c>
      <c r="L35" s="347">
        <f>'AND 1'!N35+'ADY 1'!N35</f>
        <v>2000000</v>
      </c>
      <c r="M35" s="347">
        <f>'AND 1'!P35+'ADY 1'!P35</f>
        <v>2000000</v>
      </c>
      <c r="N35" s="347">
        <f>'AND 1'!R35+'ADY 1'!R35</f>
        <v>2000000</v>
      </c>
      <c r="O35" s="347">
        <f>'AND 1'!T35+'ADY 1'!T35</f>
        <v>2000000</v>
      </c>
      <c r="P35" s="347">
        <f>'AND 1'!V35+'ADY 1'!V35</f>
        <v>2000000</v>
      </c>
      <c r="Q35" s="347">
        <f>'AND 1'!X35+'ADY 1'!X35</f>
        <v>2000000</v>
      </c>
      <c r="R35" s="347">
        <f>'AND 1'!Z35+'ADY 1'!Z35</f>
        <v>2000000</v>
      </c>
      <c r="S35" s="348">
        <f t="shared" si="8"/>
        <v>24000000</v>
      </c>
      <c r="T35" s="347">
        <f t="shared" si="6"/>
        <v>26400000.000000004</v>
      </c>
      <c r="U35" s="347">
        <f t="shared" si="6"/>
        <v>29040000.000000007</v>
      </c>
      <c r="V35" s="347">
        <f t="shared" si="6"/>
        <v>31944000.000000011</v>
      </c>
    </row>
    <row r="36" spans="1:22" ht="16.899999999999999" customHeight="1" x14ac:dyDescent="0.2">
      <c r="A36" s="385">
        <v>4</v>
      </c>
      <c r="B36" s="386" t="s">
        <v>69</v>
      </c>
      <c r="C36" s="385" t="s">
        <v>70</v>
      </c>
      <c r="D36" s="347">
        <f>'AND 1'!D36+'ADY 1'!D36</f>
        <v>11000000</v>
      </c>
      <c r="E36" s="347"/>
      <c r="F36" s="347">
        <f>'AND 1'!F36+'ADY 1'!F36</f>
        <v>11000000</v>
      </c>
      <c r="G36" s="347"/>
      <c r="H36" s="347">
        <f>'AND 1'!H36+'ADY 1'!H36</f>
        <v>11000000</v>
      </c>
      <c r="I36" s="347"/>
      <c r="J36" s="347">
        <f>'AND 1'!J36+'ADY 1'!J36</f>
        <v>11000000</v>
      </c>
      <c r="K36" s="347">
        <f>'AND 1'!L36+'ADY 1'!L36</f>
        <v>11000000</v>
      </c>
      <c r="L36" s="347">
        <f>'AND 1'!N36+'ADY 1'!N36</f>
        <v>11000000</v>
      </c>
      <c r="M36" s="347">
        <f>'AND 1'!P36+'ADY 1'!P36</f>
        <v>11000000</v>
      </c>
      <c r="N36" s="347">
        <f>'AND 1'!R36+'ADY 1'!R36</f>
        <v>11000000</v>
      </c>
      <c r="O36" s="347">
        <f>'AND 1'!T36+'ADY 1'!T36</f>
        <v>11000000</v>
      </c>
      <c r="P36" s="347">
        <f>'AND 1'!V36+'ADY 1'!V36</f>
        <v>11000000</v>
      </c>
      <c r="Q36" s="347">
        <f>'AND 1'!X36+'ADY 1'!X36</f>
        <v>11000000</v>
      </c>
      <c r="R36" s="347">
        <f>'AND 1'!Z36+'ADY 1'!Z36</f>
        <v>11000000</v>
      </c>
      <c r="S36" s="348">
        <f t="shared" si="8"/>
        <v>132000000</v>
      </c>
      <c r="T36" s="347">
        <f t="shared" si="6"/>
        <v>145200000</v>
      </c>
      <c r="U36" s="347">
        <f t="shared" si="6"/>
        <v>159720000</v>
      </c>
      <c r="V36" s="347">
        <f t="shared" si="6"/>
        <v>175692000</v>
      </c>
    </row>
    <row r="37" spans="1:22" ht="16.899999999999999" customHeight="1" x14ac:dyDescent="0.2">
      <c r="A37" s="385">
        <v>5</v>
      </c>
      <c r="B37" s="386" t="s">
        <v>71</v>
      </c>
      <c r="C37" s="385" t="s">
        <v>72</v>
      </c>
      <c r="D37" s="347">
        <f>'AND 1'!D37+'ADY 1'!D37</f>
        <v>9000000</v>
      </c>
      <c r="E37" s="347"/>
      <c r="F37" s="347">
        <f>'AND 1'!F37+'ADY 1'!F37</f>
        <v>9000000</v>
      </c>
      <c r="G37" s="347"/>
      <c r="H37" s="347">
        <f>'AND 1'!H37+'ADY 1'!H37</f>
        <v>9000000</v>
      </c>
      <c r="I37" s="347"/>
      <c r="J37" s="347">
        <f>'AND 1'!J37+'ADY 1'!J37</f>
        <v>9000000</v>
      </c>
      <c r="K37" s="347">
        <f>'AND 1'!L37+'ADY 1'!L37</f>
        <v>9000000</v>
      </c>
      <c r="L37" s="347">
        <f>'AND 1'!N37+'ADY 1'!N37</f>
        <v>9000000</v>
      </c>
      <c r="M37" s="347">
        <f>'AND 1'!P37+'ADY 1'!P37</f>
        <v>9000000</v>
      </c>
      <c r="N37" s="347">
        <f>'AND 1'!R37+'ADY 1'!R37</f>
        <v>9000000</v>
      </c>
      <c r="O37" s="347">
        <f>'AND 1'!T37+'ADY 1'!T37</f>
        <v>9000000</v>
      </c>
      <c r="P37" s="347">
        <f>'AND 1'!V37+'ADY 1'!V37</f>
        <v>9000000</v>
      </c>
      <c r="Q37" s="347">
        <f>'AND 1'!X37+'ADY 1'!X37</f>
        <v>9000000</v>
      </c>
      <c r="R37" s="347">
        <f>'AND 1'!Z37+'ADY 1'!Z37</f>
        <v>9000000</v>
      </c>
      <c r="S37" s="348">
        <f t="shared" si="8"/>
        <v>108000000</v>
      </c>
      <c r="T37" s="347">
        <f t="shared" si="6"/>
        <v>118800000.00000001</v>
      </c>
      <c r="U37" s="347">
        <f t="shared" si="6"/>
        <v>130680000.00000003</v>
      </c>
      <c r="V37" s="347">
        <f t="shared" si="6"/>
        <v>143748000.00000003</v>
      </c>
    </row>
    <row r="38" spans="1:22" ht="16.899999999999999" customHeight="1" x14ac:dyDescent="0.2">
      <c r="A38" s="385">
        <v>6</v>
      </c>
      <c r="B38" s="386" t="s">
        <v>73</v>
      </c>
      <c r="C38" s="385" t="s">
        <v>74</v>
      </c>
      <c r="D38" s="347">
        <f>'AND 1'!D38+'ADY 1'!D38</f>
        <v>2000000</v>
      </c>
      <c r="E38" s="347"/>
      <c r="F38" s="347">
        <f>'AND 1'!F38+'ADY 1'!F38</f>
        <v>2000000</v>
      </c>
      <c r="G38" s="347"/>
      <c r="H38" s="347">
        <f>'AND 1'!H38+'ADY 1'!H38</f>
        <v>2000000</v>
      </c>
      <c r="I38" s="347"/>
      <c r="J38" s="347">
        <f>'AND 1'!J38+'ADY 1'!J38</f>
        <v>2000000</v>
      </c>
      <c r="K38" s="347">
        <f>'AND 1'!L38+'ADY 1'!L38</f>
        <v>2000000</v>
      </c>
      <c r="L38" s="347">
        <f>'AND 1'!N38+'ADY 1'!N38</f>
        <v>2000000</v>
      </c>
      <c r="M38" s="347">
        <f>'AND 1'!P38+'ADY 1'!P38</f>
        <v>2000000</v>
      </c>
      <c r="N38" s="347">
        <f>'AND 1'!R38+'ADY 1'!R38</f>
        <v>2000000</v>
      </c>
      <c r="O38" s="347">
        <f>'AND 1'!T38+'ADY 1'!T38</f>
        <v>2000000</v>
      </c>
      <c r="P38" s="347">
        <f>'AND 1'!V38+'ADY 1'!V38</f>
        <v>2000000</v>
      </c>
      <c r="Q38" s="347">
        <f>'AND 1'!X38+'ADY 1'!X38</f>
        <v>2000000</v>
      </c>
      <c r="R38" s="347">
        <f>'AND 1'!Z38+'ADY 1'!Z38</f>
        <v>2000000</v>
      </c>
      <c r="S38" s="348">
        <f t="shared" si="8"/>
        <v>24000000</v>
      </c>
      <c r="T38" s="347">
        <f t="shared" si="6"/>
        <v>26400000.000000004</v>
      </c>
      <c r="U38" s="347">
        <f t="shared" si="6"/>
        <v>29040000.000000007</v>
      </c>
      <c r="V38" s="347">
        <f t="shared" si="6"/>
        <v>31944000.000000011</v>
      </c>
    </row>
    <row r="39" spans="1:22" ht="16.899999999999999" customHeight="1" x14ac:dyDescent="0.2">
      <c r="A39" s="385">
        <v>7</v>
      </c>
      <c r="B39" s="386" t="s">
        <v>75</v>
      </c>
      <c r="C39" s="385" t="s">
        <v>76</v>
      </c>
      <c r="D39" s="347">
        <f>'AND 1'!D39+'ADY 1'!D39</f>
        <v>12000000</v>
      </c>
      <c r="E39" s="347"/>
      <c r="F39" s="347">
        <f>'AND 1'!F39+'ADY 1'!F39</f>
        <v>12000000</v>
      </c>
      <c r="G39" s="347"/>
      <c r="H39" s="347">
        <f>'AND 1'!H39+'ADY 1'!H39</f>
        <v>12000000</v>
      </c>
      <c r="I39" s="347"/>
      <c r="J39" s="347">
        <f>'AND 1'!J39+'ADY 1'!J39</f>
        <v>12000000</v>
      </c>
      <c r="K39" s="347">
        <f>'AND 1'!L39+'ADY 1'!L39</f>
        <v>12000000</v>
      </c>
      <c r="L39" s="347">
        <f>'AND 1'!N39+'ADY 1'!N39</f>
        <v>12000000</v>
      </c>
      <c r="M39" s="347">
        <f>'AND 1'!P39+'ADY 1'!P39</f>
        <v>12000000</v>
      </c>
      <c r="N39" s="347">
        <f>'AND 1'!R39+'ADY 1'!R39</f>
        <v>12000000</v>
      </c>
      <c r="O39" s="347">
        <f>'AND 1'!T39+'ADY 1'!T39</f>
        <v>12000000</v>
      </c>
      <c r="P39" s="347">
        <f>'AND 1'!V39+'ADY 1'!V39</f>
        <v>12000000</v>
      </c>
      <c r="Q39" s="347">
        <f>'AND 1'!X39+'ADY 1'!X39</f>
        <v>12000000</v>
      </c>
      <c r="R39" s="347">
        <f>'AND 1'!Z39+'ADY 1'!Z39</f>
        <v>12000000</v>
      </c>
      <c r="S39" s="348">
        <f t="shared" si="8"/>
        <v>144000000</v>
      </c>
      <c r="T39" s="347">
        <f t="shared" ref="T39:V54" si="9">S39*1.1</f>
        <v>158400000</v>
      </c>
      <c r="U39" s="347">
        <f t="shared" si="9"/>
        <v>174240000</v>
      </c>
      <c r="V39" s="347">
        <f t="shared" si="9"/>
        <v>191664000.00000003</v>
      </c>
    </row>
    <row r="40" spans="1:22" ht="16.899999999999999" customHeight="1" x14ac:dyDescent="0.2">
      <c r="A40" s="385">
        <v>8</v>
      </c>
      <c r="B40" s="386" t="s">
        <v>77</v>
      </c>
      <c r="C40" s="385" t="s">
        <v>78</v>
      </c>
      <c r="D40" s="347">
        <f>'AND 1'!D40+'ADY 1'!D40</f>
        <v>0</v>
      </c>
      <c r="E40" s="347"/>
      <c r="F40" s="347">
        <f>'AND 1'!F40+'ADY 1'!F40</f>
        <v>0</v>
      </c>
      <c r="G40" s="347"/>
      <c r="H40" s="347">
        <f>'AND 1'!H40+'ADY 1'!H40</f>
        <v>50000000</v>
      </c>
      <c r="I40" s="347"/>
      <c r="J40" s="347">
        <f>'AND 1'!J40+'ADY 1'!J40</f>
        <v>0</v>
      </c>
      <c r="K40" s="347">
        <f>'AND 1'!L40+'ADY 1'!L40</f>
        <v>0</v>
      </c>
      <c r="L40" s="347">
        <f>'AND 1'!N40+'ADY 1'!N40</f>
        <v>0</v>
      </c>
      <c r="M40" s="347">
        <f>'AND 1'!P40+'ADY 1'!P40</f>
        <v>0</v>
      </c>
      <c r="N40" s="347">
        <f>'AND 1'!R40+'ADY 1'!R40</f>
        <v>0</v>
      </c>
      <c r="O40" s="347">
        <f>'AND 1'!T40+'ADY 1'!T40</f>
        <v>0</v>
      </c>
      <c r="P40" s="347">
        <f>'AND 1'!V40+'ADY 1'!V40</f>
        <v>0</v>
      </c>
      <c r="Q40" s="347">
        <f>'AND 1'!X40+'ADY 1'!X40</f>
        <v>0</v>
      </c>
      <c r="R40" s="347">
        <f>'AND 1'!Z40+'ADY 1'!Z40</f>
        <v>0</v>
      </c>
      <c r="S40" s="348">
        <f t="shared" si="8"/>
        <v>50000000</v>
      </c>
      <c r="T40" s="347">
        <f t="shared" si="9"/>
        <v>55000000.000000007</v>
      </c>
      <c r="U40" s="347">
        <f t="shared" si="9"/>
        <v>60500000.000000015</v>
      </c>
      <c r="V40" s="347">
        <f t="shared" si="9"/>
        <v>66550000.000000022</v>
      </c>
    </row>
    <row r="41" spans="1:22" ht="16.899999999999999" customHeight="1" x14ac:dyDescent="0.2">
      <c r="A41" s="385">
        <v>9</v>
      </c>
      <c r="B41" s="386" t="s">
        <v>79</v>
      </c>
      <c r="C41" s="386" t="s">
        <v>80</v>
      </c>
      <c r="D41" s="347">
        <f>'AND 1'!D41+'ADY 1'!D41</f>
        <v>0</v>
      </c>
      <c r="E41" s="347"/>
      <c r="F41" s="347">
        <f>'AND 1'!F41+'ADY 1'!F41</f>
        <v>0</v>
      </c>
      <c r="G41" s="347"/>
      <c r="H41" s="347">
        <f>'AND 1'!H41+'ADY 1'!H41</f>
        <v>0</v>
      </c>
      <c r="I41" s="347"/>
      <c r="J41" s="347">
        <f>'AND 1'!J41+'ADY 1'!J41</f>
        <v>0</v>
      </c>
      <c r="K41" s="347">
        <f>'AND 1'!L41+'ADY 1'!L41</f>
        <v>0</v>
      </c>
      <c r="L41" s="347">
        <f>'AND 1'!N41+'ADY 1'!N41</f>
        <v>16000000</v>
      </c>
      <c r="M41" s="347">
        <f>'AND 1'!P41+'ADY 1'!P41</f>
        <v>0</v>
      </c>
      <c r="N41" s="347">
        <f>'AND 1'!R41+'ADY 1'!R41</f>
        <v>0</v>
      </c>
      <c r="O41" s="347">
        <f>'AND 1'!T41+'ADY 1'!T41</f>
        <v>0</v>
      </c>
      <c r="P41" s="347">
        <f>'AND 1'!V41+'ADY 1'!V41</f>
        <v>0</v>
      </c>
      <c r="Q41" s="347">
        <f>'AND 1'!X41+'ADY 1'!X41</f>
        <v>0</v>
      </c>
      <c r="R41" s="347">
        <f>'AND 1'!Z41+'ADY 1'!Z41</f>
        <v>0</v>
      </c>
      <c r="S41" s="348">
        <f t="shared" si="8"/>
        <v>16000000</v>
      </c>
      <c r="T41" s="347">
        <f t="shared" si="9"/>
        <v>17600000</v>
      </c>
      <c r="U41" s="347">
        <f t="shared" si="9"/>
        <v>19360000</v>
      </c>
      <c r="V41" s="347">
        <f t="shared" si="9"/>
        <v>21296000</v>
      </c>
    </row>
    <row r="42" spans="1:22" ht="16.899999999999999" customHeight="1" x14ac:dyDescent="0.2">
      <c r="A42" s="385">
        <v>10</v>
      </c>
      <c r="B42" s="386" t="s">
        <v>79</v>
      </c>
      <c r="C42" s="386" t="s">
        <v>81</v>
      </c>
      <c r="D42" s="347">
        <f>'AND 1'!D42+'ADY 1'!D42</f>
        <v>0</v>
      </c>
      <c r="E42" s="347"/>
      <c r="F42" s="347">
        <f>'AND 1'!F42+'ADY 1'!F42</f>
        <v>0</v>
      </c>
      <c r="G42" s="347"/>
      <c r="H42" s="347">
        <f>'AND 1'!H42+'ADY 1'!H42</f>
        <v>0</v>
      </c>
      <c r="I42" s="347"/>
      <c r="J42" s="347">
        <f>'AND 1'!J42+'ADY 1'!J42</f>
        <v>0</v>
      </c>
      <c r="K42" s="347">
        <f>'AND 1'!L42+'ADY 1'!L42</f>
        <v>0</v>
      </c>
      <c r="L42" s="347">
        <f>'AND 1'!N42+'ADY 1'!N42</f>
        <v>0</v>
      </c>
      <c r="M42" s="347">
        <f>'AND 1'!P42+'ADY 1'!P42</f>
        <v>0</v>
      </c>
      <c r="N42" s="347">
        <f>'AND 1'!R42+'ADY 1'!R42</f>
        <v>0</v>
      </c>
      <c r="O42" s="347">
        <f>'AND 1'!T42+'ADY 1'!T42</f>
        <v>0</v>
      </c>
      <c r="P42" s="347">
        <f>'AND 1'!V42+'ADY 1'!V42</f>
        <v>30000000</v>
      </c>
      <c r="Q42" s="347">
        <f>'AND 1'!X42+'ADY 1'!X42</f>
        <v>0</v>
      </c>
      <c r="R42" s="347">
        <f>'AND 1'!Z42+'ADY 1'!Z42</f>
        <v>0</v>
      </c>
      <c r="S42" s="348">
        <f t="shared" si="8"/>
        <v>30000000</v>
      </c>
      <c r="T42" s="347">
        <f t="shared" si="9"/>
        <v>33000000.000000004</v>
      </c>
      <c r="U42" s="347">
        <f t="shared" si="9"/>
        <v>36300000.000000007</v>
      </c>
      <c r="V42" s="347">
        <f t="shared" si="9"/>
        <v>39930000.000000015</v>
      </c>
    </row>
    <row r="43" spans="1:22" s="62" customFormat="1" ht="16.899999999999999" customHeight="1" x14ac:dyDescent="0.2">
      <c r="A43" s="385">
        <v>11</v>
      </c>
      <c r="B43" s="386" t="s">
        <v>79</v>
      </c>
      <c r="C43" s="386" t="s">
        <v>82</v>
      </c>
      <c r="D43" s="347">
        <f>'AND 1'!D43+'ADY 1'!D43</f>
        <v>0</v>
      </c>
      <c r="E43" s="347"/>
      <c r="F43" s="347">
        <f>'AND 1'!F43+'ADY 1'!F43</f>
        <v>0</v>
      </c>
      <c r="G43" s="347"/>
      <c r="H43" s="347">
        <f>'AND 1'!H43+'ADY 1'!H43</f>
        <v>0</v>
      </c>
      <c r="I43" s="347"/>
      <c r="J43" s="347">
        <f>'AND 1'!J43+'ADY 1'!J43</f>
        <v>0</v>
      </c>
      <c r="K43" s="347">
        <f>'AND 1'!L43+'ADY 1'!L43</f>
        <v>0</v>
      </c>
      <c r="L43" s="347">
        <f>'AND 1'!N43+'ADY 1'!N43</f>
        <v>0</v>
      </c>
      <c r="M43" s="347">
        <f>'AND 1'!P43+'ADY 1'!P43</f>
        <v>0</v>
      </c>
      <c r="N43" s="347">
        <f>'AND 1'!R43+'ADY 1'!R43</f>
        <v>0</v>
      </c>
      <c r="O43" s="347">
        <f>'AND 1'!T43+'ADY 1'!T43</f>
        <v>0</v>
      </c>
      <c r="P43" s="347">
        <f>'AND 1'!V43+'ADY 1'!V43</f>
        <v>30000000</v>
      </c>
      <c r="Q43" s="347">
        <f>'AND 1'!X43+'ADY 1'!X43</f>
        <v>0</v>
      </c>
      <c r="R43" s="347">
        <f>'AND 1'!Z43+'ADY 1'!Z43</f>
        <v>0</v>
      </c>
      <c r="S43" s="348">
        <f t="shared" si="8"/>
        <v>30000000</v>
      </c>
      <c r="T43" s="347">
        <f t="shared" si="9"/>
        <v>33000000.000000004</v>
      </c>
      <c r="U43" s="347">
        <f t="shared" si="9"/>
        <v>36300000.000000007</v>
      </c>
      <c r="V43" s="347">
        <f t="shared" si="9"/>
        <v>39930000.000000015</v>
      </c>
    </row>
    <row r="44" spans="1:22" s="2" customFormat="1" ht="16.899999999999999" customHeight="1" x14ac:dyDescent="0.2">
      <c r="A44" s="396"/>
      <c r="B44" s="386"/>
      <c r="C44" s="393" t="s">
        <v>83</v>
      </c>
      <c r="D44" s="355">
        <f t="shared" ref="D44:V44" si="10">SUM(D33:D43)</f>
        <v>47000000</v>
      </c>
      <c r="E44" s="355">
        <f t="shared" si="10"/>
        <v>0</v>
      </c>
      <c r="F44" s="355">
        <f t="shared" si="10"/>
        <v>47000000</v>
      </c>
      <c r="G44" s="355">
        <f t="shared" si="10"/>
        <v>0</v>
      </c>
      <c r="H44" s="355">
        <f t="shared" si="10"/>
        <v>97000000</v>
      </c>
      <c r="I44" s="355">
        <f t="shared" si="10"/>
        <v>0</v>
      </c>
      <c r="J44" s="355">
        <f t="shared" si="10"/>
        <v>47000000</v>
      </c>
      <c r="K44" s="355">
        <f t="shared" si="10"/>
        <v>47000000</v>
      </c>
      <c r="L44" s="355">
        <f t="shared" si="10"/>
        <v>63000000</v>
      </c>
      <c r="M44" s="355">
        <f t="shared" si="10"/>
        <v>47000000</v>
      </c>
      <c r="N44" s="355">
        <f t="shared" si="10"/>
        <v>47000000</v>
      </c>
      <c r="O44" s="355">
        <f t="shared" si="10"/>
        <v>47000000</v>
      </c>
      <c r="P44" s="355">
        <f t="shared" si="10"/>
        <v>107000000</v>
      </c>
      <c r="Q44" s="355">
        <f t="shared" si="10"/>
        <v>47000000</v>
      </c>
      <c r="R44" s="355">
        <f t="shared" si="10"/>
        <v>47000000</v>
      </c>
      <c r="S44" s="355">
        <f t="shared" si="10"/>
        <v>690000000</v>
      </c>
      <c r="T44" s="355">
        <f t="shared" si="10"/>
        <v>759000000</v>
      </c>
      <c r="U44" s="355">
        <f t="shared" si="10"/>
        <v>834900000</v>
      </c>
      <c r="V44" s="355">
        <f t="shared" si="10"/>
        <v>918390000</v>
      </c>
    </row>
    <row r="45" spans="1:22" s="2" customFormat="1" ht="16.899999999999999" customHeight="1" x14ac:dyDescent="0.2">
      <c r="A45" s="385">
        <v>12</v>
      </c>
      <c r="B45" s="386" t="s">
        <v>53</v>
      </c>
      <c r="C45" s="385" t="s">
        <v>84</v>
      </c>
      <c r="D45" s="347">
        <f>'AND 1'!D45+'ADY 1'!D45</f>
        <v>30000000</v>
      </c>
      <c r="E45" s="347"/>
      <c r="F45" s="347">
        <f>'AND 1'!F45+'ADY 1'!F45</f>
        <v>30000000</v>
      </c>
      <c r="G45" s="347"/>
      <c r="H45" s="347">
        <f>'AND 1'!H45+'ADY 1'!H45</f>
        <v>30000000</v>
      </c>
      <c r="I45" s="347"/>
      <c r="J45" s="347">
        <f>'AND 1'!J45+'ADY 1'!J45</f>
        <v>30000000</v>
      </c>
      <c r="K45" s="347">
        <f>'AND 1'!L45+'ADY 1'!L45</f>
        <v>30000000</v>
      </c>
      <c r="L45" s="347">
        <f>'AND 1'!N45+'ADY 1'!N45</f>
        <v>30000000</v>
      </c>
      <c r="M45" s="347">
        <f>'AND 1'!P45+'ADY 1'!P45</f>
        <v>30000000</v>
      </c>
      <c r="N45" s="347">
        <f>'AND 1'!R45+'ADY 1'!R45</f>
        <v>30000000</v>
      </c>
      <c r="O45" s="347">
        <f>'AND 1'!T45+'ADY 1'!T45</f>
        <v>30000000</v>
      </c>
      <c r="P45" s="347">
        <f>'AND 1'!V45+'ADY 1'!V45</f>
        <v>30000000</v>
      </c>
      <c r="Q45" s="347">
        <f>'AND 1'!X45+'ADY 1'!X45</f>
        <v>30000000</v>
      </c>
      <c r="R45" s="347">
        <f>'AND 1'!Z45+'ADY 1'!Z45</f>
        <v>30000000</v>
      </c>
      <c r="S45" s="348">
        <f t="shared" ref="S45:S55" si="11">R45+Q45+P45+O45+N45+M45+L45+K45+J45+H45+F45+D45</f>
        <v>360000000</v>
      </c>
      <c r="T45" s="347">
        <f t="shared" si="9"/>
        <v>396000000.00000006</v>
      </c>
      <c r="U45" s="347">
        <f t="shared" si="9"/>
        <v>435600000.00000012</v>
      </c>
      <c r="V45" s="347">
        <f t="shared" si="9"/>
        <v>479160000.00000018</v>
      </c>
    </row>
    <row r="46" spans="1:22" s="2" customFormat="1" ht="16.899999999999999" customHeight="1" x14ac:dyDescent="0.2">
      <c r="A46" s="385">
        <v>13</v>
      </c>
      <c r="B46" s="386" t="s">
        <v>85</v>
      </c>
      <c r="C46" s="385" t="s">
        <v>86</v>
      </c>
      <c r="D46" s="347">
        <f>'AND 1'!D46+'ADY 1'!D46</f>
        <v>0</v>
      </c>
      <c r="E46" s="347"/>
      <c r="F46" s="347">
        <f>'AND 1'!F46+'ADY 1'!F46</f>
        <v>0</v>
      </c>
      <c r="G46" s="347"/>
      <c r="H46" s="347">
        <f>'AND 1'!H46+'ADY 1'!H46</f>
        <v>0</v>
      </c>
      <c r="I46" s="347"/>
      <c r="J46" s="347">
        <f>'AND 1'!J46+'ADY 1'!J46</f>
        <v>0</v>
      </c>
      <c r="K46" s="347">
        <f>'AND 1'!L46+'ADY 1'!L46</f>
        <v>0</v>
      </c>
      <c r="L46" s="347">
        <f>'AND 1'!N46+'ADY 1'!N46</f>
        <v>60000000</v>
      </c>
      <c r="M46" s="347">
        <f>'AND 1'!P46+'ADY 1'!P46</f>
        <v>0</v>
      </c>
      <c r="N46" s="347">
        <f>'AND 1'!R46+'ADY 1'!R46</f>
        <v>0</v>
      </c>
      <c r="O46" s="347">
        <f>'AND 1'!T46+'ADY 1'!T46</f>
        <v>0</v>
      </c>
      <c r="P46" s="347">
        <f>'AND 1'!V46+'ADY 1'!V46</f>
        <v>60000000</v>
      </c>
      <c r="Q46" s="347">
        <f>'AND 1'!X46+'ADY 1'!X46</f>
        <v>0</v>
      </c>
      <c r="R46" s="347">
        <f>'AND 1'!Z46+'ADY 1'!Z46</f>
        <v>0</v>
      </c>
      <c r="S46" s="348">
        <f t="shared" si="11"/>
        <v>120000000</v>
      </c>
      <c r="T46" s="347">
        <f t="shared" si="9"/>
        <v>132000000.00000001</v>
      </c>
      <c r="U46" s="347">
        <f t="shared" si="9"/>
        <v>145200000.00000003</v>
      </c>
      <c r="V46" s="347">
        <f t="shared" si="9"/>
        <v>159720000.00000006</v>
      </c>
    </row>
    <row r="47" spans="1:22" ht="16.899999999999999" customHeight="1" x14ac:dyDescent="0.2">
      <c r="A47" s="385">
        <v>14</v>
      </c>
      <c r="B47" s="386" t="s">
        <v>87</v>
      </c>
      <c r="C47" s="397" t="s">
        <v>88</v>
      </c>
      <c r="D47" s="347">
        <f>'AND 1'!D47+'ADY 1'!D47</f>
        <v>131000000</v>
      </c>
      <c r="E47" s="347"/>
      <c r="F47" s="347">
        <f>'AND 1'!F47+'ADY 1'!F47</f>
        <v>131000000</v>
      </c>
      <c r="G47" s="347"/>
      <c r="H47" s="347">
        <f>'AND 1'!H47+'ADY 1'!H47</f>
        <v>131000000</v>
      </c>
      <c r="I47" s="347"/>
      <c r="J47" s="347">
        <f>'AND 1'!J47+'ADY 1'!J47</f>
        <v>131000000</v>
      </c>
      <c r="K47" s="347">
        <f>'AND 1'!L47+'ADY 1'!L47</f>
        <v>131000000</v>
      </c>
      <c r="L47" s="347">
        <f>'AND 1'!N47+'ADY 1'!N47</f>
        <v>131000000</v>
      </c>
      <c r="M47" s="347">
        <f>'AND 1'!P47+'ADY 1'!P47</f>
        <v>131000000</v>
      </c>
      <c r="N47" s="347">
        <f>'AND 1'!R47+'ADY 1'!R47</f>
        <v>131000000</v>
      </c>
      <c r="O47" s="347">
        <f>'AND 1'!T47+'ADY 1'!T47</f>
        <v>131000000</v>
      </c>
      <c r="P47" s="347">
        <f>'AND 1'!V47+'ADY 1'!V47</f>
        <v>131000000</v>
      </c>
      <c r="Q47" s="347">
        <f>'AND 1'!X47+'ADY 1'!X47</f>
        <v>131000000</v>
      </c>
      <c r="R47" s="347">
        <f>'AND 1'!Z47+'ADY 1'!Z47</f>
        <v>131000000</v>
      </c>
      <c r="S47" s="348">
        <f t="shared" si="11"/>
        <v>1572000000</v>
      </c>
      <c r="T47" s="347">
        <f t="shared" si="9"/>
        <v>1729200000.0000002</v>
      </c>
      <c r="U47" s="347">
        <f t="shared" si="9"/>
        <v>1902120000.0000005</v>
      </c>
      <c r="V47" s="347">
        <f t="shared" si="9"/>
        <v>2092332000.0000007</v>
      </c>
    </row>
    <row r="48" spans="1:22" ht="16.899999999999999" customHeight="1" x14ac:dyDescent="0.2">
      <c r="A48" s="385">
        <v>15</v>
      </c>
      <c r="B48" s="386" t="s">
        <v>89</v>
      </c>
      <c r="C48" s="385" t="s">
        <v>90</v>
      </c>
      <c r="D48" s="347">
        <f>'AND 1'!D48+'ADY 1'!D48</f>
        <v>13000000</v>
      </c>
      <c r="E48" s="347"/>
      <c r="F48" s="347">
        <f>'AND 1'!F48+'ADY 1'!F48</f>
        <v>13000000</v>
      </c>
      <c r="G48" s="347"/>
      <c r="H48" s="347">
        <f>'AND 1'!H48+'ADY 1'!H48</f>
        <v>13000000</v>
      </c>
      <c r="I48" s="347"/>
      <c r="J48" s="347">
        <f>'AND 1'!J48+'ADY 1'!J48</f>
        <v>13000000</v>
      </c>
      <c r="K48" s="347">
        <f>'AND 1'!L48+'ADY 1'!L48</f>
        <v>13000000</v>
      </c>
      <c r="L48" s="347">
        <f>'AND 1'!N48+'ADY 1'!N48</f>
        <v>13000000</v>
      </c>
      <c r="M48" s="347">
        <f>'AND 1'!P48+'ADY 1'!P48</f>
        <v>13000000</v>
      </c>
      <c r="N48" s="347">
        <f>'AND 1'!R48+'ADY 1'!R48</f>
        <v>13000000</v>
      </c>
      <c r="O48" s="347">
        <f>'AND 1'!T48+'ADY 1'!T48</f>
        <v>13000000</v>
      </c>
      <c r="P48" s="347">
        <f>'AND 1'!V48+'ADY 1'!V48</f>
        <v>13000000</v>
      </c>
      <c r="Q48" s="347">
        <f>'AND 1'!X48+'ADY 1'!X48</f>
        <v>13000000</v>
      </c>
      <c r="R48" s="347">
        <f>'AND 1'!Z48+'ADY 1'!Z48</f>
        <v>13000000</v>
      </c>
      <c r="S48" s="348">
        <f t="shared" si="11"/>
        <v>156000000</v>
      </c>
      <c r="T48" s="347">
        <f t="shared" si="9"/>
        <v>171600000</v>
      </c>
      <c r="U48" s="347">
        <f t="shared" si="9"/>
        <v>188760000.00000003</v>
      </c>
      <c r="V48" s="347">
        <f t="shared" si="9"/>
        <v>207636000.00000006</v>
      </c>
    </row>
    <row r="49" spans="1:22" ht="16.899999999999999" customHeight="1" x14ac:dyDescent="0.2">
      <c r="A49" s="385">
        <v>16</v>
      </c>
      <c r="B49" s="386" t="s">
        <v>91</v>
      </c>
      <c r="C49" s="385" t="s">
        <v>92</v>
      </c>
      <c r="D49" s="347">
        <f>'AND 1'!D49+'ADY 1'!D49</f>
        <v>40000000</v>
      </c>
      <c r="E49" s="347"/>
      <c r="F49" s="347">
        <f>'AND 1'!F49+'ADY 1'!F49</f>
        <v>40000000</v>
      </c>
      <c r="G49" s="347"/>
      <c r="H49" s="347">
        <f>'AND 1'!H49+'ADY 1'!H49</f>
        <v>40000000</v>
      </c>
      <c r="I49" s="347"/>
      <c r="J49" s="347">
        <f>'AND 1'!J49+'ADY 1'!J49</f>
        <v>40000000</v>
      </c>
      <c r="K49" s="347">
        <f>'AND 1'!L49+'ADY 1'!L49</f>
        <v>40000000</v>
      </c>
      <c r="L49" s="347">
        <f>'AND 1'!N49+'ADY 1'!N49</f>
        <v>40000000</v>
      </c>
      <c r="M49" s="347">
        <f>'AND 1'!P49+'ADY 1'!P49</f>
        <v>40000000</v>
      </c>
      <c r="N49" s="347">
        <f>'AND 1'!R49+'ADY 1'!R49</f>
        <v>40000000</v>
      </c>
      <c r="O49" s="347">
        <f>'AND 1'!T49+'ADY 1'!T49</f>
        <v>40000000</v>
      </c>
      <c r="P49" s="347">
        <f>'AND 1'!V49+'ADY 1'!V49</f>
        <v>40000000</v>
      </c>
      <c r="Q49" s="347">
        <f>'AND 1'!X49+'ADY 1'!X49</f>
        <v>40000000</v>
      </c>
      <c r="R49" s="347">
        <f>'AND 1'!Z49+'ADY 1'!Z49</f>
        <v>40000000</v>
      </c>
      <c r="S49" s="348">
        <f t="shared" si="11"/>
        <v>480000000</v>
      </c>
      <c r="T49" s="347">
        <f t="shared" si="9"/>
        <v>528000000.00000006</v>
      </c>
      <c r="U49" s="347">
        <f t="shared" si="9"/>
        <v>580800000.00000012</v>
      </c>
      <c r="V49" s="347">
        <f t="shared" si="9"/>
        <v>638880000.00000024</v>
      </c>
    </row>
    <row r="50" spans="1:22" ht="16.899999999999999" customHeight="1" x14ac:dyDescent="0.2">
      <c r="A50" s="385">
        <v>17</v>
      </c>
      <c r="B50" s="386" t="s">
        <v>93</v>
      </c>
      <c r="C50" s="385" t="s">
        <v>94</v>
      </c>
      <c r="D50" s="347">
        <f>'AND 1'!D50+'ADY 1'!D50</f>
        <v>46000000</v>
      </c>
      <c r="E50" s="347"/>
      <c r="F50" s="347">
        <f>'AND 1'!F50+'ADY 1'!F50</f>
        <v>46000000</v>
      </c>
      <c r="G50" s="347"/>
      <c r="H50" s="347">
        <f>'AND 1'!H50+'ADY 1'!H50</f>
        <v>46000000</v>
      </c>
      <c r="I50" s="347"/>
      <c r="J50" s="347">
        <f>'AND 1'!J50+'ADY 1'!J50</f>
        <v>46000000</v>
      </c>
      <c r="K50" s="347">
        <f>'AND 1'!L50+'ADY 1'!L50</f>
        <v>46000000</v>
      </c>
      <c r="L50" s="347">
        <f>'AND 1'!N50+'ADY 1'!N50</f>
        <v>46000000</v>
      </c>
      <c r="M50" s="347">
        <f>'AND 1'!P50+'ADY 1'!P50</f>
        <v>46000000</v>
      </c>
      <c r="N50" s="347">
        <f>'AND 1'!R50+'ADY 1'!R50</f>
        <v>46000000</v>
      </c>
      <c r="O50" s="347">
        <f>'AND 1'!T50+'ADY 1'!T50</f>
        <v>46000000</v>
      </c>
      <c r="P50" s="347">
        <f>'AND 1'!V50+'ADY 1'!V50</f>
        <v>46000000</v>
      </c>
      <c r="Q50" s="347">
        <f>'AND 1'!X50+'ADY 1'!X50</f>
        <v>46000000</v>
      </c>
      <c r="R50" s="347">
        <f>'AND 1'!Z50+'ADY 1'!Z50</f>
        <v>46000000</v>
      </c>
      <c r="S50" s="348">
        <f t="shared" si="11"/>
        <v>552000000</v>
      </c>
      <c r="T50" s="347">
        <f t="shared" si="9"/>
        <v>607200000</v>
      </c>
      <c r="U50" s="347">
        <f t="shared" si="9"/>
        <v>667920000</v>
      </c>
      <c r="V50" s="347">
        <f t="shared" si="9"/>
        <v>734712000</v>
      </c>
    </row>
    <row r="51" spans="1:22" s="66" customFormat="1" ht="27" x14ac:dyDescent="0.2">
      <c r="A51" s="385">
        <v>18</v>
      </c>
      <c r="B51" s="395" t="s">
        <v>95</v>
      </c>
      <c r="C51" s="388" t="s">
        <v>96</v>
      </c>
      <c r="D51" s="347">
        <f>'AND 1'!D51+'ADY 1'!D51</f>
        <v>2000000</v>
      </c>
      <c r="E51" s="347"/>
      <c r="F51" s="347">
        <f>'AND 1'!F51+'ADY 1'!F51</f>
        <v>2000000</v>
      </c>
      <c r="G51" s="347"/>
      <c r="H51" s="347">
        <f>'AND 1'!H51+'ADY 1'!H51</f>
        <v>2000000</v>
      </c>
      <c r="I51" s="347"/>
      <c r="J51" s="347">
        <f>'AND 1'!J51+'ADY 1'!J51</f>
        <v>2000000</v>
      </c>
      <c r="K51" s="347">
        <f>'AND 1'!L51+'ADY 1'!L51</f>
        <v>2000000</v>
      </c>
      <c r="L51" s="347">
        <f>'AND 1'!N51+'ADY 1'!N51</f>
        <v>2000000</v>
      </c>
      <c r="M51" s="347">
        <f>'AND 1'!P51+'ADY 1'!P51</f>
        <v>2000000</v>
      </c>
      <c r="N51" s="347">
        <f>'AND 1'!R51+'ADY 1'!R51</f>
        <v>2000000</v>
      </c>
      <c r="O51" s="347">
        <f>'AND 1'!T51+'ADY 1'!T51</f>
        <v>2000000</v>
      </c>
      <c r="P51" s="347">
        <f>'AND 1'!V51+'ADY 1'!V51</f>
        <v>2000000</v>
      </c>
      <c r="Q51" s="347">
        <f>'AND 1'!X51+'ADY 1'!X51</f>
        <v>2000000</v>
      </c>
      <c r="R51" s="347">
        <f>'AND 1'!Z51+'ADY 1'!Z51</f>
        <v>2000000</v>
      </c>
      <c r="S51" s="348">
        <f t="shared" si="11"/>
        <v>24000000</v>
      </c>
      <c r="T51" s="347">
        <f t="shared" si="9"/>
        <v>26400000.000000004</v>
      </c>
      <c r="U51" s="347">
        <f t="shared" si="9"/>
        <v>29040000.000000007</v>
      </c>
      <c r="V51" s="347">
        <f t="shared" si="9"/>
        <v>31944000.000000011</v>
      </c>
    </row>
    <row r="52" spans="1:22" ht="16.899999999999999" customHeight="1" x14ac:dyDescent="0.2">
      <c r="A52" s="385">
        <v>19</v>
      </c>
      <c r="B52" s="386" t="s">
        <v>97</v>
      </c>
      <c r="C52" s="385" t="s">
        <v>98</v>
      </c>
      <c r="D52" s="347">
        <f>'AND 1'!D52+'ADY 1'!D52</f>
        <v>5000000</v>
      </c>
      <c r="E52" s="347"/>
      <c r="F52" s="347">
        <f>'AND 1'!F52+'ADY 1'!F52</f>
        <v>5000000</v>
      </c>
      <c r="G52" s="347"/>
      <c r="H52" s="347">
        <f>'AND 1'!H52+'ADY 1'!H52</f>
        <v>5000000</v>
      </c>
      <c r="I52" s="347"/>
      <c r="J52" s="347">
        <f>'AND 1'!J52+'ADY 1'!J52</f>
        <v>5000000</v>
      </c>
      <c r="K52" s="347">
        <f>'AND 1'!L52+'ADY 1'!L52</f>
        <v>5000000</v>
      </c>
      <c r="L52" s="347">
        <f>'AND 1'!N52+'ADY 1'!N52</f>
        <v>5000000</v>
      </c>
      <c r="M52" s="347">
        <f>'AND 1'!P52+'ADY 1'!P52</f>
        <v>5000000</v>
      </c>
      <c r="N52" s="347">
        <f>'AND 1'!R52+'ADY 1'!R52</f>
        <v>5000000</v>
      </c>
      <c r="O52" s="347">
        <f>'AND 1'!T52+'ADY 1'!T52</f>
        <v>5000000</v>
      </c>
      <c r="P52" s="347">
        <f>'AND 1'!V52+'ADY 1'!V52</f>
        <v>5000000</v>
      </c>
      <c r="Q52" s="347">
        <f>'AND 1'!X52+'ADY 1'!X52</f>
        <v>5000000</v>
      </c>
      <c r="R52" s="347">
        <f>'AND 1'!Z52+'ADY 1'!Z52</f>
        <v>5000000</v>
      </c>
      <c r="S52" s="348">
        <f t="shared" si="11"/>
        <v>60000000</v>
      </c>
      <c r="T52" s="347">
        <f t="shared" si="9"/>
        <v>66000000.000000007</v>
      </c>
      <c r="U52" s="347">
        <f t="shared" si="9"/>
        <v>72600000.000000015</v>
      </c>
      <c r="V52" s="347">
        <f t="shared" si="9"/>
        <v>79860000.00000003</v>
      </c>
    </row>
    <row r="53" spans="1:22" ht="16.899999999999999" customHeight="1" x14ac:dyDescent="0.2">
      <c r="A53" s="385">
        <v>20</v>
      </c>
      <c r="B53" s="386" t="s">
        <v>99</v>
      </c>
      <c r="C53" s="385" t="s">
        <v>100</v>
      </c>
      <c r="D53" s="347">
        <f>'AND 1'!D53+'ADY 1'!D53</f>
        <v>20000000</v>
      </c>
      <c r="E53" s="347"/>
      <c r="F53" s="347">
        <f>'AND 1'!F53+'ADY 1'!F53</f>
        <v>20000000</v>
      </c>
      <c r="G53" s="347"/>
      <c r="H53" s="347">
        <f>'AND 1'!H53+'ADY 1'!H53</f>
        <v>20000000</v>
      </c>
      <c r="I53" s="347"/>
      <c r="J53" s="347">
        <f>'AND 1'!J53+'ADY 1'!J53</f>
        <v>20000000</v>
      </c>
      <c r="K53" s="347">
        <f>'AND 1'!L53+'ADY 1'!L53</f>
        <v>20000000</v>
      </c>
      <c r="L53" s="347">
        <f>'AND 1'!N53+'ADY 1'!N53</f>
        <v>20000000</v>
      </c>
      <c r="M53" s="347">
        <f>'AND 1'!P53+'ADY 1'!P53</f>
        <v>20000000</v>
      </c>
      <c r="N53" s="347">
        <f>'AND 1'!R53+'ADY 1'!R53</f>
        <v>20000000</v>
      </c>
      <c r="O53" s="347">
        <f>'AND 1'!T53+'ADY 1'!T53</f>
        <v>20000000</v>
      </c>
      <c r="P53" s="347">
        <f>'AND 1'!V53+'ADY 1'!V53</f>
        <v>20000000</v>
      </c>
      <c r="Q53" s="347">
        <f>'AND 1'!X53+'ADY 1'!X53</f>
        <v>20000000</v>
      </c>
      <c r="R53" s="347">
        <f>'AND 1'!Z53+'ADY 1'!Z53</f>
        <v>20000000</v>
      </c>
      <c r="S53" s="348">
        <f t="shared" si="11"/>
        <v>240000000</v>
      </c>
      <c r="T53" s="347">
        <f t="shared" si="9"/>
        <v>264000000.00000003</v>
      </c>
      <c r="U53" s="347">
        <f t="shared" si="9"/>
        <v>290400000.00000006</v>
      </c>
      <c r="V53" s="347">
        <f t="shared" si="9"/>
        <v>319440000.00000012</v>
      </c>
    </row>
    <row r="54" spans="1:22" ht="16.899999999999999" customHeight="1" x14ac:dyDescent="0.2">
      <c r="A54" s="385">
        <v>21</v>
      </c>
      <c r="B54" s="386" t="s">
        <v>64</v>
      </c>
      <c r="C54" s="385" t="s">
        <v>101</v>
      </c>
      <c r="D54" s="347">
        <f>'AND 1'!D54+'ADY 1'!D54</f>
        <v>80000000</v>
      </c>
      <c r="E54" s="347"/>
      <c r="F54" s="347">
        <f>'AND 1'!F54+'ADY 1'!F54</f>
        <v>0</v>
      </c>
      <c r="G54" s="347"/>
      <c r="H54" s="347">
        <f>'AND 1'!H54+'ADY 1'!H54</f>
        <v>0</v>
      </c>
      <c r="I54" s="347"/>
      <c r="J54" s="347">
        <f>'AND 1'!J54+'ADY 1'!J54</f>
        <v>0</v>
      </c>
      <c r="K54" s="347">
        <f>'AND 1'!L54+'ADY 1'!L54</f>
        <v>0</v>
      </c>
      <c r="L54" s="347">
        <f>'AND 1'!N54+'ADY 1'!N54</f>
        <v>0</v>
      </c>
      <c r="M54" s="347">
        <f>'AND 1'!P54+'ADY 1'!P54</f>
        <v>0</v>
      </c>
      <c r="N54" s="347">
        <f>'AND 1'!R54+'ADY 1'!R54</f>
        <v>0</v>
      </c>
      <c r="O54" s="347">
        <f>'AND 1'!T54+'ADY 1'!T54</f>
        <v>0</v>
      </c>
      <c r="P54" s="347">
        <f>'AND 1'!V54+'ADY 1'!V54</f>
        <v>0</v>
      </c>
      <c r="Q54" s="347">
        <f>'AND 1'!X54+'ADY 1'!X54</f>
        <v>0</v>
      </c>
      <c r="R54" s="347">
        <f>'AND 1'!Z54+'ADY 1'!Z54</f>
        <v>0</v>
      </c>
      <c r="S54" s="348">
        <f t="shared" si="11"/>
        <v>80000000</v>
      </c>
      <c r="T54" s="347">
        <f t="shared" si="9"/>
        <v>88000000</v>
      </c>
      <c r="U54" s="347">
        <f t="shared" si="9"/>
        <v>96800000.000000015</v>
      </c>
      <c r="V54" s="347">
        <f t="shared" si="9"/>
        <v>106480000.00000003</v>
      </c>
    </row>
    <row r="55" spans="1:22" ht="16.899999999999999" customHeight="1" x14ac:dyDescent="0.2">
      <c r="A55" s="385">
        <v>22</v>
      </c>
      <c r="B55" s="386" t="s">
        <v>64</v>
      </c>
      <c r="C55" s="385" t="s">
        <v>102</v>
      </c>
      <c r="D55" s="347">
        <f>'AND 1'!D55+'ADY 1'!D55</f>
        <v>40000000</v>
      </c>
      <c r="E55" s="347"/>
      <c r="F55" s="347">
        <f>'AND 1'!F55+'ADY 1'!F55</f>
        <v>5000000</v>
      </c>
      <c r="G55" s="347"/>
      <c r="H55" s="347">
        <f>'AND 1'!H55+'ADY 1'!H55</f>
        <v>0</v>
      </c>
      <c r="I55" s="347"/>
      <c r="J55" s="347">
        <f>'AND 1'!J55+'ADY 1'!J55</f>
        <v>0</v>
      </c>
      <c r="K55" s="347">
        <f>'AND 1'!L55+'ADY 1'!L55</f>
        <v>0</v>
      </c>
      <c r="L55" s="347">
        <f>'AND 1'!N55+'ADY 1'!N55</f>
        <v>0</v>
      </c>
      <c r="M55" s="347">
        <f>'AND 1'!P55+'ADY 1'!P55</f>
        <v>5000000</v>
      </c>
      <c r="N55" s="347">
        <f>'AND 1'!R55+'ADY 1'!R55</f>
        <v>5000000</v>
      </c>
      <c r="O55" s="347">
        <f>'AND 1'!T55+'ADY 1'!T55</f>
        <v>0</v>
      </c>
      <c r="P55" s="347">
        <f>'AND 1'!V55+'ADY 1'!V55</f>
        <v>0</v>
      </c>
      <c r="Q55" s="347">
        <f>'AND 1'!X55+'ADY 1'!X55</f>
        <v>0</v>
      </c>
      <c r="R55" s="347">
        <f>'AND 1'!Z55+'ADY 1'!Z55</f>
        <v>0</v>
      </c>
      <c r="S55" s="348">
        <f t="shared" si="11"/>
        <v>55000000</v>
      </c>
      <c r="T55" s="347">
        <f>S55*1.1</f>
        <v>60500000.000000007</v>
      </c>
      <c r="U55" s="347">
        <f>T55*1.1</f>
        <v>66550000.000000015</v>
      </c>
      <c r="V55" s="347">
        <f>U55*1.1</f>
        <v>73205000.000000015</v>
      </c>
    </row>
    <row r="56" spans="1:22" s="21" customFormat="1" ht="16.899999999999999" customHeight="1" x14ac:dyDescent="0.2">
      <c r="A56" s="346"/>
      <c r="B56" s="386"/>
      <c r="C56" s="355" t="s">
        <v>103</v>
      </c>
      <c r="D56" s="355">
        <f t="shared" ref="D56:V56" si="12">SUM(D45:D55)</f>
        <v>407000000</v>
      </c>
      <c r="E56" s="355">
        <f>SUM(E45:E55)</f>
        <v>0</v>
      </c>
      <c r="F56" s="355">
        <f>SUM(F45:F55)</f>
        <v>292000000</v>
      </c>
      <c r="G56" s="355">
        <f>SUM(G45:G55)</f>
        <v>0</v>
      </c>
      <c r="H56" s="355">
        <f>SUM(H45:H55)</f>
        <v>287000000</v>
      </c>
      <c r="I56" s="355">
        <f>SUM(I45:I55)</f>
        <v>0</v>
      </c>
      <c r="J56" s="355">
        <f t="shared" si="12"/>
        <v>287000000</v>
      </c>
      <c r="K56" s="355">
        <f t="shared" si="12"/>
        <v>287000000</v>
      </c>
      <c r="L56" s="355">
        <f t="shared" si="12"/>
        <v>347000000</v>
      </c>
      <c r="M56" s="355">
        <f t="shared" si="12"/>
        <v>292000000</v>
      </c>
      <c r="N56" s="355">
        <f t="shared" si="12"/>
        <v>292000000</v>
      </c>
      <c r="O56" s="355">
        <f t="shared" si="12"/>
        <v>287000000</v>
      </c>
      <c r="P56" s="355">
        <f t="shared" si="12"/>
        <v>347000000</v>
      </c>
      <c r="Q56" s="355">
        <f t="shared" si="12"/>
        <v>287000000</v>
      </c>
      <c r="R56" s="355">
        <f t="shared" si="12"/>
        <v>287000000</v>
      </c>
      <c r="S56" s="355">
        <f t="shared" si="12"/>
        <v>3699000000</v>
      </c>
      <c r="T56" s="355">
        <f t="shared" si="12"/>
        <v>4068900000.0000005</v>
      </c>
      <c r="U56" s="355">
        <f t="shared" si="12"/>
        <v>4475790000.000001</v>
      </c>
      <c r="V56" s="355">
        <f t="shared" si="12"/>
        <v>4923369000.000001</v>
      </c>
    </row>
    <row r="57" spans="1:22" s="2" customFormat="1" ht="16.899999999999999" customHeight="1" x14ac:dyDescent="0.2">
      <c r="A57" s="396"/>
      <c r="B57" s="390"/>
      <c r="C57" s="393" t="s">
        <v>104</v>
      </c>
      <c r="D57" s="358">
        <f t="shared" ref="D57:V57" si="13">D56+D44</f>
        <v>454000000</v>
      </c>
      <c r="E57" s="358">
        <f>E56+E44</f>
        <v>0</v>
      </c>
      <c r="F57" s="358">
        <f>F56+F44</f>
        <v>339000000</v>
      </c>
      <c r="G57" s="358">
        <f>G56+G44</f>
        <v>0</v>
      </c>
      <c r="H57" s="358">
        <f>H56+H44</f>
        <v>384000000</v>
      </c>
      <c r="I57" s="358">
        <f>I56+I44</f>
        <v>0</v>
      </c>
      <c r="J57" s="358">
        <f t="shared" si="13"/>
        <v>334000000</v>
      </c>
      <c r="K57" s="358">
        <f t="shared" si="13"/>
        <v>334000000</v>
      </c>
      <c r="L57" s="358">
        <f t="shared" si="13"/>
        <v>410000000</v>
      </c>
      <c r="M57" s="358">
        <f t="shared" si="13"/>
        <v>339000000</v>
      </c>
      <c r="N57" s="358">
        <f t="shared" si="13"/>
        <v>339000000</v>
      </c>
      <c r="O57" s="358">
        <f t="shared" si="13"/>
        <v>334000000</v>
      </c>
      <c r="P57" s="358">
        <f t="shared" si="13"/>
        <v>454000000</v>
      </c>
      <c r="Q57" s="358">
        <f t="shared" si="13"/>
        <v>334000000</v>
      </c>
      <c r="R57" s="358">
        <f t="shared" si="13"/>
        <v>334000000</v>
      </c>
      <c r="S57" s="358">
        <f t="shared" si="13"/>
        <v>4389000000</v>
      </c>
      <c r="T57" s="358">
        <f t="shared" si="13"/>
        <v>4827900000</v>
      </c>
      <c r="U57" s="358">
        <f t="shared" si="13"/>
        <v>5310690000.000001</v>
      </c>
      <c r="V57" s="358">
        <f t="shared" si="13"/>
        <v>5841759000.000001</v>
      </c>
    </row>
    <row r="58" spans="1:22" ht="16.899999999999999" customHeight="1" x14ac:dyDescent="0.2">
      <c r="A58" s="385">
        <v>1</v>
      </c>
      <c r="B58" s="386" t="s">
        <v>105</v>
      </c>
      <c r="C58" s="385" t="s">
        <v>106</v>
      </c>
      <c r="D58" s="347">
        <f>'AND 1'!D58+'ADY 1'!D58</f>
        <v>1900000</v>
      </c>
      <c r="E58" s="347"/>
      <c r="F58" s="347">
        <f>'AND 1'!F58+'ADY 1'!F58</f>
        <v>2850000</v>
      </c>
      <c r="G58" s="347"/>
      <c r="H58" s="347">
        <f>'AND 1'!H58+'ADY 1'!H58</f>
        <v>0</v>
      </c>
      <c r="I58" s="347"/>
      <c r="J58" s="347">
        <f>'AND 1'!J58+'ADY 1'!J58</f>
        <v>0</v>
      </c>
      <c r="K58" s="347">
        <f>'AND 1'!L58+'ADY 1'!L58</f>
        <v>0</v>
      </c>
      <c r="L58" s="347">
        <f>'AND 1'!N58+'ADY 1'!N58</f>
        <v>2850000</v>
      </c>
      <c r="M58" s="347">
        <f>'AND 1'!P58+'ADY 1'!P58</f>
        <v>0</v>
      </c>
      <c r="N58" s="347">
        <f>'AND 1'!R58+'ADY 1'!R58</f>
        <v>0</v>
      </c>
      <c r="O58" s="347">
        <f>'AND 1'!T58+'ADY 1'!T58</f>
        <v>0</v>
      </c>
      <c r="P58" s="347">
        <f>'AND 1'!V58+'ADY 1'!V58</f>
        <v>0</v>
      </c>
      <c r="Q58" s="347">
        <f>'AND 1'!X58+'ADY 1'!X58</f>
        <v>0</v>
      </c>
      <c r="R58" s="347">
        <f>'AND 1'!Z58+'ADY 1'!Z58</f>
        <v>0</v>
      </c>
      <c r="S58" s="348">
        <f t="shared" ref="S58:S63" si="14">R58+Q58+P58+O58+N58+M58+L58+K58+J58+H58+F58+D58</f>
        <v>7600000</v>
      </c>
      <c r="T58" s="347">
        <f t="shared" ref="T58:V63" si="15">S58*1.1</f>
        <v>8360000.0000000009</v>
      </c>
      <c r="U58" s="347">
        <f t="shared" si="15"/>
        <v>9196000.0000000019</v>
      </c>
      <c r="V58" s="347">
        <f t="shared" si="15"/>
        <v>10115600.000000004</v>
      </c>
    </row>
    <row r="59" spans="1:22" ht="16.899999999999999" customHeight="1" x14ac:dyDescent="0.2">
      <c r="A59" s="385">
        <v>2</v>
      </c>
      <c r="B59" s="386" t="s">
        <v>107</v>
      </c>
      <c r="C59" s="385" t="s">
        <v>108</v>
      </c>
      <c r="D59" s="347">
        <f>'AND 1'!D59+'ADY 1'!D59</f>
        <v>1349000</v>
      </c>
      <c r="E59" s="347"/>
      <c r="F59" s="347">
        <f>'AND 1'!F59+'ADY 1'!F59</f>
        <v>1349000</v>
      </c>
      <c r="G59" s="347"/>
      <c r="H59" s="347">
        <f>'AND 1'!H59+'ADY 1'!H59</f>
        <v>1349000</v>
      </c>
      <c r="I59" s="347"/>
      <c r="J59" s="347">
        <f>'AND 1'!J59+'ADY 1'!J59</f>
        <v>1349000</v>
      </c>
      <c r="K59" s="347">
        <f>'AND 1'!L59+'ADY 1'!L59</f>
        <v>1349000</v>
      </c>
      <c r="L59" s="347">
        <f>'AND 1'!N59+'ADY 1'!N59</f>
        <v>1349000</v>
      </c>
      <c r="M59" s="347">
        <f>'AND 1'!P59+'ADY 1'!P59</f>
        <v>1349000</v>
      </c>
      <c r="N59" s="347">
        <f>'AND 1'!R59+'ADY 1'!R59</f>
        <v>1349000</v>
      </c>
      <c r="O59" s="347">
        <f>'AND 1'!T59+'ADY 1'!T59</f>
        <v>1349000</v>
      </c>
      <c r="P59" s="347">
        <f>'AND 1'!V59+'ADY 1'!V59</f>
        <v>1349000</v>
      </c>
      <c r="Q59" s="347">
        <f>'AND 1'!X59+'ADY 1'!X59</f>
        <v>1349000</v>
      </c>
      <c r="R59" s="347">
        <f>'AND 1'!Z59+'ADY 1'!Z59</f>
        <v>1349000</v>
      </c>
      <c r="S59" s="348">
        <f t="shared" si="14"/>
        <v>16188000</v>
      </c>
      <c r="T59" s="347">
        <f t="shared" si="15"/>
        <v>17806800</v>
      </c>
      <c r="U59" s="347">
        <f t="shared" si="15"/>
        <v>19587480</v>
      </c>
      <c r="V59" s="347">
        <f t="shared" si="15"/>
        <v>21546228</v>
      </c>
    </row>
    <row r="60" spans="1:22" ht="16.899999999999999" customHeight="1" x14ac:dyDescent="0.2">
      <c r="A60" s="385">
        <v>3</v>
      </c>
      <c r="B60" s="386" t="s">
        <v>109</v>
      </c>
      <c r="C60" s="386" t="s">
        <v>110</v>
      </c>
      <c r="D60" s="347">
        <f>'AND 1'!D60+'ADY 1'!D60</f>
        <v>16910000</v>
      </c>
      <c r="E60" s="347"/>
      <c r="F60" s="347">
        <f>'AND 1'!F60+'ADY 1'!F60</f>
        <v>42560000</v>
      </c>
      <c r="G60" s="347"/>
      <c r="H60" s="347">
        <f>'AND 1'!H60+'ADY 1'!H60</f>
        <v>16910000</v>
      </c>
      <c r="I60" s="347"/>
      <c r="J60" s="347">
        <f>'AND 1'!J60+'ADY 1'!J60</f>
        <v>16910000</v>
      </c>
      <c r="K60" s="347">
        <f>'AND 1'!L60+'ADY 1'!L60</f>
        <v>36860000</v>
      </c>
      <c r="L60" s="347">
        <f>'AND 1'!N60+'ADY 1'!N60</f>
        <v>16910000</v>
      </c>
      <c r="M60" s="347">
        <f>'AND 1'!P60+'ADY 1'!P60</f>
        <v>16910000</v>
      </c>
      <c r="N60" s="347">
        <f>'AND 1'!R60+'ADY 1'!R60</f>
        <v>16910000</v>
      </c>
      <c r="O60" s="347">
        <f>'AND 1'!T60+'ADY 1'!T60</f>
        <v>16910000</v>
      </c>
      <c r="P60" s="347">
        <f>'AND 1'!V60+'ADY 1'!V60</f>
        <v>16910000</v>
      </c>
      <c r="Q60" s="347">
        <f>'AND 1'!X60+'ADY 1'!X60</f>
        <v>16910000</v>
      </c>
      <c r="R60" s="347">
        <f>'AND 1'!Z60+'ADY 1'!Z60</f>
        <v>16910000</v>
      </c>
      <c r="S60" s="348">
        <f t="shared" si="14"/>
        <v>248520000</v>
      </c>
      <c r="T60" s="347">
        <f t="shared" si="15"/>
        <v>273372000</v>
      </c>
      <c r="U60" s="347">
        <f t="shared" si="15"/>
        <v>300709200</v>
      </c>
      <c r="V60" s="347">
        <f t="shared" si="15"/>
        <v>330780120</v>
      </c>
    </row>
    <row r="61" spans="1:22" ht="16.899999999999999" customHeight="1" x14ac:dyDescent="0.2">
      <c r="A61" s="385">
        <v>4</v>
      </c>
      <c r="B61" s="386" t="s">
        <v>47</v>
      </c>
      <c r="C61" s="385" t="s">
        <v>111</v>
      </c>
      <c r="D61" s="347">
        <f>'AND 1'!D61+'ADY 1'!D61</f>
        <v>6650000</v>
      </c>
      <c r="E61" s="347"/>
      <c r="F61" s="347">
        <f>'AND 1'!F61+'ADY 1'!F61</f>
        <v>0</v>
      </c>
      <c r="G61" s="347"/>
      <c r="H61" s="347">
        <f>'AND 1'!H61+'ADY 1'!H61</f>
        <v>0</v>
      </c>
      <c r="I61" s="347"/>
      <c r="J61" s="347">
        <f>'AND 1'!J61+'ADY 1'!J61</f>
        <v>0</v>
      </c>
      <c r="K61" s="347">
        <f>'AND 1'!L61+'ADY 1'!L61</f>
        <v>0</v>
      </c>
      <c r="L61" s="347">
        <f>'AND 1'!N61+'ADY 1'!N61</f>
        <v>0</v>
      </c>
      <c r="M61" s="347">
        <f>'AND 1'!P61+'ADY 1'!P61</f>
        <v>6650000</v>
      </c>
      <c r="N61" s="347">
        <f>'AND 1'!R61+'ADY 1'!R61</f>
        <v>0</v>
      </c>
      <c r="O61" s="347">
        <f>'AND 1'!T61+'ADY 1'!T61</f>
        <v>0</v>
      </c>
      <c r="P61" s="347">
        <f>'AND 1'!V61+'ADY 1'!V61</f>
        <v>0</v>
      </c>
      <c r="Q61" s="347">
        <f>'AND 1'!X61+'ADY 1'!X61</f>
        <v>0</v>
      </c>
      <c r="R61" s="347">
        <f>'AND 1'!Z61+'ADY 1'!Z61</f>
        <v>0</v>
      </c>
      <c r="S61" s="348">
        <f t="shared" si="14"/>
        <v>13300000</v>
      </c>
      <c r="T61" s="347">
        <f t="shared" si="15"/>
        <v>14630000.000000002</v>
      </c>
      <c r="U61" s="347">
        <f t="shared" si="15"/>
        <v>16093000.000000004</v>
      </c>
      <c r="V61" s="347">
        <f t="shared" si="15"/>
        <v>17702300.000000004</v>
      </c>
    </row>
    <row r="62" spans="1:22" ht="16.899999999999999" customHeight="1" x14ac:dyDescent="0.2">
      <c r="A62" s="385">
        <v>5</v>
      </c>
      <c r="B62" s="386" t="s">
        <v>53</v>
      </c>
      <c r="C62" s="386" t="s">
        <v>112</v>
      </c>
      <c r="D62" s="347">
        <f>'AND 1'!D62+'ADY 1'!D62</f>
        <v>0</v>
      </c>
      <c r="E62" s="347"/>
      <c r="F62" s="347">
        <f>'AND 1'!F62+'ADY 1'!F62</f>
        <v>0</v>
      </c>
      <c r="G62" s="347"/>
      <c r="H62" s="347">
        <f>'AND 1'!H62+'ADY 1'!H62</f>
        <v>4750000</v>
      </c>
      <c r="I62" s="347"/>
      <c r="J62" s="347">
        <f>'AND 1'!J62+'ADY 1'!J62</f>
        <v>0</v>
      </c>
      <c r="K62" s="347">
        <f>'AND 1'!L62+'ADY 1'!L62</f>
        <v>0</v>
      </c>
      <c r="L62" s="347">
        <f>'AND 1'!N62+'ADY 1'!N62</f>
        <v>0</v>
      </c>
      <c r="M62" s="347">
        <f>'AND 1'!P62+'ADY 1'!P62</f>
        <v>4750000</v>
      </c>
      <c r="N62" s="347">
        <f>'AND 1'!R62+'ADY 1'!R62</f>
        <v>0</v>
      </c>
      <c r="O62" s="347">
        <f>'AND 1'!T62+'ADY 1'!T62</f>
        <v>0</v>
      </c>
      <c r="P62" s="347">
        <f>'AND 1'!V62+'ADY 1'!V62</f>
        <v>0</v>
      </c>
      <c r="Q62" s="347">
        <f>'AND 1'!X62+'ADY 1'!X62</f>
        <v>4750000</v>
      </c>
      <c r="R62" s="347">
        <f>'AND 1'!Z62+'ADY 1'!Z62</f>
        <v>0</v>
      </c>
      <c r="S62" s="348">
        <f t="shared" si="14"/>
        <v>14250000</v>
      </c>
      <c r="T62" s="347">
        <f t="shared" si="15"/>
        <v>15675000.000000002</v>
      </c>
      <c r="U62" s="347">
        <f t="shared" si="15"/>
        <v>17242500.000000004</v>
      </c>
      <c r="V62" s="347">
        <f t="shared" si="15"/>
        <v>18966750.000000007</v>
      </c>
    </row>
    <row r="63" spans="1:22" ht="16.899999999999999" customHeight="1" x14ac:dyDescent="0.2">
      <c r="A63" s="385">
        <v>6</v>
      </c>
      <c r="B63" s="386" t="s">
        <v>36</v>
      </c>
      <c r="C63" s="386" t="s">
        <v>113</v>
      </c>
      <c r="D63" s="347">
        <f>'AND 1'!D63+'ADY 1'!D63</f>
        <v>0</v>
      </c>
      <c r="E63" s="347"/>
      <c r="F63" s="347">
        <f>'AND 1'!F63+'ADY 1'!F63</f>
        <v>0</v>
      </c>
      <c r="G63" s="347"/>
      <c r="H63" s="347">
        <f>'AND 1'!H63+'ADY 1'!H63</f>
        <v>1064000</v>
      </c>
      <c r="I63" s="347"/>
      <c r="J63" s="347">
        <f>'AND 1'!J63+'ADY 1'!J63</f>
        <v>0</v>
      </c>
      <c r="K63" s="347">
        <f>'AND 1'!L63+'ADY 1'!L63</f>
        <v>1064000</v>
      </c>
      <c r="L63" s="347">
        <f>'AND 1'!N63+'ADY 1'!N63</f>
        <v>0</v>
      </c>
      <c r="M63" s="347">
        <f>'AND 1'!P63+'ADY 1'!P63</f>
        <v>0</v>
      </c>
      <c r="N63" s="347">
        <f>'AND 1'!R63+'ADY 1'!R63</f>
        <v>0</v>
      </c>
      <c r="O63" s="347">
        <f>'AND 1'!T63+'ADY 1'!T63</f>
        <v>0</v>
      </c>
      <c r="P63" s="347">
        <f>'AND 1'!V63+'ADY 1'!V63</f>
        <v>0</v>
      </c>
      <c r="Q63" s="347">
        <f>'AND 1'!X63+'ADY 1'!X63</f>
        <v>0</v>
      </c>
      <c r="R63" s="347">
        <f>'AND 1'!Z63+'ADY 1'!Z63</f>
        <v>0</v>
      </c>
      <c r="S63" s="348">
        <f t="shared" si="14"/>
        <v>2128000</v>
      </c>
      <c r="T63" s="347">
        <f t="shared" si="15"/>
        <v>2340800</v>
      </c>
      <c r="U63" s="347">
        <f t="shared" si="15"/>
        <v>2574880</v>
      </c>
      <c r="V63" s="347">
        <f t="shared" si="15"/>
        <v>2832368</v>
      </c>
    </row>
    <row r="64" spans="1:22" s="2" customFormat="1" ht="16.899999999999999" customHeight="1" x14ac:dyDescent="0.2">
      <c r="A64" s="385"/>
      <c r="B64" s="386"/>
      <c r="C64" s="393" t="s">
        <v>114</v>
      </c>
      <c r="D64" s="355">
        <f t="shared" ref="D64:V64" si="16">SUM(D58:D63)</f>
        <v>26809000</v>
      </c>
      <c r="E64" s="355">
        <f t="shared" si="16"/>
        <v>0</v>
      </c>
      <c r="F64" s="355">
        <f t="shared" si="16"/>
        <v>46759000</v>
      </c>
      <c r="G64" s="355">
        <f t="shared" si="16"/>
        <v>0</v>
      </c>
      <c r="H64" s="355">
        <f t="shared" si="16"/>
        <v>24073000</v>
      </c>
      <c r="I64" s="355">
        <f t="shared" si="16"/>
        <v>0</v>
      </c>
      <c r="J64" s="355">
        <f t="shared" si="16"/>
        <v>18259000</v>
      </c>
      <c r="K64" s="355">
        <f t="shared" si="16"/>
        <v>39273000</v>
      </c>
      <c r="L64" s="355">
        <f t="shared" si="16"/>
        <v>21109000</v>
      </c>
      <c r="M64" s="355">
        <f t="shared" si="16"/>
        <v>29659000</v>
      </c>
      <c r="N64" s="355">
        <f t="shared" si="16"/>
        <v>18259000</v>
      </c>
      <c r="O64" s="355">
        <f t="shared" si="16"/>
        <v>18259000</v>
      </c>
      <c r="P64" s="355">
        <f t="shared" si="16"/>
        <v>18259000</v>
      </c>
      <c r="Q64" s="355">
        <f t="shared" si="16"/>
        <v>23009000</v>
      </c>
      <c r="R64" s="355">
        <f t="shared" si="16"/>
        <v>18259000</v>
      </c>
      <c r="S64" s="355">
        <f t="shared" si="16"/>
        <v>301986000</v>
      </c>
      <c r="T64" s="355">
        <f t="shared" si="16"/>
        <v>332184600</v>
      </c>
      <c r="U64" s="355">
        <f t="shared" si="16"/>
        <v>365403060</v>
      </c>
      <c r="V64" s="355">
        <f t="shared" si="16"/>
        <v>401943366</v>
      </c>
    </row>
    <row r="65" spans="1:22" s="27" customFormat="1" ht="16.899999999999999" customHeight="1" x14ac:dyDescent="0.2">
      <c r="A65" s="386">
        <v>1</v>
      </c>
      <c r="B65" s="386" t="s">
        <v>47</v>
      </c>
      <c r="C65" s="385" t="s">
        <v>111</v>
      </c>
      <c r="D65" s="347">
        <f>'AND 1'!D65+'ADY 1'!D65</f>
        <v>0</v>
      </c>
      <c r="E65" s="347"/>
      <c r="F65" s="347">
        <f>'AND 1'!F65+'ADY 1'!F65</f>
        <v>0</v>
      </c>
      <c r="G65" s="347"/>
      <c r="H65" s="347">
        <f>'AND 1'!H65+'ADY 1'!H65</f>
        <v>0</v>
      </c>
      <c r="I65" s="347"/>
      <c r="J65" s="347">
        <f>'AND 1'!J65+'ADY 1'!J65</f>
        <v>6650000</v>
      </c>
      <c r="K65" s="347">
        <f>'AND 1'!L65+'ADY 1'!L65</f>
        <v>0</v>
      </c>
      <c r="L65" s="347">
        <f>'AND 1'!N65+'ADY 1'!N65</f>
        <v>0</v>
      </c>
      <c r="M65" s="347">
        <f>'AND 1'!P65+'ADY 1'!P65</f>
        <v>0</v>
      </c>
      <c r="N65" s="347">
        <f>'AND 1'!R65+'ADY 1'!R65</f>
        <v>0</v>
      </c>
      <c r="O65" s="347">
        <f>'AND 1'!T65+'ADY 1'!T65</f>
        <v>0</v>
      </c>
      <c r="P65" s="347">
        <f>'AND 1'!V65+'ADY 1'!V65</f>
        <v>6650000</v>
      </c>
      <c r="Q65" s="347">
        <f>'AND 1'!X65+'ADY 1'!X65</f>
        <v>0</v>
      </c>
      <c r="R65" s="347">
        <f>'AND 1'!Z65+'ADY 1'!Z65</f>
        <v>0</v>
      </c>
      <c r="S65" s="348">
        <f>R65+Q65+P65+O65+N65+M65+L65+K65+J65+H65+F65+D65</f>
        <v>13300000</v>
      </c>
      <c r="T65" s="347">
        <f t="shared" ref="T65:V66" si="17">S65*1.1</f>
        <v>14630000.000000002</v>
      </c>
      <c r="U65" s="347">
        <f t="shared" si="17"/>
        <v>16093000.000000004</v>
      </c>
      <c r="V65" s="347">
        <f t="shared" si="17"/>
        <v>17702300.000000004</v>
      </c>
    </row>
    <row r="66" spans="1:22" s="27" customFormat="1" ht="16.899999999999999" customHeight="1" x14ac:dyDescent="0.2">
      <c r="A66" s="390">
        <v>2</v>
      </c>
      <c r="B66" s="386" t="s">
        <v>53</v>
      </c>
      <c r="C66" s="386" t="s">
        <v>112</v>
      </c>
      <c r="D66" s="347">
        <f>'AND 1'!D66+'ADY 1'!D66</f>
        <v>0</v>
      </c>
      <c r="E66" s="347"/>
      <c r="F66" s="347">
        <f>'AND 1'!F66+'ADY 1'!F66</f>
        <v>0</v>
      </c>
      <c r="G66" s="347"/>
      <c r="H66" s="347">
        <f>'AND 1'!H66+'ADY 1'!H66</f>
        <v>0</v>
      </c>
      <c r="I66" s="347"/>
      <c r="J66" s="347">
        <f>'AND 1'!J66+'ADY 1'!J66</f>
        <v>0</v>
      </c>
      <c r="K66" s="347">
        <f>'AND 1'!L66+'ADY 1'!L66</f>
        <v>4750000</v>
      </c>
      <c r="L66" s="347">
        <f>'AND 1'!N66+'ADY 1'!N66</f>
        <v>0</v>
      </c>
      <c r="M66" s="347">
        <f>'AND 1'!P66+'ADY 1'!P66</f>
        <v>0</v>
      </c>
      <c r="N66" s="347">
        <f>'AND 1'!R66+'ADY 1'!R66</f>
        <v>0</v>
      </c>
      <c r="O66" s="347">
        <f>'AND 1'!T66+'ADY 1'!T66</f>
        <v>4750000</v>
      </c>
      <c r="P66" s="347">
        <f>'AND 1'!V66+'ADY 1'!V66</f>
        <v>0</v>
      </c>
      <c r="Q66" s="347">
        <f>'AND 1'!X66+'ADY 1'!X66</f>
        <v>0</v>
      </c>
      <c r="R66" s="347">
        <f>'AND 1'!Z66+'ADY 1'!Z66</f>
        <v>0</v>
      </c>
      <c r="S66" s="348">
        <f>R66+Q66+P66+O66+N66+M66+L66+K66+J66+H66+F66+D66</f>
        <v>9500000</v>
      </c>
      <c r="T66" s="347">
        <f t="shared" si="17"/>
        <v>10450000</v>
      </c>
      <c r="U66" s="347">
        <f t="shared" si="17"/>
        <v>11495000</v>
      </c>
      <c r="V66" s="347">
        <f t="shared" si="17"/>
        <v>12644500.000000002</v>
      </c>
    </row>
    <row r="67" spans="1:22" s="2" customFormat="1" ht="16.899999999999999" customHeight="1" x14ac:dyDescent="0.2">
      <c r="A67" s="396"/>
      <c r="B67" s="390"/>
      <c r="C67" s="393" t="s">
        <v>115</v>
      </c>
      <c r="D67" s="355">
        <f t="shared" ref="D67:V67" si="18">SUM(D65:D66)</f>
        <v>0</v>
      </c>
      <c r="E67" s="355">
        <f t="shared" si="18"/>
        <v>0</v>
      </c>
      <c r="F67" s="355">
        <f t="shared" si="18"/>
        <v>0</v>
      </c>
      <c r="G67" s="355">
        <f t="shared" si="18"/>
        <v>0</v>
      </c>
      <c r="H67" s="355">
        <f t="shared" si="18"/>
        <v>0</v>
      </c>
      <c r="I67" s="355">
        <f t="shared" si="18"/>
        <v>0</v>
      </c>
      <c r="J67" s="355">
        <f t="shared" si="18"/>
        <v>6650000</v>
      </c>
      <c r="K67" s="355">
        <f t="shared" si="18"/>
        <v>4750000</v>
      </c>
      <c r="L67" s="355">
        <f t="shared" si="18"/>
        <v>0</v>
      </c>
      <c r="M67" s="355">
        <f t="shared" si="18"/>
        <v>0</v>
      </c>
      <c r="N67" s="355">
        <f t="shared" si="18"/>
        <v>0</v>
      </c>
      <c r="O67" s="355">
        <f t="shared" si="18"/>
        <v>4750000</v>
      </c>
      <c r="P67" s="355">
        <f t="shared" si="18"/>
        <v>6650000</v>
      </c>
      <c r="Q67" s="355">
        <f t="shared" si="18"/>
        <v>0</v>
      </c>
      <c r="R67" s="355">
        <f t="shared" si="18"/>
        <v>0</v>
      </c>
      <c r="S67" s="355">
        <f t="shared" si="18"/>
        <v>22800000</v>
      </c>
      <c r="T67" s="355">
        <f t="shared" si="18"/>
        <v>25080000</v>
      </c>
      <c r="U67" s="355">
        <f t="shared" si="18"/>
        <v>27588000.000000004</v>
      </c>
      <c r="V67" s="355">
        <f t="shared" si="18"/>
        <v>30346800.000000007</v>
      </c>
    </row>
    <row r="68" spans="1:22" ht="16.899999999999999" customHeight="1" x14ac:dyDescent="0.2">
      <c r="A68" s="385">
        <v>1</v>
      </c>
      <c r="B68" s="386" t="s">
        <v>47</v>
      </c>
      <c r="C68" s="385" t="s">
        <v>111</v>
      </c>
      <c r="D68" s="347">
        <f>'AND 1'!D68+'ADY 1'!D68</f>
        <v>6000000</v>
      </c>
      <c r="E68" s="347"/>
      <c r="F68" s="347">
        <f>'AND 1'!F68+'ADY 1'!F68</f>
        <v>6000000</v>
      </c>
      <c r="G68" s="347"/>
      <c r="H68" s="347">
        <f>'AND 1'!H68+'ADY 1'!H68</f>
        <v>6000000</v>
      </c>
      <c r="I68" s="347"/>
      <c r="J68" s="347">
        <f>'AND 1'!J68+'ADY 1'!J68</f>
        <v>6000000</v>
      </c>
      <c r="K68" s="347">
        <f>'AND 1'!L68+'ADY 1'!L68</f>
        <v>6000000</v>
      </c>
      <c r="L68" s="347">
        <f>'AND 1'!N68+'ADY 1'!N68</f>
        <v>6000000</v>
      </c>
      <c r="M68" s="347">
        <f>'AND 1'!P68+'ADY 1'!P68</f>
        <v>6000000</v>
      </c>
      <c r="N68" s="347">
        <f>'AND 1'!R68+'ADY 1'!R68</f>
        <v>6000000</v>
      </c>
      <c r="O68" s="347">
        <f>'AND 1'!T68+'ADY 1'!T68</f>
        <v>6000000</v>
      </c>
      <c r="P68" s="347">
        <f>'AND 1'!V68+'ADY 1'!V68</f>
        <v>6000000</v>
      </c>
      <c r="Q68" s="347">
        <f>'AND 1'!X68+'ADY 1'!X68</f>
        <v>6000000</v>
      </c>
      <c r="R68" s="347">
        <f>'AND 1'!Z68+'ADY 1'!Z68</f>
        <v>6000000</v>
      </c>
      <c r="S68" s="348">
        <f>R68+Q68+P68+O68+N68+M68+L68+K68+J68+H68+F68+D68</f>
        <v>72000000</v>
      </c>
      <c r="T68" s="347">
        <f t="shared" ref="T68:V72" si="19">S68*1.1</f>
        <v>79200000</v>
      </c>
      <c r="U68" s="347">
        <f t="shared" si="19"/>
        <v>87120000</v>
      </c>
      <c r="V68" s="347">
        <f t="shared" si="19"/>
        <v>95832000.000000015</v>
      </c>
    </row>
    <row r="69" spans="1:22" ht="16.899999999999999" customHeight="1" x14ac:dyDescent="0.2">
      <c r="A69" s="385">
        <v>2</v>
      </c>
      <c r="B69" s="386" t="s">
        <v>47</v>
      </c>
      <c r="C69" s="395" t="s">
        <v>116</v>
      </c>
      <c r="D69" s="347">
        <f>'AND 1'!D69+'ADY 1'!D69</f>
        <v>0</v>
      </c>
      <c r="E69" s="347"/>
      <c r="F69" s="347">
        <f>'AND 1'!F69+'ADY 1'!F69</f>
        <v>0</v>
      </c>
      <c r="G69" s="347"/>
      <c r="H69" s="347">
        <f>'AND 1'!H69+'ADY 1'!H69</f>
        <v>0</v>
      </c>
      <c r="I69" s="347"/>
      <c r="J69" s="347">
        <f>'AND 1'!J69+'ADY 1'!J69</f>
        <v>0</v>
      </c>
      <c r="K69" s="347">
        <f>'AND 1'!L69+'ADY 1'!L69</f>
        <v>0</v>
      </c>
      <c r="L69" s="347">
        <f>'AND 1'!N69+'ADY 1'!N69</f>
        <v>0</v>
      </c>
      <c r="M69" s="347">
        <f>'AND 1'!P69+'ADY 1'!P69</f>
        <v>0</v>
      </c>
      <c r="N69" s="347">
        <f>'AND 1'!R69+'ADY 1'!R69</f>
        <v>0</v>
      </c>
      <c r="O69" s="347">
        <f>'AND 1'!T69+'ADY 1'!T69</f>
        <v>0</v>
      </c>
      <c r="P69" s="347">
        <f>'AND 1'!V69+'ADY 1'!V69</f>
        <v>0</v>
      </c>
      <c r="Q69" s="347">
        <f>'AND 1'!X69+'ADY 1'!X69</f>
        <v>0</v>
      </c>
      <c r="R69" s="347">
        <f>'AND 1'!Z69+'ADY 1'!Z69</f>
        <v>0</v>
      </c>
      <c r="S69" s="348">
        <f>R69+Q69+P69+O69+N69+M69+L69+K69+J69+H69+F69+D69</f>
        <v>0</v>
      </c>
      <c r="T69" s="347">
        <f t="shared" si="19"/>
        <v>0</v>
      </c>
      <c r="U69" s="347">
        <f t="shared" si="19"/>
        <v>0</v>
      </c>
      <c r="V69" s="347">
        <f t="shared" si="19"/>
        <v>0</v>
      </c>
    </row>
    <row r="70" spans="1:22" ht="16.899999999999999" customHeight="1" x14ac:dyDescent="0.2">
      <c r="A70" s="385">
        <v>3</v>
      </c>
      <c r="B70" s="386" t="s">
        <v>36</v>
      </c>
      <c r="C70" s="385" t="s">
        <v>117</v>
      </c>
      <c r="D70" s="347">
        <f>'AND 1'!D70+'ADY 1'!D70</f>
        <v>0</v>
      </c>
      <c r="E70" s="347"/>
      <c r="F70" s="347">
        <f>'AND 1'!F70+'ADY 1'!F70</f>
        <v>0</v>
      </c>
      <c r="G70" s="347"/>
      <c r="H70" s="347">
        <f>'AND 1'!H70+'ADY 1'!H70</f>
        <v>0</v>
      </c>
      <c r="I70" s="347"/>
      <c r="J70" s="347">
        <f>'AND 1'!J70+'ADY 1'!J70</f>
        <v>0</v>
      </c>
      <c r="K70" s="347">
        <f>'AND 1'!L70+'ADY 1'!L70</f>
        <v>150000000</v>
      </c>
      <c r="L70" s="347">
        <f>'AND 1'!N70+'ADY 1'!N70</f>
        <v>0</v>
      </c>
      <c r="M70" s="347">
        <f>'AND 1'!P70+'ADY 1'!P70</f>
        <v>0</v>
      </c>
      <c r="N70" s="347">
        <f>'AND 1'!R70+'ADY 1'!R70</f>
        <v>0</v>
      </c>
      <c r="O70" s="347">
        <f>'AND 1'!T70+'ADY 1'!T70</f>
        <v>0</v>
      </c>
      <c r="P70" s="347">
        <f>'AND 1'!V70+'ADY 1'!V70</f>
        <v>0</v>
      </c>
      <c r="Q70" s="347">
        <f>'AND 1'!X70+'ADY 1'!X70</f>
        <v>0</v>
      </c>
      <c r="R70" s="347">
        <f>'AND 1'!Z70+'ADY 1'!Z70</f>
        <v>0</v>
      </c>
      <c r="S70" s="348">
        <f>R70+Q70+P70+O70+N70+M70+L70+K70+J70+H70+F70+D70</f>
        <v>150000000</v>
      </c>
      <c r="T70" s="347">
        <f t="shared" si="19"/>
        <v>165000000</v>
      </c>
      <c r="U70" s="347">
        <f t="shared" si="19"/>
        <v>181500000</v>
      </c>
      <c r="V70" s="347">
        <f t="shared" si="19"/>
        <v>199650000.00000003</v>
      </c>
    </row>
    <row r="71" spans="1:22" ht="16.899999999999999" customHeight="1" x14ac:dyDescent="0.2">
      <c r="A71" s="385">
        <v>4</v>
      </c>
      <c r="B71" s="386" t="s">
        <v>47</v>
      </c>
      <c r="C71" s="385" t="s">
        <v>118</v>
      </c>
      <c r="D71" s="347">
        <f>'AND 1'!D71+'ADY 1'!D71</f>
        <v>0</v>
      </c>
      <c r="E71" s="347"/>
      <c r="F71" s="347">
        <f>'AND 1'!F71+'ADY 1'!F71</f>
        <v>0</v>
      </c>
      <c r="G71" s="347"/>
      <c r="H71" s="347">
        <f>'AND 1'!H71+'ADY 1'!H71</f>
        <v>30000000</v>
      </c>
      <c r="I71" s="347"/>
      <c r="J71" s="347">
        <f>'AND 1'!J71+'ADY 1'!J71</f>
        <v>0</v>
      </c>
      <c r="K71" s="347">
        <f>'AND 1'!L71+'ADY 1'!L71</f>
        <v>0</v>
      </c>
      <c r="L71" s="347">
        <f>'AND 1'!N71+'ADY 1'!N71</f>
        <v>0</v>
      </c>
      <c r="M71" s="347">
        <f>'AND 1'!P71+'ADY 1'!P71</f>
        <v>0</v>
      </c>
      <c r="N71" s="347">
        <f>'AND 1'!R71+'ADY 1'!R71</f>
        <v>0</v>
      </c>
      <c r="O71" s="347">
        <f>'AND 1'!T71+'ADY 1'!T71</f>
        <v>0</v>
      </c>
      <c r="P71" s="347">
        <f>'AND 1'!V71+'ADY 1'!V71</f>
        <v>0</v>
      </c>
      <c r="Q71" s="347">
        <f>'AND 1'!X71+'ADY 1'!X71</f>
        <v>0</v>
      </c>
      <c r="R71" s="347">
        <f>'AND 1'!Z71+'ADY 1'!Z71</f>
        <v>0</v>
      </c>
      <c r="S71" s="348">
        <f>R71+Q71+P71+O71+N71+M71+L71+K71+J71+H71+F71+D71</f>
        <v>30000000</v>
      </c>
      <c r="T71" s="347">
        <f t="shared" si="19"/>
        <v>33000000.000000004</v>
      </c>
      <c r="U71" s="347">
        <f t="shared" si="19"/>
        <v>36300000.000000007</v>
      </c>
      <c r="V71" s="347">
        <f t="shared" si="19"/>
        <v>39930000.000000015</v>
      </c>
    </row>
    <row r="72" spans="1:22" ht="16.899999999999999" customHeight="1" x14ac:dyDescent="0.2">
      <c r="A72" s="385">
        <v>5</v>
      </c>
      <c r="B72" s="386" t="s">
        <v>47</v>
      </c>
      <c r="C72" s="385" t="s">
        <v>119</v>
      </c>
      <c r="D72" s="347">
        <f>'AND 1'!D72+'ADY 1'!D72</f>
        <v>2000000</v>
      </c>
      <c r="E72" s="347"/>
      <c r="F72" s="347">
        <f>'AND 1'!F72+'ADY 1'!F72</f>
        <v>2000000</v>
      </c>
      <c r="G72" s="347"/>
      <c r="H72" s="347">
        <f>'AND 1'!H72+'ADY 1'!H72</f>
        <v>2000000</v>
      </c>
      <c r="I72" s="347"/>
      <c r="J72" s="347">
        <f>'AND 1'!J72+'ADY 1'!J72</f>
        <v>2000000</v>
      </c>
      <c r="K72" s="347">
        <f>'AND 1'!L72+'ADY 1'!L72</f>
        <v>2000000</v>
      </c>
      <c r="L72" s="347">
        <f>'AND 1'!N72+'ADY 1'!N72</f>
        <v>2000000</v>
      </c>
      <c r="M72" s="347">
        <f>'AND 1'!P72+'ADY 1'!P72</f>
        <v>2000000</v>
      </c>
      <c r="N72" s="347">
        <f>'AND 1'!R72+'ADY 1'!R72</f>
        <v>2000000</v>
      </c>
      <c r="O72" s="347">
        <f>'AND 1'!T72+'ADY 1'!T72</f>
        <v>2000000</v>
      </c>
      <c r="P72" s="347">
        <f>'AND 1'!V72+'ADY 1'!V72</f>
        <v>2000000</v>
      </c>
      <c r="Q72" s="347">
        <f>'AND 1'!X72+'ADY 1'!X72</f>
        <v>2000000</v>
      </c>
      <c r="R72" s="347">
        <f>'AND 1'!Z72+'ADY 1'!Z72</f>
        <v>2000000</v>
      </c>
      <c r="S72" s="348">
        <f>R72+Q72+P72+O72+N72+M72+L72+K72+J72+H72+F72+D72</f>
        <v>24000000</v>
      </c>
      <c r="T72" s="347">
        <f t="shared" si="19"/>
        <v>26400000.000000004</v>
      </c>
      <c r="U72" s="347">
        <f t="shared" si="19"/>
        <v>29040000.000000007</v>
      </c>
      <c r="V72" s="347">
        <f t="shared" si="19"/>
        <v>31944000.000000011</v>
      </c>
    </row>
    <row r="73" spans="1:22" s="2" customFormat="1" ht="16.899999999999999" customHeight="1" x14ac:dyDescent="0.2">
      <c r="A73" s="396"/>
      <c r="B73" s="390"/>
      <c r="C73" s="393" t="s">
        <v>120</v>
      </c>
      <c r="D73" s="355">
        <f t="shared" ref="D73:V73" si="20">SUM(D68:D72)</f>
        <v>8000000</v>
      </c>
      <c r="E73" s="355">
        <f t="shared" si="20"/>
        <v>0</v>
      </c>
      <c r="F73" s="355">
        <f t="shared" si="20"/>
        <v>8000000</v>
      </c>
      <c r="G73" s="355">
        <f t="shared" si="20"/>
        <v>0</v>
      </c>
      <c r="H73" s="355">
        <f t="shared" si="20"/>
        <v>38000000</v>
      </c>
      <c r="I73" s="355">
        <f t="shared" si="20"/>
        <v>0</v>
      </c>
      <c r="J73" s="355">
        <f t="shared" si="20"/>
        <v>8000000</v>
      </c>
      <c r="K73" s="355">
        <f t="shared" si="20"/>
        <v>158000000</v>
      </c>
      <c r="L73" s="355">
        <f t="shared" si="20"/>
        <v>8000000</v>
      </c>
      <c r="M73" s="355">
        <f t="shared" si="20"/>
        <v>8000000</v>
      </c>
      <c r="N73" s="355">
        <f t="shared" si="20"/>
        <v>8000000</v>
      </c>
      <c r="O73" s="355">
        <f t="shared" si="20"/>
        <v>8000000</v>
      </c>
      <c r="P73" s="355">
        <f t="shared" si="20"/>
        <v>8000000</v>
      </c>
      <c r="Q73" s="355">
        <f t="shared" si="20"/>
        <v>8000000</v>
      </c>
      <c r="R73" s="355">
        <f t="shared" si="20"/>
        <v>8000000</v>
      </c>
      <c r="S73" s="355">
        <f t="shared" si="20"/>
        <v>276000000</v>
      </c>
      <c r="T73" s="355">
        <f t="shared" si="20"/>
        <v>303600000</v>
      </c>
      <c r="U73" s="355">
        <f t="shared" si="20"/>
        <v>333960000</v>
      </c>
      <c r="V73" s="355">
        <f t="shared" si="20"/>
        <v>367356000.00000006</v>
      </c>
    </row>
    <row r="74" spans="1:22" s="27" customFormat="1" ht="16.899999999999999" customHeight="1" x14ac:dyDescent="0.2">
      <c r="A74" s="386">
        <v>1</v>
      </c>
      <c r="B74" s="386" t="s">
        <v>79</v>
      </c>
      <c r="C74" s="386" t="s">
        <v>121</v>
      </c>
      <c r="D74" s="347">
        <f>'AND 1'!D74+'ADY 1'!D74</f>
        <v>12000000</v>
      </c>
      <c r="E74" s="347"/>
      <c r="F74" s="347">
        <f>'AND 1'!F74+'ADY 1'!F74</f>
        <v>0</v>
      </c>
      <c r="G74" s="347"/>
      <c r="H74" s="347">
        <f>'AND 1'!H74+'ADY 1'!H74</f>
        <v>0</v>
      </c>
      <c r="I74" s="347"/>
      <c r="J74" s="347">
        <f>'AND 1'!J74+'ADY 1'!J74</f>
        <v>12000000</v>
      </c>
      <c r="K74" s="347">
        <f>'AND 1'!L74+'ADY 1'!L74</f>
        <v>0</v>
      </c>
      <c r="L74" s="347">
        <f>'AND 1'!N74+'ADY 1'!N74</f>
        <v>0</v>
      </c>
      <c r="M74" s="347">
        <f>'AND 1'!P74+'ADY 1'!P74</f>
        <v>12000000</v>
      </c>
      <c r="N74" s="347">
        <f>'AND 1'!R74+'ADY 1'!R74</f>
        <v>0</v>
      </c>
      <c r="O74" s="347">
        <f>'AND 1'!T74+'ADY 1'!T74</f>
        <v>0</v>
      </c>
      <c r="P74" s="347">
        <f>'AND 1'!V74+'ADY 1'!V74</f>
        <v>12000000</v>
      </c>
      <c r="Q74" s="347">
        <f>'AND 1'!X74+'ADY 1'!X74</f>
        <v>12000000</v>
      </c>
      <c r="R74" s="347">
        <f>'AND 1'!Z74+'ADY 1'!Z74</f>
        <v>12000000</v>
      </c>
      <c r="S74" s="348">
        <f>R74+Q74+P74+O74+N74+M74+L74+K74+J74+H74+F74+D74</f>
        <v>72000000</v>
      </c>
      <c r="T74" s="347">
        <f t="shared" ref="T74:V77" si="21">S74*1.1</f>
        <v>79200000</v>
      </c>
      <c r="U74" s="347">
        <f t="shared" si="21"/>
        <v>87120000</v>
      </c>
      <c r="V74" s="347">
        <f t="shared" si="21"/>
        <v>95832000.000000015</v>
      </c>
    </row>
    <row r="75" spans="1:22" s="27" customFormat="1" ht="16.899999999999999" customHeight="1" x14ac:dyDescent="0.2">
      <c r="A75" s="386">
        <v>2</v>
      </c>
      <c r="B75" s="386" t="s">
        <v>79</v>
      </c>
      <c r="C75" s="386" t="s">
        <v>122</v>
      </c>
      <c r="D75" s="347">
        <f>'AND 1'!D75+'ADY 1'!D75</f>
        <v>0</v>
      </c>
      <c r="E75" s="347"/>
      <c r="F75" s="347">
        <f>'AND 1'!F75+'ADY 1'!F75</f>
        <v>0</v>
      </c>
      <c r="G75" s="347"/>
      <c r="H75" s="347">
        <f>'AND 1'!H75+'ADY 1'!H75</f>
        <v>0</v>
      </c>
      <c r="I75" s="347"/>
      <c r="J75" s="347">
        <f>'AND 1'!J75+'ADY 1'!J75</f>
        <v>25000000</v>
      </c>
      <c r="K75" s="347">
        <f>'AND 1'!L75+'ADY 1'!L75</f>
        <v>0</v>
      </c>
      <c r="L75" s="347">
        <f>'AND 1'!N75+'ADY 1'!N75</f>
        <v>0</v>
      </c>
      <c r="M75" s="347">
        <f>'AND 1'!P75+'ADY 1'!P75</f>
        <v>0</v>
      </c>
      <c r="N75" s="347">
        <f>'AND 1'!R75+'ADY 1'!R75</f>
        <v>0</v>
      </c>
      <c r="O75" s="347">
        <f>'AND 1'!T75+'ADY 1'!T75</f>
        <v>0</v>
      </c>
      <c r="P75" s="347">
        <f>'AND 1'!V75+'ADY 1'!V75</f>
        <v>0</v>
      </c>
      <c r="Q75" s="347">
        <f>'AND 1'!X75+'ADY 1'!X75</f>
        <v>0</v>
      </c>
      <c r="R75" s="347">
        <f>'AND 1'!Z75+'ADY 1'!Z75</f>
        <v>0</v>
      </c>
      <c r="S75" s="348">
        <f>R75+Q75+P75+O75+N75+M75+L75+K75+J75+H75+F75+D75</f>
        <v>25000000</v>
      </c>
      <c r="T75" s="347">
        <f t="shared" si="21"/>
        <v>27500000.000000004</v>
      </c>
      <c r="U75" s="347">
        <f t="shared" si="21"/>
        <v>30250000.000000007</v>
      </c>
      <c r="V75" s="347">
        <f t="shared" si="21"/>
        <v>33275000.000000011</v>
      </c>
    </row>
    <row r="76" spans="1:22" s="27" customFormat="1" ht="16.899999999999999" customHeight="1" x14ac:dyDescent="0.2">
      <c r="A76" s="386">
        <v>3</v>
      </c>
      <c r="B76" s="386" t="s">
        <v>33</v>
      </c>
      <c r="C76" s="386" t="s">
        <v>123</v>
      </c>
      <c r="D76" s="347">
        <f>'AND 1'!D76+'ADY 1'!D76</f>
        <v>2000000</v>
      </c>
      <c r="E76" s="347"/>
      <c r="F76" s="347">
        <f>'AND 1'!F76+'ADY 1'!F76</f>
        <v>2000000</v>
      </c>
      <c r="G76" s="347"/>
      <c r="H76" s="347">
        <f>'AND 1'!H76+'ADY 1'!H76</f>
        <v>2000000</v>
      </c>
      <c r="I76" s="347"/>
      <c r="J76" s="347">
        <f>'AND 1'!J76+'ADY 1'!J76</f>
        <v>2000000</v>
      </c>
      <c r="K76" s="347">
        <f>'AND 1'!L76+'ADY 1'!L76</f>
        <v>2000000</v>
      </c>
      <c r="L76" s="347">
        <f>'AND 1'!N76+'ADY 1'!N76</f>
        <v>2000000</v>
      </c>
      <c r="M76" s="347">
        <f>'AND 1'!P76+'ADY 1'!P76</f>
        <v>2000000</v>
      </c>
      <c r="N76" s="347">
        <f>'AND 1'!R76+'ADY 1'!R76</f>
        <v>2000000</v>
      </c>
      <c r="O76" s="347">
        <f>'AND 1'!T76+'ADY 1'!T76</f>
        <v>2000000</v>
      </c>
      <c r="P76" s="347">
        <f>'AND 1'!V76+'ADY 1'!V76</f>
        <v>2000000</v>
      </c>
      <c r="Q76" s="347">
        <f>'AND 1'!X76+'ADY 1'!X76</f>
        <v>2000000</v>
      </c>
      <c r="R76" s="347">
        <f>'AND 1'!Z76+'ADY 1'!Z76</f>
        <v>2000000</v>
      </c>
      <c r="S76" s="348">
        <f>R76+Q76+P76+O76+N76+M76+L76+K76+J76+H76+F76+D76</f>
        <v>24000000</v>
      </c>
      <c r="T76" s="347">
        <f t="shared" si="21"/>
        <v>26400000.000000004</v>
      </c>
      <c r="U76" s="347">
        <f t="shared" si="21"/>
        <v>29040000.000000007</v>
      </c>
      <c r="V76" s="347">
        <f t="shared" si="21"/>
        <v>31944000.000000011</v>
      </c>
    </row>
    <row r="77" spans="1:22" s="27" customFormat="1" ht="16.899999999999999" customHeight="1" x14ac:dyDescent="0.2">
      <c r="A77" s="386">
        <v>4</v>
      </c>
      <c r="B77" s="386" t="s">
        <v>124</v>
      </c>
      <c r="C77" s="386" t="s">
        <v>125</v>
      </c>
      <c r="D77" s="347">
        <f>'AND 1'!D77+'ADY 1'!D77</f>
        <v>1000000</v>
      </c>
      <c r="E77" s="347"/>
      <c r="F77" s="347">
        <f>'AND 1'!F77+'ADY 1'!F77</f>
        <v>1000000</v>
      </c>
      <c r="G77" s="347"/>
      <c r="H77" s="347">
        <f>'AND 1'!H77+'ADY 1'!H77</f>
        <v>1000000</v>
      </c>
      <c r="I77" s="347"/>
      <c r="J77" s="347">
        <f>'AND 1'!J77+'ADY 1'!J77</f>
        <v>1000000</v>
      </c>
      <c r="K77" s="347">
        <f>'AND 1'!L77+'ADY 1'!L77</f>
        <v>1000000</v>
      </c>
      <c r="L77" s="347">
        <f>'AND 1'!N77+'ADY 1'!N77</f>
        <v>1000000</v>
      </c>
      <c r="M77" s="347">
        <f>'AND 1'!P77+'ADY 1'!P77</f>
        <v>1000000</v>
      </c>
      <c r="N77" s="347">
        <f>'AND 1'!R77+'ADY 1'!R77</f>
        <v>1000000</v>
      </c>
      <c r="O77" s="347">
        <f>'AND 1'!T77+'ADY 1'!T77</f>
        <v>1000000</v>
      </c>
      <c r="P77" s="347">
        <f>'AND 1'!V77+'ADY 1'!V77</f>
        <v>1000000</v>
      </c>
      <c r="Q77" s="347">
        <f>'AND 1'!X77+'ADY 1'!X77</f>
        <v>1000000</v>
      </c>
      <c r="R77" s="347">
        <f>'AND 1'!Z77+'ADY 1'!Z77</f>
        <v>1000000</v>
      </c>
      <c r="S77" s="348">
        <f>R77+Q77+P77+O77+N77+M77+L77+K77+J77+H77+F77+D77</f>
        <v>12000000</v>
      </c>
      <c r="T77" s="347">
        <f t="shared" si="21"/>
        <v>13200000.000000002</v>
      </c>
      <c r="U77" s="347">
        <f t="shared" si="21"/>
        <v>14520000.000000004</v>
      </c>
      <c r="V77" s="347">
        <f t="shared" si="21"/>
        <v>15972000.000000006</v>
      </c>
    </row>
    <row r="78" spans="1:22" s="2" customFormat="1" ht="16.899999999999999" customHeight="1" x14ac:dyDescent="0.2">
      <c r="A78" s="396"/>
      <c r="B78" s="386"/>
      <c r="C78" s="393" t="s">
        <v>126</v>
      </c>
      <c r="D78" s="355">
        <f t="shared" ref="D78:V78" si="22">SUM(D74:D77)</f>
        <v>15000000</v>
      </c>
      <c r="E78" s="355">
        <f t="shared" si="22"/>
        <v>0</v>
      </c>
      <c r="F78" s="355">
        <f t="shared" si="22"/>
        <v>3000000</v>
      </c>
      <c r="G78" s="355">
        <f t="shared" si="22"/>
        <v>0</v>
      </c>
      <c r="H78" s="355">
        <f t="shared" si="22"/>
        <v>3000000</v>
      </c>
      <c r="I78" s="355">
        <f t="shared" si="22"/>
        <v>0</v>
      </c>
      <c r="J78" s="355">
        <f t="shared" si="22"/>
        <v>40000000</v>
      </c>
      <c r="K78" s="355">
        <f t="shared" si="22"/>
        <v>3000000</v>
      </c>
      <c r="L78" s="355">
        <f t="shared" si="22"/>
        <v>3000000</v>
      </c>
      <c r="M78" s="355">
        <f t="shared" si="22"/>
        <v>15000000</v>
      </c>
      <c r="N78" s="355">
        <f t="shared" si="22"/>
        <v>3000000</v>
      </c>
      <c r="O78" s="355">
        <f t="shared" si="22"/>
        <v>3000000</v>
      </c>
      <c r="P78" s="355">
        <f t="shared" si="22"/>
        <v>15000000</v>
      </c>
      <c r="Q78" s="355">
        <f t="shared" si="22"/>
        <v>15000000</v>
      </c>
      <c r="R78" s="355">
        <f t="shared" si="22"/>
        <v>15000000</v>
      </c>
      <c r="S78" s="355">
        <f t="shared" si="22"/>
        <v>133000000</v>
      </c>
      <c r="T78" s="355">
        <f t="shared" si="22"/>
        <v>146300000</v>
      </c>
      <c r="U78" s="355">
        <f t="shared" si="22"/>
        <v>160930000</v>
      </c>
      <c r="V78" s="355">
        <f t="shared" si="22"/>
        <v>177023000.00000003</v>
      </c>
    </row>
    <row r="79" spans="1:22" ht="16.899999999999999" customHeight="1" x14ac:dyDescent="0.2">
      <c r="A79" s="385">
        <v>1</v>
      </c>
      <c r="B79" s="386" t="s">
        <v>57</v>
      </c>
      <c r="C79" s="385" t="s">
        <v>127</v>
      </c>
      <c r="D79" s="347">
        <f>'AND 1'!D79+'ADY 1'!D79</f>
        <v>3000000</v>
      </c>
      <c r="E79" s="347"/>
      <c r="F79" s="347">
        <f>'AND 1'!F79+'ADY 1'!F79</f>
        <v>3000000</v>
      </c>
      <c r="G79" s="347"/>
      <c r="H79" s="347">
        <f>'AND 1'!H79+'ADY 1'!H79</f>
        <v>3000000</v>
      </c>
      <c r="I79" s="347"/>
      <c r="J79" s="347">
        <f>'AND 1'!J79+'ADY 1'!J79</f>
        <v>3000000</v>
      </c>
      <c r="K79" s="347">
        <f>'AND 1'!L79+'ADY 1'!L79</f>
        <v>3000000</v>
      </c>
      <c r="L79" s="347">
        <f>'AND 1'!N79+'ADY 1'!N79</f>
        <v>3000000</v>
      </c>
      <c r="M79" s="347">
        <f>'AND 1'!P79+'ADY 1'!P79</f>
        <v>3000000</v>
      </c>
      <c r="N79" s="347">
        <f>'AND 1'!R79+'ADY 1'!R79</f>
        <v>3000000</v>
      </c>
      <c r="O79" s="347">
        <f>'AND 1'!T79+'ADY 1'!T79</f>
        <v>3000000</v>
      </c>
      <c r="P79" s="347">
        <f>'AND 1'!V79+'ADY 1'!V79</f>
        <v>3000000</v>
      </c>
      <c r="Q79" s="347">
        <f>'AND 1'!X79+'ADY 1'!X79</f>
        <v>3000000</v>
      </c>
      <c r="R79" s="347">
        <f>'AND 1'!Z79+'ADY 1'!Z79</f>
        <v>3000000</v>
      </c>
      <c r="S79" s="348">
        <f t="shared" ref="S79:S85" si="23">R79+Q79+P79+O79+N79+M79+L79+K79+J79+H79+F79+D79</f>
        <v>36000000</v>
      </c>
      <c r="T79" s="347">
        <f t="shared" ref="T79:V85" si="24">S79*1.1</f>
        <v>39600000</v>
      </c>
      <c r="U79" s="347">
        <f t="shared" si="24"/>
        <v>43560000</v>
      </c>
      <c r="V79" s="347">
        <f t="shared" si="24"/>
        <v>47916000.000000007</v>
      </c>
    </row>
    <row r="80" spans="1:22" ht="16.899999999999999" customHeight="1" x14ac:dyDescent="0.2">
      <c r="A80" s="385">
        <v>2</v>
      </c>
      <c r="B80" s="386" t="s">
        <v>79</v>
      </c>
      <c r="C80" s="385" t="s">
        <v>128</v>
      </c>
      <c r="D80" s="347">
        <f>'AND 1'!D80+'ADY 1'!D80</f>
        <v>25000000</v>
      </c>
      <c r="E80" s="347"/>
      <c r="F80" s="347">
        <f>'AND 1'!F80+'ADY 1'!F80</f>
        <v>15000000</v>
      </c>
      <c r="G80" s="347"/>
      <c r="H80" s="347">
        <f>'AND 1'!H80+'ADY 1'!H80</f>
        <v>15000000</v>
      </c>
      <c r="I80" s="347"/>
      <c r="J80" s="347">
        <f>'AND 1'!J80+'ADY 1'!J80</f>
        <v>15000000</v>
      </c>
      <c r="K80" s="347">
        <f>'AND 1'!L80+'ADY 1'!L80</f>
        <v>15000000</v>
      </c>
      <c r="L80" s="347">
        <f>'AND 1'!N80+'ADY 1'!N80</f>
        <v>15000000</v>
      </c>
      <c r="M80" s="347">
        <f>'AND 1'!P80+'ADY 1'!P80</f>
        <v>15000000</v>
      </c>
      <c r="N80" s="347">
        <f>'AND 1'!R80+'ADY 1'!R80</f>
        <v>15000000</v>
      </c>
      <c r="O80" s="347">
        <f>'AND 1'!T80+'ADY 1'!T80</f>
        <v>15000000</v>
      </c>
      <c r="P80" s="347">
        <f>'AND 1'!V80+'ADY 1'!V80</f>
        <v>15000000</v>
      </c>
      <c r="Q80" s="347">
        <f>'AND 1'!X80+'ADY 1'!X80</f>
        <v>15000000</v>
      </c>
      <c r="R80" s="347">
        <f>'AND 1'!Z80+'ADY 1'!Z80</f>
        <v>15000000</v>
      </c>
      <c r="S80" s="348">
        <f t="shared" si="23"/>
        <v>190000000</v>
      </c>
      <c r="T80" s="347">
        <f t="shared" si="24"/>
        <v>209000000.00000003</v>
      </c>
      <c r="U80" s="347">
        <f t="shared" si="24"/>
        <v>229900000.00000006</v>
      </c>
      <c r="V80" s="347">
        <f t="shared" si="24"/>
        <v>252890000.00000009</v>
      </c>
    </row>
    <row r="81" spans="1:22" ht="16.899999999999999" customHeight="1" x14ac:dyDescent="0.2">
      <c r="A81" s="385">
        <v>3</v>
      </c>
      <c r="B81" s="386" t="s">
        <v>47</v>
      </c>
      <c r="C81" s="385" t="s">
        <v>111</v>
      </c>
      <c r="D81" s="347">
        <f>'AND 1'!D81+'ADY 1'!D81</f>
        <v>5000000</v>
      </c>
      <c r="E81" s="347"/>
      <c r="F81" s="347">
        <f>'AND 1'!F81+'ADY 1'!F81</f>
        <v>5000000</v>
      </c>
      <c r="G81" s="347"/>
      <c r="H81" s="347">
        <f>'AND 1'!H81+'ADY 1'!H81</f>
        <v>12000000</v>
      </c>
      <c r="I81" s="347"/>
      <c r="J81" s="347">
        <f>'AND 1'!J81+'ADY 1'!J81</f>
        <v>5000000</v>
      </c>
      <c r="K81" s="347">
        <f>'AND 1'!L81+'ADY 1'!L81</f>
        <v>7500000</v>
      </c>
      <c r="L81" s="347">
        <f>'AND 1'!N81+'ADY 1'!N81</f>
        <v>7500000</v>
      </c>
      <c r="M81" s="347">
        <f>'AND 1'!P81+'ADY 1'!P81</f>
        <v>7500000</v>
      </c>
      <c r="N81" s="347">
        <f>'AND 1'!R81+'ADY 1'!R81</f>
        <v>7500000</v>
      </c>
      <c r="O81" s="347">
        <f>'AND 1'!T81+'ADY 1'!T81</f>
        <v>5000000</v>
      </c>
      <c r="P81" s="347">
        <f>'AND 1'!V81+'ADY 1'!V81</f>
        <v>5000000</v>
      </c>
      <c r="Q81" s="347">
        <f>'AND 1'!X81+'ADY 1'!X81</f>
        <v>5000000</v>
      </c>
      <c r="R81" s="347">
        <f>'AND 1'!Z81+'ADY 1'!Z81</f>
        <v>5000000</v>
      </c>
      <c r="S81" s="348">
        <f t="shared" si="23"/>
        <v>77000000</v>
      </c>
      <c r="T81" s="347">
        <f t="shared" si="24"/>
        <v>84700000</v>
      </c>
      <c r="U81" s="347">
        <f t="shared" si="24"/>
        <v>93170000.000000015</v>
      </c>
      <c r="V81" s="347">
        <f t="shared" si="24"/>
        <v>102487000.00000003</v>
      </c>
    </row>
    <row r="82" spans="1:22" ht="16.899999999999999" customHeight="1" x14ac:dyDescent="0.2">
      <c r="A82" s="385">
        <v>4</v>
      </c>
      <c r="B82" s="386" t="s">
        <v>129</v>
      </c>
      <c r="C82" s="385" t="s">
        <v>130</v>
      </c>
      <c r="D82" s="347">
        <f>'AND 1'!D82+'ADY 1'!D82</f>
        <v>2000000</v>
      </c>
      <c r="E82" s="347"/>
      <c r="F82" s="347">
        <f>'AND 1'!F82+'ADY 1'!F82</f>
        <v>2000000</v>
      </c>
      <c r="G82" s="347"/>
      <c r="H82" s="347">
        <f>'AND 1'!H82+'ADY 1'!H82</f>
        <v>2000000</v>
      </c>
      <c r="I82" s="347"/>
      <c r="J82" s="347">
        <f>'AND 1'!J82+'ADY 1'!J82</f>
        <v>2000000</v>
      </c>
      <c r="K82" s="347">
        <f>'AND 1'!L82+'ADY 1'!L82</f>
        <v>2000000</v>
      </c>
      <c r="L82" s="347">
        <f>'AND 1'!N82+'ADY 1'!N82</f>
        <v>2000000</v>
      </c>
      <c r="M82" s="347">
        <f>'AND 1'!P82+'ADY 1'!P82</f>
        <v>2000000</v>
      </c>
      <c r="N82" s="347">
        <f>'AND 1'!R82+'ADY 1'!R82</f>
        <v>2000000</v>
      </c>
      <c r="O82" s="347">
        <f>'AND 1'!T82+'ADY 1'!T82</f>
        <v>2000000</v>
      </c>
      <c r="P82" s="347">
        <f>'AND 1'!V82+'ADY 1'!V82</f>
        <v>2000000</v>
      </c>
      <c r="Q82" s="347">
        <f>'AND 1'!X82+'ADY 1'!X82</f>
        <v>2000000</v>
      </c>
      <c r="R82" s="347">
        <f>'AND 1'!Z82+'ADY 1'!Z82</f>
        <v>2000000</v>
      </c>
      <c r="S82" s="348">
        <f t="shared" si="23"/>
        <v>24000000</v>
      </c>
      <c r="T82" s="347">
        <f t="shared" si="24"/>
        <v>26400000.000000004</v>
      </c>
      <c r="U82" s="347">
        <f t="shared" si="24"/>
        <v>29040000.000000007</v>
      </c>
      <c r="V82" s="347">
        <f t="shared" si="24"/>
        <v>31944000.000000011</v>
      </c>
    </row>
    <row r="83" spans="1:22" ht="16.899999999999999" customHeight="1" x14ac:dyDescent="0.2">
      <c r="A83" s="385">
        <v>5</v>
      </c>
      <c r="B83" s="386" t="s">
        <v>36</v>
      </c>
      <c r="C83" s="385" t="s">
        <v>131</v>
      </c>
      <c r="D83" s="347">
        <f>'AND 1'!D83+'ADY 1'!D83</f>
        <v>5000000</v>
      </c>
      <c r="E83" s="347"/>
      <c r="F83" s="347">
        <f>'AND 1'!F83+'ADY 1'!F83</f>
        <v>5000000</v>
      </c>
      <c r="G83" s="347"/>
      <c r="H83" s="347">
        <f>'AND 1'!H83+'ADY 1'!H83</f>
        <v>5000000</v>
      </c>
      <c r="I83" s="347"/>
      <c r="J83" s="347">
        <f>'AND 1'!J83+'ADY 1'!J83</f>
        <v>5000000</v>
      </c>
      <c r="K83" s="347">
        <f>'AND 1'!L83+'ADY 1'!L83</f>
        <v>5000000</v>
      </c>
      <c r="L83" s="347">
        <f>'AND 1'!N83+'ADY 1'!N83</f>
        <v>5000000</v>
      </c>
      <c r="M83" s="347">
        <f>'AND 1'!P83+'ADY 1'!P83</f>
        <v>5000000</v>
      </c>
      <c r="N83" s="347">
        <f>'AND 1'!R83+'ADY 1'!R83</f>
        <v>5000000</v>
      </c>
      <c r="O83" s="347">
        <f>'AND 1'!T83+'ADY 1'!T83</f>
        <v>5000000</v>
      </c>
      <c r="P83" s="347">
        <f>'AND 1'!V83+'ADY 1'!V83</f>
        <v>5000000</v>
      </c>
      <c r="Q83" s="347">
        <f>'AND 1'!X83+'ADY 1'!X83</f>
        <v>5000000</v>
      </c>
      <c r="R83" s="347">
        <f>'AND 1'!Z83+'ADY 1'!Z83</f>
        <v>5000000</v>
      </c>
      <c r="S83" s="348">
        <f t="shared" si="23"/>
        <v>60000000</v>
      </c>
      <c r="T83" s="347">
        <f t="shared" si="24"/>
        <v>66000000.000000007</v>
      </c>
      <c r="U83" s="347">
        <f t="shared" si="24"/>
        <v>72600000.000000015</v>
      </c>
      <c r="V83" s="347">
        <f t="shared" si="24"/>
        <v>79860000.00000003</v>
      </c>
    </row>
    <row r="84" spans="1:22" ht="16.5" customHeight="1" x14ac:dyDescent="0.2">
      <c r="A84" s="385">
        <v>6</v>
      </c>
      <c r="B84" s="386" t="s">
        <v>39</v>
      </c>
      <c r="C84" s="385" t="s">
        <v>132</v>
      </c>
      <c r="D84" s="347">
        <f>'AND 1'!D84+'ADY 1'!D84</f>
        <v>0</v>
      </c>
      <c r="E84" s="347"/>
      <c r="F84" s="347">
        <f>'AND 1'!F84+'ADY 1'!F84</f>
        <v>0</v>
      </c>
      <c r="G84" s="347"/>
      <c r="H84" s="347">
        <f>'AND 1'!H84+'ADY 1'!H84</f>
        <v>0</v>
      </c>
      <c r="I84" s="347"/>
      <c r="J84" s="347">
        <f>'AND 1'!J84+'ADY 1'!J84</f>
        <v>0</v>
      </c>
      <c r="K84" s="347">
        <f>'AND 1'!L84+'ADY 1'!L84</f>
        <v>0</v>
      </c>
      <c r="L84" s="347">
        <f>'AND 1'!N84+'ADY 1'!N84</f>
        <v>0</v>
      </c>
      <c r="M84" s="347">
        <f>'AND 1'!P84+'ADY 1'!P84</f>
        <v>0</v>
      </c>
      <c r="N84" s="347">
        <f>'AND 1'!R84+'ADY 1'!R84</f>
        <v>0</v>
      </c>
      <c r="O84" s="347">
        <f>'AND 1'!T84+'ADY 1'!T84</f>
        <v>0</v>
      </c>
      <c r="P84" s="347">
        <f>'AND 1'!V84+'ADY 1'!V84</f>
        <v>0</v>
      </c>
      <c r="Q84" s="347">
        <f>'AND 1'!X84+'ADY 1'!X84</f>
        <v>0</v>
      </c>
      <c r="R84" s="347">
        <f>'AND 1'!Z84+'ADY 1'!Z84</f>
        <v>0</v>
      </c>
      <c r="S84" s="348">
        <f t="shared" si="23"/>
        <v>0</v>
      </c>
      <c r="T84" s="347">
        <f t="shared" si="24"/>
        <v>0</v>
      </c>
      <c r="U84" s="347">
        <f t="shared" si="24"/>
        <v>0</v>
      </c>
      <c r="V84" s="347">
        <f t="shared" si="24"/>
        <v>0</v>
      </c>
    </row>
    <row r="85" spans="1:22" ht="16.899999999999999" customHeight="1" x14ac:dyDescent="0.2">
      <c r="A85" s="385">
        <v>7</v>
      </c>
      <c r="B85" s="386" t="s">
        <v>53</v>
      </c>
      <c r="C85" s="385" t="s">
        <v>112</v>
      </c>
      <c r="D85" s="347">
        <f>'AND 1'!D85+'ADY 1'!D85</f>
        <v>0</v>
      </c>
      <c r="E85" s="347"/>
      <c r="F85" s="347">
        <f>'AND 1'!F85+'ADY 1'!F85</f>
        <v>0</v>
      </c>
      <c r="G85" s="347"/>
      <c r="H85" s="347">
        <f>'AND 1'!H85+'ADY 1'!H85</f>
        <v>0</v>
      </c>
      <c r="I85" s="347"/>
      <c r="J85" s="347">
        <f>'AND 1'!J85+'ADY 1'!J85</f>
        <v>0</v>
      </c>
      <c r="K85" s="347">
        <f>'AND 1'!L85+'ADY 1'!L85</f>
        <v>0</v>
      </c>
      <c r="L85" s="347">
        <f>'AND 1'!N85+'ADY 1'!N85</f>
        <v>0</v>
      </c>
      <c r="M85" s="347">
        <f>'AND 1'!P85+'ADY 1'!P85</f>
        <v>0</v>
      </c>
      <c r="N85" s="347">
        <f>'AND 1'!R85+'ADY 1'!R85</f>
        <v>0</v>
      </c>
      <c r="O85" s="347">
        <f>'AND 1'!T85+'ADY 1'!T85</f>
        <v>0</v>
      </c>
      <c r="P85" s="347">
        <f>'AND 1'!V85+'ADY 1'!V85</f>
        <v>0</v>
      </c>
      <c r="Q85" s="347">
        <f>'AND 1'!X85+'ADY 1'!X85</f>
        <v>0</v>
      </c>
      <c r="R85" s="347">
        <f>'AND 1'!Z85+'ADY 1'!Z85</f>
        <v>0</v>
      </c>
      <c r="S85" s="348">
        <f t="shared" si="23"/>
        <v>0</v>
      </c>
      <c r="T85" s="347">
        <f t="shared" si="24"/>
        <v>0</v>
      </c>
      <c r="U85" s="347">
        <f t="shared" si="24"/>
        <v>0</v>
      </c>
      <c r="V85" s="347">
        <f t="shared" si="24"/>
        <v>0</v>
      </c>
    </row>
    <row r="86" spans="1:22" s="2" customFormat="1" ht="16.899999999999999" customHeight="1" x14ac:dyDescent="0.2">
      <c r="A86" s="396"/>
      <c r="B86" s="386"/>
      <c r="C86" s="393" t="s">
        <v>133</v>
      </c>
      <c r="D86" s="358">
        <f t="shared" ref="D86:O86" si="25">SUM(D79:D85)</f>
        <v>40000000</v>
      </c>
      <c r="E86" s="358">
        <f t="shared" si="25"/>
        <v>0</v>
      </c>
      <c r="F86" s="358">
        <f t="shared" si="25"/>
        <v>30000000</v>
      </c>
      <c r="G86" s="358">
        <f t="shared" si="25"/>
        <v>0</v>
      </c>
      <c r="H86" s="358">
        <f t="shared" si="25"/>
        <v>37000000</v>
      </c>
      <c r="I86" s="358">
        <f t="shared" si="25"/>
        <v>0</v>
      </c>
      <c r="J86" s="358">
        <f t="shared" si="25"/>
        <v>30000000</v>
      </c>
      <c r="K86" s="358">
        <f t="shared" si="25"/>
        <v>32500000</v>
      </c>
      <c r="L86" s="358">
        <f t="shared" si="25"/>
        <v>32500000</v>
      </c>
      <c r="M86" s="358">
        <f t="shared" si="25"/>
        <v>32500000</v>
      </c>
      <c r="N86" s="358">
        <f t="shared" si="25"/>
        <v>32500000</v>
      </c>
      <c r="O86" s="358">
        <f t="shared" si="25"/>
        <v>30000000</v>
      </c>
      <c r="P86" s="358">
        <f t="shared" ref="P86:V86" si="26">SUM(P79:P85)</f>
        <v>30000000</v>
      </c>
      <c r="Q86" s="358">
        <f t="shared" si="26"/>
        <v>30000000</v>
      </c>
      <c r="R86" s="358">
        <f t="shared" si="26"/>
        <v>30000000</v>
      </c>
      <c r="S86" s="358">
        <f t="shared" si="26"/>
        <v>387000000</v>
      </c>
      <c r="T86" s="358">
        <f t="shared" si="26"/>
        <v>425700000</v>
      </c>
      <c r="U86" s="358">
        <f t="shared" si="26"/>
        <v>468270000.00000006</v>
      </c>
      <c r="V86" s="358">
        <f t="shared" si="26"/>
        <v>515097000.00000012</v>
      </c>
    </row>
    <row r="87" spans="1:22" s="2" customFormat="1" ht="16.899999999999999" customHeight="1" x14ac:dyDescent="0.2">
      <c r="A87" s="385">
        <v>1</v>
      </c>
      <c r="B87" s="386" t="s">
        <v>47</v>
      </c>
      <c r="C87" s="385" t="s">
        <v>111</v>
      </c>
      <c r="D87" s="347">
        <f>'AND 1'!D87+'ADY 1'!D87</f>
        <v>0</v>
      </c>
      <c r="E87" s="347"/>
      <c r="F87" s="347">
        <f>'AND 1'!F87+'ADY 1'!F87</f>
        <v>17000000</v>
      </c>
      <c r="G87" s="347"/>
      <c r="H87" s="347">
        <f>'AND 1'!H87+'ADY 1'!H87</f>
        <v>0</v>
      </c>
      <c r="I87" s="347"/>
      <c r="J87" s="347">
        <f>'AND 1'!J87+'ADY 1'!J87</f>
        <v>0</v>
      </c>
      <c r="K87" s="347">
        <f>'AND 1'!L87+'ADY 1'!L87</f>
        <v>16000000</v>
      </c>
      <c r="L87" s="347">
        <f>'AND 1'!N87+'ADY 1'!N87</f>
        <v>0</v>
      </c>
      <c r="M87" s="347">
        <f>'AND 1'!P87+'ADY 1'!P87</f>
        <v>0</v>
      </c>
      <c r="N87" s="347">
        <f>'AND 1'!R87+'ADY 1'!R87</f>
        <v>17000000</v>
      </c>
      <c r="O87" s="347">
        <f>'AND 1'!T87+'ADY 1'!T87</f>
        <v>0</v>
      </c>
      <c r="P87" s="347">
        <f>'AND 1'!V87+'ADY 1'!V87</f>
        <v>0</v>
      </c>
      <c r="Q87" s="347">
        <f>'AND 1'!X87+'ADY 1'!X87</f>
        <v>0</v>
      </c>
      <c r="R87" s="347">
        <f>'AND 1'!Z87+'ADY 1'!Z87</f>
        <v>0</v>
      </c>
      <c r="S87" s="348">
        <f t="shared" ref="S87:S92" si="27">R87+Q87+P87+O87+N87+M87+L87+K87+J87+H87+F87+D87</f>
        <v>50000000</v>
      </c>
      <c r="T87" s="347">
        <f t="shared" ref="T87:V92" si="28">S87*1.1</f>
        <v>55000000.000000007</v>
      </c>
      <c r="U87" s="347">
        <f t="shared" si="28"/>
        <v>60500000.000000015</v>
      </c>
      <c r="V87" s="347">
        <f t="shared" si="28"/>
        <v>66550000.000000022</v>
      </c>
    </row>
    <row r="88" spans="1:22" s="2" customFormat="1" ht="16.899999999999999" customHeight="1" x14ac:dyDescent="0.2">
      <c r="A88" s="385">
        <v>2</v>
      </c>
      <c r="B88" s="386" t="s">
        <v>53</v>
      </c>
      <c r="C88" s="385" t="s">
        <v>112</v>
      </c>
      <c r="D88" s="347">
        <f>'AND 1'!D88+'ADY 1'!D88</f>
        <v>6808000</v>
      </c>
      <c r="E88" s="347"/>
      <c r="F88" s="347">
        <f>'AND 1'!F88+'ADY 1'!F88</f>
        <v>9812000</v>
      </c>
      <c r="G88" s="347"/>
      <c r="H88" s="347">
        <f>'AND 1'!H88+'ADY 1'!H88</f>
        <v>0</v>
      </c>
      <c r="I88" s="347"/>
      <c r="J88" s="347">
        <f>'AND 1'!J88+'ADY 1'!J88</f>
        <v>0</v>
      </c>
      <c r="K88" s="347">
        <f>'AND 1'!L88+'ADY 1'!L88</f>
        <v>0</v>
      </c>
      <c r="L88" s="347">
        <f>'AND 1'!N88+'ADY 1'!N88</f>
        <v>11691000</v>
      </c>
      <c r="M88" s="347">
        <f>'AND 1'!P88+'ADY 1'!P88</f>
        <v>0</v>
      </c>
      <c r="N88" s="347">
        <f>'AND 1'!R88+'ADY 1'!R88</f>
        <v>1110000</v>
      </c>
      <c r="O88" s="347">
        <f>'AND 1'!T88+'ADY 1'!T88</f>
        <v>0</v>
      </c>
      <c r="P88" s="347">
        <f>'AND 1'!V88+'ADY 1'!V88</f>
        <v>0</v>
      </c>
      <c r="Q88" s="347">
        <f>'AND 1'!X88+'ADY 1'!X88</f>
        <v>0</v>
      </c>
      <c r="R88" s="347">
        <f>'AND 1'!Z88+'ADY 1'!Z88</f>
        <v>0</v>
      </c>
      <c r="S88" s="348">
        <f t="shared" si="27"/>
        <v>29421000</v>
      </c>
      <c r="T88" s="347">
        <f t="shared" si="28"/>
        <v>32363100.000000004</v>
      </c>
      <c r="U88" s="347">
        <f t="shared" si="28"/>
        <v>35599410.000000007</v>
      </c>
      <c r="V88" s="347">
        <f t="shared" si="28"/>
        <v>39159351.000000015</v>
      </c>
    </row>
    <row r="89" spans="1:22" s="2" customFormat="1" ht="16.899999999999999" customHeight="1" x14ac:dyDescent="0.2">
      <c r="A89" s="385">
        <v>3</v>
      </c>
      <c r="B89" s="386" t="s">
        <v>36</v>
      </c>
      <c r="C89" s="385" t="s">
        <v>134</v>
      </c>
      <c r="D89" s="347">
        <f>'AND 1'!D89+'ADY 1'!D89</f>
        <v>4000000</v>
      </c>
      <c r="E89" s="347"/>
      <c r="F89" s="347">
        <f>'AND 1'!F89+'ADY 1'!F89</f>
        <v>4000000</v>
      </c>
      <c r="G89" s="347"/>
      <c r="H89" s="347">
        <f>'AND 1'!H89+'ADY 1'!H89</f>
        <v>4000000</v>
      </c>
      <c r="I89" s="347"/>
      <c r="J89" s="347">
        <f>'AND 1'!J89+'ADY 1'!J89</f>
        <v>4000000</v>
      </c>
      <c r="K89" s="347">
        <f>'AND 1'!L89+'ADY 1'!L89</f>
        <v>4000000</v>
      </c>
      <c r="L89" s="347">
        <f>'AND 1'!N89+'ADY 1'!N89</f>
        <v>4000000</v>
      </c>
      <c r="M89" s="347">
        <f>'AND 1'!P89+'ADY 1'!P89</f>
        <v>4000000</v>
      </c>
      <c r="N89" s="347">
        <f>'AND 1'!R89+'ADY 1'!R89</f>
        <v>4000000</v>
      </c>
      <c r="O89" s="347">
        <f>'AND 1'!T89+'ADY 1'!T89</f>
        <v>4000000</v>
      </c>
      <c r="P89" s="347">
        <f>'AND 1'!V89+'ADY 1'!V89</f>
        <v>4000000</v>
      </c>
      <c r="Q89" s="347">
        <f>'AND 1'!X89+'ADY 1'!X89</f>
        <v>4000000</v>
      </c>
      <c r="R89" s="347">
        <f>'AND 1'!Z89+'ADY 1'!Z89</f>
        <v>4000000</v>
      </c>
      <c r="S89" s="348">
        <f t="shared" si="27"/>
        <v>48000000</v>
      </c>
      <c r="T89" s="347">
        <f t="shared" si="28"/>
        <v>52800000.000000007</v>
      </c>
      <c r="U89" s="347">
        <f t="shared" si="28"/>
        <v>58080000.000000015</v>
      </c>
      <c r="V89" s="347">
        <f t="shared" si="28"/>
        <v>63888000.000000022</v>
      </c>
    </row>
    <row r="90" spans="1:22" s="2" customFormat="1" ht="16.899999999999999" customHeight="1" x14ac:dyDescent="0.2">
      <c r="A90" s="385">
        <v>4</v>
      </c>
      <c r="B90" s="386" t="s">
        <v>36</v>
      </c>
      <c r="C90" s="385" t="s">
        <v>135</v>
      </c>
      <c r="D90" s="347">
        <f>'AND 1'!D90+'ADY 1'!D90</f>
        <v>0</v>
      </c>
      <c r="E90" s="347"/>
      <c r="F90" s="347">
        <f>'AND 1'!F90+'ADY 1'!F90</f>
        <v>0</v>
      </c>
      <c r="G90" s="347"/>
      <c r="H90" s="347">
        <f>'AND 1'!H90+'ADY 1'!H90</f>
        <v>0</v>
      </c>
      <c r="I90" s="347"/>
      <c r="J90" s="347">
        <f>'AND 1'!J90+'ADY 1'!J90</f>
        <v>0</v>
      </c>
      <c r="K90" s="347">
        <f>'AND 1'!L90+'ADY 1'!L90</f>
        <v>0</v>
      </c>
      <c r="L90" s="347">
        <f>'AND 1'!N90+'ADY 1'!N90</f>
        <v>0</v>
      </c>
      <c r="M90" s="347">
        <f>'AND 1'!P90+'ADY 1'!P90</f>
        <v>0</v>
      </c>
      <c r="N90" s="347">
        <f>'AND 1'!R90+'ADY 1'!R90</f>
        <v>0</v>
      </c>
      <c r="O90" s="347">
        <f>'AND 1'!T90+'ADY 1'!T90</f>
        <v>0</v>
      </c>
      <c r="P90" s="347">
        <f>'AND 1'!V90+'ADY 1'!V90</f>
        <v>107987600</v>
      </c>
      <c r="Q90" s="347">
        <f>'AND 1'!X90+'ADY 1'!X90</f>
        <v>0</v>
      </c>
      <c r="R90" s="347">
        <f>'AND 1'!Z90+'ADY 1'!Z90</f>
        <v>0</v>
      </c>
      <c r="S90" s="348">
        <f t="shared" si="27"/>
        <v>107987600</v>
      </c>
      <c r="T90" s="347">
        <f t="shared" si="28"/>
        <v>118786360.00000001</v>
      </c>
      <c r="U90" s="347">
        <f t="shared" si="28"/>
        <v>130664996.00000003</v>
      </c>
      <c r="V90" s="347">
        <f t="shared" si="28"/>
        <v>143731495.60000005</v>
      </c>
    </row>
    <row r="91" spans="1:22" s="62" customFormat="1" ht="16.899999999999999" customHeight="1" x14ac:dyDescent="0.2">
      <c r="A91" s="385">
        <v>5</v>
      </c>
      <c r="B91" s="386" t="s">
        <v>36</v>
      </c>
      <c r="C91" s="385" t="s">
        <v>137</v>
      </c>
      <c r="D91" s="347">
        <f>'AND 1'!D91+'ADY 1'!D91</f>
        <v>4000000</v>
      </c>
      <c r="E91" s="347"/>
      <c r="F91" s="347">
        <f>'AND 1'!F91+'ADY 1'!F91</f>
        <v>4000000</v>
      </c>
      <c r="G91" s="347"/>
      <c r="H91" s="347">
        <f>'AND 1'!H91+'ADY 1'!H91</f>
        <v>4000000</v>
      </c>
      <c r="I91" s="347"/>
      <c r="J91" s="347">
        <f>'AND 1'!J91+'ADY 1'!J91</f>
        <v>4000000</v>
      </c>
      <c r="K91" s="347">
        <f>'AND 1'!L91+'ADY 1'!L91</f>
        <v>4000000</v>
      </c>
      <c r="L91" s="347">
        <f>'AND 1'!N91+'ADY 1'!N91</f>
        <v>4000000</v>
      </c>
      <c r="M91" s="347">
        <f>'AND 1'!P91+'ADY 1'!P91</f>
        <v>4000000</v>
      </c>
      <c r="N91" s="347">
        <f>'AND 1'!R91+'ADY 1'!R91</f>
        <v>4000000</v>
      </c>
      <c r="O91" s="347">
        <f>'AND 1'!T91+'ADY 1'!T91</f>
        <v>4000000</v>
      </c>
      <c r="P91" s="347">
        <f>'AND 1'!V91+'ADY 1'!V91</f>
        <v>4000000</v>
      </c>
      <c r="Q91" s="347">
        <f>'AND 1'!X91+'ADY 1'!X91</f>
        <v>4000000</v>
      </c>
      <c r="R91" s="347">
        <f>'AND 1'!Z91+'ADY 1'!Z91</f>
        <v>4000000</v>
      </c>
      <c r="S91" s="348">
        <f t="shared" si="27"/>
        <v>48000000</v>
      </c>
      <c r="T91" s="347">
        <f t="shared" si="28"/>
        <v>52800000.000000007</v>
      </c>
      <c r="U91" s="347">
        <f t="shared" si="28"/>
        <v>58080000.000000015</v>
      </c>
      <c r="V91" s="347">
        <f t="shared" si="28"/>
        <v>63888000.000000022</v>
      </c>
    </row>
    <row r="92" spans="1:22" s="62" customFormat="1" ht="16.899999999999999" customHeight="1" x14ac:dyDescent="0.2">
      <c r="A92" s="385">
        <v>6</v>
      </c>
      <c r="B92" s="386" t="s">
        <v>138</v>
      </c>
      <c r="C92" s="385" t="s">
        <v>139</v>
      </c>
      <c r="D92" s="347">
        <f>'AND 1'!D92+'ADY 1'!D92</f>
        <v>1000000</v>
      </c>
      <c r="E92" s="347"/>
      <c r="F92" s="347">
        <f>'AND 1'!F92+'ADY 1'!F92</f>
        <v>1000000</v>
      </c>
      <c r="G92" s="347"/>
      <c r="H92" s="347">
        <f>'AND 1'!H92+'ADY 1'!H92</f>
        <v>1000000</v>
      </c>
      <c r="I92" s="347"/>
      <c r="J92" s="347">
        <f>'AND 1'!J92+'ADY 1'!J92</f>
        <v>1000000</v>
      </c>
      <c r="K92" s="347">
        <f>'AND 1'!L92+'ADY 1'!L92</f>
        <v>1000000</v>
      </c>
      <c r="L92" s="347">
        <f>'AND 1'!N92+'ADY 1'!N92</f>
        <v>1000000</v>
      </c>
      <c r="M92" s="347">
        <f>'AND 1'!P92+'ADY 1'!P92</f>
        <v>1000000</v>
      </c>
      <c r="N92" s="347">
        <f>'AND 1'!R92+'ADY 1'!R92</f>
        <v>1000000</v>
      </c>
      <c r="O92" s="347">
        <f>'AND 1'!T92+'ADY 1'!T92</f>
        <v>1000000</v>
      </c>
      <c r="P92" s="347">
        <f>'AND 1'!V92+'ADY 1'!V92</f>
        <v>1000000</v>
      </c>
      <c r="Q92" s="347">
        <f>'AND 1'!X92+'ADY 1'!X92</f>
        <v>1000000</v>
      </c>
      <c r="R92" s="347">
        <f>'AND 1'!Z92+'ADY 1'!Z92</f>
        <v>1000000</v>
      </c>
      <c r="S92" s="348">
        <f t="shared" si="27"/>
        <v>12000000</v>
      </c>
      <c r="T92" s="347">
        <f t="shared" si="28"/>
        <v>13200000.000000002</v>
      </c>
      <c r="U92" s="347">
        <f t="shared" si="28"/>
        <v>14520000.000000004</v>
      </c>
      <c r="V92" s="347">
        <f t="shared" si="28"/>
        <v>15972000.000000006</v>
      </c>
    </row>
    <row r="93" spans="1:22" s="2" customFormat="1" ht="16.899999999999999" customHeight="1" x14ac:dyDescent="0.2">
      <c r="A93" s="396"/>
      <c r="B93" s="386"/>
      <c r="C93" s="393" t="s">
        <v>140</v>
      </c>
      <c r="D93" s="358">
        <f t="shared" ref="D93:V93" si="29">SUM(D87:D92)</f>
        <v>15808000</v>
      </c>
      <c r="E93" s="358">
        <f t="shared" si="29"/>
        <v>0</v>
      </c>
      <c r="F93" s="358">
        <f t="shared" si="29"/>
        <v>35812000</v>
      </c>
      <c r="G93" s="358">
        <f t="shared" si="29"/>
        <v>0</v>
      </c>
      <c r="H93" s="358">
        <f t="shared" si="29"/>
        <v>9000000</v>
      </c>
      <c r="I93" s="358">
        <f t="shared" si="29"/>
        <v>0</v>
      </c>
      <c r="J93" s="358">
        <f t="shared" si="29"/>
        <v>9000000</v>
      </c>
      <c r="K93" s="358">
        <f t="shared" si="29"/>
        <v>25000000</v>
      </c>
      <c r="L93" s="358">
        <f t="shared" si="29"/>
        <v>20691000</v>
      </c>
      <c r="M93" s="358">
        <f t="shared" si="29"/>
        <v>9000000</v>
      </c>
      <c r="N93" s="358">
        <f t="shared" si="29"/>
        <v>27110000</v>
      </c>
      <c r="O93" s="358">
        <f t="shared" si="29"/>
        <v>9000000</v>
      </c>
      <c r="P93" s="358">
        <f t="shared" si="29"/>
        <v>116987600</v>
      </c>
      <c r="Q93" s="358">
        <f t="shared" si="29"/>
        <v>9000000</v>
      </c>
      <c r="R93" s="358">
        <f t="shared" si="29"/>
        <v>9000000</v>
      </c>
      <c r="S93" s="358">
        <f t="shared" si="29"/>
        <v>295408600</v>
      </c>
      <c r="T93" s="358">
        <f t="shared" si="29"/>
        <v>324949460.00000006</v>
      </c>
      <c r="U93" s="358">
        <f t="shared" si="29"/>
        <v>357444406.00000012</v>
      </c>
      <c r="V93" s="358">
        <f t="shared" si="29"/>
        <v>393188846.60000014</v>
      </c>
    </row>
    <row r="94" spans="1:22" s="27" customFormat="1" ht="16.899999999999999" customHeight="1" x14ac:dyDescent="0.2">
      <c r="A94" s="390">
        <v>1</v>
      </c>
      <c r="B94" s="386" t="s">
        <v>53</v>
      </c>
      <c r="C94" s="386" t="s">
        <v>141</v>
      </c>
      <c r="D94" s="347">
        <f>'AND 1'!D94+'ADY 1'!D94</f>
        <v>9332000</v>
      </c>
      <c r="E94" s="347"/>
      <c r="F94" s="347">
        <f>'AND 1'!F94+'ADY 1'!F94</f>
        <v>9332000</v>
      </c>
      <c r="G94" s="347"/>
      <c r="H94" s="347">
        <f>'AND 1'!H94+'ADY 1'!H94</f>
        <v>9332000</v>
      </c>
      <c r="I94" s="347"/>
      <c r="J94" s="347">
        <f>'AND 1'!J94+'ADY 1'!J94</f>
        <v>9332000</v>
      </c>
      <c r="K94" s="347">
        <f>'AND 1'!L94+'ADY 1'!L94</f>
        <v>9332000</v>
      </c>
      <c r="L94" s="347">
        <f>'AND 1'!N94+'ADY 1'!N94</f>
        <v>9332000</v>
      </c>
      <c r="M94" s="347">
        <f>'AND 1'!P94+'ADY 1'!P94</f>
        <v>9332000</v>
      </c>
      <c r="N94" s="347">
        <f>'AND 1'!R94+'ADY 1'!R94</f>
        <v>9332000</v>
      </c>
      <c r="O94" s="347">
        <f>'AND 1'!T94+'ADY 1'!T94</f>
        <v>9332000</v>
      </c>
      <c r="P94" s="347">
        <f>'AND 1'!V94+'ADY 1'!V94</f>
        <v>9332000</v>
      </c>
      <c r="Q94" s="347">
        <f>'AND 1'!X94+'ADY 1'!X94</f>
        <v>9332000</v>
      </c>
      <c r="R94" s="347">
        <f>'AND 1'!Z94+'ADY 1'!Z94</f>
        <v>9332000</v>
      </c>
      <c r="S94" s="348">
        <f>R94+Q94+P94+O94+N94+M94+L94+K94+J94+H94+F94+D94</f>
        <v>111984000</v>
      </c>
      <c r="T94" s="347">
        <f t="shared" ref="T94:V95" si="30">S94*1.1</f>
        <v>123182400.00000001</v>
      </c>
      <c r="U94" s="347">
        <f t="shared" si="30"/>
        <v>135500640.00000003</v>
      </c>
      <c r="V94" s="347">
        <f t="shared" si="30"/>
        <v>149050704.00000006</v>
      </c>
    </row>
    <row r="95" spans="1:22" s="27" customFormat="1" ht="16.899999999999999" customHeight="1" x14ac:dyDescent="0.2">
      <c r="A95" s="390">
        <v>2</v>
      </c>
      <c r="B95" s="386" t="s">
        <v>47</v>
      </c>
      <c r="C95" s="385" t="s">
        <v>111</v>
      </c>
      <c r="D95" s="347">
        <f>'AND 1'!D95+'ADY 1'!D95</f>
        <v>16000000</v>
      </c>
      <c r="E95" s="347"/>
      <c r="F95" s="347">
        <f>'AND 1'!F95+'ADY 1'!F95</f>
        <v>6000000</v>
      </c>
      <c r="G95" s="347"/>
      <c r="H95" s="347">
        <f>'AND 1'!H95+'ADY 1'!H95</f>
        <v>13500000</v>
      </c>
      <c r="I95" s="347"/>
      <c r="J95" s="347">
        <f>'AND 1'!J95+'ADY 1'!J95</f>
        <v>17500000</v>
      </c>
      <c r="K95" s="347">
        <f>'AND 1'!L95+'ADY 1'!L95</f>
        <v>7000000</v>
      </c>
      <c r="L95" s="347">
        <f>'AND 1'!N95+'ADY 1'!N95</f>
        <v>0</v>
      </c>
      <c r="M95" s="347">
        <f>'AND 1'!P95+'ADY 1'!P95</f>
        <v>1000000</v>
      </c>
      <c r="N95" s="347">
        <f>'AND 1'!R95+'ADY 1'!R95</f>
        <v>12000000</v>
      </c>
      <c r="O95" s="347">
        <f>'AND 1'!T95+'ADY 1'!T95</f>
        <v>2000000</v>
      </c>
      <c r="P95" s="347">
        <f>'AND 1'!V95+'ADY 1'!V95</f>
        <v>0</v>
      </c>
      <c r="Q95" s="347">
        <f>'AND 1'!X95+'ADY 1'!X95</f>
        <v>2000000</v>
      </c>
      <c r="R95" s="347">
        <f>'AND 1'!Z95+'ADY 1'!Z95</f>
        <v>0</v>
      </c>
      <c r="S95" s="348">
        <f>R95+Q95+P95+O95+N95+M95+L95+K95+J95+H95+F95+D95</f>
        <v>77000000</v>
      </c>
      <c r="T95" s="347">
        <f t="shared" si="30"/>
        <v>84700000</v>
      </c>
      <c r="U95" s="347">
        <f t="shared" si="30"/>
        <v>93170000.000000015</v>
      </c>
      <c r="V95" s="347">
        <f t="shared" si="30"/>
        <v>102487000.00000003</v>
      </c>
    </row>
    <row r="96" spans="1:22" s="2" customFormat="1" ht="16.899999999999999" customHeight="1" x14ac:dyDescent="0.2">
      <c r="A96" s="396"/>
      <c r="B96" s="386"/>
      <c r="C96" s="393" t="s">
        <v>142</v>
      </c>
      <c r="D96" s="355">
        <f t="shared" ref="D96:V96" si="31">SUM(D94:D95)</f>
        <v>25332000</v>
      </c>
      <c r="E96" s="355">
        <f t="shared" si="31"/>
        <v>0</v>
      </c>
      <c r="F96" s="355">
        <f t="shared" si="31"/>
        <v>15332000</v>
      </c>
      <c r="G96" s="355">
        <f t="shared" si="31"/>
        <v>0</v>
      </c>
      <c r="H96" s="355">
        <f t="shared" si="31"/>
        <v>22832000</v>
      </c>
      <c r="I96" s="355">
        <f t="shared" si="31"/>
        <v>0</v>
      </c>
      <c r="J96" s="355">
        <f t="shared" si="31"/>
        <v>26832000</v>
      </c>
      <c r="K96" s="355">
        <f t="shared" si="31"/>
        <v>16332000</v>
      </c>
      <c r="L96" s="355">
        <f t="shared" si="31"/>
        <v>9332000</v>
      </c>
      <c r="M96" s="355">
        <f t="shared" si="31"/>
        <v>10332000</v>
      </c>
      <c r="N96" s="355">
        <f t="shared" si="31"/>
        <v>21332000</v>
      </c>
      <c r="O96" s="355">
        <f t="shared" si="31"/>
        <v>11332000</v>
      </c>
      <c r="P96" s="355">
        <f t="shared" si="31"/>
        <v>9332000</v>
      </c>
      <c r="Q96" s="355">
        <f t="shared" si="31"/>
        <v>11332000</v>
      </c>
      <c r="R96" s="355">
        <f t="shared" si="31"/>
        <v>9332000</v>
      </c>
      <c r="S96" s="355">
        <f t="shared" si="31"/>
        <v>188984000</v>
      </c>
      <c r="T96" s="355">
        <f t="shared" si="31"/>
        <v>207882400</v>
      </c>
      <c r="U96" s="355">
        <f t="shared" si="31"/>
        <v>228670640.00000006</v>
      </c>
      <c r="V96" s="355">
        <f t="shared" si="31"/>
        <v>251537704.00000009</v>
      </c>
    </row>
    <row r="97" spans="1:22" s="27" customFormat="1" ht="16.899999999999999" customHeight="1" x14ac:dyDescent="0.2">
      <c r="A97" s="390">
        <v>1</v>
      </c>
      <c r="B97" s="386" t="s">
        <v>53</v>
      </c>
      <c r="C97" s="386" t="s">
        <v>141</v>
      </c>
      <c r="D97" s="348">
        <f>'AND 1'!D97+'ADY 1'!D97</f>
        <v>0</v>
      </c>
      <c r="E97" s="348"/>
      <c r="F97" s="348">
        <f>'AND 1'!F97+'ADY 1'!F97</f>
        <v>25000000</v>
      </c>
      <c r="G97" s="348"/>
      <c r="H97" s="348">
        <f>'AND 1'!H97+'ADY 1'!H97</f>
        <v>10000000</v>
      </c>
      <c r="I97" s="348"/>
      <c r="J97" s="348">
        <f>'AND 1'!J97+'ADY 1'!J97</f>
        <v>0</v>
      </c>
      <c r="K97" s="348">
        <f>'AND 1'!L97+'ADY 1'!L97</f>
        <v>0</v>
      </c>
      <c r="L97" s="348">
        <f>'AND 1'!N97+'ADY 1'!N97</f>
        <v>75000000</v>
      </c>
      <c r="M97" s="348">
        <f>'AND 1'!P97+'ADY 1'!P97</f>
        <v>0</v>
      </c>
      <c r="N97" s="348">
        <f>'AND 1'!R97+'ADY 1'!R97</f>
        <v>0</v>
      </c>
      <c r="O97" s="348">
        <f>'AND 1'!T97+'ADY 1'!T97</f>
        <v>1300000</v>
      </c>
      <c r="P97" s="348">
        <f>'AND 1'!V97+'ADY 1'!V97</f>
        <v>6590000</v>
      </c>
      <c r="Q97" s="348">
        <f>'AND 1'!X97+'ADY 1'!X97</f>
        <v>19000000</v>
      </c>
      <c r="R97" s="348">
        <f>'AND 1'!Z97+'ADY 1'!Z97</f>
        <v>0</v>
      </c>
      <c r="S97" s="348">
        <f>R97+Q97+P97+O97+N97+M97+L97+K97+J97+H97+F97+D97</f>
        <v>136890000</v>
      </c>
      <c r="T97" s="347">
        <f t="shared" ref="T97:V100" si="32">S97*1.1</f>
        <v>150579000</v>
      </c>
      <c r="U97" s="347">
        <f t="shared" si="32"/>
        <v>165636900</v>
      </c>
      <c r="V97" s="347">
        <f t="shared" si="32"/>
        <v>182200590</v>
      </c>
    </row>
    <row r="98" spans="1:22" s="27" customFormat="1" ht="16.899999999999999" customHeight="1" x14ac:dyDescent="0.2">
      <c r="A98" s="390">
        <v>2</v>
      </c>
      <c r="B98" s="386" t="s">
        <v>136</v>
      </c>
      <c r="C98" s="386" t="s">
        <v>146</v>
      </c>
      <c r="D98" s="348">
        <f>'AND 1'!D98+'ADY 1'!D98</f>
        <v>0</v>
      </c>
      <c r="E98" s="348"/>
      <c r="F98" s="348">
        <f>'AND 1'!F98+'ADY 1'!F98</f>
        <v>0</v>
      </c>
      <c r="G98" s="348"/>
      <c r="H98" s="348">
        <f>'AND 1'!H98+'ADY 1'!H98</f>
        <v>0</v>
      </c>
      <c r="I98" s="348"/>
      <c r="J98" s="348">
        <f>'AND 1'!J98+'ADY 1'!J98</f>
        <v>0</v>
      </c>
      <c r="K98" s="348">
        <f>'AND 1'!L98+'ADY 1'!L98</f>
        <v>0</v>
      </c>
      <c r="L98" s="348">
        <f>'AND 1'!N98+'ADY 1'!N98</f>
        <v>0</v>
      </c>
      <c r="M98" s="348">
        <f>'AND 1'!P98+'ADY 1'!P98</f>
        <v>0</v>
      </c>
      <c r="N98" s="348">
        <f>'AND 1'!R98+'ADY 1'!R98</f>
        <v>0</v>
      </c>
      <c r="O98" s="348">
        <f>'AND 1'!T98+'ADY 1'!T98</f>
        <v>0</v>
      </c>
      <c r="P98" s="348">
        <f>'AND 1'!V98+'ADY 1'!V98</f>
        <v>0</v>
      </c>
      <c r="Q98" s="348">
        <f>'AND 1'!X98+'ADY 1'!X98</f>
        <v>0</v>
      </c>
      <c r="R98" s="348">
        <f>'AND 1'!Z98+'ADY 1'!Z98</f>
        <v>0</v>
      </c>
      <c r="S98" s="346">
        <f>R98+Q98+P98+O98+N98+M98+L98+K98+J98+H98+F98+D98</f>
        <v>0</v>
      </c>
      <c r="T98" s="347">
        <f t="shared" si="32"/>
        <v>0</v>
      </c>
      <c r="U98" s="347">
        <f t="shared" si="32"/>
        <v>0</v>
      </c>
      <c r="V98" s="347">
        <f t="shared" si="32"/>
        <v>0</v>
      </c>
    </row>
    <row r="99" spans="1:22" s="27" customFormat="1" ht="16.899999999999999" customHeight="1" x14ac:dyDescent="0.2">
      <c r="A99" s="390">
        <v>3</v>
      </c>
      <c r="B99" s="386" t="s">
        <v>36</v>
      </c>
      <c r="C99" s="386" t="s">
        <v>189</v>
      </c>
      <c r="D99" s="348">
        <f>'AND 1'!D99+'ADY 1'!D99</f>
        <v>0</v>
      </c>
      <c r="E99" s="348"/>
      <c r="F99" s="348">
        <f>'AND 1'!F99+'ADY 1'!F99</f>
        <v>0</v>
      </c>
      <c r="G99" s="348"/>
      <c r="H99" s="348">
        <f>'AND 1'!H99+'ADY 1'!H99</f>
        <v>0</v>
      </c>
      <c r="I99" s="348"/>
      <c r="J99" s="348">
        <f>'AND 1'!J99+'ADY 1'!J99</f>
        <v>0</v>
      </c>
      <c r="K99" s="348">
        <f>'AND 1'!L99+'ADY 1'!L99</f>
        <v>0</v>
      </c>
      <c r="L99" s="348">
        <f>'AND 1'!N99+'ADY 1'!N99</f>
        <v>0</v>
      </c>
      <c r="M99" s="348">
        <f>'AND 1'!P99+'ADY 1'!P99</f>
        <v>0</v>
      </c>
      <c r="N99" s="348">
        <f>'AND 1'!R99+'ADY 1'!R99</f>
        <v>0</v>
      </c>
      <c r="O99" s="348">
        <f>'AND 1'!T99+'ADY 1'!T99</f>
        <v>0</v>
      </c>
      <c r="P99" s="348">
        <f>'AND 1'!V99+'ADY 1'!V99</f>
        <v>0</v>
      </c>
      <c r="Q99" s="348">
        <f>'AND 1'!X99+'ADY 1'!X99</f>
        <v>0</v>
      </c>
      <c r="R99" s="348">
        <f>'AND 1'!Z99+'ADY 1'!Z99</f>
        <v>0</v>
      </c>
      <c r="S99" s="346">
        <f>R99+Q99+P99+O99+N99+M99+L99+K99+J99+H99+F99+D99</f>
        <v>0</v>
      </c>
      <c r="T99" s="347">
        <f t="shared" si="32"/>
        <v>0</v>
      </c>
      <c r="U99" s="347">
        <f t="shared" si="32"/>
        <v>0</v>
      </c>
      <c r="V99" s="347">
        <f t="shared" si="32"/>
        <v>0</v>
      </c>
    </row>
    <row r="100" spans="1:22" s="27" customFormat="1" ht="16.899999999999999" customHeight="1" x14ac:dyDescent="0.2">
      <c r="A100" s="390">
        <v>2</v>
      </c>
      <c r="B100" s="386" t="s">
        <v>47</v>
      </c>
      <c r="C100" s="385" t="s">
        <v>111</v>
      </c>
      <c r="D100" s="348">
        <f>'AND 1'!D100+'ADY 1'!D100</f>
        <v>16000000</v>
      </c>
      <c r="E100" s="348"/>
      <c r="F100" s="348">
        <f>'AND 1'!F100+'ADY 1'!F100</f>
        <v>6000000</v>
      </c>
      <c r="G100" s="348"/>
      <c r="H100" s="348">
        <f>'AND 1'!H100+'ADY 1'!H100</f>
        <v>13500000</v>
      </c>
      <c r="I100" s="348"/>
      <c r="J100" s="348">
        <f>'AND 1'!J100+'ADY 1'!J100</f>
        <v>17500000</v>
      </c>
      <c r="K100" s="348">
        <f>'AND 1'!L100+'ADY 1'!L100</f>
        <v>7000000</v>
      </c>
      <c r="L100" s="348">
        <f>'AND 1'!N100+'ADY 1'!N100</f>
        <v>0</v>
      </c>
      <c r="M100" s="348">
        <f>'AND 1'!P100+'ADY 1'!P100</f>
        <v>1000000</v>
      </c>
      <c r="N100" s="348">
        <f>'AND 1'!R100+'ADY 1'!R100</f>
        <v>12000000</v>
      </c>
      <c r="O100" s="348">
        <f>'AND 1'!T100+'ADY 1'!T100</f>
        <v>2000000</v>
      </c>
      <c r="P100" s="348">
        <f>'AND 1'!V100+'ADY 1'!V100</f>
        <v>0</v>
      </c>
      <c r="Q100" s="348">
        <f>'AND 1'!X100+'ADY 1'!X100</f>
        <v>2000000</v>
      </c>
      <c r="R100" s="348">
        <f>'AND 1'!Z100+'ADY 1'!Z100</f>
        <v>0</v>
      </c>
      <c r="S100" s="348">
        <f>R100+Q100+P100+O100+N100+M100+L100+K100+J100+H100+F100+D100</f>
        <v>77000000</v>
      </c>
      <c r="T100" s="347">
        <f t="shared" si="32"/>
        <v>84700000</v>
      </c>
      <c r="U100" s="347">
        <f t="shared" si="32"/>
        <v>93170000.000000015</v>
      </c>
      <c r="V100" s="347">
        <f t="shared" si="32"/>
        <v>102487000.00000003</v>
      </c>
    </row>
    <row r="101" spans="1:22" s="2" customFormat="1" ht="15.75" customHeight="1" x14ac:dyDescent="0.2">
      <c r="A101" s="396"/>
      <c r="B101" s="386"/>
      <c r="C101" s="393" t="s">
        <v>143</v>
      </c>
      <c r="D101" s="355">
        <f t="shared" ref="D101:V101" si="33">SUM(D97:D100)</f>
        <v>16000000</v>
      </c>
      <c r="E101" s="355">
        <f t="shared" si="33"/>
        <v>0</v>
      </c>
      <c r="F101" s="355">
        <f t="shared" si="33"/>
        <v>31000000</v>
      </c>
      <c r="G101" s="355">
        <f t="shared" si="33"/>
        <v>0</v>
      </c>
      <c r="H101" s="355">
        <f t="shared" si="33"/>
        <v>23500000</v>
      </c>
      <c r="I101" s="355">
        <f t="shared" si="33"/>
        <v>0</v>
      </c>
      <c r="J101" s="355">
        <f t="shared" si="33"/>
        <v>17500000</v>
      </c>
      <c r="K101" s="355">
        <f t="shared" si="33"/>
        <v>7000000</v>
      </c>
      <c r="L101" s="355">
        <f t="shared" si="33"/>
        <v>75000000</v>
      </c>
      <c r="M101" s="355">
        <f t="shared" si="33"/>
        <v>1000000</v>
      </c>
      <c r="N101" s="355">
        <f t="shared" si="33"/>
        <v>12000000</v>
      </c>
      <c r="O101" s="355">
        <f t="shared" si="33"/>
        <v>3300000</v>
      </c>
      <c r="P101" s="355">
        <f t="shared" si="33"/>
        <v>6590000</v>
      </c>
      <c r="Q101" s="355">
        <f t="shared" si="33"/>
        <v>21000000</v>
      </c>
      <c r="R101" s="355">
        <f t="shared" si="33"/>
        <v>0</v>
      </c>
      <c r="S101" s="355">
        <f t="shared" si="33"/>
        <v>213890000</v>
      </c>
      <c r="T101" s="355">
        <f t="shared" si="33"/>
        <v>235279000</v>
      </c>
      <c r="U101" s="355">
        <f t="shared" si="33"/>
        <v>258806900</v>
      </c>
      <c r="V101" s="355">
        <f t="shared" si="33"/>
        <v>284687590</v>
      </c>
    </row>
    <row r="102" spans="1:22" s="62" customFormat="1" ht="16.899999999999999" customHeight="1" x14ac:dyDescent="0.2">
      <c r="A102" s="385">
        <v>1</v>
      </c>
      <c r="B102" s="386" t="s">
        <v>53</v>
      </c>
      <c r="C102" s="385" t="s">
        <v>84</v>
      </c>
      <c r="D102" s="347">
        <f>'AND 1'!D102+'ADY 1'!D102</f>
        <v>1900000</v>
      </c>
      <c r="E102" s="347"/>
      <c r="F102" s="347">
        <f>'AND 1'!F102+'ADY 1'!F102</f>
        <v>1900000</v>
      </c>
      <c r="G102" s="347"/>
      <c r="H102" s="347">
        <f>'AND 1'!H102+'ADY 1'!H102</f>
        <v>1900000</v>
      </c>
      <c r="I102" s="347"/>
      <c r="J102" s="347">
        <f>'AND 1'!J102+'ADY 1'!J102</f>
        <v>1900000</v>
      </c>
      <c r="K102" s="347">
        <f>'AND 1'!L102+'ADY 1'!L102</f>
        <v>1900000</v>
      </c>
      <c r="L102" s="347">
        <f>'AND 1'!N102+'ADY 1'!N102</f>
        <v>1900000</v>
      </c>
      <c r="M102" s="347">
        <f>'AND 1'!P102+'ADY 1'!P102</f>
        <v>1900000</v>
      </c>
      <c r="N102" s="347">
        <f>'AND 1'!R102+'ADY 1'!R102</f>
        <v>1900000</v>
      </c>
      <c r="O102" s="347">
        <f>'AND 1'!T102+'ADY 1'!T102</f>
        <v>1900000</v>
      </c>
      <c r="P102" s="347">
        <f>'AND 1'!V102+'ADY 1'!V102</f>
        <v>1900000</v>
      </c>
      <c r="Q102" s="347">
        <f>'AND 1'!X102+'ADY 1'!X102</f>
        <v>1900000</v>
      </c>
      <c r="R102" s="347">
        <f>'AND 1'!Z102+'ADY 1'!Z102</f>
        <v>1900000</v>
      </c>
      <c r="S102" s="348">
        <f t="shared" ref="S102:S107" si="34">R102+Q102+P102+O102+N102+M102+L102+K102+J102+H102+F102+D102</f>
        <v>22800000</v>
      </c>
      <c r="T102" s="347">
        <f t="shared" ref="T102:V107" si="35">S102*1.1</f>
        <v>25080000.000000004</v>
      </c>
      <c r="U102" s="347">
        <f t="shared" si="35"/>
        <v>27588000.000000007</v>
      </c>
      <c r="V102" s="347">
        <f t="shared" si="35"/>
        <v>30346800.000000011</v>
      </c>
    </row>
    <row r="103" spans="1:22" s="62" customFormat="1" ht="16.899999999999999" customHeight="1" x14ac:dyDescent="0.2">
      <c r="A103" s="385">
        <v>2</v>
      </c>
      <c r="B103" s="386" t="s">
        <v>144</v>
      </c>
      <c r="C103" s="386" t="s">
        <v>145</v>
      </c>
      <c r="D103" s="347">
        <f>'AND 1'!D103+'ADY 1'!D103</f>
        <v>19500000</v>
      </c>
      <c r="E103" s="347"/>
      <c r="F103" s="347">
        <f>'AND 1'!F103+'ADY 1'!F103</f>
        <v>19500000</v>
      </c>
      <c r="G103" s="347"/>
      <c r="H103" s="347">
        <f>'AND 1'!H103+'ADY 1'!H103</f>
        <v>19500000</v>
      </c>
      <c r="I103" s="347"/>
      <c r="J103" s="347">
        <f>'AND 1'!J103+'ADY 1'!J103</f>
        <v>19500000</v>
      </c>
      <c r="K103" s="347">
        <f>'AND 1'!L103+'ADY 1'!L103</f>
        <v>19500000</v>
      </c>
      <c r="L103" s="347">
        <f>'AND 1'!N103+'ADY 1'!N103</f>
        <v>19500000</v>
      </c>
      <c r="M103" s="347">
        <f>'AND 1'!P103+'ADY 1'!P103</f>
        <v>19500000</v>
      </c>
      <c r="N103" s="347">
        <f>'AND 1'!R103+'ADY 1'!R103</f>
        <v>19500000</v>
      </c>
      <c r="O103" s="347">
        <f>'AND 1'!T103+'ADY 1'!T103</f>
        <v>19500000</v>
      </c>
      <c r="P103" s="347">
        <f>'AND 1'!V103+'ADY 1'!V103</f>
        <v>19500000</v>
      </c>
      <c r="Q103" s="347">
        <f>'AND 1'!X103+'ADY 1'!X103</f>
        <v>19500000</v>
      </c>
      <c r="R103" s="347">
        <f>'AND 1'!Z103+'ADY 1'!Z103</f>
        <v>19500000</v>
      </c>
      <c r="S103" s="348">
        <f t="shared" si="34"/>
        <v>234000000</v>
      </c>
      <c r="T103" s="347">
        <f t="shared" si="35"/>
        <v>257400000.00000003</v>
      </c>
      <c r="U103" s="347">
        <f t="shared" si="35"/>
        <v>283140000.00000006</v>
      </c>
      <c r="V103" s="347">
        <f t="shared" si="35"/>
        <v>311454000.00000012</v>
      </c>
    </row>
    <row r="104" spans="1:22" s="62" customFormat="1" ht="16.899999999999999" customHeight="1" x14ac:dyDescent="0.2">
      <c r="A104" s="385">
        <v>3</v>
      </c>
      <c r="B104" s="386" t="s">
        <v>73</v>
      </c>
      <c r="C104" s="385" t="s">
        <v>74</v>
      </c>
      <c r="D104" s="347">
        <f>'AND 1'!D104+'ADY 1'!D104</f>
        <v>0</v>
      </c>
      <c r="E104" s="347"/>
      <c r="F104" s="347">
        <f>'AND 1'!F104+'ADY 1'!F104</f>
        <v>0</v>
      </c>
      <c r="G104" s="347"/>
      <c r="H104" s="347">
        <f>'AND 1'!H104+'ADY 1'!H104</f>
        <v>0</v>
      </c>
      <c r="I104" s="347"/>
      <c r="J104" s="347">
        <f>'AND 1'!J104+'ADY 1'!J104</f>
        <v>0</v>
      </c>
      <c r="K104" s="347">
        <f>'AND 1'!L104+'ADY 1'!L104</f>
        <v>0</v>
      </c>
      <c r="L104" s="347">
        <f>'AND 1'!N104+'ADY 1'!N104</f>
        <v>0</v>
      </c>
      <c r="M104" s="347">
        <f>'AND 1'!P104+'ADY 1'!P104</f>
        <v>0</v>
      </c>
      <c r="N104" s="347">
        <f>'AND 1'!R104+'ADY 1'!R104</f>
        <v>0</v>
      </c>
      <c r="O104" s="347">
        <f>'AND 1'!T104+'ADY 1'!T104</f>
        <v>0</v>
      </c>
      <c r="P104" s="347">
        <f>'AND 1'!V104+'ADY 1'!V104</f>
        <v>0</v>
      </c>
      <c r="Q104" s="347">
        <f>'AND 1'!X104+'ADY 1'!X104</f>
        <v>0</v>
      </c>
      <c r="R104" s="347">
        <f>'AND 1'!Z104+'ADY 1'!Z104</f>
        <v>0</v>
      </c>
      <c r="S104" s="348">
        <f t="shared" si="34"/>
        <v>0</v>
      </c>
      <c r="T104" s="347">
        <f t="shared" si="35"/>
        <v>0</v>
      </c>
      <c r="U104" s="347">
        <f t="shared" si="35"/>
        <v>0</v>
      </c>
      <c r="V104" s="347">
        <f t="shared" si="35"/>
        <v>0</v>
      </c>
    </row>
    <row r="105" spans="1:22" s="27" customFormat="1" ht="16.899999999999999" customHeight="1" x14ac:dyDescent="0.2">
      <c r="A105" s="385">
        <v>4</v>
      </c>
      <c r="B105" s="386" t="s">
        <v>47</v>
      </c>
      <c r="C105" s="385" t="s">
        <v>111</v>
      </c>
      <c r="D105" s="347">
        <f>'AND 1'!D105+'ADY 1'!D105</f>
        <v>3000000</v>
      </c>
      <c r="E105" s="347"/>
      <c r="F105" s="347">
        <f>'AND 1'!F105+'ADY 1'!F105</f>
        <v>3000000</v>
      </c>
      <c r="G105" s="347"/>
      <c r="H105" s="347">
        <f>'AND 1'!H105+'ADY 1'!H105</f>
        <v>3000000</v>
      </c>
      <c r="I105" s="347"/>
      <c r="J105" s="347">
        <f>'AND 1'!J105+'ADY 1'!J105</f>
        <v>3000000</v>
      </c>
      <c r="K105" s="347">
        <f>'AND 1'!L105+'ADY 1'!L105</f>
        <v>3000000</v>
      </c>
      <c r="L105" s="347">
        <f>'AND 1'!N105+'ADY 1'!N105</f>
        <v>3000000</v>
      </c>
      <c r="M105" s="347">
        <f>'AND 1'!P105+'ADY 1'!P105</f>
        <v>3000000</v>
      </c>
      <c r="N105" s="347">
        <f>'AND 1'!R105+'ADY 1'!R105</f>
        <v>3000000</v>
      </c>
      <c r="O105" s="347">
        <f>'AND 1'!T105+'ADY 1'!T105</f>
        <v>3000000</v>
      </c>
      <c r="P105" s="347">
        <f>'AND 1'!V105+'ADY 1'!V105</f>
        <v>3000000</v>
      </c>
      <c r="Q105" s="347">
        <f>'AND 1'!X105+'ADY 1'!X105</f>
        <v>3000000</v>
      </c>
      <c r="R105" s="347">
        <f>'AND 1'!Z105+'ADY 1'!Z105</f>
        <v>3000000</v>
      </c>
      <c r="S105" s="348">
        <f t="shared" si="34"/>
        <v>36000000</v>
      </c>
      <c r="T105" s="347">
        <f t="shared" si="35"/>
        <v>39600000</v>
      </c>
      <c r="U105" s="347">
        <f t="shared" si="35"/>
        <v>43560000</v>
      </c>
      <c r="V105" s="347">
        <f t="shared" si="35"/>
        <v>47916000.000000007</v>
      </c>
    </row>
    <row r="106" spans="1:22" s="62" customFormat="1" ht="16.899999999999999" customHeight="1" x14ac:dyDescent="0.2">
      <c r="A106" s="385">
        <v>5</v>
      </c>
      <c r="B106" s="386" t="s">
        <v>136</v>
      </c>
      <c r="C106" s="386" t="s">
        <v>146</v>
      </c>
      <c r="D106" s="347">
        <f>'AND 1'!D106+'ADY 1'!D106</f>
        <v>50000000</v>
      </c>
      <c r="E106" s="347"/>
      <c r="F106" s="347">
        <f>'AND 1'!F106+'ADY 1'!F106</f>
        <v>0</v>
      </c>
      <c r="G106" s="347"/>
      <c r="H106" s="347">
        <f>'AND 1'!H106+'ADY 1'!H106</f>
        <v>0</v>
      </c>
      <c r="I106" s="347"/>
      <c r="J106" s="347">
        <f>'AND 1'!J106+'ADY 1'!J106</f>
        <v>0</v>
      </c>
      <c r="K106" s="347">
        <f>'AND 1'!L106+'ADY 1'!L106</f>
        <v>0</v>
      </c>
      <c r="L106" s="347">
        <f>'AND 1'!N106+'ADY 1'!N106</f>
        <v>0</v>
      </c>
      <c r="M106" s="347">
        <f>'AND 1'!P106+'ADY 1'!P106</f>
        <v>55000000</v>
      </c>
      <c r="N106" s="347">
        <f>'AND 1'!R106+'ADY 1'!R106</f>
        <v>0</v>
      </c>
      <c r="O106" s="347">
        <f>'AND 1'!T106+'ADY 1'!T106</f>
        <v>0</v>
      </c>
      <c r="P106" s="347">
        <f>'AND 1'!V106+'ADY 1'!V106</f>
        <v>0</v>
      </c>
      <c r="Q106" s="347">
        <f>'AND 1'!X106+'ADY 1'!X106</f>
        <v>0</v>
      </c>
      <c r="R106" s="347">
        <f>'AND 1'!Z106+'ADY 1'!Z106</f>
        <v>0</v>
      </c>
      <c r="S106" s="348">
        <f t="shared" si="34"/>
        <v>105000000</v>
      </c>
      <c r="T106" s="347">
        <f t="shared" si="35"/>
        <v>115500000.00000001</v>
      </c>
      <c r="U106" s="347">
        <f t="shared" si="35"/>
        <v>127050000.00000003</v>
      </c>
      <c r="V106" s="347">
        <f t="shared" si="35"/>
        <v>139755000.00000003</v>
      </c>
    </row>
    <row r="107" spans="1:22" s="62" customFormat="1" ht="16.899999999999999" customHeight="1" x14ac:dyDescent="0.2">
      <c r="A107" s="385">
        <v>6</v>
      </c>
      <c r="B107" s="386" t="s">
        <v>147</v>
      </c>
      <c r="C107" s="385" t="s">
        <v>148</v>
      </c>
      <c r="D107" s="347">
        <f>'AND 1'!D107+'ADY 1'!D107</f>
        <v>0</v>
      </c>
      <c r="E107" s="347"/>
      <c r="F107" s="347">
        <f>'AND 1'!F107+'ADY 1'!F107</f>
        <v>0</v>
      </c>
      <c r="G107" s="347"/>
      <c r="H107" s="347">
        <f>'AND 1'!H107+'ADY 1'!H107</f>
        <v>0</v>
      </c>
      <c r="I107" s="347"/>
      <c r="J107" s="347">
        <f>'AND 1'!J107+'ADY 1'!J107</f>
        <v>0</v>
      </c>
      <c r="K107" s="347">
        <f>'AND 1'!L107+'ADY 1'!L107</f>
        <v>0</v>
      </c>
      <c r="L107" s="347">
        <f>'AND 1'!N107+'ADY 1'!N107</f>
        <v>0</v>
      </c>
      <c r="M107" s="347">
        <f>'AND 1'!P107+'ADY 1'!P107</f>
        <v>0</v>
      </c>
      <c r="N107" s="347">
        <f>'AND 1'!R107+'ADY 1'!R107</f>
        <v>0</v>
      </c>
      <c r="O107" s="347">
        <f>'AND 1'!T107+'ADY 1'!T107</f>
        <v>0</v>
      </c>
      <c r="P107" s="347">
        <f>'AND 1'!V107+'ADY 1'!V107</f>
        <v>0</v>
      </c>
      <c r="Q107" s="347">
        <f>'AND 1'!X107+'ADY 1'!X107</f>
        <v>0</v>
      </c>
      <c r="R107" s="347">
        <f>'AND 1'!Z107+'ADY 1'!Z107</f>
        <v>0</v>
      </c>
      <c r="S107" s="348">
        <f t="shared" si="34"/>
        <v>0</v>
      </c>
      <c r="T107" s="347">
        <f t="shared" si="35"/>
        <v>0</v>
      </c>
      <c r="U107" s="347">
        <f t="shared" si="35"/>
        <v>0</v>
      </c>
      <c r="V107" s="347">
        <f t="shared" si="35"/>
        <v>0</v>
      </c>
    </row>
    <row r="108" spans="1:22" s="2" customFormat="1" ht="16.899999999999999" customHeight="1" x14ac:dyDescent="0.2">
      <c r="A108" s="396"/>
      <c r="B108" s="390"/>
      <c r="C108" s="393" t="s">
        <v>149</v>
      </c>
      <c r="D108" s="358">
        <f t="shared" ref="D108:V108" si="36">SUM(D102:D107)</f>
        <v>74400000</v>
      </c>
      <c r="E108" s="358">
        <f t="shared" si="36"/>
        <v>0</v>
      </c>
      <c r="F108" s="358">
        <f t="shared" si="36"/>
        <v>24400000</v>
      </c>
      <c r="G108" s="358">
        <f t="shared" si="36"/>
        <v>0</v>
      </c>
      <c r="H108" s="358">
        <f t="shared" si="36"/>
        <v>24400000</v>
      </c>
      <c r="I108" s="358">
        <f t="shared" si="36"/>
        <v>0</v>
      </c>
      <c r="J108" s="358">
        <f t="shared" si="36"/>
        <v>24400000</v>
      </c>
      <c r="K108" s="358">
        <f t="shared" si="36"/>
        <v>24400000</v>
      </c>
      <c r="L108" s="358">
        <f t="shared" si="36"/>
        <v>24400000</v>
      </c>
      <c r="M108" s="358">
        <f t="shared" si="36"/>
        <v>79400000</v>
      </c>
      <c r="N108" s="358">
        <f t="shared" si="36"/>
        <v>24400000</v>
      </c>
      <c r="O108" s="358">
        <f t="shared" si="36"/>
        <v>24400000</v>
      </c>
      <c r="P108" s="358">
        <f t="shared" si="36"/>
        <v>24400000</v>
      </c>
      <c r="Q108" s="358">
        <f t="shared" si="36"/>
        <v>24400000</v>
      </c>
      <c r="R108" s="358">
        <f t="shared" si="36"/>
        <v>24400000</v>
      </c>
      <c r="S108" s="358">
        <f t="shared" si="36"/>
        <v>397800000</v>
      </c>
      <c r="T108" s="358">
        <f t="shared" si="36"/>
        <v>437580000.00000006</v>
      </c>
      <c r="U108" s="358">
        <f t="shared" si="36"/>
        <v>481338000.00000012</v>
      </c>
      <c r="V108" s="358">
        <f t="shared" si="36"/>
        <v>529471800.00000012</v>
      </c>
    </row>
    <row r="109" spans="1:22" ht="16.899999999999999" customHeight="1" x14ac:dyDescent="0.2">
      <c r="A109" s="385">
        <v>1</v>
      </c>
      <c r="B109" s="386" t="s">
        <v>21</v>
      </c>
      <c r="C109" s="385" t="s">
        <v>150</v>
      </c>
      <c r="D109" s="347">
        <f>'AND 1'!D109+'ADY 1'!D109+IBP!D6+ASI!D6</f>
        <v>335342333</v>
      </c>
      <c r="E109" s="347"/>
      <c r="F109" s="347">
        <f>'AND 1'!F109+'ADY 1'!F109+IBP!F6+ASI!F6</f>
        <v>335342333</v>
      </c>
      <c r="G109" s="347"/>
      <c r="H109" s="347">
        <f>'AND 1'!H109+'ADY 1'!H109+IBP!H6+ASI!H6</f>
        <v>335342333</v>
      </c>
      <c r="I109" s="347"/>
      <c r="J109" s="347">
        <f>'AND 1'!J109+'ADY 1'!J109+IBP!J6+ASI!J6</f>
        <v>335342333</v>
      </c>
      <c r="K109" s="347">
        <f>'AND 1'!L109+'ADY 1'!L109+IBP!L6+ASI!L6</f>
        <v>335342333</v>
      </c>
      <c r="L109" s="347">
        <f>'AND 1'!N109+'ADY 1'!N109+IBP!N6+ASI!N6</f>
        <v>335342333</v>
      </c>
      <c r="M109" s="347">
        <f>'AND 1'!P109+'ADY 1'!P109+IBP!P6+ASI!P6</f>
        <v>335342333</v>
      </c>
      <c r="N109" s="347">
        <f>'AND 1'!R109+'ADY 1'!R109+IBP!R6+ASI!R6</f>
        <v>763355832.5</v>
      </c>
      <c r="O109" s="347">
        <f>'AND 1'!T109+'ADY 1'!T109+IBP!T6+ASI!T6</f>
        <v>335342333</v>
      </c>
      <c r="P109" s="347">
        <f>'AND 1'!V109+'ADY 1'!V109+IBP!V6+ASI!V6</f>
        <v>335342333</v>
      </c>
      <c r="Q109" s="347">
        <f>'AND 1'!X109+'ADY 1'!X109+IBP!X6+ASI!X6</f>
        <v>335342333</v>
      </c>
      <c r="R109" s="347">
        <f>'AND 1'!Z109+'ADY 1'!Z109+IBP!Z6+ASI!Z6</f>
        <v>595684666</v>
      </c>
      <c r="S109" s="348">
        <f t="shared" ref="S109:S118" si="37">R109+Q109+P109+O109+N109+M109+L109+K109+J109+H109+F109+D109</f>
        <v>4712463828.5</v>
      </c>
      <c r="T109" s="347">
        <f t="shared" ref="T109:V118" si="38">S109*1.1</f>
        <v>5183710211.3500004</v>
      </c>
      <c r="U109" s="347">
        <f t="shared" si="38"/>
        <v>5702081232.4850006</v>
      </c>
      <c r="V109" s="347">
        <f t="shared" si="38"/>
        <v>6272289355.7335014</v>
      </c>
    </row>
    <row r="110" spans="1:22" ht="16.899999999999999" customHeight="1" x14ac:dyDescent="0.2">
      <c r="A110" s="385">
        <v>2</v>
      </c>
      <c r="B110" s="390" t="s">
        <v>33</v>
      </c>
      <c r="C110" s="385" t="s">
        <v>151</v>
      </c>
      <c r="D110" s="347">
        <f>'AND 1'!D110+'ADY 1'!D110</f>
        <v>26798501</v>
      </c>
      <c r="E110" s="347"/>
      <c r="F110" s="347">
        <f>'AND 1'!F110+'ADY 1'!F110</f>
        <v>26798501</v>
      </c>
      <c r="G110" s="347"/>
      <c r="H110" s="347">
        <f>'AND 1'!H110+'ADY 1'!H110</f>
        <v>26798501</v>
      </c>
      <c r="I110" s="347"/>
      <c r="J110" s="347">
        <f>'AND 1'!J110+'ADY 1'!J110</f>
        <v>26798501</v>
      </c>
      <c r="K110" s="347">
        <f>'AND 1'!L110+'ADY 1'!L110</f>
        <v>26798501</v>
      </c>
      <c r="L110" s="347">
        <f>'AND 1'!N110+'ADY 1'!N110</f>
        <v>26798501</v>
      </c>
      <c r="M110" s="347">
        <f>'AND 1'!P110+'ADY 1'!P110</f>
        <v>26798501</v>
      </c>
      <c r="N110" s="347">
        <f>'AND 1'!R110+'ADY 1'!R110</f>
        <v>26798501</v>
      </c>
      <c r="O110" s="347">
        <f>'AND 1'!T110+'ADY 1'!T110</f>
        <v>26798501</v>
      </c>
      <c r="P110" s="347">
        <f>'AND 1'!V110+'ADY 1'!V110</f>
        <v>26798501</v>
      </c>
      <c r="Q110" s="347">
        <f>'AND 1'!X110+'ADY 1'!X110</f>
        <v>26798501</v>
      </c>
      <c r="R110" s="347">
        <f>'AND 1'!Z110+'ADY 1'!Z110</f>
        <v>26798501</v>
      </c>
      <c r="S110" s="348">
        <f t="shared" si="37"/>
        <v>321582012</v>
      </c>
      <c r="T110" s="347">
        <f t="shared" si="38"/>
        <v>353740213.20000005</v>
      </c>
      <c r="U110" s="347">
        <f t="shared" si="38"/>
        <v>389114234.5200001</v>
      </c>
      <c r="V110" s="347">
        <f t="shared" si="38"/>
        <v>428025657.97200012</v>
      </c>
    </row>
    <row r="111" spans="1:22" ht="16.899999999999999" customHeight="1" x14ac:dyDescent="0.2">
      <c r="A111" s="385">
        <v>3</v>
      </c>
      <c r="B111" s="386" t="s">
        <v>53</v>
      </c>
      <c r="C111" s="385" t="s">
        <v>84</v>
      </c>
      <c r="D111" s="347">
        <f>'AND 1'!D111+'ADY 1'!D111</f>
        <v>10000000</v>
      </c>
      <c r="E111" s="347"/>
      <c r="F111" s="347">
        <f>'AND 1'!F111+'ADY 1'!F111</f>
        <v>10000000</v>
      </c>
      <c r="G111" s="347"/>
      <c r="H111" s="347">
        <f>'AND 1'!H111+'ADY 1'!H111</f>
        <v>10000000</v>
      </c>
      <c r="I111" s="347"/>
      <c r="J111" s="347">
        <f>'AND 1'!J111+'ADY 1'!J111</f>
        <v>10000000</v>
      </c>
      <c r="K111" s="347">
        <f>'AND 1'!L111+'ADY 1'!L111</f>
        <v>10000000</v>
      </c>
      <c r="L111" s="347">
        <f>'AND 1'!N111+'ADY 1'!N111</f>
        <v>10000000</v>
      </c>
      <c r="M111" s="347">
        <f>'AND 1'!P111+'ADY 1'!P111</f>
        <v>10000000</v>
      </c>
      <c r="N111" s="347">
        <f>'AND 1'!R111+'ADY 1'!R111</f>
        <v>10000000</v>
      </c>
      <c r="O111" s="347">
        <f>'AND 1'!T111+'ADY 1'!T111</f>
        <v>10000000</v>
      </c>
      <c r="P111" s="347">
        <f>'AND 1'!V111+'ADY 1'!V111</f>
        <v>10000000</v>
      </c>
      <c r="Q111" s="347">
        <f>'AND 1'!X111+'ADY 1'!X111</f>
        <v>10000000</v>
      </c>
      <c r="R111" s="347">
        <f>'AND 1'!Z111+'ADY 1'!Z111</f>
        <v>10000000</v>
      </c>
      <c r="S111" s="348">
        <f t="shared" si="37"/>
        <v>120000000</v>
      </c>
      <c r="T111" s="347">
        <f t="shared" si="38"/>
        <v>132000000.00000001</v>
      </c>
      <c r="U111" s="347">
        <f t="shared" si="38"/>
        <v>145200000.00000003</v>
      </c>
      <c r="V111" s="347">
        <f t="shared" si="38"/>
        <v>159720000.00000006</v>
      </c>
    </row>
    <row r="112" spans="1:22" ht="16.899999999999999" customHeight="1" x14ac:dyDescent="0.2">
      <c r="A112" s="385">
        <v>4</v>
      </c>
      <c r="B112" s="375" t="s">
        <v>85</v>
      </c>
      <c r="C112" s="385" t="s">
        <v>86</v>
      </c>
      <c r="D112" s="347">
        <f>'AND 1'!D112+'ADY 1'!D112</f>
        <v>141388500</v>
      </c>
      <c r="E112" s="347"/>
      <c r="F112" s="347">
        <f>'AND 1'!F112+'ADY 1'!F112</f>
        <v>33500000</v>
      </c>
      <c r="G112" s="347"/>
      <c r="H112" s="347">
        <f>'AND 1'!H112+'ADY 1'!H112</f>
        <v>33500000</v>
      </c>
      <c r="I112" s="347"/>
      <c r="J112" s="347">
        <f>'AND 1'!J112+'ADY 1'!J112</f>
        <v>33500000</v>
      </c>
      <c r="K112" s="347">
        <f>'AND 1'!L112+'ADY 1'!L112</f>
        <v>33500000</v>
      </c>
      <c r="L112" s="347">
        <f>'AND 1'!N112+'ADY 1'!N112</f>
        <v>33500000</v>
      </c>
      <c r="M112" s="347">
        <f>'AND 1'!P112+'ADY 1'!P112</f>
        <v>33500000</v>
      </c>
      <c r="N112" s="347">
        <f>'AND 1'!R112+'ADY 1'!R112</f>
        <v>33500000</v>
      </c>
      <c r="O112" s="347">
        <f>'AND 1'!T112+'ADY 1'!T112</f>
        <v>33500000</v>
      </c>
      <c r="P112" s="347">
        <f>'AND 1'!V112+'ADY 1'!V112</f>
        <v>33500000</v>
      </c>
      <c r="Q112" s="347">
        <f>'AND 1'!X112+'ADY 1'!X112</f>
        <v>33500000</v>
      </c>
      <c r="R112" s="347">
        <f>'AND 1'!Z112+'ADY 1'!Z112</f>
        <v>33500000</v>
      </c>
      <c r="S112" s="348">
        <f t="shared" si="37"/>
        <v>509888500</v>
      </c>
      <c r="T112" s="347">
        <f t="shared" si="38"/>
        <v>560877350</v>
      </c>
      <c r="U112" s="347">
        <f t="shared" si="38"/>
        <v>616965085</v>
      </c>
      <c r="V112" s="347">
        <f t="shared" si="38"/>
        <v>678661593.5</v>
      </c>
    </row>
    <row r="113" spans="1:22" ht="16.899999999999999" customHeight="1" x14ac:dyDescent="0.2">
      <c r="A113" s="385">
        <v>5</v>
      </c>
      <c r="B113" s="386" t="s">
        <v>129</v>
      </c>
      <c r="C113" s="385" t="s">
        <v>152</v>
      </c>
      <c r="D113" s="347">
        <f>'AND 1'!D113+'ADY 1'!D113</f>
        <v>5250000</v>
      </c>
      <c r="E113" s="347"/>
      <c r="F113" s="347">
        <f>'AND 1'!F113+'ADY 1'!F113</f>
        <v>5250000</v>
      </c>
      <c r="G113" s="347"/>
      <c r="H113" s="347">
        <f>'AND 1'!H113+'ADY 1'!H113</f>
        <v>5250000</v>
      </c>
      <c r="I113" s="347"/>
      <c r="J113" s="347">
        <f>'AND 1'!J113+'ADY 1'!J113</f>
        <v>5250000</v>
      </c>
      <c r="K113" s="347">
        <f>'AND 1'!L113+'ADY 1'!L113</f>
        <v>5250000</v>
      </c>
      <c r="L113" s="347">
        <f>'AND 1'!N113+'ADY 1'!N113</f>
        <v>5250000</v>
      </c>
      <c r="M113" s="347">
        <f>'AND 1'!P113+'ADY 1'!P113</f>
        <v>5250000</v>
      </c>
      <c r="N113" s="347">
        <f>'AND 1'!R113+'ADY 1'!R113</f>
        <v>5250000</v>
      </c>
      <c r="O113" s="347">
        <f>'AND 1'!T113+'ADY 1'!T113</f>
        <v>5250000</v>
      </c>
      <c r="P113" s="347">
        <f>'AND 1'!V113+'ADY 1'!V113</f>
        <v>5250000</v>
      </c>
      <c r="Q113" s="347">
        <f>'AND 1'!X113+'ADY 1'!X113</f>
        <v>5250000</v>
      </c>
      <c r="R113" s="347">
        <f>'AND 1'!Z113+'ADY 1'!Z113</f>
        <v>5250000</v>
      </c>
      <c r="S113" s="348">
        <f t="shared" si="37"/>
        <v>63000000</v>
      </c>
      <c r="T113" s="347">
        <f t="shared" si="38"/>
        <v>69300000</v>
      </c>
      <c r="U113" s="347">
        <f t="shared" si="38"/>
        <v>76230000</v>
      </c>
      <c r="V113" s="347">
        <f t="shared" si="38"/>
        <v>83853000</v>
      </c>
    </row>
    <row r="114" spans="1:22" ht="16.899999999999999" customHeight="1" x14ac:dyDescent="0.2">
      <c r="A114" s="385">
        <v>6</v>
      </c>
      <c r="B114" s="386" t="s">
        <v>153</v>
      </c>
      <c r="C114" s="385" t="s">
        <v>154</v>
      </c>
      <c r="D114" s="347">
        <f>'AND 1'!D114+'ADY 1'!D114</f>
        <v>41235137.5</v>
      </c>
      <c r="E114" s="347"/>
      <c r="F114" s="347">
        <f>'AND 1'!F114+'ADY 1'!F114</f>
        <v>41235137.5</v>
      </c>
      <c r="G114" s="347"/>
      <c r="H114" s="347">
        <f>'AND 1'!H114+'ADY 1'!H114</f>
        <v>41235137.5</v>
      </c>
      <c r="I114" s="347"/>
      <c r="J114" s="347">
        <f>'AND 1'!J114+'ADY 1'!J114</f>
        <v>41235137.5</v>
      </c>
      <c r="K114" s="347">
        <f>'AND 1'!L114+'ADY 1'!L114</f>
        <v>41235137.5</v>
      </c>
      <c r="L114" s="347">
        <f>'AND 1'!N114+'ADY 1'!N114</f>
        <v>41235137.5</v>
      </c>
      <c r="M114" s="347">
        <f>'AND 1'!P114+'ADY 1'!P114</f>
        <v>41235137.5</v>
      </c>
      <c r="N114" s="347">
        <f>'AND 1'!R114+'ADY 1'!R114</f>
        <v>41235137.5</v>
      </c>
      <c r="O114" s="347">
        <f>'AND 1'!T114+'ADY 1'!T114</f>
        <v>41235137.5</v>
      </c>
      <c r="P114" s="347">
        <f>'AND 1'!V114+'ADY 1'!V114</f>
        <v>41235137.5</v>
      </c>
      <c r="Q114" s="347">
        <f>'AND 1'!X114+'ADY 1'!X114</f>
        <v>41235137.5</v>
      </c>
      <c r="R114" s="347">
        <f>'AND 1'!Z114+'ADY 1'!Z114</f>
        <v>41235137.5</v>
      </c>
      <c r="S114" s="348">
        <f t="shared" si="37"/>
        <v>494821650</v>
      </c>
      <c r="T114" s="347">
        <f t="shared" si="38"/>
        <v>544303815</v>
      </c>
      <c r="U114" s="347">
        <f t="shared" si="38"/>
        <v>598734196.5</v>
      </c>
      <c r="V114" s="347">
        <f t="shared" si="38"/>
        <v>658607616.1500001</v>
      </c>
    </row>
    <row r="115" spans="1:22" ht="16.899999999999999" customHeight="1" x14ac:dyDescent="0.2">
      <c r="A115" s="385">
        <v>7</v>
      </c>
      <c r="B115" s="386" t="s">
        <v>155</v>
      </c>
      <c r="C115" s="385" t="s">
        <v>156</v>
      </c>
      <c r="D115" s="347">
        <f>'AND 1'!D115+'ADY 1'!D115</f>
        <v>26156475.333333336</v>
      </c>
      <c r="E115" s="347"/>
      <c r="F115" s="347">
        <f>'AND 1'!F115+'ADY 1'!F115</f>
        <v>26156475.333333336</v>
      </c>
      <c r="G115" s="347"/>
      <c r="H115" s="347">
        <f>'AND 1'!H115+'ADY 1'!H115</f>
        <v>26156475.333333336</v>
      </c>
      <c r="I115" s="347"/>
      <c r="J115" s="347">
        <f>'AND 1'!J115+'ADY 1'!J115</f>
        <v>26156475.333333336</v>
      </c>
      <c r="K115" s="347">
        <f>'AND 1'!L115+'ADY 1'!L115</f>
        <v>26156475.333333336</v>
      </c>
      <c r="L115" s="347">
        <f>'AND 1'!N115+'ADY 1'!N115</f>
        <v>26156475.333333336</v>
      </c>
      <c r="M115" s="347">
        <f>'AND 1'!P115+'ADY 1'!P115</f>
        <v>26156475.333333336</v>
      </c>
      <c r="N115" s="347">
        <f>'AND 1'!R115+'ADY 1'!R115</f>
        <v>26156475.333333336</v>
      </c>
      <c r="O115" s="347">
        <f>'AND 1'!T115+'ADY 1'!T115</f>
        <v>26156475.333333336</v>
      </c>
      <c r="P115" s="347">
        <f>'AND 1'!V115+'ADY 1'!V115</f>
        <v>26156475.333333336</v>
      </c>
      <c r="Q115" s="347">
        <f>'AND 1'!X115+'ADY 1'!X115</f>
        <v>26156475.333333336</v>
      </c>
      <c r="R115" s="347">
        <f>'AND 1'!Z115+'ADY 1'!Z115</f>
        <v>26156475.333333336</v>
      </c>
      <c r="S115" s="348">
        <f t="shared" si="37"/>
        <v>313877704.00000006</v>
      </c>
      <c r="T115" s="347">
        <f t="shared" si="38"/>
        <v>345265474.4000001</v>
      </c>
      <c r="U115" s="347">
        <f t="shared" si="38"/>
        <v>379792021.84000015</v>
      </c>
      <c r="V115" s="347">
        <f t="shared" si="38"/>
        <v>417771224.02400023</v>
      </c>
    </row>
    <row r="116" spans="1:22" ht="16.899999999999999" customHeight="1" x14ac:dyDescent="0.2">
      <c r="A116" s="385">
        <v>8</v>
      </c>
      <c r="B116" s="386" t="s">
        <v>47</v>
      </c>
      <c r="C116" s="385" t="s">
        <v>111</v>
      </c>
      <c r="D116" s="347">
        <f>'AND 1'!D116+'ADY 1'!D116</f>
        <v>3000000</v>
      </c>
      <c r="E116" s="347"/>
      <c r="F116" s="347">
        <f>'AND 1'!F116+'ADY 1'!F116</f>
        <v>3000000</v>
      </c>
      <c r="G116" s="347"/>
      <c r="H116" s="347">
        <f>'AND 1'!H116+'ADY 1'!H116</f>
        <v>3000000</v>
      </c>
      <c r="I116" s="347"/>
      <c r="J116" s="347">
        <f>'AND 1'!J116+'ADY 1'!J116</f>
        <v>3000000</v>
      </c>
      <c r="K116" s="347">
        <f>'AND 1'!L116+'ADY 1'!L116</f>
        <v>3000000</v>
      </c>
      <c r="L116" s="347">
        <f>'AND 1'!N116+'ADY 1'!N116</f>
        <v>3000000</v>
      </c>
      <c r="M116" s="347">
        <f>'AND 1'!P116+'ADY 1'!P116</f>
        <v>3000000</v>
      </c>
      <c r="N116" s="347">
        <f>'AND 1'!R116+'ADY 1'!R116</f>
        <v>3000000</v>
      </c>
      <c r="O116" s="347">
        <f>'AND 1'!T116+'ADY 1'!T116</f>
        <v>3000000</v>
      </c>
      <c r="P116" s="347">
        <f>'AND 1'!V116+'ADY 1'!V116</f>
        <v>3000000</v>
      </c>
      <c r="Q116" s="347">
        <f>'AND 1'!X116+'ADY 1'!X116</f>
        <v>3000000</v>
      </c>
      <c r="R116" s="347">
        <f>'AND 1'!Z116+'ADY 1'!Z116</f>
        <v>3000000</v>
      </c>
      <c r="S116" s="348">
        <f t="shared" si="37"/>
        <v>36000000</v>
      </c>
      <c r="T116" s="347">
        <f t="shared" si="38"/>
        <v>39600000</v>
      </c>
      <c r="U116" s="347">
        <f t="shared" si="38"/>
        <v>43560000</v>
      </c>
      <c r="V116" s="347">
        <f t="shared" si="38"/>
        <v>47916000.000000007</v>
      </c>
    </row>
    <row r="117" spans="1:22" ht="16.899999999999999" customHeight="1" x14ac:dyDescent="0.2">
      <c r="A117" s="385">
        <v>9</v>
      </c>
      <c r="B117" s="386" t="s">
        <v>147</v>
      </c>
      <c r="C117" s="385" t="s">
        <v>157</v>
      </c>
      <c r="D117" s="347">
        <f>'AND 1'!D117+'ADY 1'!D117</f>
        <v>12500000</v>
      </c>
      <c r="E117" s="347"/>
      <c r="F117" s="347">
        <f>'AND 1'!F117+'ADY 1'!F117</f>
        <v>12500000</v>
      </c>
      <c r="G117" s="347"/>
      <c r="H117" s="347">
        <f>'AND 1'!H117+'ADY 1'!H117</f>
        <v>12500000</v>
      </c>
      <c r="I117" s="347"/>
      <c r="J117" s="347">
        <f>'AND 1'!J117+'ADY 1'!J117</f>
        <v>12500000</v>
      </c>
      <c r="K117" s="347">
        <f>'AND 1'!L117+'ADY 1'!L117</f>
        <v>12500000</v>
      </c>
      <c r="L117" s="347">
        <f>'AND 1'!N117+'ADY 1'!N117</f>
        <v>12500000</v>
      </c>
      <c r="M117" s="347">
        <f>'AND 1'!P117+'ADY 1'!P117</f>
        <v>12500000</v>
      </c>
      <c r="N117" s="347">
        <f>'AND 1'!R117+'ADY 1'!R117</f>
        <v>12500000</v>
      </c>
      <c r="O117" s="347">
        <f>'AND 1'!T117+'ADY 1'!T117</f>
        <v>12500000</v>
      </c>
      <c r="P117" s="347">
        <f>'AND 1'!V117+'ADY 1'!V117</f>
        <v>12500000</v>
      </c>
      <c r="Q117" s="347">
        <f>'AND 1'!X117+'ADY 1'!X117</f>
        <v>12500000</v>
      </c>
      <c r="R117" s="347">
        <f>'AND 1'!Z117+'ADY 1'!Z117</f>
        <v>12500000</v>
      </c>
      <c r="S117" s="348">
        <f t="shared" si="37"/>
        <v>150000000</v>
      </c>
      <c r="T117" s="347">
        <f t="shared" si="38"/>
        <v>165000000</v>
      </c>
      <c r="U117" s="347">
        <f t="shared" si="38"/>
        <v>181500000</v>
      </c>
      <c r="V117" s="347">
        <f t="shared" si="38"/>
        <v>199650000.00000003</v>
      </c>
    </row>
    <row r="118" spans="1:22" ht="16.899999999999999" customHeight="1" x14ac:dyDescent="0.2">
      <c r="A118" s="385">
        <v>10</v>
      </c>
      <c r="B118" s="386" t="s">
        <v>36</v>
      </c>
      <c r="C118" s="385" t="s">
        <v>158</v>
      </c>
      <c r="D118" s="347">
        <f>'AND 1'!D118+'ADY 1'!D118</f>
        <v>250000000</v>
      </c>
      <c r="E118" s="347"/>
      <c r="F118" s="347">
        <f>'AND 1'!F118+'ADY 1'!F118</f>
        <v>250000000</v>
      </c>
      <c r="G118" s="347"/>
      <c r="H118" s="347">
        <f>'AND 1'!H118+'ADY 1'!H118</f>
        <v>250000000</v>
      </c>
      <c r="I118" s="347"/>
      <c r="J118" s="347">
        <f>'AND 1'!J118+'ADY 1'!J118</f>
        <v>250000000</v>
      </c>
      <c r="K118" s="347">
        <f>'AND 1'!L118+'ADY 1'!L118</f>
        <v>250000000</v>
      </c>
      <c r="L118" s="347">
        <f>'AND 1'!N118+'ADY 1'!N118</f>
        <v>250000000</v>
      </c>
      <c r="M118" s="347">
        <f>'AND 1'!P118+'ADY 1'!P118</f>
        <v>250000000</v>
      </c>
      <c r="N118" s="347">
        <f>'AND 1'!R118+'ADY 1'!R118</f>
        <v>250000000</v>
      </c>
      <c r="O118" s="347">
        <f>'AND 1'!T118+'ADY 1'!T118</f>
        <v>250000000</v>
      </c>
      <c r="P118" s="347">
        <f>'AND 1'!V118+'ADY 1'!V118</f>
        <v>250000000</v>
      </c>
      <c r="Q118" s="347">
        <f>'AND 1'!X118+'ADY 1'!X118</f>
        <v>250000000</v>
      </c>
      <c r="R118" s="347">
        <f>'AND 1'!Z118+'ADY 1'!Z118</f>
        <v>250000000</v>
      </c>
      <c r="S118" s="348">
        <f t="shared" si="37"/>
        <v>3000000000</v>
      </c>
      <c r="T118" s="347">
        <f t="shared" si="38"/>
        <v>3300000000.0000005</v>
      </c>
      <c r="U118" s="347">
        <f t="shared" si="38"/>
        <v>3630000000.000001</v>
      </c>
      <c r="V118" s="347">
        <f t="shared" si="38"/>
        <v>3993000000.0000014</v>
      </c>
    </row>
    <row r="119" spans="1:22" s="2" customFormat="1" ht="16.899999999999999" customHeight="1" x14ac:dyDescent="0.2">
      <c r="A119" s="396"/>
      <c r="B119" s="390"/>
      <c r="C119" s="393" t="s">
        <v>159</v>
      </c>
      <c r="D119" s="358">
        <f t="shared" ref="D119:V119" si="39">SUM(D109:D118)</f>
        <v>851670946.83333337</v>
      </c>
      <c r="E119" s="358">
        <f>SUM(E109:E118)</f>
        <v>0</v>
      </c>
      <c r="F119" s="358">
        <f>SUM(F109:F118)</f>
        <v>743782446.83333325</v>
      </c>
      <c r="G119" s="358">
        <f>SUM(G109:G118)</f>
        <v>0</v>
      </c>
      <c r="H119" s="358">
        <f>SUM(H109:H118)</f>
        <v>743782446.83333325</v>
      </c>
      <c r="I119" s="358">
        <f>SUM(I109:I118)</f>
        <v>0</v>
      </c>
      <c r="J119" s="358">
        <f t="shared" si="39"/>
        <v>743782446.83333325</v>
      </c>
      <c r="K119" s="358">
        <f t="shared" si="39"/>
        <v>743782446.83333325</v>
      </c>
      <c r="L119" s="358">
        <f t="shared" si="39"/>
        <v>743782446.83333325</v>
      </c>
      <c r="M119" s="358">
        <f t="shared" si="39"/>
        <v>743782446.83333325</v>
      </c>
      <c r="N119" s="358">
        <f t="shared" si="39"/>
        <v>1171795946.3333335</v>
      </c>
      <c r="O119" s="358">
        <f t="shared" si="39"/>
        <v>743782446.83333325</v>
      </c>
      <c r="P119" s="358">
        <f t="shared" si="39"/>
        <v>743782446.83333325</v>
      </c>
      <c r="Q119" s="358">
        <f t="shared" si="39"/>
        <v>743782446.83333325</v>
      </c>
      <c r="R119" s="358">
        <f t="shared" si="39"/>
        <v>1004124779.8333334</v>
      </c>
      <c r="S119" s="358">
        <f t="shared" si="39"/>
        <v>9721633694.5</v>
      </c>
      <c r="T119" s="358">
        <f t="shared" si="39"/>
        <v>10693797063.950001</v>
      </c>
      <c r="U119" s="358">
        <f t="shared" si="39"/>
        <v>11763176770.345001</v>
      </c>
      <c r="V119" s="358">
        <f t="shared" si="39"/>
        <v>12939494447.379503</v>
      </c>
    </row>
    <row r="120" spans="1:22" s="2" customFormat="1" ht="16.899999999999999" customHeight="1" x14ac:dyDescent="0.2">
      <c r="A120" s="396"/>
      <c r="B120" s="390"/>
      <c r="C120" s="393" t="s">
        <v>160</v>
      </c>
      <c r="D120" s="355">
        <f t="shared" ref="D120:S120" si="40">D119+D108+D96+D93+D86+D67+D78+D73+D64+D57+D32+D23+D22+D11+D101</f>
        <v>2491697134.4333334</v>
      </c>
      <c r="E120" s="355">
        <f>E119+E108+E96+E93+E86+E67+E78+E73+E64+E57+E32+E23+E22+E11+E101</f>
        <v>0</v>
      </c>
      <c r="F120" s="355">
        <f>F119+F108+F96+F93+F86+F67+F78+F73+F64+F57+F32+F23+F22+F11+F101</f>
        <v>2391762634.4333334</v>
      </c>
      <c r="G120" s="355">
        <f>G119+G108+G96+G93+G86+G67+G78+G73+G64+G57+G32+G23+G22+G11+G101</f>
        <v>0</v>
      </c>
      <c r="H120" s="355">
        <f>H119+H108+H96+H93+H86+H67+H78+H73+H64+H57+H32+H23+H22+H11+H101</f>
        <v>2365264634.4333334</v>
      </c>
      <c r="I120" s="355">
        <f>I119+I108+I96+I93+I86+I67+I78+I73+I64+I57+I32+I23+I22+I11+I101</f>
        <v>0</v>
      </c>
      <c r="J120" s="355">
        <f t="shared" si="40"/>
        <v>2605934390.4333334</v>
      </c>
      <c r="K120" s="355">
        <f t="shared" si="40"/>
        <v>2479598985.6333332</v>
      </c>
      <c r="L120" s="355">
        <f t="shared" si="40"/>
        <v>2523375985.6333332</v>
      </c>
      <c r="M120" s="355">
        <f t="shared" si="40"/>
        <v>2373234985.6333332</v>
      </c>
      <c r="N120" s="355">
        <f t="shared" si="40"/>
        <v>4506122495.7333336</v>
      </c>
      <c r="O120" s="355">
        <f t="shared" si="40"/>
        <v>2282384985.6333332</v>
      </c>
      <c r="P120" s="355">
        <f t="shared" si="40"/>
        <v>2549562585.6333332</v>
      </c>
      <c r="Q120" s="355">
        <f t="shared" si="40"/>
        <v>2351084985.6333332</v>
      </c>
      <c r="R120" s="355">
        <f t="shared" si="40"/>
        <v>2584677318.6333332</v>
      </c>
      <c r="S120" s="355">
        <f t="shared" si="40"/>
        <v>31504701121.900002</v>
      </c>
      <c r="T120" s="355">
        <f>T119+T108+T96+T93+T86+T78+T73+T67+T64+T57+T32+T23+T22+T11+T101</f>
        <v>34655171234.090004</v>
      </c>
      <c r="U120" s="355">
        <f>U119+U108+U96+U93+U86+U78+U73+U67+U64+U57+U32+U23+U22+U11+U101</f>
        <v>38120688357.499008</v>
      </c>
      <c r="V120" s="355">
        <f>V119+V108+V96+V93+V86+V78+V73+V67+V64+V57+V32+V23+V22+V11+V101</f>
        <v>41932757193.248909</v>
      </c>
    </row>
    <row r="121" spans="1:22" s="27" customFormat="1" ht="16.899999999999999" customHeight="1" x14ac:dyDescent="0.2">
      <c r="A121" s="390"/>
      <c r="B121" s="390"/>
      <c r="C121" s="390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  <c r="N121" s="363"/>
      <c r="O121" s="363"/>
      <c r="P121" s="363"/>
      <c r="Q121" s="363"/>
      <c r="R121" s="363"/>
      <c r="S121" s="363"/>
      <c r="T121" s="347">
        <f t="shared" ref="T121:V123" si="41">S121*1.1</f>
        <v>0</v>
      </c>
      <c r="U121" s="347">
        <f t="shared" si="41"/>
        <v>0</v>
      </c>
      <c r="V121" s="347">
        <f t="shared" si="41"/>
        <v>0</v>
      </c>
    </row>
    <row r="122" spans="1:22" s="2" customFormat="1" ht="16.899999999999999" customHeight="1" x14ac:dyDescent="0.2">
      <c r="A122" s="396">
        <v>1</v>
      </c>
      <c r="B122" s="390"/>
      <c r="C122" s="386" t="s">
        <v>161</v>
      </c>
      <c r="D122" s="347">
        <f>'AND 1'!D122+'ADY 1'!D122</f>
        <v>253936751</v>
      </c>
      <c r="E122" s="347"/>
      <c r="F122" s="347">
        <f>'AND 1'!F122+'ADY 1'!F122</f>
        <v>253936751</v>
      </c>
      <c r="G122" s="347"/>
      <c r="H122" s="347">
        <f>'AND 1'!H122+'ADY 1'!H122</f>
        <v>253936751</v>
      </c>
      <c r="I122" s="347"/>
      <c r="J122" s="347">
        <f>'AND 1'!J122+'ADY 1'!J122</f>
        <v>253936751</v>
      </c>
      <c r="K122" s="347">
        <f>'AND 1'!L122+'ADY 1'!L122</f>
        <v>253936751</v>
      </c>
      <c r="L122" s="347">
        <f>'AND 1'!N122+'ADY 1'!N122</f>
        <v>253936751</v>
      </c>
      <c r="M122" s="347">
        <f>'AND 1'!P122+'ADY 1'!P122</f>
        <v>253936751</v>
      </c>
      <c r="N122" s="347">
        <f>'AND 1'!R122+'ADY 1'!R122</f>
        <v>253936751</v>
      </c>
      <c r="O122" s="347">
        <f>'AND 1'!T122+'ADY 1'!T122</f>
        <v>253936751</v>
      </c>
      <c r="P122" s="347">
        <f>'AND 1'!V122+'ADY 1'!V122</f>
        <v>253936751</v>
      </c>
      <c r="Q122" s="347">
        <f>'AND 1'!X122+'ADY 1'!X122</f>
        <v>253936751</v>
      </c>
      <c r="R122" s="347">
        <f>'AND 1'!Z122+'ADY 1'!Z122</f>
        <v>253936751</v>
      </c>
      <c r="S122" s="348">
        <f>R122+Q122+P122+O122+N122+M122+L122+K122+J122+H122+F122+D122</f>
        <v>3047241012</v>
      </c>
      <c r="T122" s="347">
        <f t="shared" si="41"/>
        <v>3351965113.2000003</v>
      </c>
      <c r="U122" s="347">
        <f t="shared" si="41"/>
        <v>3687161624.5200005</v>
      </c>
      <c r="V122" s="347">
        <f t="shared" si="41"/>
        <v>4055877786.9720006</v>
      </c>
    </row>
    <row r="123" spans="1:22" s="2" customFormat="1" ht="16.899999999999999" customHeight="1" x14ac:dyDescent="0.2">
      <c r="A123" s="396">
        <v>2</v>
      </c>
      <c r="B123" s="390"/>
      <c r="C123" s="390" t="s">
        <v>162</v>
      </c>
      <c r="D123" s="347">
        <f>'AND 1'!D123+'ADY 1'!D123</f>
        <v>0</v>
      </c>
      <c r="E123" s="347"/>
      <c r="F123" s="347">
        <f>'AND 1'!F123+'ADY 1'!F123</f>
        <v>0</v>
      </c>
      <c r="G123" s="347"/>
      <c r="H123" s="347">
        <f>'AND 1'!H123+'ADY 1'!H123</f>
        <v>0</v>
      </c>
      <c r="I123" s="347"/>
      <c r="J123" s="347">
        <f>'AND 1'!J123+'ADY 1'!J123</f>
        <v>0</v>
      </c>
      <c r="K123" s="347">
        <f>'AND 1'!L123+'ADY 1'!L123</f>
        <v>0</v>
      </c>
      <c r="L123" s="347">
        <f>'AND 1'!N123+'ADY 1'!N123</f>
        <v>0</v>
      </c>
      <c r="M123" s="347">
        <f>'AND 1'!P123+'ADY 1'!P123</f>
        <v>0</v>
      </c>
      <c r="N123" s="347">
        <f>'AND 1'!R123+'ADY 1'!R123</f>
        <v>0</v>
      </c>
      <c r="O123" s="347">
        <f>'AND 1'!T123+'ADY 1'!T123</f>
        <v>0</v>
      </c>
      <c r="P123" s="347">
        <f>'AND 1'!V123+'ADY 1'!V123</f>
        <v>0</v>
      </c>
      <c r="Q123" s="347">
        <f>'AND 1'!X123+'ADY 1'!X123</f>
        <v>0</v>
      </c>
      <c r="R123" s="347">
        <f>'AND 1'!Z123+'ADY 1'!Z123</f>
        <v>0</v>
      </c>
      <c r="S123" s="348">
        <f>R123+Q123+P123+O123+N123+M123+L123+K123+J123+H123+F123+D123</f>
        <v>0</v>
      </c>
      <c r="T123" s="347">
        <f t="shared" si="41"/>
        <v>0</v>
      </c>
      <c r="U123" s="347">
        <f t="shared" si="41"/>
        <v>0</v>
      </c>
      <c r="V123" s="347">
        <f t="shared" si="41"/>
        <v>0</v>
      </c>
    </row>
    <row r="124" spans="1:22" s="2" customFormat="1" ht="16.899999999999999" customHeight="1" x14ac:dyDescent="0.2">
      <c r="A124" s="396"/>
      <c r="B124" s="386" t="s">
        <v>163</v>
      </c>
      <c r="C124" s="393" t="s">
        <v>164</v>
      </c>
      <c r="D124" s="355">
        <f t="shared" ref="D124:V124" si="42">SUM(D122:D123)</f>
        <v>253936751</v>
      </c>
      <c r="E124" s="355"/>
      <c r="F124" s="355">
        <f t="shared" si="42"/>
        <v>253936751</v>
      </c>
      <c r="G124" s="355"/>
      <c r="H124" s="355">
        <f t="shared" si="42"/>
        <v>253936751</v>
      </c>
      <c r="I124" s="355"/>
      <c r="J124" s="355">
        <f t="shared" si="42"/>
        <v>253936751</v>
      </c>
      <c r="K124" s="355">
        <f t="shared" si="42"/>
        <v>253936751</v>
      </c>
      <c r="L124" s="355">
        <f t="shared" si="42"/>
        <v>253936751</v>
      </c>
      <c r="M124" s="355">
        <f t="shared" si="42"/>
        <v>253936751</v>
      </c>
      <c r="N124" s="355">
        <f t="shared" si="42"/>
        <v>253936751</v>
      </c>
      <c r="O124" s="355">
        <f t="shared" si="42"/>
        <v>253936751</v>
      </c>
      <c r="P124" s="355">
        <f t="shared" si="42"/>
        <v>253936751</v>
      </c>
      <c r="Q124" s="355">
        <f t="shared" si="42"/>
        <v>253936751</v>
      </c>
      <c r="R124" s="355">
        <f t="shared" si="42"/>
        <v>253936751</v>
      </c>
      <c r="S124" s="355">
        <f t="shared" si="42"/>
        <v>3047241012</v>
      </c>
      <c r="T124" s="366">
        <f t="shared" si="42"/>
        <v>3351965113.2000003</v>
      </c>
      <c r="U124" s="366">
        <f t="shared" si="42"/>
        <v>3687161624.5200005</v>
      </c>
      <c r="V124" s="366">
        <f t="shared" si="42"/>
        <v>4055877786.9720006</v>
      </c>
    </row>
    <row r="125" spans="1:22" s="2" customFormat="1" ht="16.899999999999999" customHeight="1" x14ac:dyDescent="0.2">
      <c r="A125" s="396"/>
      <c r="B125" s="390"/>
      <c r="C125" s="393" t="s">
        <v>165</v>
      </c>
      <c r="D125" s="355">
        <f t="shared" ref="D125:V125" si="43">D120+D124</f>
        <v>2745633885.4333334</v>
      </c>
      <c r="E125" s="355">
        <f t="shared" si="43"/>
        <v>0</v>
      </c>
      <c r="F125" s="355">
        <f t="shared" si="43"/>
        <v>2645699385.4333334</v>
      </c>
      <c r="G125" s="355">
        <f t="shared" si="43"/>
        <v>0</v>
      </c>
      <c r="H125" s="355">
        <f t="shared" si="43"/>
        <v>2619201385.4333334</v>
      </c>
      <c r="I125" s="355">
        <f t="shared" si="43"/>
        <v>0</v>
      </c>
      <c r="J125" s="355">
        <f t="shared" si="43"/>
        <v>2859871141.4333334</v>
      </c>
      <c r="K125" s="355">
        <f t="shared" si="43"/>
        <v>2733535736.6333332</v>
      </c>
      <c r="L125" s="355">
        <f t="shared" si="43"/>
        <v>2777312736.6333332</v>
      </c>
      <c r="M125" s="355">
        <f t="shared" si="43"/>
        <v>2627171736.6333332</v>
      </c>
      <c r="N125" s="355">
        <f t="shared" si="43"/>
        <v>4760059246.7333336</v>
      </c>
      <c r="O125" s="355">
        <f t="shared" si="43"/>
        <v>2536321736.6333332</v>
      </c>
      <c r="P125" s="355">
        <f t="shared" si="43"/>
        <v>2803499336.6333332</v>
      </c>
      <c r="Q125" s="355">
        <f t="shared" si="43"/>
        <v>2605021736.6333332</v>
      </c>
      <c r="R125" s="355">
        <f t="shared" si="43"/>
        <v>2838614069.6333332</v>
      </c>
      <c r="S125" s="355">
        <f t="shared" si="43"/>
        <v>34551942133.900002</v>
      </c>
      <c r="T125" s="355">
        <f t="shared" si="43"/>
        <v>38007136347.290001</v>
      </c>
      <c r="U125" s="355">
        <f t="shared" si="43"/>
        <v>41807849982.019012</v>
      </c>
      <c r="V125" s="355">
        <f t="shared" si="43"/>
        <v>45988634980.220909</v>
      </c>
    </row>
    <row r="126" spans="1:22" ht="16.899999999999999" customHeight="1" x14ac:dyDescent="0.2">
      <c r="A126" s="385"/>
      <c r="B126" s="398"/>
      <c r="C126" s="385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8"/>
      <c r="T126" s="347">
        <f t="shared" ref="T126:V129" si="44">S126*1.1</f>
        <v>0</v>
      </c>
      <c r="U126" s="347">
        <f t="shared" si="44"/>
        <v>0</v>
      </c>
      <c r="V126" s="347">
        <f t="shared" si="44"/>
        <v>0</v>
      </c>
    </row>
    <row r="127" spans="1:22" s="62" customFormat="1" ht="16.899999999999999" customHeight="1" x14ac:dyDescent="0.2">
      <c r="A127" s="385">
        <v>1</v>
      </c>
      <c r="B127" s="386" t="s">
        <v>166</v>
      </c>
      <c r="C127" s="385" t="s">
        <v>167</v>
      </c>
      <c r="D127" s="347">
        <f>'AND 1'!D127+'ADY 1'!D127</f>
        <v>6000000</v>
      </c>
      <c r="E127" s="347"/>
      <c r="F127" s="347">
        <f>'AND 1'!F127+'ADY 1'!F127</f>
        <v>6000000</v>
      </c>
      <c r="G127" s="347"/>
      <c r="H127" s="347">
        <f>'AND 1'!H127+'ADY 1'!H127</f>
        <v>6000000</v>
      </c>
      <c r="I127" s="347"/>
      <c r="J127" s="347">
        <f>'AND 1'!J127+'ADY 1'!J127</f>
        <v>6000000</v>
      </c>
      <c r="K127" s="347">
        <f>'AND 1'!L127+'ADY 1'!L127</f>
        <v>6000000</v>
      </c>
      <c r="L127" s="347">
        <f>'AND 1'!N127+'ADY 1'!N127</f>
        <v>6000000</v>
      </c>
      <c r="M127" s="347">
        <f>'AND 1'!P127+'ADY 1'!P127</f>
        <v>6000000</v>
      </c>
      <c r="N127" s="347">
        <f>'AND 1'!R127+'ADY 1'!R127</f>
        <v>6000000</v>
      </c>
      <c r="O127" s="347">
        <f>'AND 1'!T127+'ADY 1'!T127</f>
        <v>6000000</v>
      </c>
      <c r="P127" s="347">
        <f>'AND 1'!V127+'ADY 1'!V127</f>
        <v>6000000</v>
      </c>
      <c r="Q127" s="347">
        <f>'AND 1'!X127+'ADY 1'!X127</f>
        <v>6000000</v>
      </c>
      <c r="R127" s="347">
        <f>'AND 1'!Z127+'ADY 1'!Z127</f>
        <v>6000000</v>
      </c>
      <c r="S127" s="360">
        <f>R127+Q127+P127++O127+N127+M127+L127+K127+J127+H127+F127+D127</f>
        <v>72000000</v>
      </c>
      <c r="T127" s="347">
        <f t="shared" si="44"/>
        <v>79200000</v>
      </c>
      <c r="U127" s="347">
        <f t="shared" si="44"/>
        <v>87120000</v>
      </c>
      <c r="V127" s="347">
        <f t="shared" si="44"/>
        <v>95832000.000000015</v>
      </c>
    </row>
    <row r="128" spans="1:22" s="62" customFormat="1" ht="16.899999999999999" customHeight="1" x14ac:dyDescent="0.2">
      <c r="A128" s="385">
        <v>2</v>
      </c>
      <c r="B128" s="386" t="s">
        <v>166</v>
      </c>
      <c r="C128" s="385" t="s">
        <v>168</v>
      </c>
      <c r="D128" s="347">
        <f>'AND 1'!D128+'ADY 1'!D128</f>
        <v>166312500</v>
      </c>
      <c r="E128" s="347"/>
      <c r="F128" s="347">
        <f>'AND 1'!F128+'ADY 1'!F128</f>
        <v>166312500</v>
      </c>
      <c r="G128" s="347"/>
      <c r="H128" s="347">
        <f>'AND 1'!H128+'ADY 1'!H128</f>
        <v>166312500</v>
      </c>
      <c r="I128" s="347"/>
      <c r="J128" s="347">
        <f>'AND 1'!J128+'ADY 1'!J128</f>
        <v>166312500</v>
      </c>
      <c r="K128" s="347">
        <f>'AND 1'!L128+'ADY 1'!L128</f>
        <v>166312500</v>
      </c>
      <c r="L128" s="347">
        <f>'AND 1'!N128+'ADY 1'!N128</f>
        <v>166312500</v>
      </c>
      <c r="M128" s="347">
        <f>'AND 1'!P128+'ADY 1'!P128</f>
        <v>166312500</v>
      </c>
      <c r="N128" s="347">
        <f>'AND 1'!R128+'ADY 1'!R128</f>
        <v>166312500</v>
      </c>
      <c r="O128" s="347">
        <f>'AND 1'!T128+'ADY 1'!T128</f>
        <v>166312500</v>
      </c>
      <c r="P128" s="347">
        <f>'AND 1'!V128+'ADY 1'!V128</f>
        <v>166312500</v>
      </c>
      <c r="Q128" s="347">
        <f>'AND 1'!X128+'ADY 1'!X128</f>
        <v>166312500</v>
      </c>
      <c r="R128" s="347">
        <f>'AND 1'!Z128+'ADY 1'!Z128</f>
        <v>166312500</v>
      </c>
      <c r="S128" s="360">
        <f>R128+Q128+P128++O128+N128+M128+L128+K128+J128+H128+F128+D128</f>
        <v>1995750000</v>
      </c>
      <c r="T128" s="347">
        <f t="shared" si="44"/>
        <v>2195325000</v>
      </c>
      <c r="U128" s="347">
        <f t="shared" si="44"/>
        <v>2414857500</v>
      </c>
      <c r="V128" s="347">
        <f t="shared" si="44"/>
        <v>2656343250</v>
      </c>
    </row>
    <row r="129" spans="1:22" s="62" customFormat="1" ht="16.899999999999999" customHeight="1" x14ac:dyDescent="0.2">
      <c r="A129" s="385">
        <v>3</v>
      </c>
      <c r="B129" s="386" t="s">
        <v>166</v>
      </c>
      <c r="C129" s="386" t="s">
        <v>169</v>
      </c>
      <c r="D129" s="347">
        <f>'AND 1'!D129+'ADY 1'!D129</f>
        <v>14400000</v>
      </c>
      <c r="E129" s="347"/>
      <c r="F129" s="347">
        <f>'AND 1'!F129+'ADY 1'!F129</f>
        <v>14400000</v>
      </c>
      <c r="G129" s="347"/>
      <c r="H129" s="347">
        <f>'AND 1'!H129+'ADY 1'!H129</f>
        <v>14400000</v>
      </c>
      <c r="I129" s="347"/>
      <c r="J129" s="347">
        <f>'AND 1'!J129+'ADY 1'!J129</f>
        <v>14400000</v>
      </c>
      <c r="K129" s="347">
        <f>'AND 1'!L129+'ADY 1'!L129</f>
        <v>14400000</v>
      </c>
      <c r="L129" s="347">
        <f>'AND 1'!N129+'ADY 1'!N129</f>
        <v>14400000</v>
      </c>
      <c r="M129" s="347">
        <f>'AND 1'!P129+'ADY 1'!P129</f>
        <v>14400000</v>
      </c>
      <c r="N129" s="347">
        <f>'AND 1'!R129+'ADY 1'!R129</f>
        <v>14400000</v>
      </c>
      <c r="O129" s="347">
        <f>'AND 1'!T129+'ADY 1'!T129</f>
        <v>14400000</v>
      </c>
      <c r="P129" s="347">
        <f>'AND 1'!V129+'ADY 1'!V129</f>
        <v>14400000</v>
      </c>
      <c r="Q129" s="347">
        <f>'AND 1'!X129+'ADY 1'!X129</f>
        <v>14400000</v>
      </c>
      <c r="R129" s="347">
        <f>'AND 1'!Z129+'ADY 1'!Z129</f>
        <v>14400000</v>
      </c>
      <c r="S129" s="360">
        <f>R129+Q129+P129++O129+N129+M129+L129+K129+J129+H129+F129+D129</f>
        <v>172800000</v>
      </c>
      <c r="T129" s="347">
        <f t="shared" si="44"/>
        <v>190080000.00000003</v>
      </c>
      <c r="U129" s="347">
        <f t="shared" si="44"/>
        <v>209088000.00000006</v>
      </c>
      <c r="V129" s="347">
        <f t="shared" si="44"/>
        <v>229996800.00000009</v>
      </c>
    </row>
    <row r="130" spans="1:22" s="2" customFormat="1" ht="16.899999999999999" customHeight="1" x14ac:dyDescent="0.2">
      <c r="A130" s="396"/>
      <c r="B130" s="396"/>
      <c r="C130" s="399" t="s">
        <v>170</v>
      </c>
      <c r="D130" s="369">
        <f t="shared" ref="D130:V130" si="45">SUM(D127:D129)</f>
        <v>186712500</v>
      </c>
      <c r="E130" s="369">
        <f t="shared" si="45"/>
        <v>0</v>
      </c>
      <c r="F130" s="369">
        <f t="shared" si="45"/>
        <v>186712500</v>
      </c>
      <c r="G130" s="369">
        <f t="shared" si="45"/>
        <v>0</v>
      </c>
      <c r="H130" s="369">
        <f t="shared" si="45"/>
        <v>186712500</v>
      </c>
      <c r="I130" s="369">
        <f t="shared" si="45"/>
        <v>0</v>
      </c>
      <c r="J130" s="369">
        <f t="shared" si="45"/>
        <v>186712500</v>
      </c>
      <c r="K130" s="369">
        <f t="shared" si="45"/>
        <v>186712500</v>
      </c>
      <c r="L130" s="369">
        <f t="shared" si="45"/>
        <v>186712500</v>
      </c>
      <c r="M130" s="369">
        <f t="shared" si="45"/>
        <v>186712500</v>
      </c>
      <c r="N130" s="369">
        <f t="shared" si="45"/>
        <v>186712500</v>
      </c>
      <c r="O130" s="369">
        <f t="shared" si="45"/>
        <v>186712500</v>
      </c>
      <c r="P130" s="369">
        <f t="shared" si="45"/>
        <v>186712500</v>
      </c>
      <c r="Q130" s="369">
        <f t="shared" si="45"/>
        <v>186712500</v>
      </c>
      <c r="R130" s="369">
        <f t="shared" si="45"/>
        <v>186712500</v>
      </c>
      <c r="S130" s="369">
        <f t="shared" si="45"/>
        <v>2240550000</v>
      </c>
      <c r="T130" s="369">
        <f t="shared" si="45"/>
        <v>2464605000</v>
      </c>
      <c r="U130" s="369">
        <f t="shared" si="45"/>
        <v>2711065500</v>
      </c>
      <c r="V130" s="369">
        <f t="shared" si="45"/>
        <v>2982172050</v>
      </c>
    </row>
    <row r="131" spans="1:22" ht="16.899999999999999" customHeight="1" x14ac:dyDescent="0.2">
      <c r="A131" s="385"/>
      <c r="B131" s="400"/>
      <c r="C131" s="385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70"/>
      <c r="U131" s="370"/>
      <c r="V131" s="370"/>
    </row>
    <row r="132" spans="1:22" s="2" customFormat="1" ht="16.899999999999999" customHeight="1" x14ac:dyDescent="0.2">
      <c r="A132" s="401"/>
      <c r="B132" s="401"/>
      <c r="C132" s="402" t="s">
        <v>24</v>
      </c>
      <c r="D132" s="371">
        <f t="shared" ref="D132:V132" si="46">D125-D130</f>
        <v>2558921385.4333334</v>
      </c>
      <c r="E132" s="371">
        <f t="shared" si="46"/>
        <v>0</v>
      </c>
      <c r="F132" s="371">
        <f t="shared" si="46"/>
        <v>2458986885.4333334</v>
      </c>
      <c r="G132" s="371">
        <f t="shared" si="46"/>
        <v>0</v>
      </c>
      <c r="H132" s="371">
        <f t="shared" si="46"/>
        <v>2432488885.4333334</v>
      </c>
      <c r="I132" s="371">
        <f t="shared" si="46"/>
        <v>0</v>
      </c>
      <c r="J132" s="371">
        <f t="shared" si="46"/>
        <v>2673158641.4333334</v>
      </c>
      <c r="K132" s="371">
        <f t="shared" si="46"/>
        <v>2546823236.6333332</v>
      </c>
      <c r="L132" s="371">
        <f t="shared" si="46"/>
        <v>2590600236.6333332</v>
      </c>
      <c r="M132" s="371">
        <f t="shared" si="46"/>
        <v>2440459236.6333332</v>
      </c>
      <c r="N132" s="371">
        <f t="shared" si="46"/>
        <v>4573346746.7333336</v>
      </c>
      <c r="O132" s="371">
        <f t="shared" si="46"/>
        <v>2349609236.6333332</v>
      </c>
      <c r="P132" s="371">
        <f t="shared" si="46"/>
        <v>2616786836.6333332</v>
      </c>
      <c r="Q132" s="371">
        <f t="shared" si="46"/>
        <v>2418309236.6333332</v>
      </c>
      <c r="R132" s="371">
        <f t="shared" si="46"/>
        <v>2651901569.6333332</v>
      </c>
      <c r="S132" s="371">
        <f>S125-S130</f>
        <v>32311392133.900002</v>
      </c>
      <c r="T132" s="371">
        <f t="shared" si="46"/>
        <v>35542531347.290001</v>
      </c>
      <c r="U132" s="371">
        <f t="shared" si="46"/>
        <v>39096784482.019012</v>
      </c>
      <c r="V132" s="371">
        <f t="shared" si="46"/>
        <v>43006462930.220909</v>
      </c>
    </row>
    <row r="134" spans="1:22" ht="16.899999999999999" customHeight="1" x14ac:dyDescent="0.2">
      <c r="A134" s="29">
        <v>23</v>
      </c>
      <c r="B134" s="41" t="s">
        <v>171</v>
      </c>
      <c r="C134" s="41" t="s">
        <v>172</v>
      </c>
      <c r="D134" s="30">
        <f>'AND 1'!D134+'ADY 1'!D134</f>
        <v>0</v>
      </c>
      <c r="E134" s="30"/>
      <c r="F134" s="30">
        <f>'AND 1'!F134+'ADY 1'!F134</f>
        <v>0</v>
      </c>
      <c r="G134" s="30"/>
      <c r="H134" s="30">
        <f>'AND 1'!H134+'ADY 1'!H134</f>
        <v>0</v>
      </c>
      <c r="I134" s="30"/>
      <c r="J134" s="30">
        <f>'AND 1'!J134+'ADY 1'!J134</f>
        <v>0</v>
      </c>
      <c r="K134" s="30">
        <f>'AND 1'!L134+'ADY 1'!L134</f>
        <v>0</v>
      </c>
      <c r="L134" s="30">
        <f>'AND 1'!N134+'ADY 1'!N134</f>
        <v>0</v>
      </c>
      <c r="M134" s="30">
        <f>'AND 1'!P134+'ADY 1'!P134</f>
        <v>0</v>
      </c>
      <c r="N134" s="30">
        <f>'AND 1'!R134+'ADY 1'!R134</f>
        <v>0</v>
      </c>
      <c r="O134" s="30">
        <f>'AND 1'!T134+'ADY 1'!T134</f>
        <v>0</v>
      </c>
      <c r="P134" s="30">
        <f>'AND 1'!V134+'ADY 1'!V134</f>
        <v>0</v>
      </c>
      <c r="Q134" s="30">
        <f>'AND 1'!X134+'ADY 1'!X134</f>
        <v>0</v>
      </c>
      <c r="R134" s="30">
        <f>'AND 1'!Z134+'ADY 1'!Z134</f>
        <v>0</v>
      </c>
      <c r="S134" s="30">
        <f>'AND 1'!AB134+'ADY 1'!AB134</f>
        <v>0</v>
      </c>
      <c r="T134" s="30">
        <f>S134*1.1</f>
        <v>0</v>
      </c>
      <c r="U134" s="30">
        <f>T134*1.1</f>
        <v>0</v>
      </c>
      <c r="V134" s="30">
        <f>U134*1.1</f>
        <v>0</v>
      </c>
    </row>
    <row r="135" spans="1:22" ht="16.899999999999999" customHeight="1" x14ac:dyDescent="0.2">
      <c r="A135" s="107"/>
      <c r="B135" s="108" t="s">
        <v>241</v>
      </c>
      <c r="C135" s="10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109"/>
    </row>
    <row r="136" spans="1:22" s="89" customFormat="1" ht="16.5" customHeight="1" x14ac:dyDescent="0.2">
      <c r="B136" s="110" t="s">
        <v>222</v>
      </c>
      <c r="D136" s="90" t="s">
        <v>173</v>
      </c>
      <c r="E136" s="90"/>
      <c r="F136" s="90" t="s">
        <v>174</v>
      </c>
      <c r="G136" s="90"/>
      <c r="H136" s="90" t="s">
        <v>175</v>
      </c>
      <c r="I136" s="90"/>
      <c r="J136" s="91" t="s">
        <v>176</v>
      </c>
      <c r="K136" s="91" t="s">
        <v>177</v>
      </c>
      <c r="L136" s="91" t="s">
        <v>178</v>
      </c>
      <c r="M136" s="91" t="s">
        <v>179</v>
      </c>
      <c r="N136" s="91" t="s">
        <v>180</v>
      </c>
      <c r="O136" s="91" t="s">
        <v>181</v>
      </c>
      <c r="P136" s="91" t="s">
        <v>182</v>
      </c>
      <c r="Q136" s="91" t="s">
        <v>183</v>
      </c>
      <c r="R136" s="91" t="s">
        <v>184</v>
      </c>
      <c r="S136" s="111" t="s">
        <v>242</v>
      </c>
      <c r="T136" s="92"/>
      <c r="U136" s="92"/>
      <c r="V136" s="92"/>
    </row>
    <row r="137" spans="1:22" x14ac:dyDescent="0.2">
      <c r="B137" s="89"/>
      <c r="C137" s="89"/>
      <c r="D137" s="91" t="s">
        <v>8</v>
      </c>
      <c r="E137" s="91"/>
      <c r="F137" s="91" t="s">
        <v>8</v>
      </c>
      <c r="G137" s="91"/>
      <c r="H137" s="91" t="s">
        <v>8</v>
      </c>
      <c r="I137" s="91"/>
      <c r="J137" s="91" t="s">
        <v>8</v>
      </c>
      <c r="K137" s="91" t="s">
        <v>8</v>
      </c>
      <c r="L137" s="91" t="s">
        <v>8</v>
      </c>
      <c r="M137" s="91" t="s">
        <v>8</v>
      </c>
      <c r="N137" s="91" t="s">
        <v>8</v>
      </c>
      <c r="O137" s="91" t="s">
        <v>8</v>
      </c>
      <c r="P137" s="91" t="s">
        <v>8</v>
      </c>
      <c r="Q137" s="91" t="s">
        <v>8</v>
      </c>
      <c r="R137" s="91" t="s">
        <v>8</v>
      </c>
      <c r="S137" s="91" t="s">
        <v>8</v>
      </c>
    </row>
    <row r="138" spans="1:22" s="70" customFormat="1" ht="15.75" customHeight="1" x14ac:dyDescent="0.2">
      <c r="A138" s="70">
        <v>1</v>
      </c>
      <c r="B138" s="70" t="s">
        <v>185</v>
      </c>
      <c r="C138" s="15"/>
      <c r="D138" s="112">
        <f t="shared" ref="D138:R138" si="47">D41+D42+D43+D74+D75+D80</f>
        <v>37000000</v>
      </c>
      <c r="E138" s="112">
        <f>E41+E42+E43+E74+E75+E80</f>
        <v>0</v>
      </c>
      <c r="F138" s="112">
        <f t="shared" si="47"/>
        <v>15000000</v>
      </c>
      <c r="G138" s="112">
        <f>G41+G42+G43+G74+G75+G80</f>
        <v>0</v>
      </c>
      <c r="H138" s="112">
        <f t="shared" si="47"/>
        <v>15000000</v>
      </c>
      <c r="I138" s="112">
        <f>I41+I42+I43+I74+I75+I80</f>
        <v>0</v>
      </c>
      <c r="J138" s="112">
        <f t="shared" si="47"/>
        <v>52000000</v>
      </c>
      <c r="K138" s="112">
        <f>K41+K42+K43+K74+K75+K80</f>
        <v>15000000</v>
      </c>
      <c r="L138" s="112">
        <f>L41+L42+L43+L74+L75+L80</f>
        <v>31000000</v>
      </c>
      <c r="M138" s="112">
        <f>M41+M42+M43+M74+M75+M80</f>
        <v>27000000</v>
      </c>
      <c r="N138" s="112">
        <f t="shared" si="47"/>
        <v>15000000</v>
      </c>
      <c r="O138" s="112">
        <f t="shared" si="47"/>
        <v>15000000</v>
      </c>
      <c r="P138" s="112">
        <f>P41+P42+P43+P74+P75+P80</f>
        <v>87000000</v>
      </c>
      <c r="Q138" s="112">
        <f t="shared" si="47"/>
        <v>27000000</v>
      </c>
      <c r="R138" s="112">
        <f t="shared" si="47"/>
        <v>27000000</v>
      </c>
      <c r="S138" s="112">
        <f t="shared" ref="S138:S179" si="48">R138+Q138+P138+O138+N138+M138+L138+K138+J138+H138+F138+D138</f>
        <v>363000000</v>
      </c>
      <c r="T138" s="15"/>
      <c r="U138" s="15"/>
      <c r="V138" s="15"/>
    </row>
    <row r="139" spans="1:22" s="70" customFormat="1" ht="15.75" customHeight="1" x14ac:dyDescent="0.2">
      <c r="A139" s="70">
        <v>2</v>
      </c>
      <c r="B139" s="70" t="s">
        <v>146</v>
      </c>
      <c r="C139" s="15"/>
      <c r="D139" s="112">
        <f>D106+D91+D98</f>
        <v>54000000</v>
      </c>
      <c r="E139" s="112">
        <f>E106+E91+E98</f>
        <v>0</v>
      </c>
      <c r="F139" s="112">
        <f t="shared" ref="F139:R139" si="49">F106+F91+F98</f>
        <v>4000000</v>
      </c>
      <c r="G139" s="112">
        <f>G106+G91+G98</f>
        <v>0</v>
      </c>
      <c r="H139" s="112">
        <f t="shared" si="49"/>
        <v>4000000</v>
      </c>
      <c r="I139" s="112">
        <f>I106+I91+I98</f>
        <v>0</v>
      </c>
      <c r="J139" s="112">
        <f t="shared" si="49"/>
        <v>4000000</v>
      </c>
      <c r="K139" s="112">
        <f>K106+K91+K98</f>
        <v>4000000</v>
      </c>
      <c r="L139" s="112">
        <f t="shared" si="49"/>
        <v>4000000</v>
      </c>
      <c r="M139" s="112">
        <f>M106+M91+M98</f>
        <v>59000000</v>
      </c>
      <c r="N139" s="112">
        <f t="shared" si="49"/>
        <v>4000000</v>
      </c>
      <c r="O139" s="112">
        <f t="shared" si="49"/>
        <v>4000000</v>
      </c>
      <c r="P139" s="112">
        <f t="shared" si="49"/>
        <v>4000000</v>
      </c>
      <c r="Q139" s="112">
        <f t="shared" si="49"/>
        <v>4000000</v>
      </c>
      <c r="R139" s="112">
        <f t="shared" si="49"/>
        <v>4000000</v>
      </c>
      <c r="S139" s="112">
        <f t="shared" si="48"/>
        <v>153000000</v>
      </c>
      <c r="T139" s="15"/>
      <c r="U139" s="15"/>
      <c r="V139" s="15"/>
    </row>
    <row r="140" spans="1:22" s="70" customFormat="1" ht="15.75" customHeight="1" x14ac:dyDescent="0.2">
      <c r="A140" s="70">
        <v>3</v>
      </c>
      <c r="B140" s="70" t="s">
        <v>145</v>
      </c>
      <c r="D140" s="112">
        <f t="shared" ref="D140:R140" si="50">D103</f>
        <v>19500000</v>
      </c>
      <c r="E140" s="112">
        <f>E103</f>
        <v>0</v>
      </c>
      <c r="F140" s="112">
        <f t="shared" si="50"/>
        <v>19500000</v>
      </c>
      <c r="G140" s="112">
        <f>G103</f>
        <v>0</v>
      </c>
      <c r="H140" s="112">
        <f t="shared" si="50"/>
        <v>19500000</v>
      </c>
      <c r="I140" s="112">
        <f>I103</f>
        <v>0</v>
      </c>
      <c r="J140" s="112">
        <f t="shared" si="50"/>
        <v>19500000</v>
      </c>
      <c r="K140" s="112">
        <f>K103</f>
        <v>19500000</v>
      </c>
      <c r="L140" s="112">
        <f>L103</f>
        <v>19500000</v>
      </c>
      <c r="M140" s="112">
        <f>M103</f>
        <v>19500000</v>
      </c>
      <c r="N140" s="112">
        <f t="shared" si="50"/>
        <v>19500000</v>
      </c>
      <c r="O140" s="112">
        <f t="shared" si="50"/>
        <v>19500000</v>
      </c>
      <c r="P140" s="112">
        <f>P103</f>
        <v>19500000</v>
      </c>
      <c r="Q140" s="112">
        <f t="shared" si="50"/>
        <v>19500000</v>
      </c>
      <c r="R140" s="112">
        <f t="shared" si="50"/>
        <v>19500000</v>
      </c>
      <c r="S140" s="112">
        <f t="shared" si="48"/>
        <v>234000000</v>
      </c>
      <c r="T140" s="15"/>
      <c r="U140" s="15"/>
      <c r="V140" s="15"/>
    </row>
    <row r="141" spans="1:22" s="70" customFormat="1" ht="15.75" customHeight="1" x14ac:dyDescent="0.2">
      <c r="A141" s="70">
        <v>4</v>
      </c>
      <c r="B141" s="70" t="s">
        <v>186</v>
      </c>
      <c r="D141" s="112">
        <f t="shared" ref="D141:R141" si="51">D59</f>
        <v>1349000</v>
      </c>
      <c r="E141" s="112">
        <f>E59</f>
        <v>0</v>
      </c>
      <c r="F141" s="112">
        <f t="shared" si="51"/>
        <v>1349000</v>
      </c>
      <c r="G141" s="112">
        <f>G59</f>
        <v>0</v>
      </c>
      <c r="H141" s="112">
        <f t="shared" si="51"/>
        <v>1349000</v>
      </c>
      <c r="I141" s="112">
        <f>I59</f>
        <v>0</v>
      </c>
      <c r="J141" s="112">
        <f t="shared" si="51"/>
        <v>1349000</v>
      </c>
      <c r="K141" s="112">
        <f>K59</f>
        <v>1349000</v>
      </c>
      <c r="L141" s="112">
        <f>L59</f>
        <v>1349000</v>
      </c>
      <c r="M141" s="112">
        <f>M59</f>
        <v>1349000</v>
      </c>
      <c r="N141" s="112">
        <f t="shared" si="51"/>
        <v>1349000</v>
      </c>
      <c r="O141" s="112">
        <f t="shared" si="51"/>
        <v>1349000</v>
      </c>
      <c r="P141" s="112">
        <f>P59</f>
        <v>1349000</v>
      </c>
      <c r="Q141" s="112">
        <f t="shared" si="51"/>
        <v>1349000</v>
      </c>
      <c r="R141" s="112">
        <f t="shared" si="51"/>
        <v>1349000</v>
      </c>
      <c r="S141" s="112">
        <f t="shared" si="48"/>
        <v>16188000</v>
      </c>
      <c r="T141" s="15"/>
      <c r="U141" s="15"/>
      <c r="V141" s="15"/>
    </row>
    <row r="142" spans="1:22" s="70" customFormat="1" ht="15.75" customHeight="1" x14ac:dyDescent="0.2">
      <c r="A142" s="70">
        <v>5</v>
      </c>
      <c r="B142" s="70" t="s">
        <v>106</v>
      </c>
      <c r="D142" s="112">
        <f t="shared" ref="D142:R142" si="52">D58</f>
        <v>1900000</v>
      </c>
      <c r="E142" s="112">
        <f>E58</f>
        <v>0</v>
      </c>
      <c r="F142" s="112">
        <f t="shared" si="52"/>
        <v>2850000</v>
      </c>
      <c r="G142" s="112">
        <f>G58</f>
        <v>0</v>
      </c>
      <c r="H142" s="112">
        <f t="shared" si="52"/>
        <v>0</v>
      </c>
      <c r="I142" s="112">
        <f>I58</f>
        <v>0</v>
      </c>
      <c r="J142" s="112">
        <f t="shared" si="52"/>
        <v>0</v>
      </c>
      <c r="K142" s="112">
        <f>K58</f>
        <v>0</v>
      </c>
      <c r="L142" s="112">
        <f>L58</f>
        <v>2850000</v>
      </c>
      <c r="M142" s="112">
        <f>M58</f>
        <v>0</v>
      </c>
      <c r="N142" s="112">
        <f t="shared" si="52"/>
        <v>0</v>
      </c>
      <c r="O142" s="112">
        <f t="shared" si="52"/>
        <v>0</v>
      </c>
      <c r="P142" s="112">
        <f>P58</f>
        <v>0</v>
      </c>
      <c r="Q142" s="112">
        <f t="shared" si="52"/>
        <v>0</v>
      </c>
      <c r="R142" s="112">
        <f t="shared" si="52"/>
        <v>0</v>
      </c>
      <c r="S142" s="112">
        <f t="shared" si="48"/>
        <v>7600000</v>
      </c>
      <c r="T142" s="15"/>
      <c r="U142" s="15"/>
      <c r="V142" s="15"/>
    </row>
    <row r="143" spans="1:22" s="70" customFormat="1" ht="15.75" customHeight="1" x14ac:dyDescent="0.2">
      <c r="A143" s="70">
        <v>6</v>
      </c>
      <c r="B143" s="70" t="s">
        <v>187</v>
      </c>
      <c r="D143" s="112">
        <f>D21+D61+D68+D69+D71+D72+D65+D81+D87+D95+D105+D116+D100</f>
        <v>57650000</v>
      </c>
      <c r="E143" s="112">
        <f>E21+E61+E68+E69+E71+E72+E65+E81+E87+E95+E105+E116+E100</f>
        <v>0</v>
      </c>
      <c r="F143" s="112">
        <f t="shared" ref="F143:R143" si="53">F21+F61+F68+F69+F71+F72+F65+F81+F87+F95+F105+F116+F100</f>
        <v>48000000</v>
      </c>
      <c r="G143" s="112">
        <f>G21+G61+G68+G69+G71+G72+G65+G81+G87+G95+G105+G116+G100</f>
        <v>0</v>
      </c>
      <c r="H143" s="112">
        <f t="shared" si="53"/>
        <v>83000000</v>
      </c>
      <c r="I143" s="112">
        <f>I21+I61+I68+I69+I71+I72+I65+I81+I87+I95+I105+I116+I100</f>
        <v>0</v>
      </c>
      <c r="J143" s="112">
        <f t="shared" si="53"/>
        <v>60650000</v>
      </c>
      <c r="K143" s="112">
        <f>K21+K61+K68+K69+K71+K72+K65+K81+K87+K95+K105+K116+K100</f>
        <v>51500000</v>
      </c>
      <c r="L143" s="112">
        <f>L21+L61+L68+L69+L71+L72+L65+L81+L87+L95+L105+L116+L100</f>
        <v>21500000</v>
      </c>
      <c r="M143" s="112">
        <f>M21+M61+M68+M69+M71+M72+M65+M81+M87+M95+M105+M116+M100</f>
        <v>30150000</v>
      </c>
      <c r="N143" s="112">
        <f t="shared" si="53"/>
        <v>62500000</v>
      </c>
      <c r="O143" s="112">
        <f t="shared" si="53"/>
        <v>23000000</v>
      </c>
      <c r="P143" s="112">
        <f>P21+P61+P68+P69+P71+P72+P65+P81+P87+P95+P105+P116+P100</f>
        <v>25650000</v>
      </c>
      <c r="Q143" s="112">
        <f t="shared" si="53"/>
        <v>23000000</v>
      </c>
      <c r="R143" s="112">
        <f t="shared" si="53"/>
        <v>19000000</v>
      </c>
      <c r="S143" s="112">
        <f t="shared" si="48"/>
        <v>505600000</v>
      </c>
      <c r="T143" s="15"/>
      <c r="U143" s="15"/>
      <c r="V143" s="15"/>
    </row>
    <row r="144" spans="1:22" s="70" customFormat="1" ht="15.75" customHeight="1" x14ac:dyDescent="0.2">
      <c r="A144" s="70">
        <v>7</v>
      </c>
      <c r="B144" s="70" t="s">
        <v>188</v>
      </c>
      <c r="D144" s="112">
        <f t="shared" ref="D144:R144" si="54">D48</f>
        <v>13000000</v>
      </c>
      <c r="E144" s="112">
        <f>E48</f>
        <v>0</v>
      </c>
      <c r="F144" s="112">
        <f t="shared" si="54"/>
        <v>13000000</v>
      </c>
      <c r="G144" s="112">
        <f>G48</f>
        <v>0</v>
      </c>
      <c r="H144" s="112">
        <f t="shared" si="54"/>
        <v>13000000</v>
      </c>
      <c r="I144" s="112">
        <f>I48</f>
        <v>0</v>
      </c>
      <c r="J144" s="112">
        <f t="shared" si="54"/>
        <v>13000000</v>
      </c>
      <c r="K144" s="112">
        <f>K48</f>
        <v>13000000</v>
      </c>
      <c r="L144" s="112">
        <f>L48</f>
        <v>13000000</v>
      </c>
      <c r="M144" s="112">
        <f>M48</f>
        <v>13000000</v>
      </c>
      <c r="N144" s="112">
        <f t="shared" si="54"/>
        <v>13000000</v>
      </c>
      <c r="O144" s="112">
        <f t="shared" si="54"/>
        <v>13000000</v>
      </c>
      <c r="P144" s="112">
        <f>P48</f>
        <v>13000000</v>
      </c>
      <c r="Q144" s="112">
        <f t="shared" si="54"/>
        <v>13000000</v>
      </c>
      <c r="R144" s="112">
        <f t="shared" si="54"/>
        <v>13000000</v>
      </c>
      <c r="S144" s="112">
        <f t="shared" si="48"/>
        <v>156000000</v>
      </c>
      <c r="T144" s="15"/>
      <c r="U144" s="15"/>
      <c r="V144" s="15"/>
    </row>
    <row r="145" spans="1:22" s="70" customFormat="1" ht="15.75" customHeight="1" x14ac:dyDescent="0.2">
      <c r="A145" s="70">
        <v>8</v>
      </c>
      <c r="B145" s="70" t="s">
        <v>189</v>
      </c>
      <c r="D145" s="112">
        <f>D14+D15+D17+D18+D30+D31+D70+D83+D89+D90+D118+D63+D99</f>
        <v>266000000</v>
      </c>
      <c r="E145" s="112">
        <f>E14+E15+E17+E18+E30+E31+E70+E83+E89+E90+E118+E63+E99</f>
        <v>0</v>
      </c>
      <c r="F145" s="112">
        <f t="shared" ref="F145:R145" si="55">F14+F15+F17+F18+F30+F31+F70+F83+F89+F90+F118+F63+F99</f>
        <v>266000000</v>
      </c>
      <c r="G145" s="112">
        <f>G14+G15+G17+G18+G30+G31+G70+G83+G89+G90+G118+G63+G99</f>
        <v>0</v>
      </c>
      <c r="H145" s="112">
        <f t="shared" si="55"/>
        <v>357064000</v>
      </c>
      <c r="I145" s="112">
        <f>I14+I15+I17+I18+I30+I31+I70+I83+I89+I90+I118+I63+I99</f>
        <v>0</v>
      </c>
      <c r="J145" s="112">
        <f t="shared" si="55"/>
        <v>266000000</v>
      </c>
      <c r="K145" s="112">
        <f>K14+K15+K17+K18+K30+K31+K70+K83+K89+K90+K118+K63+K99</f>
        <v>417064000</v>
      </c>
      <c r="L145" s="112">
        <f t="shared" si="55"/>
        <v>269000000</v>
      </c>
      <c r="M145" s="112">
        <f t="shared" si="55"/>
        <v>266000000</v>
      </c>
      <c r="N145" s="112">
        <f t="shared" si="55"/>
        <v>359000000</v>
      </c>
      <c r="O145" s="112">
        <f t="shared" si="55"/>
        <v>266000000</v>
      </c>
      <c r="P145" s="112">
        <f t="shared" si="55"/>
        <v>373987600</v>
      </c>
      <c r="Q145" s="112">
        <f t="shared" si="55"/>
        <v>266000000</v>
      </c>
      <c r="R145" s="112">
        <f t="shared" si="55"/>
        <v>266000000</v>
      </c>
      <c r="S145" s="112">
        <f t="shared" si="48"/>
        <v>3638115600</v>
      </c>
      <c r="T145" s="15"/>
      <c r="U145" s="15"/>
      <c r="V145" s="15"/>
    </row>
    <row r="146" spans="1:22" s="70" customFormat="1" ht="15.75" customHeight="1" x14ac:dyDescent="0.2">
      <c r="A146" s="70">
        <v>9</v>
      </c>
      <c r="B146" s="70" t="s">
        <v>190</v>
      </c>
      <c r="D146" s="112">
        <f t="shared" ref="D146:R146" si="56">D26+D35</f>
        <v>2000000</v>
      </c>
      <c r="E146" s="112">
        <f>E26+E35</f>
        <v>0</v>
      </c>
      <c r="F146" s="112">
        <f t="shared" si="56"/>
        <v>2000000</v>
      </c>
      <c r="G146" s="112">
        <f>G26+G35</f>
        <v>0</v>
      </c>
      <c r="H146" s="112">
        <f t="shared" si="56"/>
        <v>2000000</v>
      </c>
      <c r="I146" s="112">
        <f>I26+I35</f>
        <v>0</v>
      </c>
      <c r="J146" s="112">
        <f t="shared" si="56"/>
        <v>2000000</v>
      </c>
      <c r="K146" s="112">
        <f>K26+K35</f>
        <v>2000000</v>
      </c>
      <c r="L146" s="112">
        <f>L26+L35</f>
        <v>2000000</v>
      </c>
      <c r="M146" s="112">
        <f>M26+M35</f>
        <v>2000000</v>
      </c>
      <c r="N146" s="112">
        <f t="shared" si="56"/>
        <v>2000000</v>
      </c>
      <c r="O146" s="112">
        <f t="shared" si="56"/>
        <v>2000000</v>
      </c>
      <c r="P146" s="112">
        <f>P26+P35</f>
        <v>12000000</v>
      </c>
      <c r="Q146" s="112">
        <f t="shared" si="56"/>
        <v>2000000</v>
      </c>
      <c r="R146" s="112">
        <f t="shared" si="56"/>
        <v>2000000</v>
      </c>
      <c r="S146" s="112">
        <f t="shared" si="48"/>
        <v>34000000</v>
      </c>
      <c r="T146" s="15"/>
      <c r="U146" s="15"/>
      <c r="V146" s="15"/>
    </row>
    <row r="147" spans="1:22" s="70" customFormat="1" ht="15.75" customHeight="1" x14ac:dyDescent="0.2">
      <c r="A147" s="70">
        <v>10</v>
      </c>
      <c r="B147" s="70" t="s">
        <v>154</v>
      </c>
      <c r="D147" s="112">
        <f t="shared" ref="D147:R147" si="57">D114</f>
        <v>41235137.5</v>
      </c>
      <c r="E147" s="112">
        <f>E114</f>
        <v>0</v>
      </c>
      <c r="F147" s="112">
        <f t="shared" si="57"/>
        <v>41235137.5</v>
      </c>
      <c r="G147" s="112">
        <f>G114</f>
        <v>0</v>
      </c>
      <c r="H147" s="112">
        <f t="shared" si="57"/>
        <v>41235137.5</v>
      </c>
      <c r="I147" s="112">
        <f>I114</f>
        <v>0</v>
      </c>
      <c r="J147" s="112">
        <f t="shared" si="57"/>
        <v>41235137.5</v>
      </c>
      <c r="K147" s="112">
        <f>K114</f>
        <v>41235137.5</v>
      </c>
      <c r="L147" s="112">
        <f>L114</f>
        <v>41235137.5</v>
      </c>
      <c r="M147" s="112">
        <f>M114</f>
        <v>41235137.5</v>
      </c>
      <c r="N147" s="112">
        <f t="shared" si="57"/>
        <v>41235137.5</v>
      </c>
      <c r="O147" s="112">
        <f t="shared" si="57"/>
        <v>41235137.5</v>
      </c>
      <c r="P147" s="112">
        <f>P114</f>
        <v>41235137.5</v>
      </c>
      <c r="Q147" s="112">
        <f t="shared" si="57"/>
        <v>41235137.5</v>
      </c>
      <c r="R147" s="112">
        <f t="shared" si="57"/>
        <v>41235137.5</v>
      </c>
      <c r="S147" s="112">
        <f t="shared" si="48"/>
        <v>494821650</v>
      </c>
      <c r="T147" s="15"/>
      <c r="U147" s="15"/>
      <c r="V147" s="15"/>
    </row>
    <row r="148" spans="1:22" s="70" customFormat="1" ht="15.75" customHeight="1" x14ac:dyDescent="0.2">
      <c r="A148" s="70">
        <v>11</v>
      </c>
      <c r="B148" s="70" t="s">
        <v>129</v>
      </c>
      <c r="D148" s="112">
        <f t="shared" ref="D148:R148" si="58">D82+D113</f>
        <v>7250000</v>
      </c>
      <c r="E148" s="112">
        <f>E82+E113</f>
        <v>0</v>
      </c>
      <c r="F148" s="112">
        <f t="shared" si="58"/>
        <v>7250000</v>
      </c>
      <c r="G148" s="112">
        <f>G82+G113</f>
        <v>0</v>
      </c>
      <c r="H148" s="112">
        <f t="shared" si="58"/>
        <v>7250000</v>
      </c>
      <c r="I148" s="112">
        <f>I82+I113</f>
        <v>0</v>
      </c>
      <c r="J148" s="112">
        <f t="shared" si="58"/>
        <v>7250000</v>
      </c>
      <c r="K148" s="112">
        <f>K82+K113</f>
        <v>7250000</v>
      </c>
      <c r="L148" s="112">
        <f>L82+L113</f>
        <v>7250000</v>
      </c>
      <c r="M148" s="112">
        <f>M82+M113</f>
        <v>7250000</v>
      </c>
      <c r="N148" s="112">
        <f t="shared" si="58"/>
        <v>7250000</v>
      </c>
      <c r="O148" s="112">
        <f t="shared" si="58"/>
        <v>7250000</v>
      </c>
      <c r="P148" s="112">
        <f>P82+P113</f>
        <v>7250000</v>
      </c>
      <c r="Q148" s="112">
        <f t="shared" si="58"/>
        <v>7250000</v>
      </c>
      <c r="R148" s="112">
        <f t="shared" si="58"/>
        <v>7250000</v>
      </c>
      <c r="S148" s="112">
        <f t="shared" si="48"/>
        <v>87000000</v>
      </c>
      <c r="T148" s="15"/>
      <c r="U148" s="15"/>
      <c r="V148" s="15"/>
    </row>
    <row r="149" spans="1:22" s="70" customFormat="1" ht="15.75" customHeight="1" x14ac:dyDescent="0.2">
      <c r="A149" s="70">
        <v>13</v>
      </c>
      <c r="B149" s="70" t="s">
        <v>191</v>
      </c>
      <c r="D149" s="112">
        <f t="shared" ref="D149:R149" si="59">D8</f>
        <v>1000000</v>
      </c>
      <c r="E149" s="112">
        <f>E8</f>
        <v>0</v>
      </c>
      <c r="F149" s="112">
        <f t="shared" si="59"/>
        <v>1000000</v>
      </c>
      <c r="G149" s="112">
        <f>G8</f>
        <v>0</v>
      </c>
      <c r="H149" s="112">
        <f t="shared" si="59"/>
        <v>1000000</v>
      </c>
      <c r="I149" s="112">
        <f>I8</f>
        <v>0</v>
      </c>
      <c r="J149" s="112">
        <f t="shared" si="59"/>
        <v>1000000</v>
      </c>
      <c r="K149" s="112">
        <f>K8</f>
        <v>1000000</v>
      </c>
      <c r="L149" s="112">
        <f>L8</f>
        <v>1000000</v>
      </c>
      <c r="M149" s="112">
        <f>M8</f>
        <v>1000000</v>
      </c>
      <c r="N149" s="112">
        <f t="shared" si="59"/>
        <v>1000000</v>
      </c>
      <c r="O149" s="112">
        <f t="shared" si="59"/>
        <v>1000000</v>
      </c>
      <c r="P149" s="112">
        <f>P8</f>
        <v>1000000</v>
      </c>
      <c r="Q149" s="112">
        <f t="shared" si="59"/>
        <v>1000000</v>
      </c>
      <c r="R149" s="112">
        <f t="shared" si="59"/>
        <v>1000000</v>
      </c>
      <c r="S149" s="112">
        <f t="shared" si="48"/>
        <v>12000000</v>
      </c>
      <c r="T149" s="15"/>
      <c r="U149" s="15"/>
      <c r="V149" s="15"/>
    </row>
    <row r="150" spans="1:22" s="70" customFormat="1" ht="15.75" customHeight="1" x14ac:dyDescent="0.2">
      <c r="A150" s="70">
        <v>14</v>
      </c>
      <c r="B150" s="70" t="s">
        <v>27</v>
      </c>
      <c r="D150" s="112">
        <f t="shared" ref="D150:R150" si="60">D7</f>
        <v>1500000</v>
      </c>
      <c r="E150" s="112">
        <f>E7</f>
        <v>0</v>
      </c>
      <c r="F150" s="112">
        <f t="shared" si="60"/>
        <v>1500000</v>
      </c>
      <c r="G150" s="112">
        <f>G7</f>
        <v>0</v>
      </c>
      <c r="H150" s="112">
        <f t="shared" si="60"/>
        <v>1500000</v>
      </c>
      <c r="I150" s="112">
        <f>I7</f>
        <v>0</v>
      </c>
      <c r="J150" s="112">
        <f t="shared" si="60"/>
        <v>1500000</v>
      </c>
      <c r="K150" s="112">
        <f>K7</f>
        <v>1500000</v>
      </c>
      <c r="L150" s="112">
        <f>L7</f>
        <v>1500000</v>
      </c>
      <c r="M150" s="112">
        <f>M7</f>
        <v>1500000</v>
      </c>
      <c r="N150" s="112">
        <f t="shared" si="60"/>
        <v>1500000</v>
      </c>
      <c r="O150" s="112">
        <f t="shared" si="60"/>
        <v>1500000</v>
      </c>
      <c r="P150" s="112">
        <f>P7</f>
        <v>1500000</v>
      </c>
      <c r="Q150" s="112">
        <f t="shared" si="60"/>
        <v>1500000</v>
      </c>
      <c r="R150" s="112">
        <f t="shared" si="60"/>
        <v>1500000</v>
      </c>
      <c r="S150" s="112"/>
      <c r="T150" s="15"/>
      <c r="U150" s="15"/>
      <c r="V150" s="15"/>
    </row>
    <row r="151" spans="1:22" s="70" customFormat="1" ht="15.75" customHeight="1" x14ac:dyDescent="0.2">
      <c r="A151" s="70">
        <v>15</v>
      </c>
      <c r="B151" s="70" t="s">
        <v>192</v>
      </c>
      <c r="D151" s="112">
        <f t="shared" ref="D151:R151" si="61">D27+D29+D79+D28</f>
        <v>3200000</v>
      </c>
      <c r="E151" s="112">
        <f>E27+E29+E79+E28</f>
        <v>0</v>
      </c>
      <c r="F151" s="112">
        <f t="shared" si="61"/>
        <v>3200000</v>
      </c>
      <c r="G151" s="112">
        <f>G27+G29+G79+G28</f>
        <v>0</v>
      </c>
      <c r="H151" s="112">
        <f t="shared" si="61"/>
        <v>4200000</v>
      </c>
      <c r="I151" s="112">
        <f>I27+I29+I79+I28</f>
        <v>0</v>
      </c>
      <c r="J151" s="112">
        <f t="shared" si="61"/>
        <v>3200000</v>
      </c>
      <c r="K151" s="112">
        <f>K27+K29+K79+K28</f>
        <v>3200000</v>
      </c>
      <c r="L151" s="112">
        <f>L27+L29+L79+L28</f>
        <v>4200000</v>
      </c>
      <c r="M151" s="112">
        <f>M27+M29+M79+M28</f>
        <v>3200000</v>
      </c>
      <c r="N151" s="112">
        <f t="shared" si="61"/>
        <v>3200000</v>
      </c>
      <c r="O151" s="112">
        <f t="shared" si="61"/>
        <v>4200000</v>
      </c>
      <c r="P151" s="112">
        <f>P27+P29+P79+P28</f>
        <v>3200000</v>
      </c>
      <c r="Q151" s="112">
        <f t="shared" si="61"/>
        <v>3200000</v>
      </c>
      <c r="R151" s="112">
        <f t="shared" si="61"/>
        <v>4200000</v>
      </c>
      <c r="S151" s="112">
        <f t="shared" si="48"/>
        <v>42400000</v>
      </c>
      <c r="T151" s="15"/>
      <c r="U151" s="15"/>
      <c r="V151" s="15"/>
    </row>
    <row r="152" spans="1:22" s="70" customFormat="1" ht="15.75" customHeight="1" x14ac:dyDescent="0.2">
      <c r="A152" s="70">
        <v>16</v>
      </c>
      <c r="B152" s="70" t="s">
        <v>100</v>
      </c>
      <c r="D152" s="112">
        <f t="shared" ref="D152:R152" si="62">D53</f>
        <v>20000000</v>
      </c>
      <c r="E152" s="112">
        <f>E53</f>
        <v>0</v>
      </c>
      <c r="F152" s="112">
        <f t="shared" si="62"/>
        <v>20000000</v>
      </c>
      <c r="G152" s="112">
        <f>G53</f>
        <v>0</v>
      </c>
      <c r="H152" s="112">
        <f t="shared" si="62"/>
        <v>20000000</v>
      </c>
      <c r="I152" s="112">
        <f>I53</f>
        <v>0</v>
      </c>
      <c r="J152" s="112">
        <f t="shared" si="62"/>
        <v>20000000</v>
      </c>
      <c r="K152" s="112">
        <f>K53</f>
        <v>20000000</v>
      </c>
      <c r="L152" s="112">
        <f>L53</f>
        <v>20000000</v>
      </c>
      <c r="M152" s="112">
        <f>M53</f>
        <v>20000000</v>
      </c>
      <c r="N152" s="112">
        <f t="shared" si="62"/>
        <v>20000000</v>
      </c>
      <c r="O152" s="112">
        <f t="shared" si="62"/>
        <v>20000000</v>
      </c>
      <c r="P152" s="112">
        <f>P53</f>
        <v>20000000</v>
      </c>
      <c r="Q152" s="112">
        <f t="shared" si="62"/>
        <v>20000000</v>
      </c>
      <c r="R152" s="112">
        <f t="shared" si="62"/>
        <v>20000000</v>
      </c>
      <c r="S152" s="112">
        <f t="shared" si="48"/>
        <v>240000000</v>
      </c>
      <c r="T152" s="15"/>
      <c r="U152" s="15"/>
      <c r="V152" s="15"/>
    </row>
    <row r="153" spans="1:22" s="70" customFormat="1" ht="15.75" customHeight="1" x14ac:dyDescent="0.2">
      <c r="A153" s="70">
        <v>17</v>
      </c>
      <c r="B153" s="70" t="s">
        <v>84</v>
      </c>
      <c r="D153" s="112">
        <f>D25+D45+D62+D66+D88+D94+D102+D111+D97+D85</f>
        <v>58040000</v>
      </c>
      <c r="E153" s="112">
        <f>E25+E45+E62+E66+E88+E94+E102+E111+E97+E85</f>
        <v>0</v>
      </c>
      <c r="F153" s="112">
        <f t="shared" ref="F153:R153" si="63">F25+F45+F62+F66+F88+F94+F102+F111+F97+F85</f>
        <v>86044000</v>
      </c>
      <c r="G153" s="112">
        <f>G25+G45+G62+G66+G88+G94+G102+G111+G97+G85</f>
        <v>0</v>
      </c>
      <c r="H153" s="112">
        <f t="shared" si="63"/>
        <v>65982000</v>
      </c>
      <c r="I153" s="112">
        <f>I25+I45+I62+I66+I88+I94+I102+I111+I97+I85</f>
        <v>0</v>
      </c>
      <c r="J153" s="112">
        <f t="shared" si="63"/>
        <v>51232000</v>
      </c>
      <c r="K153" s="112">
        <f>K25+K45+K62+K66+K88+K94+K102+K111+K97+K85</f>
        <v>55982000</v>
      </c>
      <c r="L153" s="112">
        <f>L25+L45+L62+L66+L88+L94+L102+L111+L97+L85</f>
        <v>137923000</v>
      </c>
      <c r="M153" s="112">
        <f>M25+M45+M62+M66+M88+M94+M102+M111+M97+M85</f>
        <v>55982000</v>
      </c>
      <c r="N153" s="112">
        <f t="shared" si="63"/>
        <v>52342000</v>
      </c>
      <c r="O153" s="112">
        <f t="shared" si="63"/>
        <v>57282000</v>
      </c>
      <c r="P153" s="112">
        <f>P25+P45+P62+P66+P88+P94+P102+P111+P97+P85</f>
        <v>57822000</v>
      </c>
      <c r="Q153" s="112">
        <f t="shared" si="63"/>
        <v>114982000</v>
      </c>
      <c r="R153" s="112">
        <f t="shared" si="63"/>
        <v>91232000</v>
      </c>
      <c r="S153" s="112">
        <f t="shared" si="48"/>
        <v>884845000</v>
      </c>
      <c r="T153" s="15"/>
      <c r="U153" s="15"/>
      <c r="V153" s="15"/>
    </row>
    <row r="154" spans="1:22" s="70" customFormat="1" ht="15.75" customHeight="1" x14ac:dyDescent="0.2">
      <c r="A154" s="70">
        <v>18</v>
      </c>
      <c r="B154" s="70" t="s">
        <v>72</v>
      </c>
      <c r="D154" s="112">
        <f t="shared" ref="D154:R154" si="64">D37</f>
        <v>9000000</v>
      </c>
      <c r="E154" s="112">
        <f>E37</f>
        <v>0</v>
      </c>
      <c r="F154" s="112">
        <f t="shared" si="64"/>
        <v>9000000</v>
      </c>
      <c r="G154" s="112">
        <f>G37</f>
        <v>0</v>
      </c>
      <c r="H154" s="112">
        <f t="shared" si="64"/>
        <v>9000000</v>
      </c>
      <c r="I154" s="112">
        <f>I37</f>
        <v>0</v>
      </c>
      <c r="J154" s="112">
        <f t="shared" si="64"/>
        <v>9000000</v>
      </c>
      <c r="K154" s="112">
        <f>K37</f>
        <v>9000000</v>
      </c>
      <c r="L154" s="112">
        <f>L37</f>
        <v>9000000</v>
      </c>
      <c r="M154" s="112">
        <f>M37</f>
        <v>9000000</v>
      </c>
      <c r="N154" s="112">
        <f t="shared" si="64"/>
        <v>9000000</v>
      </c>
      <c r="O154" s="112">
        <f t="shared" si="64"/>
        <v>9000000</v>
      </c>
      <c r="P154" s="112">
        <f>P37</f>
        <v>9000000</v>
      </c>
      <c r="Q154" s="112">
        <f t="shared" si="64"/>
        <v>9000000</v>
      </c>
      <c r="R154" s="112">
        <f t="shared" si="64"/>
        <v>9000000</v>
      </c>
      <c r="S154" s="112">
        <f t="shared" si="48"/>
        <v>108000000</v>
      </c>
      <c r="T154" s="15"/>
      <c r="U154" s="15"/>
      <c r="V154" s="15"/>
    </row>
    <row r="155" spans="1:22" s="70" customFormat="1" ht="15.75" customHeight="1" x14ac:dyDescent="0.2">
      <c r="A155" s="70">
        <v>19</v>
      </c>
      <c r="B155" s="70" t="s">
        <v>193</v>
      </c>
      <c r="D155" s="112">
        <f t="shared" ref="D155:R155" si="65">D12+D13+D110+D76</f>
        <v>70202176.599999994</v>
      </c>
      <c r="E155" s="112">
        <f>E12+E13+E110+E76</f>
        <v>0</v>
      </c>
      <c r="F155" s="112">
        <f t="shared" si="65"/>
        <v>70202176.599999994</v>
      </c>
      <c r="G155" s="112">
        <f>G12+G13+G110+G76</f>
        <v>0</v>
      </c>
      <c r="H155" s="112">
        <f t="shared" si="65"/>
        <v>70202176.599999994</v>
      </c>
      <c r="I155" s="112">
        <f>I12+I13+I110+I76</f>
        <v>0</v>
      </c>
      <c r="J155" s="112">
        <f t="shared" si="65"/>
        <v>74209176.599999994</v>
      </c>
      <c r="K155" s="112">
        <f>K12+K13+K110+K76</f>
        <v>74209176.599999994</v>
      </c>
      <c r="L155" s="112">
        <f>L12+L13+L110+L76</f>
        <v>154209176.59999999</v>
      </c>
      <c r="M155" s="112">
        <f>M12+M13+M110+M76</f>
        <v>74209176.599999994</v>
      </c>
      <c r="N155" s="112">
        <f t="shared" si="65"/>
        <v>74209176.599999994</v>
      </c>
      <c r="O155" s="112">
        <f t="shared" si="65"/>
        <v>74209176.599999994</v>
      </c>
      <c r="P155" s="112">
        <f>P12+P13+P110+P76</f>
        <v>74209176.599999994</v>
      </c>
      <c r="Q155" s="112">
        <f t="shared" si="65"/>
        <v>74209176.599999994</v>
      </c>
      <c r="R155" s="112">
        <f t="shared" si="65"/>
        <v>74209176.599999994</v>
      </c>
      <c r="S155" s="112">
        <f t="shared" si="48"/>
        <v>958489119.20000017</v>
      </c>
      <c r="T155" s="15"/>
      <c r="U155" s="15"/>
      <c r="V155" s="15"/>
    </row>
    <row r="156" spans="1:22" s="70" customFormat="1" ht="15.75" customHeight="1" x14ac:dyDescent="0.2">
      <c r="A156" s="70">
        <v>20</v>
      </c>
      <c r="B156" s="70" t="s">
        <v>194</v>
      </c>
      <c r="D156" s="112">
        <f t="shared" ref="D156:R156" si="66">D92</f>
        <v>1000000</v>
      </c>
      <c r="E156" s="112">
        <f>E92</f>
        <v>0</v>
      </c>
      <c r="F156" s="112">
        <f t="shared" si="66"/>
        <v>1000000</v>
      </c>
      <c r="G156" s="112">
        <f>G92</f>
        <v>0</v>
      </c>
      <c r="H156" s="112">
        <f t="shared" si="66"/>
        <v>1000000</v>
      </c>
      <c r="I156" s="112">
        <f>I92</f>
        <v>0</v>
      </c>
      <c r="J156" s="112">
        <f t="shared" si="66"/>
        <v>1000000</v>
      </c>
      <c r="K156" s="112">
        <f>K92</f>
        <v>1000000</v>
      </c>
      <c r="L156" s="112">
        <f>L92</f>
        <v>1000000</v>
      </c>
      <c r="M156" s="112">
        <f>M92</f>
        <v>1000000</v>
      </c>
      <c r="N156" s="112">
        <f t="shared" si="66"/>
        <v>1000000</v>
      </c>
      <c r="O156" s="112">
        <f t="shared" si="66"/>
        <v>1000000</v>
      </c>
      <c r="P156" s="112">
        <f>P92</f>
        <v>1000000</v>
      </c>
      <c r="Q156" s="112">
        <f t="shared" si="66"/>
        <v>1000000</v>
      </c>
      <c r="R156" s="112">
        <f t="shared" si="66"/>
        <v>1000000</v>
      </c>
      <c r="S156" s="112">
        <f t="shared" si="48"/>
        <v>12000000</v>
      </c>
      <c r="T156" s="15"/>
      <c r="U156" s="15"/>
      <c r="V156" s="15"/>
    </row>
    <row r="157" spans="1:22" s="70" customFormat="1" ht="15.75" customHeight="1" x14ac:dyDescent="0.2">
      <c r="A157" s="70">
        <v>21</v>
      </c>
      <c r="B157" s="70" t="s">
        <v>195</v>
      </c>
      <c r="D157" s="112">
        <f t="shared" ref="D157:R157" si="67">D38+D104</f>
        <v>2000000</v>
      </c>
      <c r="E157" s="112">
        <f>E38+E104</f>
        <v>0</v>
      </c>
      <c r="F157" s="112">
        <f t="shared" si="67"/>
        <v>2000000</v>
      </c>
      <c r="G157" s="112">
        <f>G38+G104</f>
        <v>0</v>
      </c>
      <c r="H157" s="112">
        <f t="shared" si="67"/>
        <v>2000000</v>
      </c>
      <c r="I157" s="112">
        <f>I38+I104</f>
        <v>0</v>
      </c>
      <c r="J157" s="112">
        <f t="shared" si="67"/>
        <v>2000000</v>
      </c>
      <c r="K157" s="112">
        <f>K38+K104</f>
        <v>2000000</v>
      </c>
      <c r="L157" s="112">
        <f>L38+L104</f>
        <v>2000000</v>
      </c>
      <c r="M157" s="112">
        <f>M38+M104</f>
        <v>2000000</v>
      </c>
      <c r="N157" s="112">
        <f t="shared" si="67"/>
        <v>2000000</v>
      </c>
      <c r="O157" s="112">
        <f t="shared" si="67"/>
        <v>2000000</v>
      </c>
      <c r="P157" s="112">
        <f>P38+P104</f>
        <v>2000000</v>
      </c>
      <c r="Q157" s="112">
        <f t="shared" si="67"/>
        <v>2000000</v>
      </c>
      <c r="R157" s="112">
        <f t="shared" si="67"/>
        <v>2000000</v>
      </c>
      <c r="S157" s="112">
        <f t="shared" si="48"/>
        <v>24000000</v>
      </c>
      <c r="T157" s="15"/>
      <c r="U157" s="15"/>
      <c r="V157" s="15"/>
    </row>
    <row r="158" spans="1:22" s="70" customFormat="1" ht="15.75" customHeight="1" x14ac:dyDescent="0.2">
      <c r="A158" s="70">
        <v>22</v>
      </c>
      <c r="B158" s="70" t="s">
        <v>76</v>
      </c>
      <c r="D158" s="112">
        <f t="shared" ref="D158:R158" si="68">D39</f>
        <v>12000000</v>
      </c>
      <c r="E158" s="112">
        <f>E39</f>
        <v>0</v>
      </c>
      <c r="F158" s="112">
        <f t="shared" si="68"/>
        <v>12000000</v>
      </c>
      <c r="G158" s="112">
        <f>G39</f>
        <v>0</v>
      </c>
      <c r="H158" s="112">
        <f t="shared" si="68"/>
        <v>12000000</v>
      </c>
      <c r="I158" s="112">
        <f>I39</f>
        <v>0</v>
      </c>
      <c r="J158" s="112">
        <f t="shared" si="68"/>
        <v>12000000</v>
      </c>
      <c r="K158" s="112">
        <f>K39</f>
        <v>12000000</v>
      </c>
      <c r="L158" s="112">
        <f>L39</f>
        <v>12000000</v>
      </c>
      <c r="M158" s="112">
        <f>M39</f>
        <v>12000000</v>
      </c>
      <c r="N158" s="112">
        <f t="shared" si="68"/>
        <v>12000000</v>
      </c>
      <c r="O158" s="112">
        <f t="shared" si="68"/>
        <v>12000000</v>
      </c>
      <c r="P158" s="112">
        <f>P39</f>
        <v>12000000</v>
      </c>
      <c r="Q158" s="112">
        <f t="shared" si="68"/>
        <v>12000000</v>
      </c>
      <c r="R158" s="112">
        <f t="shared" si="68"/>
        <v>12000000</v>
      </c>
      <c r="S158" s="112">
        <f t="shared" si="48"/>
        <v>144000000</v>
      </c>
      <c r="T158" s="15"/>
      <c r="U158" s="15"/>
      <c r="V158" s="15"/>
    </row>
    <row r="159" spans="1:22" s="70" customFormat="1" ht="15.75" customHeight="1" x14ac:dyDescent="0.2">
      <c r="A159" s="70">
        <v>23</v>
      </c>
      <c r="B159" s="70" t="s">
        <v>196</v>
      </c>
      <c r="D159" s="112">
        <f t="shared" ref="D159:R159" si="69">D47</f>
        <v>131000000</v>
      </c>
      <c r="E159" s="112">
        <f>E47</f>
        <v>0</v>
      </c>
      <c r="F159" s="112">
        <f t="shared" si="69"/>
        <v>131000000</v>
      </c>
      <c r="G159" s="112">
        <f>G47</f>
        <v>0</v>
      </c>
      <c r="H159" s="112">
        <f t="shared" si="69"/>
        <v>131000000</v>
      </c>
      <c r="I159" s="112">
        <f>I47</f>
        <v>0</v>
      </c>
      <c r="J159" s="112">
        <f t="shared" si="69"/>
        <v>131000000</v>
      </c>
      <c r="K159" s="112">
        <f>K47</f>
        <v>131000000</v>
      </c>
      <c r="L159" s="112">
        <f>L47</f>
        <v>131000000</v>
      </c>
      <c r="M159" s="112">
        <f>M47</f>
        <v>131000000</v>
      </c>
      <c r="N159" s="112">
        <f t="shared" si="69"/>
        <v>131000000</v>
      </c>
      <c r="O159" s="112">
        <f t="shared" si="69"/>
        <v>131000000</v>
      </c>
      <c r="P159" s="112">
        <f>P47</f>
        <v>131000000</v>
      </c>
      <c r="Q159" s="112">
        <f t="shared" si="69"/>
        <v>131000000</v>
      </c>
      <c r="R159" s="112">
        <f t="shared" si="69"/>
        <v>131000000</v>
      </c>
      <c r="S159" s="112">
        <f t="shared" si="48"/>
        <v>1572000000</v>
      </c>
      <c r="T159" s="15"/>
      <c r="U159" s="15"/>
      <c r="V159" s="15"/>
    </row>
    <row r="160" spans="1:22" s="70" customFormat="1" ht="15.75" customHeight="1" x14ac:dyDescent="0.2">
      <c r="A160" s="70">
        <v>24</v>
      </c>
      <c r="B160" s="70" t="s">
        <v>83</v>
      </c>
      <c r="D160" s="112">
        <f t="shared" ref="D160:R160" si="70">D34</f>
        <v>2000000</v>
      </c>
      <c r="E160" s="112">
        <f>E34</f>
        <v>0</v>
      </c>
      <c r="F160" s="112">
        <f t="shared" si="70"/>
        <v>2000000</v>
      </c>
      <c r="G160" s="112">
        <f>G34</f>
        <v>0</v>
      </c>
      <c r="H160" s="112">
        <f t="shared" si="70"/>
        <v>2000000</v>
      </c>
      <c r="I160" s="112">
        <f>I34</f>
        <v>0</v>
      </c>
      <c r="J160" s="112">
        <f t="shared" si="70"/>
        <v>2000000</v>
      </c>
      <c r="K160" s="112">
        <f>K34</f>
        <v>2000000</v>
      </c>
      <c r="L160" s="112">
        <f>L34</f>
        <v>2000000</v>
      </c>
      <c r="M160" s="112">
        <f>M34</f>
        <v>2000000</v>
      </c>
      <c r="N160" s="112">
        <f t="shared" si="70"/>
        <v>2000000</v>
      </c>
      <c r="O160" s="112">
        <f t="shared" si="70"/>
        <v>2000000</v>
      </c>
      <c r="P160" s="112">
        <f>P34</f>
        <v>2000000</v>
      </c>
      <c r="Q160" s="112">
        <f t="shared" si="70"/>
        <v>2000000</v>
      </c>
      <c r="R160" s="112">
        <f t="shared" si="70"/>
        <v>2000000</v>
      </c>
      <c r="S160" s="112">
        <f t="shared" si="48"/>
        <v>24000000</v>
      </c>
      <c r="T160" s="15"/>
      <c r="U160" s="15"/>
      <c r="V160" s="15"/>
    </row>
    <row r="161" spans="1:22" s="70" customFormat="1" ht="15.75" customHeight="1" x14ac:dyDescent="0.2">
      <c r="A161" s="70">
        <v>25</v>
      </c>
      <c r="B161" s="70" t="s">
        <v>197</v>
      </c>
      <c r="D161" s="112">
        <f t="shared" ref="D161:R161" si="71">D107+D117</f>
        <v>12500000</v>
      </c>
      <c r="E161" s="112">
        <f>E107+E117</f>
        <v>0</v>
      </c>
      <c r="F161" s="112">
        <f t="shared" si="71"/>
        <v>12500000</v>
      </c>
      <c r="G161" s="112">
        <f>G107+G117</f>
        <v>0</v>
      </c>
      <c r="H161" s="112">
        <f t="shared" si="71"/>
        <v>12500000</v>
      </c>
      <c r="I161" s="112">
        <f>I107+I117</f>
        <v>0</v>
      </c>
      <c r="J161" s="112">
        <f t="shared" si="71"/>
        <v>12500000</v>
      </c>
      <c r="K161" s="112">
        <f>K107+K117</f>
        <v>12500000</v>
      </c>
      <c r="L161" s="112">
        <f>L107+L117</f>
        <v>12500000</v>
      </c>
      <c r="M161" s="112">
        <f>M107+M117</f>
        <v>12500000</v>
      </c>
      <c r="N161" s="112">
        <f t="shared" si="71"/>
        <v>12500000</v>
      </c>
      <c r="O161" s="112">
        <f t="shared" si="71"/>
        <v>12500000</v>
      </c>
      <c r="P161" s="112">
        <f>P107+P117</f>
        <v>12500000</v>
      </c>
      <c r="Q161" s="112">
        <f t="shared" si="71"/>
        <v>12500000</v>
      </c>
      <c r="R161" s="112">
        <f t="shared" si="71"/>
        <v>12500000</v>
      </c>
      <c r="S161" s="112">
        <f t="shared" si="48"/>
        <v>150000000</v>
      </c>
      <c r="T161" s="15"/>
      <c r="U161" s="15"/>
      <c r="V161" s="15"/>
    </row>
    <row r="162" spans="1:22" s="70" customFormat="1" ht="15.75" customHeight="1" x14ac:dyDescent="0.2">
      <c r="A162" s="70">
        <v>26</v>
      </c>
      <c r="B162" s="70" t="s">
        <v>198</v>
      </c>
      <c r="D162" s="112">
        <f t="shared" ref="D162:R162" si="72">D23</f>
        <v>33500000</v>
      </c>
      <c r="E162" s="112">
        <f>E23</f>
        <v>0</v>
      </c>
      <c r="F162" s="112">
        <f t="shared" si="72"/>
        <v>33500000</v>
      </c>
      <c r="G162" s="112">
        <f>G23</f>
        <v>0</v>
      </c>
      <c r="H162" s="112">
        <f t="shared" si="72"/>
        <v>33500000</v>
      </c>
      <c r="I162" s="112">
        <f>I23</f>
        <v>0</v>
      </c>
      <c r="J162" s="112">
        <f t="shared" si="72"/>
        <v>33500000</v>
      </c>
      <c r="K162" s="112">
        <f>K23</f>
        <v>33500000</v>
      </c>
      <c r="L162" s="112">
        <f>L23</f>
        <v>33500000</v>
      </c>
      <c r="M162" s="112">
        <f>M23</f>
        <v>33500000</v>
      </c>
      <c r="N162" s="112">
        <f t="shared" si="72"/>
        <v>33500000</v>
      </c>
      <c r="O162" s="112">
        <f t="shared" si="72"/>
        <v>33500000</v>
      </c>
      <c r="P162" s="112">
        <f>P23</f>
        <v>33500000</v>
      </c>
      <c r="Q162" s="112">
        <f t="shared" si="72"/>
        <v>33500000</v>
      </c>
      <c r="R162" s="112">
        <f t="shared" si="72"/>
        <v>33500000</v>
      </c>
      <c r="S162" s="112">
        <f t="shared" si="48"/>
        <v>402000000</v>
      </c>
      <c r="T162" s="15"/>
      <c r="U162" s="15"/>
      <c r="V162" s="15"/>
    </row>
    <row r="163" spans="1:22" s="70" customFormat="1" ht="15.75" customHeight="1" x14ac:dyDescent="0.2">
      <c r="A163" s="70">
        <v>27</v>
      </c>
      <c r="B163" s="70" t="s">
        <v>86</v>
      </c>
      <c r="D163" s="112">
        <f t="shared" ref="D163:R163" si="73">D46+D112</f>
        <v>141388500</v>
      </c>
      <c r="E163" s="112">
        <f>E46+E112</f>
        <v>0</v>
      </c>
      <c r="F163" s="112">
        <f t="shared" si="73"/>
        <v>33500000</v>
      </c>
      <c r="G163" s="112">
        <f>G46+G112</f>
        <v>0</v>
      </c>
      <c r="H163" s="112">
        <f t="shared" si="73"/>
        <v>33500000</v>
      </c>
      <c r="I163" s="112">
        <f>I46+I112</f>
        <v>0</v>
      </c>
      <c r="J163" s="112">
        <f t="shared" si="73"/>
        <v>33500000</v>
      </c>
      <c r="K163" s="112">
        <f>K46+K112</f>
        <v>33500000</v>
      </c>
      <c r="L163" s="112">
        <f>L46+L112</f>
        <v>93500000</v>
      </c>
      <c r="M163" s="112">
        <f>M46+M112</f>
        <v>33500000</v>
      </c>
      <c r="N163" s="112">
        <f t="shared" si="73"/>
        <v>33500000</v>
      </c>
      <c r="O163" s="112">
        <f t="shared" si="73"/>
        <v>33500000</v>
      </c>
      <c r="P163" s="112">
        <f>P46+P112</f>
        <v>93500000</v>
      </c>
      <c r="Q163" s="112">
        <f t="shared" si="73"/>
        <v>33500000</v>
      </c>
      <c r="R163" s="112">
        <f t="shared" si="73"/>
        <v>33500000</v>
      </c>
      <c r="S163" s="112">
        <f t="shared" si="48"/>
        <v>629888500</v>
      </c>
      <c r="T163" s="15"/>
      <c r="U163" s="15"/>
      <c r="V163" s="15"/>
    </row>
    <row r="164" spans="1:22" s="70" customFormat="1" ht="15.75" customHeight="1" x14ac:dyDescent="0.2">
      <c r="A164" s="70">
        <v>28</v>
      </c>
      <c r="B164" s="70" t="s">
        <v>199</v>
      </c>
      <c r="D164" s="112">
        <f t="shared" ref="D164:R164" si="74">D16+D24+D84</f>
        <v>2000000</v>
      </c>
      <c r="E164" s="112">
        <f>E16+E24+E84</f>
        <v>0</v>
      </c>
      <c r="F164" s="112">
        <f t="shared" si="74"/>
        <v>2000000</v>
      </c>
      <c r="G164" s="112">
        <f>G16+G24+G84</f>
        <v>0</v>
      </c>
      <c r="H164" s="112">
        <f t="shared" si="74"/>
        <v>2000000</v>
      </c>
      <c r="I164" s="112">
        <f>I16+I24+I84</f>
        <v>0</v>
      </c>
      <c r="J164" s="112">
        <f t="shared" si="74"/>
        <v>52000000</v>
      </c>
      <c r="K164" s="112">
        <f>K16+K24+K84</f>
        <v>2000000</v>
      </c>
      <c r="L164" s="112">
        <f t="shared" si="74"/>
        <v>2000000</v>
      </c>
      <c r="M164" s="112">
        <f t="shared" si="74"/>
        <v>2000000</v>
      </c>
      <c r="N164" s="112">
        <f t="shared" si="74"/>
        <v>2000000</v>
      </c>
      <c r="O164" s="112">
        <f t="shared" si="74"/>
        <v>2000000</v>
      </c>
      <c r="P164" s="112">
        <f t="shared" si="74"/>
        <v>2000000</v>
      </c>
      <c r="Q164" s="112">
        <f t="shared" si="74"/>
        <v>2000000</v>
      </c>
      <c r="R164" s="112">
        <f t="shared" si="74"/>
        <v>2000000</v>
      </c>
      <c r="S164" s="112">
        <f t="shared" si="48"/>
        <v>74000000</v>
      </c>
      <c r="T164" s="15"/>
      <c r="U164" s="15"/>
      <c r="V164" s="15"/>
    </row>
    <row r="165" spans="1:22" s="70" customFormat="1" ht="15.75" customHeight="1" x14ac:dyDescent="0.2">
      <c r="A165" s="70">
        <v>29</v>
      </c>
      <c r="B165" s="70" t="s">
        <v>200</v>
      </c>
      <c r="D165" s="112">
        <f t="shared" ref="D165:R165" si="75">D19</f>
        <v>0</v>
      </c>
      <c r="E165" s="112">
        <f>E19</f>
        <v>0</v>
      </c>
      <c r="F165" s="112">
        <f t="shared" si="75"/>
        <v>0</v>
      </c>
      <c r="G165" s="112">
        <f>G19</f>
        <v>0</v>
      </c>
      <c r="H165" s="112">
        <f t="shared" si="75"/>
        <v>0</v>
      </c>
      <c r="I165" s="112">
        <f>I19</f>
        <v>0</v>
      </c>
      <c r="J165" s="112">
        <f t="shared" si="75"/>
        <v>0</v>
      </c>
      <c r="K165" s="112">
        <f>K19</f>
        <v>0</v>
      </c>
      <c r="L165" s="112">
        <f>L19</f>
        <v>0</v>
      </c>
      <c r="M165" s="112">
        <f>M19</f>
        <v>0</v>
      </c>
      <c r="N165" s="112">
        <f t="shared" si="75"/>
        <v>0</v>
      </c>
      <c r="O165" s="112">
        <f t="shared" si="75"/>
        <v>0</v>
      </c>
      <c r="P165" s="112">
        <f>P19</f>
        <v>0</v>
      </c>
      <c r="Q165" s="112">
        <f t="shared" si="75"/>
        <v>0</v>
      </c>
      <c r="R165" s="112">
        <f t="shared" si="75"/>
        <v>0</v>
      </c>
      <c r="S165" s="112">
        <f t="shared" si="48"/>
        <v>0</v>
      </c>
      <c r="T165" s="15"/>
      <c r="U165" s="15"/>
      <c r="V165" s="15"/>
    </row>
    <row r="166" spans="1:22" s="70" customFormat="1" ht="15.75" customHeight="1" x14ac:dyDescent="0.2">
      <c r="A166" s="70">
        <v>30</v>
      </c>
      <c r="B166" s="70" t="s">
        <v>125</v>
      </c>
      <c r="D166" s="112">
        <f t="shared" ref="D166:R166" si="76">D77</f>
        <v>1000000</v>
      </c>
      <c r="E166" s="112">
        <f>E77</f>
        <v>0</v>
      </c>
      <c r="F166" s="112">
        <f t="shared" si="76"/>
        <v>1000000</v>
      </c>
      <c r="G166" s="112">
        <f>G77</f>
        <v>0</v>
      </c>
      <c r="H166" s="112">
        <f t="shared" si="76"/>
        <v>1000000</v>
      </c>
      <c r="I166" s="112">
        <f>I77</f>
        <v>0</v>
      </c>
      <c r="J166" s="112">
        <f t="shared" si="76"/>
        <v>1000000</v>
      </c>
      <c r="K166" s="112">
        <f>K77</f>
        <v>1000000</v>
      </c>
      <c r="L166" s="112">
        <f>L77</f>
        <v>1000000</v>
      </c>
      <c r="M166" s="112">
        <f>M77</f>
        <v>1000000</v>
      </c>
      <c r="N166" s="112">
        <f t="shared" si="76"/>
        <v>1000000</v>
      </c>
      <c r="O166" s="112">
        <f t="shared" si="76"/>
        <v>1000000</v>
      </c>
      <c r="P166" s="112">
        <f>P77</f>
        <v>1000000</v>
      </c>
      <c r="Q166" s="112">
        <f t="shared" si="76"/>
        <v>1000000</v>
      </c>
      <c r="R166" s="112">
        <f t="shared" si="76"/>
        <v>1000000</v>
      </c>
      <c r="S166" s="112">
        <f t="shared" si="48"/>
        <v>12000000</v>
      </c>
      <c r="T166" s="15"/>
      <c r="U166" s="15"/>
      <c r="V166" s="15"/>
    </row>
    <row r="167" spans="1:22" s="70" customFormat="1" ht="15.75" customHeight="1" x14ac:dyDescent="0.2">
      <c r="A167" s="70">
        <v>31</v>
      </c>
      <c r="B167" s="70" t="s">
        <v>201</v>
      </c>
      <c r="D167" s="112">
        <f t="shared" ref="D167:R167" si="77">D51</f>
        <v>2000000</v>
      </c>
      <c r="E167" s="112">
        <f>E51</f>
        <v>0</v>
      </c>
      <c r="F167" s="112">
        <f t="shared" si="77"/>
        <v>2000000</v>
      </c>
      <c r="G167" s="112">
        <f>G51</f>
        <v>0</v>
      </c>
      <c r="H167" s="112">
        <f t="shared" si="77"/>
        <v>2000000</v>
      </c>
      <c r="I167" s="112">
        <f>I51</f>
        <v>0</v>
      </c>
      <c r="J167" s="112">
        <f t="shared" si="77"/>
        <v>2000000</v>
      </c>
      <c r="K167" s="112">
        <f>K51</f>
        <v>2000000</v>
      </c>
      <c r="L167" s="112">
        <f>L51</f>
        <v>2000000</v>
      </c>
      <c r="M167" s="112">
        <f>M51</f>
        <v>2000000</v>
      </c>
      <c r="N167" s="112">
        <f t="shared" si="77"/>
        <v>2000000</v>
      </c>
      <c r="O167" s="112">
        <f t="shared" si="77"/>
        <v>2000000</v>
      </c>
      <c r="P167" s="112">
        <f>P51</f>
        <v>2000000</v>
      </c>
      <c r="Q167" s="112">
        <f t="shared" si="77"/>
        <v>2000000</v>
      </c>
      <c r="R167" s="112">
        <f t="shared" si="77"/>
        <v>2000000</v>
      </c>
      <c r="S167" s="112">
        <f t="shared" si="48"/>
        <v>24000000</v>
      </c>
      <c r="T167" s="15"/>
      <c r="U167" s="15"/>
      <c r="V167" s="15"/>
    </row>
    <row r="168" spans="1:22" s="70" customFormat="1" ht="15.75" customHeight="1" x14ac:dyDescent="0.2">
      <c r="A168" s="70">
        <v>32</v>
      </c>
      <c r="B168" s="70" t="s">
        <v>202</v>
      </c>
      <c r="D168" s="112">
        <f t="shared" ref="D168:R168" si="78">D20</f>
        <v>0</v>
      </c>
      <c r="E168" s="112">
        <f>E20</f>
        <v>0</v>
      </c>
      <c r="F168" s="112">
        <f t="shared" si="78"/>
        <v>150000000</v>
      </c>
      <c r="G168" s="112">
        <f>G20</f>
        <v>0</v>
      </c>
      <c r="H168" s="112">
        <f t="shared" si="78"/>
        <v>0</v>
      </c>
      <c r="I168" s="112">
        <f>I20</f>
        <v>0</v>
      </c>
      <c r="J168" s="112">
        <f t="shared" si="78"/>
        <v>35000000</v>
      </c>
      <c r="K168" s="112">
        <f>K20</f>
        <v>0</v>
      </c>
      <c r="L168" s="112">
        <f>L20</f>
        <v>0</v>
      </c>
      <c r="M168" s="112">
        <f>M20</f>
        <v>0</v>
      </c>
      <c r="N168" s="112">
        <f t="shared" si="78"/>
        <v>0</v>
      </c>
      <c r="O168" s="112">
        <f t="shared" si="78"/>
        <v>0</v>
      </c>
      <c r="P168" s="112">
        <f>P20</f>
        <v>0</v>
      </c>
      <c r="Q168" s="112">
        <f t="shared" si="78"/>
        <v>0</v>
      </c>
      <c r="R168" s="112">
        <f t="shared" si="78"/>
        <v>0</v>
      </c>
      <c r="S168" s="112">
        <f t="shared" si="48"/>
        <v>185000000</v>
      </c>
      <c r="T168" s="15"/>
      <c r="U168" s="15"/>
      <c r="V168" s="15"/>
    </row>
    <row r="169" spans="1:22" s="70" customFormat="1" ht="15.75" customHeight="1" x14ac:dyDescent="0.2">
      <c r="A169" s="70">
        <v>33</v>
      </c>
      <c r="B169" s="70" t="s">
        <v>150</v>
      </c>
      <c r="D169" s="112">
        <f t="shared" ref="D169:R169" si="79">D6+D10+D109</f>
        <v>1163415845</v>
      </c>
      <c r="E169" s="112">
        <f>E6+E10+E109</f>
        <v>0</v>
      </c>
      <c r="F169" s="112">
        <f t="shared" si="79"/>
        <v>1163415845</v>
      </c>
      <c r="G169" s="112">
        <f>G6+G10+G109</f>
        <v>0</v>
      </c>
      <c r="H169" s="112">
        <f t="shared" si="79"/>
        <v>1163415845</v>
      </c>
      <c r="I169" s="112">
        <f>I6+I10+I109</f>
        <v>0</v>
      </c>
      <c r="J169" s="112">
        <f t="shared" si="79"/>
        <v>1457242601</v>
      </c>
      <c r="K169" s="112">
        <f>K6+K10+K109</f>
        <v>1286293196.2</v>
      </c>
      <c r="L169" s="112">
        <f>L6+L10+L109</f>
        <v>1286293196.2</v>
      </c>
      <c r="M169" s="112">
        <f>M6+M10+M109</f>
        <v>1300293196.2</v>
      </c>
      <c r="N169" s="112">
        <f t="shared" si="79"/>
        <v>3378470706.3000002</v>
      </c>
      <c r="O169" s="112">
        <f t="shared" si="79"/>
        <v>1286293196.2</v>
      </c>
      <c r="P169" s="112">
        <f>P6+P10+P109</f>
        <v>1301293196.2</v>
      </c>
      <c r="Q169" s="112">
        <f t="shared" si="79"/>
        <v>1286293196.2</v>
      </c>
      <c r="R169" s="112">
        <f t="shared" si="79"/>
        <v>1546635529.2</v>
      </c>
      <c r="S169" s="112">
        <f t="shared" si="48"/>
        <v>17619355548.700005</v>
      </c>
      <c r="T169" s="15"/>
      <c r="U169" s="15"/>
      <c r="V169" s="15"/>
    </row>
    <row r="170" spans="1:22" s="70" customFormat="1" ht="15.75" customHeight="1" x14ac:dyDescent="0.2">
      <c r="A170" s="70">
        <v>34</v>
      </c>
      <c r="B170" s="70" t="s">
        <v>203</v>
      </c>
      <c r="D170" s="112">
        <f t="shared" ref="D170:R170" si="80">D50</f>
        <v>46000000</v>
      </c>
      <c r="E170" s="112">
        <f>E50</f>
        <v>0</v>
      </c>
      <c r="F170" s="112">
        <f t="shared" si="80"/>
        <v>46000000</v>
      </c>
      <c r="G170" s="112">
        <f>G50</f>
        <v>0</v>
      </c>
      <c r="H170" s="112">
        <f t="shared" si="80"/>
        <v>46000000</v>
      </c>
      <c r="I170" s="112">
        <f>I50</f>
        <v>0</v>
      </c>
      <c r="J170" s="112">
        <f t="shared" si="80"/>
        <v>46000000</v>
      </c>
      <c r="K170" s="112">
        <f>K50</f>
        <v>46000000</v>
      </c>
      <c r="L170" s="112">
        <f>L50</f>
        <v>46000000</v>
      </c>
      <c r="M170" s="112">
        <f>M50</f>
        <v>46000000</v>
      </c>
      <c r="N170" s="112">
        <f t="shared" si="80"/>
        <v>46000000</v>
      </c>
      <c r="O170" s="112">
        <f t="shared" si="80"/>
        <v>46000000</v>
      </c>
      <c r="P170" s="112">
        <f>P50</f>
        <v>46000000</v>
      </c>
      <c r="Q170" s="112">
        <f t="shared" si="80"/>
        <v>46000000</v>
      </c>
      <c r="R170" s="112">
        <f t="shared" si="80"/>
        <v>46000000</v>
      </c>
      <c r="S170" s="112">
        <f t="shared" si="48"/>
        <v>552000000</v>
      </c>
      <c r="T170" s="15"/>
      <c r="U170" s="15"/>
      <c r="V170" s="15"/>
    </row>
    <row r="171" spans="1:22" s="70" customFormat="1" ht="15.75" customHeight="1" x14ac:dyDescent="0.2">
      <c r="A171" s="70">
        <v>35</v>
      </c>
      <c r="B171" s="70" t="s">
        <v>110</v>
      </c>
      <c r="D171" s="112">
        <f t="shared" ref="D171:R171" si="81">D60</f>
        <v>16910000</v>
      </c>
      <c r="E171" s="112">
        <f>E60</f>
        <v>0</v>
      </c>
      <c r="F171" s="112">
        <f t="shared" si="81"/>
        <v>42560000</v>
      </c>
      <c r="G171" s="112">
        <f>G60</f>
        <v>0</v>
      </c>
      <c r="H171" s="112">
        <f t="shared" si="81"/>
        <v>16910000</v>
      </c>
      <c r="I171" s="112">
        <f>I60</f>
        <v>0</v>
      </c>
      <c r="J171" s="112">
        <f t="shared" si="81"/>
        <v>16910000</v>
      </c>
      <c r="K171" s="112">
        <f>K60</f>
        <v>36860000</v>
      </c>
      <c r="L171" s="112">
        <f>L60</f>
        <v>16910000</v>
      </c>
      <c r="M171" s="112">
        <f>M60</f>
        <v>16910000</v>
      </c>
      <c r="N171" s="112">
        <f t="shared" si="81"/>
        <v>16910000</v>
      </c>
      <c r="O171" s="112">
        <f t="shared" si="81"/>
        <v>16910000</v>
      </c>
      <c r="P171" s="112">
        <f>P60</f>
        <v>16910000</v>
      </c>
      <c r="Q171" s="112">
        <f t="shared" si="81"/>
        <v>16910000</v>
      </c>
      <c r="R171" s="112">
        <f t="shared" si="81"/>
        <v>16910000</v>
      </c>
      <c r="S171" s="112">
        <f t="shared" si="48"/>
        <v>248520000</v>
      </c>
      <c r="T171" s="15"/>
      <c r="U171" s="15"/>
      <c r="V171" s="15"/>
    </row>
    <row r="172" spans="1:22" s="70" customFormat="1" ht="15.75" customHeight="1" x14ac:dyDescent="0.2">
      <c r="A172" s="70">
        <v>36</v>
      </c>
      <c r="B172" s="70" t="s">
        <v>204</v>
      </c>
      <c r="D172" s="112">
        <f t="shared" ref="D172:R172" si="82">D52</f>
        <v>5000000</v>
      </c>
      <c r="E172" s="112">
        <f>E52</f>
        <v>0</v>
      </c>
      <c r="F172" s="112">
        <f t="shared" si="82"/>
        <v>5000000</v>
      </c>
      <c r="G172" s="112">
        <f>G52</f>
        <v>0</v>
      </c>
      <c r="H172" s="112">
        <f t="shared" si="82"/>
        <v>5000000</v>
      </c>
      <c r="I172" s="112">
        <f>I52</f>
        <v>0</v>
      </c>
      <c r="J172" s="112">
        <f t="shared" si="82"/>
        <v>5000000</v>
      </c>
      <c r="K172" s="112">
        <f>K52</f>
        <v>5000000</v>
      </c>
      <c r="L172" s="112">
        <f>L52</f>
        <v>5000000</v>
      </c>
      <c r="M172" s="112">
        <f>M52</f>
        <v>5000000</v>
      </c>
      <c r="N172" s="112">
        <f t="shared" si="82"/>
        <v>5000000</v>
      </c>
      <c r="O172" s="112">
        <f t="shared" si="82"/>
        <v>5000000</v>
      </c>
      <c r="P172" s="112">
        <f>P52</f>
        <v>5000000</v>
      </c>
      <c r="Q172" s="112">
        <f t="shared" si="82"/>
        <v>5000000</v>
      </c>
      <c r="R172" s="112">
        <f t="shared" si="82"/>
        <v>5000000</v>
      </c>
      <c r="S172" s="112">
        <f t="shared" si="48"/>
        <v>60000000</v>
      </c>
      <c r="T172" s="15"/>
      <c r="U172" s="15"/>
      <c r="V172" s="15"/>
    </row>
    <row r="173" spans="1:22" s="70" customFormat="1" ht="15.75" customHeight="1" x14ac:dyDescent="0.2">
      <c r="A173" s="70">
        <v>37</v>
      </c>
      <c r="B173" s="70" t="s">
        <v>70</v>
      </c>
      <c r="D173" s="112">
        <f t="shared" ref="D173:R173" si="83">D36</f>
        <v>11000000</v>
      </c>
      <c r="E173" s="112">
        <f>E36</f>
        <v>0</v>
      </c>
      <c r="F173" s="112">
        <f t="shared" si="83"/>
        <v>11000000</v>
      </c>
      <c r="G173" s="112">
        <f>G36</f>
        <v>0</v>
      </c>
      <c r="H173" s="112">
        <f t="shared" si="83"/>
        <v>11000000</v>
      </c>
      <c r="I173" s="112">
        <f>I36</f>
        <v>0</v>
      </c>
      <c r="J173" s="112">
        <f t="shared" si="83"/>
        <v>11000000</v>
      </c>
      <c r="K173" s="112">
        <f>K36</f>
        <v>11000000</v>
      </c>
      <c r="L173" s="112">
        <f>L36</f>
        <v>11000000</v>
      </c>
      <c r="M173" s="112">
        <f>M36</f>
        <v>11000000</v>
      </c>
      <c r="N173" s="112">
        <f t="shared" si="83"/>
        <v>11000000</v>
      </c>
      <c r="O173" s="112">
        <f t="shared" si="83"/>
        <v>11000000</v>
      </c>
      <c r="P173" s="112">
        <f>P36</f>
        <v>11000000</v>
      </c>
      <c r="Q173" s="112">
        <f t="shared" si="83"/>
        <v>11000000</v>
      </c>
      <c r="R173" s="112">
        <f t="shared" si="83"/>
        <v>11000000</v>
      </c>
      <c r="S173" s="112">
        <f t="shared" si="48"/>
        <v>132000000</v>
      </c>
      <c r="T173" s="15"/>
      <c r="U173" s="15"/>
      <c r="V173" s="15"/>
    </row>
    <row r="174" spans="1:22" s="70" customFormat="1" ht="15.75" customHeight="1" x14ac:dyDescent="0.2">
      <c r="A174" s="70">
        <v>38</v>
      </c>
      <c r="B174" s="70" t="s">
        <v>205</v>
      </c>
      <c r="D174" s="112">
        <f t="shared" ref="D174:R174" si="84">D49</f>
        <v>40000000</v>
      </c>
      <c r="E174" s="112">
        <f>E49</f>
        <v>0</v>
      </c>
      <c r="F174" s="112">
        <f t="shared" si="84"/>
        <v>40000000</v>
      </c>
      <c r="G174" s="112">
        <f>G49</f>
        <v>0</v>
      </c>
      <c r="H174" s="112">
        <f t="shared" si="84"/>
        <v>40000000</v>
      </c>
      <c r="I174" s="112">
        <f>I49</f>
        <v>0</v>
      </c>
      <c r="J174" s="112">
        <f t="shared" si="84"/>
        <v>40000000</v>
      </c>
      <c r="K174" s="112">
        <f>K49</f>
        <v>40000000</v>
      </c>
      <c r="L174" s="112">
        <f>L49</f>
        <v>40000000</v>
      </c>
      <c r="M174" s="112">
        <f>M49</f>
        <v>40000000</v>
      </c>
      <c r="N174" s="112">
        <f t="shared" si="84"/>
        <v>40000000</v>
      </c>
      <c r="O174" s="112">
        <f t="shared" si="84"/>
        <v>40000000</v>
      </c>
      <c r="P174" s="112">
        <f>P49</f>
        <v>40000000</v>
      </c>
      <c r="Q174" s="112">
        <f t="shared" si="84"/>
        <v>40000000</v>
      </c>
      <c r="R174" s="112">
        <f t="shared" si="84"/>
        <v>40000000</v>
      </c>
      <c r="S174" s="112">
        <f t="shared" si="48"/>
        <v>480000000</v>
      </c>
      <c r="T174" s="15"/>
      <c r="U174" s="15"/>
      <c r="V174" s="15"/>
    </row>
    <row r="175" spans="1:22" s="70" customFormat="1" ht="15.75" customHeight="1" x14ac:dyDescent="0.2">
      <c r="A175" s="70">
        <v>39</v>
      </c>
      <c r="B175" s="70" t="s">
        <v>206</v>
      </c>
      <c r="D175" s="112">
        <f t="shared" ref="D175:R175" si="85">D9</f>
        <v>50000000</v>
      </c>
      <c r="E175" s="112">
        <f>E9</f>
        <v>0</v>
      </c>
      <c r="F175" s="112">
        <f t="shared" si="85"/>
        <v>50000000</v>
      </c>
      <c r="G175" s="112">
        <f>G9</f>
        <v>0</v>
      </c>
      <c r="H175" s="112">
        <f t="shared" si="85"/>
        <v>50000000</v>
      </c>
      <c r="I175" s="112">
        <f>I9</f>
        <v>0</v>
      </c>
      <c r="J175" s="112">
        <f t="shared" si="85"/>
        <v>50000000</v>
      </c>
      <c r="K175" s="112">
        <f>K9</f>
        <v>50000000</v>
      </c>
      <c r="L175" s="112">
        <f>L9</f>
        <v>50000000</v>
      </c>
      <c r="M175" s="112">
        <f>M9</f>
        <v>50000000</v>
      </c>
      <c r="N175" s="112">
        <f t="shared" si="85"/>
        <v>50000000</v>
      </c>
      <c r="O175" s="112">
        <f t="shared" si="85"/>
        <v>50000000</v>
      </c>
      <c r="P175" s="112">
        <f>P9</f>
        <v>50000000</v>
      </c>
      <c r="Q175" s="112">
        <f t="shared" si="85"/>
        <v>50000000</v>
      </c>
      <c r="R175" s="112">
        <f t="shared" si="85"/>
        <v>50000000</v>
      </c>
      <c r="S175" s="112">
        <f t="shared" si="48"/>
        <v>600000000</v>
      </c>
      <c r="T175" s="15"/>
      <c r="U175" s="15"/>
      <c r="V175" s="15"/>
    </row>
    <row r="176" spans="1:22" s="70" customFormat="1" ht="15.75" customHeight="1" x14ac:dyDescent="0.2">
      <c r="A176" s="70">
        <v>40</v>
      </c>
      <c r="B176" s="70" t="s">
        <v>207</v>
      </c>
      <c r="D176" s="112">
        <f t="shared" ref="D176:R176" si="86">D115</f>
        <v>26156475.333333336</v>
      </c>
      <c r="E176" s="112">
        <f>E115</f>
        <v>0</v>
      </c>
      <c r="F176" s="112">
        <f t="shared" si="86"/>
        <v>26156475.333333336</v>
      </c>
      <c r="G176" s="112">
        <f>G115</f>
        <v>0</v>
      </c>
      <c r="H176" s="112">
        <f t="shared" si="86"/>
        <v>26156475.333333336</v>
      </c>
      <c r="I176" s="112">
        <f>I115</f>
        <v>0</v>
      </c>
      <c r="J176" s="112">
        <f t="shared" si="86"/>
        <v>26156475.333333336</v>
      </c>
      <c r="K176" s="112">
        <f>K115</f>
        <v>26156475.333333336</v>
      </c>
      <c r="L176" s="112">
        <f>L115</f>
        <v>26156475.333333336</v>
      </c>
      <c r="M176" s="112">
        <f>M115</f>
        <v>26156475.333333336</v>
      </c>
      <c r="N176" s="112">
        <f t="shared" si="86"/>
        <v>26156475.333333336</v>
      </c>
      <c r="O176" s="112">
        <f t="shared" si="86"/>
        <v>26156475.333333336</v>
      </c>
      <c r="P176" s="112">
        <f>P115</f>
        <v>26156475.333333336</v>
      </c>
      <c r="Q176" s="112">
        <f t="shared" si="86"/>
        <v>26156475.333333336</v>
      </c>
      <c r="R176" s="112">
        <f t="shared" si="86"/>
        <v>26156475.333333336</v>
      </c>
      <c r="S176" s="112">
        <f t="shared" si="48"/>
        <v>313877704.00000006</v>
      </c>
      <c r="T176" s="15"/>
      <c r="U176" s="15"/>
      <c r="V176" s="15"/>
    </row>
    <row r="177" spans="1:22" s="70" customFormat="1" ht="15.75" customHeight="1" x14ac:dyDescent="0.2">
      <c r="A177" s="70">
        <v>41</v>
      </c>
      <c r="B177" s="70" t="s">
        <v>208</v>
      </c>
      <c r="D177" s="112">
        <f t="shared" ref="D177:R177" si="87">D33+D54+D55</f>
        <v>129000000</v>
      </c>
      <c r="E177" s="112">
        <f>E33+E54+E55</f>
        <v>0</v>
      </c>
      <c r="F177" s="112">
        <f t="shared" si="87"/>
        <v>14000000</v>
      </c>
      <c r="G177" s="112">
        <f>G33+G54+G55</f>
        <v>0</v>
      </c>
      <c r="H177" s="112">
        <f t="shared" si="87"/>
        <v>9000000</v>
      </c>
      <c r="I177" s="112">
        <f>I33+I54+I55</f>
        <v>0</v>
      </c>
      <c r="J177" s="112">
        <f t="shared" si="87"/>
        <v>9000000</v>
      </c>
      <c r="K177" s="112">
        <f>K33+K54+K55</f>
        <v>9000000</v>
      </c>
      <c r="L177" s="112">
        <f>L33+L54+L55</f>
        <v>9000000</v>
      </c>
      <c r="M177" s="112">
        <f>M33+M54+M55</f>
        <v>14000000</v>
      </c>
      <c r="N177" s="112">
        <f t="shared" si="87"/>
        <v>14000000</v>
      </c>
      <c r="O177" s="112">
        <f t="shared" si="87"/>
        <v>9000000</v>
      </c>
      <c r="P177" s="112">
        <f>P33+P54+P55</f>
        <v>9000000</v>
      </c>
      <c r="Q177" s="112">
        <f t="shared" si="87"/>
        <v>9000000</v>
      </c>
      <c r="R177" s="112">
        <f t="shared" si="87"/>
        <v>9000000</v>
      </c>
      <c r="S177" s="112">
        <f t="shared" si="48"/>
        <v>243000000</v>
      </c>
      <c r="T177" s="15"/>
      <c r="U177" s="15"/>
      <c r="V177" s="15"/>
    </row>
    <row r="178" spans="1:22" s="70" customFormat="1" ht="15.75" customHeight="1" x14ac:dyDescent="0.2">
      <c r="A178" s="70">
        <v>42</v>
      </c>
      <c r="B178" s="70" t="s">
        <v>209</v>
      </c>
      <c r="D178" s="112">
        <f t="shared" ref="D178:R178" si="88">D40</f>
        <v>0</v>
      </c>
      <c r="E178" s="112">
        <f>E40</f>
        <v>0</v>
      </c>
      <c r="F178" s="112">
        <f t="shared" si="88"/>
        <v>0</v>
      </c>
      <c r="G178" s="112">
        <f>G40</f>
        <v>0</v>
      </c>
      <c r="H178" s="112">
        <f t="shared" si="88"/>
        <v>50000000</v>
      </c>
      <c r="I178" s="112">
        <f>I40</f>
        <v>0</v>
      </c>
      <c r="J178" s="112">
        <f t="shared" si="88"/>
        <v>0</v>
      </c>
      <c r="K178" s="112">
        <f>K40</f>
        <v>0</v>
      </c>
      <c r="L178" s="112">
        <f>L40</f>
        <v>0</v>
      </c>
      <c r="M178" s="112">
        <f>M40</f>
        <v>0</v>
      </c>
      <c r="N178" s="112">
        <f t="shared" si="88"/>
        <v>0</v>
      </c>
      <c r="O178" s="112">
        <f t="shared" si="88"/>
        <v>0</v>
      </c>
      <c r="P178" s="112">
        <f>P40</f>
        <v>0</v>
      </c>
      <c r="Q178" s="112">
        <f t="shared" si="88"/>
        <v>0</v>
      </c>
      <c r="R178" s="112">
        <f t="shared" si="88"/>
        <v>0</v>
      </c>
      <c r="S178" s="112">
        <f t="shared" si="48"/>
        <v>50000000</v>
      </c>
      <c r="T178" s="15"/>
      <c r="U178" s="15"/>
      <c r="V178" s="15"/>
    </row>
    <row r="179" spans="1:22" s="70" customFormat="1" ht="15.75" customHeight="1" x14ac:dyDescent="0.2">
      <c r="A179" s="70">
        <v>43</v>
      </c>
      <c r="B179" s="70" t="s">
        <v>210</v>
      </c>
      <c r="D179" s="112">
        <f t="shared" ref="D179:R179" si="89">D122+D123</f>
        <v>253936751</v>
      </c>
      <c r="E179" s="112">
        <f>E122+E123</f>
        <v>0</v>
      </c>
      <c r="F179" s="112">
        <f t="shared" si="89"/>
        <v>253936751</v>
      </c>
      <c r="G179" s="112">
        <f>G122+G123</f>
        <v>0</v>
      </c>
      <c r="H179" s="112">
        <f t="shared" si="89"/>
        <v>253936751</v>
      </c>
      <c r="I179" s="112">
        <f>I122+I123</f>
        <v>0</v>
      </c>
      <c r="J179" s="112">
        <f t="shared" si="89"/>
        <v>253936751</v>
      </c>
      <c r="K179" s="112">
        <f>K122+K123</f>
        <v>253936751</v>
      </c>
      <c r="L179" s="112">
        <f>L122+L123</f>
        <v>253936751</v>
      </c>
      <c r="M179" s="112">
        <f>M122+M123</f>
        <v>253936751</v>
      </c>
      <c r="N179" s="112">
        <f t="shared" si="89"/>
        <v>253936751</v>
      </c>
      <c r="O179" s="112">
        <f t="shared" si="89"/>
        <v>253936751</v>
      </c>
      <c r="P179" s="112">
        <f>P122+P123</f>
        <v>253936751</v>
      </c>
      <c r="Q179" s="112">
        <f t="shared" si="89"/>
        <v>253936751</v>
      </c>
      <c r="R179" s="112">
        <f t="shared" si="89"/>
        <v>253936751</v>
      </c>
      <c r="S179" s="112">
        <f t="shared" si="48"/>
        <v>3047241012</v>
      </c>
      <c r="T179" s="15"/>
      <c r="U179" s="15"/>
      <c r="V179" s="15"/>
    </row>
    <row r="180" spans="1:22" s="21" customFormat="1" x14ac:dyDescent="0.2">
      <c r="B180" s="93" t="s">
        <v>211</v>
      </c>
      <c r="C180" s="93"/>
      <c r="D180" s="93">
        <f t="shared" ref="D180:L180" si="90">SUM(D138:D179)</f>
        <v>2745633885.4333334</v>
      </c>
      <c r="E180" s="93">
        <f>SUM(E138:E179)</f>
        <v>0</v>
      </c>
      <c r="F180" s="93">
        <f t="shared" si="90"/>
        <v>2645699385.4333334</v>
      </c>
      <c r="G180" s="93">
        <f>SUM(G138:G179)</f>
        <v>0</v>
      </c>
      <c r="H180" s="93">
        <f t="shared" si="90"/>
        <v>2619201385.4333334</v>
      </c>
      <c r="I180" s="93">
        <f>SUM(I138:I179)</f>
        <v>0</v>
      </c>
      <c r="J180" s="93">
        <f t="shared" si="90"/>
        <v>2859871141.4333334</v>
      </c>
      <c r="K180" s="93">
        <f>SUM(K138:K179)</f>
        <v>2733535736.6333337</v>
      </c>
      <c r="L180" s="93">
        <f t="shared" si="90"/>
        <v>2777312736.6333337</v>
      </c>
      <c r="M180" s="93">
        <f t="shared" ref="M180:R180" si="91">SUM(M138:M179)</f>
        <v>2627171736.6333337</v>
      </c>
      <c r="N180" s="93">
        <f t="shared" si="91"/>
        <v>4760059246.7333336</v>
      </c>
      <c r="O180" s="93">
        <f t="shared" si="91"/>
        <v>2536321736.6333337</v>
      </c>
      <c r="P180" s="93">
        <f t="shared" si="91"/>
        <v>2803499336.6333337</v>
      </c>
      <c r="Q180" s="93">
        <f t="shared" si="91"/>
        <v>2605021736.6333337</v>
      </c>
      <c r="R180" s="93">
        <f t="shared" si="91"/>
        <v>2838614069.6333337</v>
      </c>
      <c r="S180" s="93">
        <v>34551942133.900002</v>
      </c>
    </row>
    <row r="181" spans="1:22" x14ac:dyDescent="0.2">
      <c r="B181" s="70" t="s">
        <v>212</v>
      </c>
      <c r="D181" s="15">
        <f t="shared" ref="D181:R181" si="92">D127+D128+D129</f>
        <v>186712500</v>
      </c>
      <c r="E181" s="15">
        <f>E127+E128+E129</f>
        <v>0</v>
      </c>
      <c r="F181" s="15">
        <f t="shared" si="92"/>
        <v>186712500</v>
      </c>
      <c r="G181" s="15">
        <f>G127+G128+G129</f>
        <v>0</v>
      </c>
      <c r="H181" s="15">
        <f t="shared" si="92"/>
        <v>186712500</v>
      </c>
      <c r="I181" s="15">
        <f>I127+I128+I129</f>
        <v>0</v>
      </c>
      <c r="J181" s="15">
        <f t="shared" si="92"/>
        <v>186712500</v>
      </c>
      <c r="K181" s="15">
        <f>K127+K128+K129</f>
        <v>186712500</v>
      </c>
      <c r="L181" s="15">
        <f>L127+L128+L129</f>
        <v>186712500</v>
      </c>
      <c r="M181" s="15">
        <f>M127+M128+M129</f>
        <v>186712500</v>
      </c>
      <c r="N181" s="15">
        <f t="shared" si="92"/>
        <v>186712500</v>
      </c>
      <c r="O181" s="15">
        <f t="shared" si="92"/>
        <v>186712500</v>
      </c>
      <c r="P181" s="15">
        <f>P127+P128+P129</f>
        <v>186712500</v>
      </c>
      <c r="Q181" s="15">
        <f t="shared" si="92"/>
        <v>186712500</v>
      </c>
      <c r="R181" s="15">
        <f t="shared" si="92"/>
        <v>186712500</v>
      </c>
      <c r="S181" s="15">
        <f>R181+Q181+P181+O181+N181+M181+L181+K181+J181+H181+F181+D181</f>
        <v>2240550000</v>
      </c>
    </row>
    <row r="182" spans="1:22" x14ac:dyDescent="0.2">
      <c r="B182" s="70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22" s="2" customFormat="1" x14ac:dyDescent="0.2">
      <c r="B183" s="113" t="s">
        <v>24</v>
      </c>
      <c r="D183" s="21">
        <f t="shared" ref="D183:L183" si="93">D180-D181</f>
        <v>2558921385.4333334</v>
      </c>
      <c r="E183" s="21">
        <f>E180-E181</f>
        <v>0</v>
      </c>
      <c r="F183" s="21">
        <f t="shared" si="93"/>
        <v>2458986885.4333334</v>
      </c>
      <c r="G183" s="21">
        <f>G180-G181</f>
        <v>0</v>
      </c>
      <c r="H183" s="21">
        <f t="shared" si="93"/>
        <v>2432488885.4333334</v>
      </c>
      <c r="I183" s="21">
        <f>I180-I181</f>
        <v>0</v>
      </c>
      <c r="J183" s="21">
        <f t="shared" si="93"/>
        <v>2673158641.4333334</v>
      </c>
      <c r="K183" s="21">
        <f>K180-K181</f>
        <v>2546823236.6333337</v>
      </c>
      <c r="L183" s="21">
        <f t="shared" si="93"/>
        <v>2590600236.6333337</v>
      </c>
      <c r="M183" s="21">
        <f t="shared" ref="M183:R183" si="94">M180-M181</f>
        <v>2440459236.6333337</v>
      </c>
      <c r="N183" s="21">
        <f t="shared" si="94"/>
        <v>4573346746.7333336</v>
      </c>
      <c r="O183" s="21">
        <f t="shared" si="94"/>
        <v>2349609236.6333337</v>
      </c>
      <c r="P183" s="21">
        <f t="shared" si="94"/>
        <v>2616786836.6333337</v>
      </c>
      <c r="Q183" s="93">
        <f t="shared" si="94"/>
        <v>2418309236.6333337</v>
      </c>
      <c r="R183" s="93">
        <f t="shared" si="94"/>
        <v>2651901569.6333337</v>
      </c>
      <c r="S183" s="94">
        <f>S180-S181</f>
        <v>32311392133.900002</v>
      </c>
      <c r="T183" s="21"/>
      <c r="U183" s="21"/>
      <c r="V183" s="21"/>
    </row>
    <row r="185" spans="1:22" x14ac:dyDescent="0.2">
      <c r="D185" s="1">
        <f t="shared" ref="D185:L185" si="95">D183-D132</f>
        <v>0</v>
      </c>
      <c r="E185" s="1">
        <f t="shared" si="95"/>
        <v>0</v>
      </c>
      <c r="F185" s="1">
        <f t="shared" si="95"/>
        <v>0</v>
      </c>
      <c r="G185" s="1">
        <f t="shared" si="95"/>
        <v>0</v>
      </c>
      <c r="H185" s="1">
        <f t="shared" si="95"/>
        <v>0</v>
      </c>
      <c r="I185" s="1">
        <f t="shared" si="95"/>
        <v>0</v>
      </c>
      <c r="J185" s="1">
        <f t="shared" si="95"/>
        <v>0</v>
      </c>
      <c r="K185" s="1">
        <f t="shared" si="95"/>
        <v>0</v>
      </c>
      <c r="L185" s="1">
        <f t="shared" si="95"/>
        <v>0</v>
      </c>
      <c r="M185" s="1">
        <f t="shared" ref="M185:R185" si="96">M183-M132</f>
        <v>0</v>
      </c>
      <c r="N185" s="1">
        <f t="shared" si="96"/>
        <v>0</v>
      </c>
      <c r="O185" s="1">
        <f t="shared" si="96"/>
        <v>0</v>
      </c>
      <c r="P185" s="1">
        <f t="shared" si="96"/>
        <v>0</v>
      </c>
      <c r="Q185" s="1">
        <f t="shared" si="96"/>
        <v>0</v>
      </c>
      <c r="R185" s="1">
        <f t="shared" si="96"/>
        <v>0</v>
      </c>
      <c r="S185" s="1">
        <f>S183-S132</f>
        <v>0</v>
      </c>
    </row>
  </sheetData>
  <sheetProtection selectLockedCells="1" selectUnlockedCells="1"/>
  <pageMargins left="0.25" right="0.25" top="0.65" bottom="0.4" header="0.51180555555555596" footer="0.51180555555555596"/>
  <pageSetup paperSize="9" scale="47" firstPageNumber="0" fitToWidth="2" fitToHeight="2" orientation="landscape" r:id="rId1"/>
  <headerFooter alignWithMargins="0"/>
  <rowBreaks count="1" manualBreakCount="1"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131"/>
  <sheetViews>
    <sheetView showGridLines="0" zoomScale="70" zoomScaleNormal="70" zoomScaleSheetLayoutView="70" workbookViewId="0">
      <pane xSplit="3" ySplit="5" topLeftCell="O42" activePane="bottomRight" state="frozen"/>
      <selection pane="topRight" activeCell="P1" sqref="P1"/>
      <selection pane="bottomLeft" activeCell="A6" sqref="A6"/>
      <selection pane="bottomRight" activeCell="AI57" sqref="AI57"/>
    </sheetView>
  </sheetViews>
  <sheetFormatPr defaultColWidth="11.5703125" defaultRowHeight="12.75" x14ac:dyDescent="0.2"/>
  <cols>
    <col min="1" max="1" width="3.85546875" style="243" customWidth="1"/>
    <col min="2" max="2" width="29" style="243" customWidth="1"/>
    <col min="3" max="3" width="55.28515625" style="243" customWidth="1"/>
    <col min="4" max="4" width="17.7109375" style="244" bestFit="1" customWidth="1"/>
    <col min="5" max="6" width="17.7109375" style="244" customWidth="1"/>
    <col min="7" max="7" width="17.7109375" style="403" customWidth="1"/>
    <col min="8" max="8" width="17.5703125" style="244" bestFit="1" customWidth="1"/>
    <col min="9" max="10" width="17.7109375" style="244" customWidth="1"/>
    <col min="11" max="11" width="17.5703125" style="244" customWidth="1"/>
    <col min="12" max="12" width="17.5703125" style="244" bestFit="1" customWidth="1"/>
    <col min="13" max="13" width="17.7109375" style="244" customWidth="1"/>
    <col min="14" max="15" width="17.5703125" style="244" customWidth="1"/>
    <col min="16" max="16" width="17.7109375" style="244" customWidth="1"/>
    <col min="17" max="19" width="17.5703125" style="244" customWidth="1"/>
    <col min="20" max="20" width="21.42578125" style="244" customWidth="1"/>
    <col min="21" max="23" width="17.5703125" style="244" hidden="1" customWidth="1"/>
    <col min="24" max="24" width="17.140625" style="244" hidden="1" customWidth="1"/>
    <col min="25" max="27" width="17.5703125" style="244" hidden="1" customWidth="1"/>
    <col min="28" max="28" width="17.140625" style="244" hidden="1" customWidth="1"/>
    <col min="29" max="29" width="17.28515625" style="244" hidden="1" customWidth="1"/>
    <col min="30" max="30" width="18.85546875" style="244" hidden="1" customWidth="1"/>
    <col min="31" max="33" width="18.42578125" style="244" hidden="1" customWidth="1"/>
    <col min="34" max="34" width="11.5703125" style="243"/>
    <col min="35" max="35" width="15.28515625" style="243" bestFit="1" customWidth="1"/>
    <col min="36" max="36" width="16" style="243" bestFit="1" customWidth="1"/>
    <col min="37" max="37" width="13.5703125" style="243" bestFit="1" customWidth="1"/>
    <col min="38" max="16384" width="11.5703125" style="243"/>
  </cols>
  <sheetData>
    <row r="1" spans="1:35" x14ac:dyDescent="0.2">
      <c r="A1" s="242" t="s">
        <v>353</v>
      </c>
      <c r="B1" s="242"/>
    </row>
    <row r="2" spans="1:35" x14ac:dyDescent="0.2">
      <c r="A2" s="242" t="s">
        <v>352</v>
      </c>
      <c r="B2" s="242"/>
    </row>
    <row r="3" spans="1:35" x14ac:dyDescent="0.2">
      <c r="D3" s="532" t="s">
        <v>370</v>
      </c>
      <c r="E3" s="532" t="s">
        <v>371</v>
      </c>
      <c r="F3" s="532"/>
      <c r="G3" s="533"/>
      <c r="H3" s="532" t="s">
        <v>372</v>
      </c>
      <c r="I3" s="532" t="s">
        <v>373</v>
      </c>
      <c r="J3" s="532"/>
      <c r="K3" s="532"/>
      <c r="L3" s="532" t="s">
        <v>374</v>
      </c>
      <c r="M3" s="532" t="s">
        <v>375</v>
      </c>
    </row>
    <row r="4" spans="1:35" s="8" customFormat="1" x14ac:dyDescent="0.2">
      <c r="A4" s="635" t="s">
        <v>4</v>
      </c>
      <c r="B4" s="636"/>
      <c r="C4" s="637"/>
      <c r="D4" s="641" t="s">
        <v>367</v>
      </c>
      <c r="E4" s="642"/>
      <c r="F4" s="642"/>
      <c r="G4" s="643"/>
      <c r="H4" s="641" t="s">
        <v>368</v>
      </c>
      <c r="I4" s="642"/>
      <c r="J4" s="642"/>
      <c r="K4" s="643"/>
      <c r="L4" s="641" t="s">
        <v>369</v>
      </c>
      <c r="M4" s="642"/>
      <c r="N4" s="642"/>
      <c r="O4" s="643"/>
      <c r="P4" s="641" t="s">
        <v>377</v>
      </c>
      <c r="Q4" s="642"/>
      <c r="R4" s="642"/>
      <c r="S4" s="643"/>
      <c r="T4" s="416" t="s">
        <v>300</v>
      </c>
      <c r="U4" s="319" t="s">
        <v>9</v>
      </c>
      <c r="V4" s="319" t="s">
        <v>10</v>
      </c>
      <c r="W4" s="319" t="s">
        <v>11</v>
      </c>
      <c r="X4" s="319" t="s">
        <v>12</v>
      </c>
      <c r="Y4" s="319" t="s">
        <v>13</v>
      </c>
      <c r="Z4" s="319" t="s">
        <v>14</v>
      </c>
      <c r="AA4" s="319" t="s">
        <v>15</v>
      </c>
      <c r="AB4" s="319" t="s">
        <v>16</v>
      </c>
      <c r="AC4" s="319" t="s">
        <v>17</v>
      </c>
      <c r="AD4" s="319" t="s">
        <v>18</v>
      </c>
      <c r="AE4" s="288" t="s">
        <v>19</v>
      </c>
      <c r="AF4" s="288" t="s">
        <v>19</v>
      </c>
      <c r="AG4" s="288" t="s">
        <v>19</v>
      </c>
    </row>
    <row r="5" spans="1:35" s="8" customFormat="1" x14ac:dyDescent="0.2">
      <c r="A5" s="638"/>
      <c r="B5" s="639"/>
      <c r="C5" s="640"/>
      <c r="D5" s="289" t="s">
        <v>20</v>
      </c>
      <c r="E5" s="289" t="s">
        <v>302</v>
      </c>
      <c r="F5" s="289" t="s">
        <v>303</v>
      </c>
      <c r="G5" s="404" t="s">
        <v>356</v>
      </c>
      <c r="H5" s="289" t="s">
        <v>20</v>
      </c>
      <c r="I5" s="289" t="s">
        <v>302</v>
      </c>
      <c r="J5" s="289" t="s">
        <v>303</v>
      </c>
      <c r="K5" s="404" t="s">
        <v>356</v>
      </c>
      <c r="L5" s="289" t="s">
        <v>20</v>
      </c>
      <c r="M5" s="289" t="s">
        <v>302</v>
      </c>
      <c r="N5" s="289" t="s">
        <v>303</v>
      </c>
      <c r="O5" s="404" t="s">
        <v>356</v>
      </c>
      <c r="P5" s="411" t="s">
        <v>20</v>
      </c>
      <c r="Q5" s="411" t="s">
        <v>302</v>
      </c>
      <c r="R5" s="289" t="s">
        <v>303</v>
      </c>
      <c r="S5" s="404" t="s">
        <v>356</v>
      </c>
      <c r="T5" s="614">
        <v>2013</v>
      </c>
      <c r="U5" s="289" t="s">
        <v>20</v>
      </c>
      <c r="V5" s="289" t="s">
        <v>20</v>
      </c>
      <c r="W5" s="289" t="s">
        <v>20</v>
      </c>
      <c r="X5" s="289" t="s">
        <v>20</v>
      </c>
      <c r="Y5" s="289" t="s">
        <v>20</v>
      </c>
      <c r="Z5" s="289" t="s">
        <v>20</v>
      </c>
      <c r="AA5" s="289" t="s">
        <v>20</v>
      </c>
      <c r="AB5" s="289" t="s">
        <v>20</v>
      </c>
      <c r="AC5" s="289" t="s">
        <v>20</v>
      </c>
      <c r="AD5" s="289" t="s">
        <v>241</v>
      </c>
      <c r="AE5" s="290">
        <v>2014</v>
      </c>
      <c r="AF5" s="290">
        <v>2015</v>
      </c>
      <c r="AG5" s="290">
        <v>2016</v>
      </c>
    </row>
    <row r="6" spans="1:35" ht="16.899999999999999" customHeight="1" x14ac:dyDescent="0.2">
      <c r="A6" s="277" t="s">
        <v>344</v>
      </c>
      <c r="B6" s="245"/>
      <c r="C6" s="291" t="s">
        <v>22</v>
      </c>
      <c r="D6" s="292">
        <f>'AND 1'!V6+'ADY 1'!V6</f>
        <v>950950863.20000005</v>
      </c>
      <c r="E6" s="292">
        <f>'AND 1'!W6+'ADY 1'!W6</f>
        <v>1007883012</v>
      </c>
      <c r="F6" s="292">
        <f t="shared" ref="F6:F37" si="0">D6-E6</f>
        <v>-56932148.799999952</v>
      </c>
      <c r="G6" s="405">
        <f t="shared" ref="G6:G37" si="1">E6/D6</f>
        <v>1.0598686546310292</v>
      </c>
      <c r="H6" s="292">
        <f>'AND 1'!X6+'ADY 1'!X6</f>
        <v>950950863.20000005</v>
      </c>
      <c r="I6" s="292">
        <f>'AND 1'!Y6+'ADY 1'!Y6</f>
        <v>1006024570</v>
      </c>
      <c r="J6" s="292">
        <f t="shared" ref="J6:J37" si="2">H6-I6</f>
        <v>-55073706.799999952</v>
      </c>
      <c r="K6" s="405">
        <f t="shared" ref="K6:K37" si="3">I6/H6</f>
        <v>1.0579143559685871</v>
      </c>
      <c r="L6" s="292">
        <f>'AND 1'!Z6+'ADY 1'!Z6</f>
        <v>950950863.20000005</v>
      </c>
      <c r="M6" s="292">
        <f>'AND 1'!AA6+'ADY 1'!AA6</f>
        <v>1005896597</v>
      </c>
      <c r="N6" s="292">
        <f t="shared" ref="N6:N37" si="4">L6-M6</f>
        <v>-54945733.799999952</v>
      </c>
      <c r="O6" s="405">
        <f t="shared" ref="O6:O37" si="5">M6/L6</f>
        <v>1.0577797822435375</v>
      </c>
      <c r="P6" s="292">
        <f>D6+H6+L6</f>
        <v>2852852589.6000004</v>
      </c>
      <c r="Q6" s="292">
        <f>E6+I6+M6</f>
        <v>3019804179</v>
      </c>
      <c r="R6" s="292">
        <f t="shared" ref="R6:R37" si="6">P6-Q6</f>
        <v>-166951589.39999962</v>
      </c>
      <c r="S6" s="405">
        <f t="shared" ref="S6:S37" si="7">Q6/P6</f>
        <v>1.0585209309477179</v>
      </c>
      <c r="T6" s="616">
        <f>'AND 1'!AC6+'ADY 1'!AF6</f>
        <v>11407704081</v>
      </c>
      <c r="U6" s="292">
        <f>'AND 1'!J6+'ADY 1'!J6</f>
        <v>1121900268</v>
      </c>
      <c r="V6" s="292">
        <f>'AND 1'!L6+'ADY 1'!L6</f>
        <v>950950863.20000005</v>
      </c>
      <c r="W6" s="292">
        <f>'AND 1'!N6+'ADY 1'!N6</f>
        <v>950950863.20000005</v>
      </c>
      <c r="X6" s="292">
        <f>'AND 1'!P6+'ADY 1'!P6</f>
        <v>950950863.20000005</v>
      </c>
      <c r="Y6" s="292">
        <f>'AND 1'!R6+'ADY 1'!R6</f>
        <v>2615114873.8000002</v>
      </c>
      <c r="Z6" s="292">
        <f>'AND 1'!T6+'ADY 1'!T6</f>
        <v>950950863.20000005</v>
      </c>
      <c r="AA6" s="292">
        <f>'AND 1'!V6+'ADY 1'!V6</f>
        <v>950950863.20000005</v>
      </c>
      <c r="AB6" s="292">
        <f>'AND 1'!X6+'ADY 1'!X6</f>
        <v>950950863.20000005</v>
      </c>
      <c r="AC6" s="292">
        <f>'AND 1'!Z6+'ADY 1'!Z6</f>
        <v>950950863.20000005</v>
      </c>
      <c r="AD6" s="293">
        <f>AC6+AB6+AA6+Z6+Y6+X6+W6+V6+U6+L6+H6+D6</f>
        <v>13246523773.800003</v>
      </c>
      <c r="AE6" s="294">
        <f t="shared" ref="AE6:AG10" si="8">AD6*1.1</f>
        <v>14571176151.180004</v>
      </c>
      <c r="AF6" s="294">
        <f t="shared" si="8"/>
        <v>16028293766.298006</v>
      </c>
      <c r="AG6" s="294">
        <f t="shared" si="8"/>
        <v>17631123142.927807</v>
      </c>
      <c r="AI6" s="622"/>
    </row>
    <row r="7" spans="1:35" ht="16.899999999999999" customHeight="1" x14ac:dyDescent="0.2">
      <c r="A7" s="246"/>
      <c r="B7" s="247"/>
      <c r="C7" s="295" t="s">
        <v>27</v>
      </c>
      <c r="D7" s="292">
        <f>'AND 1'!V7+'ADY 1'!V7</f>
        <v>1500000</v>
      </c>
      <c r="E7" s="292">
        <f>'AND 1'!W7+'ADY 1'!W7</f>
        <v>1368800</v>
      </c>
      <c r="F7" s="296">
        <f t="shared" si="0"/>
        <v>131200</v>
      </c>
      <c r="G7" s="406">
        <f t="shared" si="1"/>
        <v>0.91253333333333331</v>
      </c>
      <c r="H7" s="292">
        <f>'AND 1'!X7+'ADY 1'!X7</f>
        <v>1500000</v>
      </c>
      <c r="I7" s="292">
        <f>'AND 1'!Y7+'ADY 1'!Y7</f>
        <v>1360756</v>
      </c>
      <c r="J7" s="296">
        <f t="shared" si="2"/>
        <v>139244</v>
      </c>
      <c r="K7" s="406">
        <f t="shared" si="3"/>
        <v>0.90717066666666668</v>
      </c>
      <c r="L7" s="292">
        <f>'AND 1'!Z7+'ADY 1'!Z7</f>
        <v>1500000</v>
      </c>
      <c r="M7" s="292">
        <f>'AND 1'!AA7+'ADY 1'!AA7</f>
        <v>1360756</v>
      </c>
      <c r="N7" s="296">
        <f t="shared" si="4"/>
        <v>139244</v>
      </c>
      <c r="O7" s="406">
        <f t="shared" si="5"/>
        <v>0.90717066666666668</v>
      </c>
      <c r="P7" s="296">
        <f t="shared" ref="P7:Q10" si="9">D7+H7+L7</f>
        <v>4500000</v>
      </c>
      <c r="Q7" s="296">
        <f t="shared" si="9"/>
        <v>4090312</v>
      </c>
      <c r="R7" s="296">
        <f t="shared" si="6"/>
        <v>409688</v>
      </c>
      <c r="S7" s="406">
        <f t="shared" si="7"/>
        <v>0.90895822222222222</v>
      </c>
      <c r="T7" s="616">
        <f>'AND 1'!AC7+'ADY 1'!AF7</f>
        <v>16200597</v>
      </c>
      <c r="U7" s="296">
        <f>'AND 1'!J7+'ADY 1'!J7</f>
        <v>1500000</v>
      </c>
      <c r="V7" s="296">
        <f>'AND 1'!L7+'ADY 1'!L7</f>
        <v>1500000</v>
      </c>
      <c r="W7" s="296">
        <f>'AND 1'!N7+'ADY 1'!N7</f>
        <v>1500000</v>
      </c>
      <c r="X7" s="296">
        <f>'AND 1'!P7+'ADY 1'!P7</f>
        <v>1500000</v>
      </c>
      <c r="Y7" s="296">
        <f>'AND 1'!R7+'ADY 1'!R7</f>
        <v>1500000</v>
      </c>
      <c r="Z7" s="296">
        <f>'AND 1'!T7+'ADY 1'!T7</f>
        <v>1500000</v>
      </c>
      <c r="AA7" s="296">
        <f>'AND 1'!V7+'ADY 1'!V7</f>
        <v>1500000</v>
      </c>
      <c r="AB7" s="296">
        <f>'AND 1'!X7+'ADY 1'!X7</f>
        <v>1500000</v>
      </c>
      <c r="AC7" s="296">
        <f>'AND 1'!Z7+'ADY 1'!Z7</f>
        <v>1500000</v>
      </c>
      <c r="AD7" s="297">
        <f>AC7+AB7+AA7+Z7+Y7+X7+W7+V7+U7+L7+H7+D7</f>
        <v>18000000</v>
      </c>
      <c r="AE7" s="296">
        <f t="shared" si="8"/>
        <v>19800000</v>
      </c>
      <c r="AF7" s="296">
        <f t="shared" si="8"/>
        <v>21780000</v>
      </c>
      <c r="AG7" s="296">
        <f t="shared" si="8"/>
        <v>23958000.000000004</v>
      </c>
    </row>
    <row r="8" spans="1:35" ht="16.899999999999999" customHeight="1" x14ac:dyDescent="0.2">
      <c r="A8" s="246"/>
      <c r="B8" s="247"/>
      <c r="C8" s="295" t="s">
        <v>29</v>
      </c>
      <c r="D8" s="292">
        <f>'AND 1'!V8+'ADY 1'!V8</f>
        <v>1000000</v>
      </c>
      <c r="E8" s="292">
        <f>'AND 1'!W8+'ADY 1'!W8</f>
        <v>0</v>
      </c>
      <c r="F8" s="296">
        <f t="shared" si="0"/>
        <v>1000000</v>
      </c>
      <c r="G8" s="406">
        <f t="shared" si="1"/>
        <v>0</v>
      </c>
      <c r="H8" s="292">
        <f>'AND 1'!X8+'ADY 1'!X8</f>
        <v>1000000</v>
      </c>
      <c r="I8" s="292">
        <f>'AND 1'!Y8+'ADY 1'!Y8</f>
        <v>0</v>
      </c>
      <c r="J8" s="296">
        <f t="shared" si="2"/>
        <v>1000000</v>
      </c>
      <c r="K8" s="406">
        <f t="shared" si="3"/>
        <v>0</v>
      </c>
      <c r="L8" s="292">
        <f>'AND 1'!Z8+'ADY 1'!Z8</f>
        <v>1000000</v>
      </c>
      <c r="M8" s="292">
        <f>'AND 1'!AA8+'ADY 1'!AA8</f>
        <v>0</v>
      </c>
      <c r="N8" s="296">
        <f t="shared" si="4"/>
        <v>1000000</v>
      </c>
      <c r="O8" s="406">
        <f t="shared" si="5"/>
        <v>0</v>
      </c>
      <c r="P8" s="296">
        <f t="shared" si="9"/>
        <v>3000000</v>
      </c>
      <c r="Q8" s="296">
        <f t="shared" si="9"/>
        <v>0</v>
      </c>
      <c r="R8" s="296">
        <f t="shared" si="6"/>
        <v>3000000</v>
      </c>
      <c r="S8" s="406">
        <f t="shared" si="7"/>
        <v>0</v>
      </c>
      <c r="T8" s="616">
        <f>'AND 1'!AC8+'ADY 1'!AF8</f>
        <v>0</v>
      </c>
      <c r="U8" s="296">
        <f>'AND 1'!J8+'ADY 1'!J8</f>
        <v>1000000</v>
      </c>
      <c r="V8" s="296">
        <f>'AND 1'!L8+'ADY 1'!L8</f>
        <v>1000000</v>
      </c>
      <c r="W8" s="296">
        <f>'AND 1'!N8+'ADY 1'!N8</f>
        <v>1000000</v>
      </c>
      <c r="X8" s="296">
        <f>'AND 1'!P8+'ADY 1'!P8</f>
        <v>1000000</v>
      </c>
      <c r="Y8" s="296">
        <f>'AND 1'!R8+'ADY 1'!R8</f>
        <v>1000000</v>
      </c>
      <c r="Z8" s="296">
        <f>'AND 1'!T8+'ADY 1'!T8</f>
        <v>1000000</v>
      </c>
      <c r="AA8" s="296">
        <f>'AND 1'!V8+'ADY 1'!V8</f>
        <v>1000000</v>
      </c>
      <c r="AB8" s="296">
        <f>'AND 1'!X8+'ADY 1'!X8</f>
        <v>1000000</v>
      </c>
      <c r="AC8" s="296">
        <f>'AND 1'!Z8+'ADY 1'!Z8</f>
        <v>1000000</v>
      </c>
      <c r="AD8" s="297">
        <f>AC8+AB8+AA8+Z8+Y8+X8+W8+V8+U8+L8+H8+D8</f>
        <v>12000000</v>
      </c>
      <c r="AE8" s="296">
        <f t="shared" si="8"/>
        <v>13200000.000000002</v>
      </c>
      <c r="AF8" s="296">
        <f t="shared" si="8"/>
        <v>14520000.000000004</v>
      </c>
      <c r="AG8" s="296">
        <f t="shared" si="8"/>
        <v>15972000.000000006</v>
      </c>
    </row>
    <row r="9" spans="1:35" ht="16.899999999999999" customHeight="1" x14ac:dyDescent="0.2">
      <c r="A9" s="246"/>
      <c r="B9" s="247"/>
      <c r="C9" s="295" t="s">
        <v>31</v>
      </c>
      <c r="D9" s="292">
        <f>'AND 1'!V9+'ADY 1'!V9</f>
        <v>50000000</v>
      </c>
      <c r="E9" s="292">
        <f>'AND 1'!W9+'ADY 1'!W9</f>
        <v>48407266</v>
      </c>
      <c r="F9" s="296">
        <f t="shared" si="0"/>
        <v>1592734</v>
      </c>
      <c r="G9" s="406">
        <f t="shared" si="1"/>
        <v>0.96814531999999998</v>
      </c>
      <c r="H9" s="292">
        <f>'AND 1'!X9+'ADY 1'!X9</f>
        <v>50000000</v>
      </c>
      <c r="I9" s="292">
        <f>'AND 1'!Y9+'ADY 1'!Y9</f>
        <v>48176340</v>
      </c>
      <c r="J9" s="296">
        <f t="shared" si="2"/>
        <v>1823660</v>
      </c>
      <c r="K9" s="406">
        <f t="shared" si="3"/>
        <v>0.96352680000000002</v>
      </c>
      <c r="L9" s="292">
        <f>'AND 1'!Z9+'ADY 1'!Z9</f>
        <v>50000000</v>
      </c>
      <c r="M9" s="292">
        <f>'AND 1'!AA9+'ADY 1'!AA9</f>
        <v>48176340</v>
      </c>
      <c r="N9" s="296">
        <f t="shared" si="4"/>
        <v>1823660</v>
      </c>
      <c r="O9" s="406">
        <f t="shared" si="5"/>
        <v>0.96352680000000002</v>
      </c>
      <c r="P9" s="296">
        <f t="shared" si="9"/>
        <v>150000000</v>
      </c>
      <c r="Q9" s="296">
        <f t="shared" si="9"/>
        <v>144759946</v>
      </c>
      <c r="R9" s="296">
        <f t="shared" si="6"/>
        <v>5240054</v>
      </c>
      <c r="S9" s="406">
        <f t="shared" si="7"/>
        <v>0.96506630666666671</v>
      </c>
      <c r="T9" s="616">
        <f>'AND 1'!AC9+'ADY 1'!AF9</f>
        <v>573878719</v>
      </c>
      <c r="U9" s="296">
        <f>'AND 1'!J9+'ADY 1'!J9</f>
        <v>50000000</v>
      </c>
      <c r="V9" s="296">
        <f>'AND 1'!L9+'ADY 1'!L9</f>
        <v>50000000</v>
      </c>
      <c r="W9" s="296">
        <f>'AND 1'!N9+'ADY 1'!N9</f>
        <v>50000000</v>
      </c>
      <c r="X9" s="296">
        <f>'AND 1'!P9+'ADY 1'!P9</f>
        <v>50000000</v>
      </c>
      <c r="Y9" s="296">
        <f>'AND 1'!R9+'ADY 1'!R9</f>
        <v>50000000</v>
      </c>
      <c r="Z9" s="296">
        <f>'AND 1'!T9+'ADY 1'!T9</f>
        <v>50000000</v>
      </c>
      <c r="AA9" s="296">
        <f>'AND 1'!V9+'ADY 1'!V9</f>
        <v>50000000</v>
      </c>
      <c r="AB9" s="296">
        <f>'AND 1'!X9+'ADY 1'!X9</f>
        <v>50000000</v>
      </c>
      <c r="AC9" s="296">
        <f>'AND 1'!Z9+'ADY 1'!Z9</f>
        <v>50000000</v>
      </c>
      <c r="AD9" s="297">
        <f>AC9+AB9+AA9+Z9+Y9+X9+W9+V9+U9+L9+H9+D9</f>
        <v>600000000</v>
      </c>
      <c r="AE9" s="296">
        <f t="shared" si="8"/>
        <v>660000000</v>
      </c>
      <c r="AF9" s="296">
        <f t="shared" si="8"/>
        <v>726000000</v>
      </c>
      <c r="AG9" s="296">
        <f t="shared" si="8"/>
        <v>798600000.00000012</v>
      </c>
    </row>
    <row r="10" spans="1:35" s="248" customFormat="1" ht="16.899999999999999" customHeight="1" x14ac:dyDescent="0.2">
      <c r="A10" s="246"/>
      <c r="B10" s="247"/>
      <c r="C10" s="298" t="s">
        <v>32</v>
      </c>
      <c r="D10" s="292">
        <f>'AND 1'!V10+'ADY 1'!V10</f>
        <v>15000000</v>
      </c>
      <c r="E10" s="292">
        <f>'AND 1'!W10+'ADY 1'!W10</f>
        <v>0</v>
      </c>
      <c r="F10" s="296">
        <f t="shared" si="0"/>
        <v>15000000</v>
      </c>
      <c r="G10" s="406">
        <f>E10/D10</f>
        <v>0</v>
      </c>
      <c r="H10" s="292">
        <f>'AND 1'!X10+'ADY 1'!X10</f>
        <v>0</v>
      </c>
      <c r="I10" s="292">
        <f>'AND 1'!Y10+'ADY 1'!Y10</f>
        <v>0</v>
      </c>
      <c r="J10" s="296">
        <f t="shared" si="2"/>
        <v>0</v>
      </c>
      <c r="K10" s="406" t="e">
        <f t="shared" si="3"/>
        <v>#DIV/0!</v>
      </c>
      <c r="L10" s="292">
        <f>'AND 1'!Z10+'ADY 1'!Z10</f>
        <v>0</v>
      </c>
      <c r="M10" s="292">
        <f>'AND 1'!AA10+'ADY 1'!AA10</f>
        <v>0</v>
      </c>
      <c r="N10" s="296">
        <f t="shared" si="4"/>
        <v>0</v>
      </c>
      <c r="O10" s="406" t="e">
        <f t="shared" si="5"/>
        <v>#DIV/0!</v>
      </c>
      <c r="P10" s="296">
        <f t="shared" si="9"/>
        <v>15000000</v>
      </c>
      <c r="Q10" s="296">
        <f t="shared" si="9"/>
        <v>0</v>
      </c>
      <c r="R10" s="296">
        <f t="shared" si="6"/>
        <v>15000000</v>
      </c>
      <c r="S10" s="406">
        <f t="shared" si="7"/>
        <v>0</v>
      </c>
      <c r="T10" s="616">
        <f>'AND 1'!AC10+'ADY 1'!AF10</f>
        <v>0</v>
      </c>
      <c r="U10" s="299">
        <f>'AND 1'!J10+'ADY 1'!J10</f>
        <v>0</v>
      </c>
      <c r="V10" s="299">
        <f>'AND 1'!L10+'ADY 1'!L10</f>
        <v>0</v>
      </c>
      <c r="W10" s="299">
        <f>'AND 1'!N10+'ADY 1'!N10</f>
        <v>0</v>
      </c>
      <c r="X10" s="299">
        <f>'AND 1'!P10+'ADY 1'!P10</f>
        <v>14000000</v>
      </c>
      <c r="Y10" s="299">
        <f>'AND 1'!R10+'ADY 1'!R10</f>
        <v>0</v>
      </c>
      <c r="Z10" s="299">
        <f>'AND 1'!T10+'ADY 1'!T10</f>
        <v>0</v>
      </c>
      <c r="AA10" s="299">
        <f>'AND 1'!V10+'ADY 1'!V10</f>
        <v>15000000</v>
      </c>
      <c r="AB10" s="299">
        <f>'AND 1'!X10+'ADY 1'!X10</f>
        <v>0</v>
      </c>
      <c r="AC10" s="299">
        <f>'AND 1'!Z10+'ADY 1'!Z10</f>
        <v>0</v>
      </c>
      <c r="AD10" s="300">
        <f>AC10+AB10+AA10+Z10+Y10+X10+W10+V10+U10+L10+H10+D10</f>
        <v>44000000</v>
      </c>
      <c r="AE10" s="301">
        <f t="shared" si="8"/>
        <v>48400000.000000007</v>
      </c>
      <c r="AF10" s="301">
        <f t="shared" si="8"/>
        <v>53240000.000000015</v>
      </c>
      <c r="AG10" s="301">
        <f t="shared" si="8"/>
        <v>58564000.000000022</v>
      </c>
    </row>
    <row r="11" spans="1:35" s="251" customFormat="1" ht="16.899999999999999" customHeight="1" x14ac:dyDescent="0.2">
      <c r="A11" s="249"/>
      <c r="B11" s="250"/>
      <c r="C11" s="267" t="s">
        <v>23</v>
      </c>
      <c r="D11" s="269">
        <f>SUM(D6:D10)</f>
        <v>1018450863.2</v>
      </c>
      <c r="E11" s="269">
        <f>SUM(E6:E10)</f>
        <v>1057659078</v>
      </c>
      <c r="F11" s="269">
        <f t="shared" si="0"/>
        <v>-39208214.799999952</v>
      </c>
      <c r="G11" s="412">
        <f t="shared" si="1"/>
        <v>1.038497895398514</v>
      </c>
      <c r="H11" s="269">
        <f>SUM(H6:H10)</f>
        <v>1003450863.2</v>
      </c>
      <c r="I11" s="269">
        <f>SUM(I6:I10)</f>
        <v>1055561666</v>
      </c>
      <c r="J11" s="269">
        <f t="shared" si="2"/>
        <v>-52110802.799999952</v>
      </c>
      <c r="K11" s="412">
        <f t="shared" si="3"/>
        <v>1.0519315939734397</v>
      </c>
      <c r="L11" s="269">
        <f>SUM(L6:L10)</f>
        <v>1003450863.2</v>
      </c>
      <c r="M11" s="269">
        <f>SUM(M6:M10)</f>
        <v>1055433693</v>
      </c>
      <c r="N11" s="269">
        <f t="shared" si="4"/>
        <v>-51982829.799999952</v>
      </c>
      <c r="O11" s="412">
        <f t="shared" si="5"/>
        <v>1.0518040610720358</v>
      </c>
      <c r="P11" s="269">
        <f>SUM(P6:P10)</f>
        <v>3025352589.6000004</v>
      </c>
      <c r="Q11" s="269">
        <f>SUM(Q6:Q10)</f>
        <v>3168654437</v>
      </c>
      <c r="R11" s="269">
        <f t="shared" si="6"/>
        <v>-143301847.39999962</v>
      </c>
      <c r="S11" s="412">
        <f t="shared" si="7"/>
        <v>1.0473669905096736</v>
      </c>
      <c r="T11" s="617">
        <f t="shared" ref="T11:AG11" si="10">SUM(T6:T10)</f>
        <v>11997783397</v>
      </c>
      <c r="U11" s="269">
        <f t="shared" si="10"/>
        <v>1174400268</v>
      </c>
      <c r="V11" s="269">
        <f t="shared" si="10"/>
        <v>1003450863.2</v>
      </c>
      <c r="W11" s="269">
        <f t="shared" si="10"/>
        <v>1003450863.2</v>
      </c>
      <c r="X11" s="269">
        <f t="shared" si="10"/>
        <v>1017450863.2</v>
      </c>
      <c r="Y11" s="269">
        <f t="shared" si="10"/>
        <v>2667614873.8000002</v>
      </c>
      <c r="Z11" s="269">
        <f t="shared" si="10"/>
        <v>1003450863.2</v>
      </c>
      <c r="AA11" s="269">
        <f t="shared" si="10"/>
        <v>1018450863.2</v>
      </c>
      <c r="AB11" s="269">
        <f t="shared" si="10"/>
        <v>1003450863.2</v>
      </c>
      <c r="AC11" s="269">
        <f t="shared" si="10"/>
        <v>1003450863.2</v>
      </c>
      <c r="AD11" s="269">
        <f t="shared" si="10"/>
        <v>13920523773.800003</v>
      </c>
      <c r="AE11" s="269">
        <f t="shared" si="10"/>
        <v>15312576151.180004</v>
      </c>
      <c r="AF11" s="269">
        <f t="shared" si="10"/>
        <v>16843833766.298006</v>
      </c>
      <c r="AG11" s="269">
        <f t="shared" si="10"/>
        <v>18528217142.927807</v>
      </c>
    </row>
    <row r="12" spans="1:35" s="248" customFormat="1" ht="16.899999999999999" customHeight="1" x14ac:dyDescent="0.2">
      <c r="A12" s="252"/>
      <c r="B12" s="253"/>
      <c r="C12" s="302" t="s">
        <v>34</v>
      </c>
      <c r="D12" s="303">
        <f>'AND 1'!V12+'ADY 1'!V12</f>
        <v>45410675.600000001</v>
      </c>
      <c r="E12" s="303">
        <f>'AND 1'!W12+'ADY 1'!W12</f>
        <v>78956050</v>
      </c>
      <c r="F12" s="296">
        <f t="shared" si="0"/>
        <v>-33545374.399999999</v>
      </c>
      <c r="G12" s="406">
        <f t="shared" si="1"/>
        <v>1.7387111941580538</v>
      </c>
      <c r="H12" s="303">
        <f>'AND 1'!X12+'ADY 1'!X12</f>
        <v>45410675.600000001</v>
      </c>
      <c r="I12" s="303">
        <f>'AND 1'!Y12+'ADY 1'!Y12</f>
        <v>77076328</v>
      </c>
      <c r="J12" s="296">
        <f t="shared" si="2"/>
        <v>-31665652.399999999</v>
      </c>
      <c r="K12" s="406">
        <f t="shared" si="3"/>
        <v>1.6973173594448789</v>
      </c>
      <c r="L12" s="303">
        <f>'AND 1'!Z12+'ADY 1'!Z12</f>
        <v>45410675.600000001</v>
      </c>
      <c r="M12" s="303">
        <f>'AND 1'!AA12+'ADY 1'!AA12</f>
        <v>38311490</v>
      </c>
      <c r="N12" s="296">
        <f t="shared" si="4"/>
        <v>7099185.6000000015</v>
      </c>
      <c r="O12" s="406">
        <f t="shared" si="5"/>
        <v>0.84366703410155819</v>
      </c>
      <c r="P12" s="296">
        <f t="shared" ref="P12:P21" si="11">D12+H12+L12</f>
        <v>136232026.80000001</v>
      </c>
      <c r="Q12" s="296">
        <f t="shared" ref="Q12:Q21" si="12">E12+I12+M12</f>
        <v>194343868</v>
      </c>
      <c r="R12" s="296">
        <f t="shared" si="6"/>
        <v>-58111841.199999988</v>
      </c>
      <c r="S12" s="406">
        <f t="shared" si="7"/>
        <v>1.4265651959014969</v>
      </c>
      <c r="T12" s="618">
        <f>'AND 1'!AC12+'ADY 1'!AF12</f>
        <v>484471067</v>
      </c>
      <c r="U12" s="303">
        <f>'AND 1'!J12+'ADY 1'!J12</f>
        <v>45410675.600000001</v>
      </c>
      <c r="V12" s="303">
        <f>'AND 1'!L12+'ADY 1'!L12</f>
        <v>45410675.600000001</v>
      </c>
      <c r="W12" s="303">
        <f>'AND 1'!N12+'ADY 1'!N12</f>
        <v>45410675.600000001</v>
      </c>
      <c r="X12" s="303">
        <f>'AND 1'!P12+'ADY 1'!P12</f>
        <v>45410675.600000001</v>
      </c>
      <c r="Y12" s="303">
        <f>'AND 1'!R12+'ADY 1'!R12</f>
        <v>45410675.600000001</v>
      </c>
      <c r="Z12" s="303">
        <f>'AND 1'!T12+'ADY 1'!T12</f>
        <v>45410675.600000001</v>
      </c>
      <c r="AA12" s="303">
        <f>'AND 1'!V12+'ADY 1'!V12</f>
        <v>45410675.600000001</v>
      </c>
      <c r="AB12" s="303">
        <f>'AND 1'!X12+'ADY 1'!X12</f>
        <v>45410675.600000001</v>
      </c>
      <c r="AC12" s="303">
        <f>'AND 1'!Z12+'ADY 1'!Z12</f>
        <v>45410675.600000001</v>
      </c>
      <c r="AD12" s="304">
        <f t="shared" ref="AD12:AD21" si="13">AC12+AB12+AA12+Z12+Y12+X12+W12+V12+U12+L12+H12+D12</f>
        <v>544928107.20000017</v>
      </c>
      <c r="AE12" s="303">
        <f t="shared" ref="AE12:AG21" si="14">AD12*1.1</f>
        <v>599420917.9200002</v>
      </c>
      <c r="AF12" s="303">
        <f t="shared" si="14"/>
        <v>659363009.71200025</v>
      </c>
      <c r="AG12" s="303">
        <f t="shared" si="14"/>
        <v>725299310.68320036</v>
      </c>
    </row>
    <row r="13" spans="1:35" s="248" customFormat="1" ht="16.899999999999999" customHeight="1" x14ac:dyDescent="0.2">
      <c r="A13" s="252"/>
      <c r="B13" s="253"/>
      <c r="C13" s="305" t="s">
        <v>35</v>
      </c>
      <c r="D13" s="303">
        <f>'AND 1'!V13+'ADY 1'!V13</f>
        <v>0</v>
      </c>
      <c r="E13" s="303">
        <f>'AND 1'!W13+'ADY 1'!W13</f>
        <v>0</v>
      </c>
      <c r="F13" s="296">
        <f t="shared" si="0"/>
        <v>0</v>
      </c>
      <c r="G13" s="406" t="e">
        <f>E13/D13</f>
        <v>#DIV/0!</v>
      </c>
      <c r="H13" s="303">
        <f>'AND 1'!X13+'ADY 1'!X13</f>
        <v>0</v>
      </c>
      <c r="I13" s="303">
        <f>'AND 1'!Y13+'ADY 1'!Y13</f>
        <v>0</v>
      </c>
      <c r="J13" s="296">
        <f t="shared" si="2"/>
        <v>0</v>
      </c>
      <c r="K13" s="406" t="e">
        <f t="shared" si="3"/>
        <v>#DIV/0!</v>
      </c>
      <c r="L13" s="303">
        <f>'AND 1'!Z13+'ADY 1'!Z13</f>
        <v>0</v>
      </c>
      <c r="M13" s="303">
        <f>'AND 1'!AA13+'ADY 1'!AA13</f>
        <v>0</v>
      </c>
      <c r="N13" s="296">
        <f t="shared" si="4"/>
        <v>0</v>
      </c>
      <c r="O13" s="406" t="e">
        <f t="shared" si="5"/>
        <v>#DIV/0!</v>
      </c>
      <c r="P13" s="296">
        <f t="shared" si="11"/>
        <v>0</v>
      </c>
      <c r="Q13" s="296">
        <f t="shared" si="12"/>
        <v>0</v>
      </c>
      <c r="R13" s="296">
        <f t="shared" si="6"/>
        <v>0</v>
      </c>
      <c r="S13" s="406" t="e">
        <f t="shared" si="7"/>
        <v>#DIV/0!</v>
      </c>
      <c r="T13" s="618">
        <f>'AND 1'!AC13+'ADY 1'!AF13</f>
        <v>0</v>
      </c>
      <c r="U13" s="296">
        <f>'AND 1'!J13+'ADY 1'!J13</f>
        <v>0</v>
      </c>
      <c r="V13" s="296">
        <f>'AND 1'!L13+'ADY 1'!L13</f>
        <v>0</v>
      </c>
      <c r="W13" s="296">
        <f>'AND 1'!N13+'ADY 1'!N13</f>
        <v>80000000</v>
      </c>
      <c r="X13" s="296">
        <f>'AND 1'!P13+'ADY 1'!P13</f>
        <v>0</v>
      </c>
      <c r="Y13" s="296">
        <f>'AND 1'!R13+'ADY 1'!R13</f>
        <v>0</v>
      </c>
      <c r="Z13" s="296">
        <f>'AND 1'!T13+'ADY 1'!T13</f>
        <v>0</v>
      </c>
      <c r="AA13" s="296">
        <f>'AND 1'!V13+'ADY 1'!V13</f>
        <v>0</v>
      </c>
      <c r="AB13" s="296">
        <f>'AND 1'!X13+'ADY 1'!X13</f>
        <v>0</v>
      </c>
      <c r="AC13" s="296">
        <f>'AND 1'!Z13+'ADY 1'!Z13</f>
        <v>0</v>
      </c>
      <c r="AD13" s="297">
        <f t="shared" si="13"/>
        <v>80000000</v>
      </c>
      <c r="AE13" s="296">
        <f t="shared" si="14"/>
        <v>88000000</v>
      </c>
      <c r="AF13" s="296">
        <f t="shared" si="14"/>
        <v>96800000.000000015</v>
      </c>
      <c r="AG13" s="296">
        <f t="shared" si="14"/>
        <v>106480000.00000003</v>
      </c>
    </row>
    <row r="14" spans="1:35" s="248" customFormat="1" ht="16.899999999999999" customHeight="1" x14ac:dyDescent="0.2">
      <c r="A14" s="252"/>
      <c r="B14" s="254"/>
      <c r="C14" s="306" t="s">
        <v>37</v>
      </c>
      <c r="D14" s="303">
        <f>'AND 1'!V14+'ADY 1'!V14</f>
        <v>0</v>
      </c>
      <c r="E14" s="303">
        <f>'AND 1'!W14+'ADY 1'!W14</f>
        <v>0</v>
      </c>
      <c r="F14" s="296">
        <f t="shared" si="0"/>
        <v>0</v>
      </c>
      <c r="G14" s="406" t="e">
        <f t="shared" si="1"/>
        <v>#DIV/0!</v>
      </c>
      <c r="H14" s="303">
        <f>'AND 1'!X14+'ADY 1'!X14</f>
        <v>0</v>
      </c>
      <c r="I14" s="303">
        <f>'AND 1'!Y14+'ADY 1'!Y14</f>
        <v>0</v>
      </c>
      <c r="J14" s="296">
        <f t="shared" si="2"/>
        <v>0</v>
      </c>
      <c r="K14" s="406" t="e">
        <f t="shared" si="3"/>
        <v>#DIV/0!</v>
      </c>
      <c r="L14" s="303">
        <f>'AND 1'!Z14+'ADY 1'!Z14</f>
        <v>0</v>
      </c>
      <c r="M14" s="303">
        <f>'AND 1'!AA14+'ADY 1'!AA14</f>
        <v>0</v>
      </c>
      <c r="N14" s="296">
        <f t="shared" si="4"/>
        <v>0</v>
      </c>
      <c r="O14" s="406" t="e">
        <f t="shared" si="5"/>
        <v>#DIV/0!</v>
      </c>
      <c r="P14" s="296">
        <f t="shared" si="11"/>
        <v>0</v>
      </c>
      <c r="Q14" s="296">
        <f t="shared" si="12"/>
        <v>0</v>
      </c>
      <c r="R14" s="296">
        <f t="shared" si="6"/>
        <v>0</v>
      </c>
      <c r="S14" s="406" t="e">
        <f t="shared" si="7"/>
        <v>#DIV/0!</v>
      </c>
      <c r="T14" s="618">
        <f>'AND 1'!AC14+'ADY 1'!AF14</f>
        <v>0</v>
      </c>
      <c r="U14" s="296">
        <f>'AND 1'!J14+'ADY 1'!J14</f>
        <v>0</v>
      </c>
      <c r="V14" s="296">
        <f>'AND 1'!L14+'ADY 1'!L14</f>
        <v>0</v>
      </c>
      <c r="W14" s="296">
        <f>'AND 1'!N14+'ADY 1'!N14</f>
        <v>0</v>
      </c>
      <c r="X14" s="296">
        <f>'AND 1'!P14+'ADY 1'!P14</f>
        <v>0</v>
      </c>
      <c r="Y14" s="296">
        <f>'AND 1'!R14+'ADY 1'!R14</f>
        <v>0</v>
      </c>
      <c r="Z14" s="296">
        <f>'AND 1'!T14+'ADY 1'!T14</f>
        <v>0</v>
      </c>
      <c r="AA14" s="296">
        <f>'AND 1'!V14+'ADY 1'!V14</f>
        <v>0</v>
      </c>
      <c r="AB14" s="296">
        <f>'AND 1'!X14+'ADY 1'!X14</f>
        <v>0</v>
      </c>
      <c r="AC14" s="296">
        <f>'AND 1'!Z14+'ADY 1'!Z14</f>
        <v>0</v>
      </c>
      <c r="AD14" s="297">
        <f t="shared" si="13"/>
        <v>0</v>
      </c>
      <c r="AE14" s="296">
        <f t="shared" si="14"/>
        <v>0</v>
      </c>
      <c r="AF14" s="296">
        <f t="shared" si="14"/>
        <v>0</v>
      </c>
      <c r="AG14" s="296">
        <f t="shared" si="14"/>
        <v>0</v>
      </c>
    </row>
    <row r="15" spans="1:35" s="248" customFormat="1" ht="16.899999999999999" customHeight="1" x14ac:dyDescent="0.2">
      <c r="A15" s="252"/>
      <c r="B15" s="254"/>
      <c r="C15" s="307" t="s">
        <v>38</v>
      </c>
      <c r="D15" s="303">
        <f>'AND 1'!V15+'ADY 1'!V15</f>
        <v>4000000</v>
      </c>
      <c r="E15" s="303">
        <f>'AND 1'!W15+'ADY 1'!W15</f>
        <v>5450000</v>
      </c>
      <c r="F15" s="296">
        <f t="shared" si="0"/>
        <v>-1450000</v>
      </c>
      <c r="G15" s="406">
        <f t="shared" si="1"/>
        <v>1.3625</v>
      </c>
      <c r="H15" s="303">
        <f>'AND 1'!X15+'ADY 1'!X15</f>
        <v>4000000</v>
      </c>
      <c r="I15" s="303">
        <f>'AND 1'!Y15+'ADY 1'!Y15</f>
        <v>4203000</v>
      </c>
      <c r="J15" s="296">
        <f t="shared" si="2"/>
        <v>-203000</v>
      </c>
      <c r="K15" s="406">
        <f t="shared" si="3"/>
        <v>1.0507500000000001</v>
      </c>
      <c r="L15" s="303">
        <f>'AND 1'!Z15+'ADY 1'!Z15</f>
        <v>4000000</v>
      </c>
      <c r="M15" s="303">
        <f>'AND 1'!AA15+'ADY 1'!AA15</f>
        <v>8750500</v>
      </c>
      <c r="N15" s="296">
        <f t="shared" si="4"/>
        <v>-4750500</v>
      </c>
      <c r="O15" s="406">
        <f t="shared" si="5"/>
        <v>2.1876250000000002</v>
      </c>
      <c r="P15" s="296">
        <f t="shared" si="11"/>
        <v>12000000</v>
      </c>
      <c r="Q15" s="296">
        <f t="shared" si="12"/>
        <v>18403500</v>
      </c>
      <c r="R15" s="296">
        <f t="shared" si="6"/>
        <v>-6403500</v>
      </c>
      <c r="S15" s="406">
        <f t="shared" si="7"/>
        <v>1.533625</v>
      </c>
      <c r="T15" s="618">
        <f>'AND 1'!AC15+'ADY 1'!AF15</f>
        <v>18403500</v>
      </c>
      <c r="U15" s="296">
        <f>'AND 1'!J15+'ADY 1'!J15</f>
        <v>4000000</v>
      </c>
      <c r="V15" s="296">
        <f>'AND 1'!L15+'ADY 1'!L15</f>
        <v>4000000</v>
      </c>
      <c r="W15" s="296">
        <f>'AND 1'!N15+'ADY 1'!N15</f>
        <v>4000000</v>
      </c>
      <c r="X15" s="296">
        <f>'AND 1'!P15+'ADY 1'!P15</f>
        <v>4000000</v>
      </c>
      <c r="Y15" s="296">
        <f>'AND 1'!R15+'ADY 1'!R15</f>
        <v>4000000</v>
      </c>
      <c r="Z15" s="296">
        <f>'AND 1'!T15+'ADY 1'!T15</f>
        <v>4000000</v>
      </c>
      <c r="AA15" s="296">
        <f>'AND 1'!V15+'ADY 1'!V15</f>
        <v>4000000</v>
      </c>
      <c r="AB15" s="296">
        <f>'AND 1'!X15+'ADY 1'!X15</f>
        <v>4000000</v>
      </c>
      <c r="AC15" s="296">
        <f>'AND 1'!Z15+'ADY 1'!Z15</f>
        <v>4000000</v>
      </c>
      <c r="AD15" s="297">
        <f t="shared" si="13"/>
        <v>48000000</v>
      </c>
      <c r="AE15" s="296">
        <f t="shared" si="14"/>
        <v>52800000.000000007</v>
      </c>
      <c r="AF15" s="296">
        <f t="shared" si="14"/>
        <v>58080000.000000015</v>
      </c>
      <c r="AG15" s="296">
        <f t="shared" si="14"/>
        <v>63888000.000000022</v>
      </c>
    </row>
    <row r="16" spans="1:35" s="248" customFormat="1" ht="16.899999999999999" customHeight="1" x14ac:dyDescent="0.2">
      <c r="A16" s="252"/>
      <c r="B16" s="254"/>
      <c r="C16" s="307" t="s">
        <v>40</v>
      </c>
      <c r="D16" s="303">
        <f>'AND 1'!V16+'ADY 1'!V16</f>
        <v>2000000</v>
      </c>
      <c r="E16" s="303">
        <f>'AND 1'!W16+'ADY 1'!W16</f>
        <v>0</v>
      </c>
      <c r="F16" s="296">
        <f t="shared" si="0"/>
        <v>2000000</v>
      </c>
      <c r="G16" s="406">
        <f t="shared" si="1"/>
        <v>0</v>
      </c>
      <c r="H16" s="303">
        <f>'AND 1'!X16+'ADY 1'!X16</f>
        <v>2000000</v>
      </c>
      <c r="I16" s="303">
        <f>'AND 1'!Y16+'ADY 1'!Y16</f>
        <v>0</v>
      </c>
      <c r="J16" s="296">
        <f t="shared" si="2"/>
        <v>2000000</v>
      </c>
      <c r="K16" s="406">
        <f t="shared" si="3"/>
        <v>0</v>
      </c>
      <c r="L16" s="303">
        <f>'AND 1'!Z16+'ADY 1'!Z16</f>
        <v>2000000</v>
      </c>
      <c r="M16" s="303">
        <f>'AND 1'!AA16+'ADY 1'!AA16</f>
        <v>0</v>
      </c>
      <c r="N16" s="296">
        <f t="shared" si="4"/>
        <v>2000000</v>
      </c>
      <c r="O16" s="406">
        <f t="shared" si="5"/>
        <v>0</v>
      </c>
      <c r="P16" s="296">
        <f t="shared" si="11"/>
        <v>6000000</v>
      </c>
      <c r="Q16" s="296">
        <f t="shared" si="12"/>
        <v>0</v>
      </c>
      <c r="R16" s="296">
        <f t="shared" si="6"/>
        <v>6000000</v>
      </c>
      <c r="S16" s="406">
        <f t="shared" si="7"/>
        <v>0</v>
      </c>
      <c r="T16" s="618">
        <f>'AND 1'!AC16+'ADY 1'!AF16</f>
        <v>0</v>
      </c>
      <c r="U16" s="296">
        <f>'AND 1'!J16+'ADY 1'!J16</f>
        <v>2000000</v>
      </c>
      <c r="V16" s="296">
        <f>'AND 1'!L16+'ADY 1'!L16</f>
        <v>2000000</v>
      </c>
      <c r="W16" s="296">
        <f>'AND 1'!N16+'ADY 1'!N16</f>
        <v>2000000</v>
      </c>
      <c r="X16" s="296">
        <f>'AND 1'!P16+'ADY 1'!P16</f>
        <v>2000000</v>
      </c>
      <c r="Y16" s="296">
        <f>'AND 1'!R16+'ADY 1'!R16</f>
        <v>2000000</v>
      </c>
      <c r="Z16" s="296">
        <f>'AND 1'!T16+'ADY 1'!T16</f>
        <v>2000000</v>
      </c>
      <c r="AA16" s="296">
        <f>'AND 1'!V16+'ADY 1'!V16</f>
        <v>2000000</v>
      </c>
      <c r="AB16" s="296">
        <f>'AND 1'!X16+'ADY 1'!X16</f>
        <v>2000000</v>
      </c>
      <c r="AC16" s="296">
        <f>'AND 1'!Z16+'ADY 1'!Z16</f>
        <v>2000000</v>
      </c>
      <c r="AD16" s="297">
        <f t="shared" si="13"/>
        <v>24000000</v>
      </c>
      <c r="AE16" s="296">
        <f t="shared" si="14"/>
        <v>26400000.000000004</v>
      </c>
      <c r="AF16" s="296">
        <f t="shared" si="14"/>
        <v>29040000.000000007</v>
      </c>
      <c r="AG16" s="296">
        <f t="shared" si="14"/>
        <v>31944000.000000011</v>
      </c>
    </row>
    <row r="17" spans="1:33" s="248" customFormat="1" ht="16.899999999999999" customHeight="1" x14ac:dyDescent="0.2">
      <c r="A17" s="252"/>
      <c r="B17" s="254"/>
      <c r="C17" s="305" t="s">
        <v>41</v>
      </c>
      <c r="D17" s="303">
        <f>'AND 1'!V17+'ADY 1'!V17</f>
        <v>0</v>
      </c>
      <c r="E17" s="303">
        <f>'AND 1'!W17+'ADY 1'!W17</f>
        <v>0</v>
      </c>
      <c r="F17" s="296">
        <f t="shared" si="0"/>
        <v>0</v>
      </c>
      <c r="G17" s="406" t="e">
        <f>E17/D17</f>
        <v>#DIV/0!</v>
      </c>
      <c r="H17" s="303">
        <f>'AND 1'!X17+'ADY 1'!X17</f>
        <v>0</v>
      </c>
      <c r="I17" s="303">
        <f>'AND 1'!Y17+'ADY 1'!Y17</f>
        <v>0</v>
      </c>
      <c r="J17" s="296">
        <f t="shared" si="2"/>
        <v>0</v>
      </c>
      <c r="K17" s="406" t="e">
        <f t="shared" si="3"/>
        <v>#DIV/0!</v>
      </c>
      <c r="L17" s="303">
        <f>'AND 1'!Z17+'ADY 1'!Z17</f>
        <v>0</v>
      </c>
      <c r="M17" s="303">
        <f>'AND 1'!AA17+'ADY 1'!AA17</f>
        <v>0</v>
      </c>
      <c r="N17" s="296">
        <f t="shared" si="4"/>
        <v>0</v>
      </c>
      <c r="O17" s="406" t="e">
        <f t="shared" si="5"/>
        <v>#DIV/0!</v>
      </c>
      <c r="P17" s="296">
        <f t="shared" si="11"/>
        <v>0</v>
      </c>
      <c r="Q17" s="296">
        <f t="shared" si="12"/>
        <v>0</v>
      </c>
      <c r="R17" s="296">
        <f t="shared" si="6"/>
        <v>0</v>
      </c>
      <c r="S17" s="406" t="e">
        <f t="shared" si="7"/>
        <v>#DIV/0!</v>
      </c>
      <c r="T17" s="618">
        <f>'AND 1'!AC17+'ADY 1'!AF17</f>
        <v>17400000</v>
      </c>
      <c r="U17" s="296">
        <f>'AND 1'!J17+'ADY 1'!J17</f>
        <v>0</v>
      </c>
      <c r="V17" s="296">
        <f>'AND 1'!L17+'ADY 1'!L17</f>
        <v>0</v>
      </c>
      <c r="W17" s="296">
        <f>'AND 1'!N17+'ADY 1'!N17</f>
        <v>0</v>
      </c>
      <c r="X17" s="296">
        <f>'AND 1'!P17+'ADY 1'!P17</f>
        <v>0</v>
      </c>
      <c r="Y17" s="296">
        <f>'AND 1'!R17+'ADY 1'!R17</f>
        <v>40000000</v>
      </c>
      <c r="Z17" s="296">
        <f>'AND 1'!T17+'ADY 1'!T17</f>
        <v>0</v>
      </c>
      <c r="AA17" s="296">
        <f>'AND 1'!V17+'ADY 1'!V17</f>
        <v>0</v>
      </c>
      <c r="AB17" s="296">
        <f>'AND 1'!X17+'ADY 1'!X17</f>
        <v>0</v>
      </c>
      <c r="AC17" s="296">
        <f>'AND 1'!Z17+'ADY 1'!Z17</f>
        <v>0</v>
      </c>
      <c r="AD17" s="297">
        <f t="shared" si="13"/>
        <v>40000000</v>
      </c>
      <c r="AE17" s="296">
        <f t="shared" si="14"/>
        <v>44000000</v>
      </c>
      <c r="AF17" s="296">
        <f t="shared" si="14"/>
        <v>48400000.000000007</v>
      </c>
      <c r="AG17" s="296">
        <f t="shared" si="14"/>
        <v>53240000.000000015</v>
      </c>
    </row>
    <row r="18" spans="1:33" s="248" customFormat="1" ht="16.899999999999999" customHeight="1" x14ac:dyDescent="0.2">
      <c r="A18" s="252"/>
      <c r="B18" s="254"/>
      <c r="C18" s="305" t="s">
        <v>42</v>
      </c>
      <c r="D18" s="303">
        <f>'AND 1'!V18+'ADY 1'!V18</f>
        <v>0</v>
      </c>
      <c r="E18" s="303">
        <f>'AND 1'!W18+'ADY 1'!W18</f>
        <v>0</v>
      </c>
      <c r="F18" s="296">
        <f t="shared" si="0"/>
        <v>0</v>
      </c>
      <c r="G18" s="406" t="e">
        <f>E18/D18</f>
        <v>#DIV/0!</v>
      </c>
      <c r="H18" s="303">
        <f>'AND 1'!X18+'ADY 1'!X18</f>
        <v>0</v>
      </c>
      <c r="I18" s="303">
        <f>'AND 1'!Y18+'ADY 1'!Y18</f>
        <v>0</v>
      </c>
      <c r="J18" s="296">
        <f t="shared" si="2"/>
        <v>0</v>
      </c>
      <c r="K18" s="406" t="e">
        <f t="shared" si="3"/>
        <v>#DIV/0!</v>
      </c>
      <c r="L18" s="303">
        <f>'AND 1'!Z18+'ADY 1'!Z18</f>
        <v>0</v>
      </c>
      <c r="M18" s="303">
        <f>'AND 1'!AA18+'ADY 1'!AA18</f>
        <v>0</v>
      </c>
      <c r="N18" s="296">
        <f t="shared" si="4"/>
        <v>0</v>
      </c>
      <c r="O18" s="406" t="e">
        <f t="shared" si="5"/>
        <v>#DIV/0!</v>
      </c>
      <c r="P18" s="296">
        <f t="shared" si="11"/>
        <v>0</v>
      </c>
      <c r="Q18" s="296">
        <f t="shared" si="12"/>
        <v>0</v>
      </c>
      <c r="R18" s="296">
        <f t="shared" si="6"/>
        <v>0</v>
      </c>
      <c r="S18" s="406" t="e">
        <f t="shared" si="7"/>
        <v>#DIV/0!</v>
      </c>
      <c r="T18" s="618">
        <f>'AND 1'!AC18+'ADY 1'!AF18</f>
        <v>0</v>
      </c>
      <c r="U18" s="296">
        <f>'AND 1'!J18+'ADY 1'!J18</f>
        <v>0</v>
      </c>
      <c r="V18" s="296">
        <f>'AND 1'!L18+'ADY 1'!L18</f>
        <v>0</v>
      </c>
      <c r="W18" s="296">
        <f>'AND 1'!N18+'ADY 1'!N18</f>
        <v>0</v>
      </c>
      <c r="X18" s="296">
        <f>'AND 1'!P18+'ADY 1'!P18</f>
        <v>0</v>
      </c>
      <c r="Y18" s="296">
        <f>'AND 1'!R18+'ADY 1'!R18</f>
        <v>50000000</v>
      </c>
      <c r="Z18" s="296">
        <f>'AND 1'!T18+'ADY 1'!T18</f>
        <v>0</v>
      </c>
      <c r="AA18" s="296">
        <f>'AND 1'!V18+'ADY 1'!V18</f>
        <v>0</v>
      </c>
      <c r="AB18" s="296">
        <f>'AND 1'!X18+'ADY 1'!X18</f>
        <v>0</v>
      </c>
      <c r="AC18" s="296">
        <f>'AND 1'!Z18+'ADY 1'!Z18</f>
        <v>0</v>
      </c>
      <c r="AD18" s="297">
        <f t="shared" si="13"/>
        <v>50000000</v>
      </c>
      <c r="AE18" s="296">
        <f t="shared" si="14"/>
        <v>55000000.000000007</v>
      </c>
      <c r="AF18" s="296">
        <f t="shared" si="14"/>
        <v>60500000.000000015</v>
      </c>
      <c r="AG18" s="296">
        <f t="shared" si="14"/>
        <v>66550000.000000022</v>
      </c>
    </row>
    <row r="19" spans="1:33" s="248" customFormat="1" ht="16.899999999999999" customHeight="1" x14ac:dyDescent="0.2">
      <c r="A19" s="252"/>
      <c r="B19" s="254"/>
      <c r="C19" s="308" t="s">
        <v>44</v>
      </c>
      <c r="D19" s="303">
        <f>'AND 1'!V19+'ADY 1'!V19</f>
        <v>0</v>
      </c>
      <c r="E19" s="303">
        <f>'AND 1'!W19+'ADY 1'!W19</f>
        <v>0</v>
      </c>
      <c r="F19" s="296">
        <f t="shared" si="0"/>
        <v>0</v>
      </c>
      <c r="G19" s="406" t="e">
        <f t="shared" si="1"/>
        <v>#DIV/0!</v>
      </c>
      <c r="H19" s="303">
        <f>'AND 1'!X19+'ADY 1'!X19</f>
        <v>0</v>
      </c>
      <c r="I19" s="303">
        <f>'AND 1'!Y19+'ADY 1'!Y19</f>
        <v>76150000</v>
      </c>
      <c r="J19" s="296">
        <f t="shared" si="2"/>
        <v>-76150000</v>
      </c>
      <c r="K19" s="406" t="e">
        <f t="shared" si="3"/>
        <v>#DIV/0!</v>
      </c>
      <c r="L19" s="303">
        <f>'AND 1'!Z19+'ADY 1'!Z19</f>
        <v>0</v>
      </c>
      <c r="M19" s="303">
        <f>'AND 1'!AA19+'ADY 1'!AA19</f>
        <v>30050000</v>
      </c>
      <c r="N19" s="296">
        <f t="shared" si="4"/>
        <v>-30050000</v>
      </c>
      <c r="O19" s="406" t="e">
        <f t="shared" si="5"/>
        <v>#DIV/0!</v>
      </c>
      <c r="P19" s="296">
        <f t="shared" si="11"/>
        <v>0</v>
      </c>
      <c r="Q19" s="296">
        <f t="shared" si="12"/>
        <v>106200000</v>
      </c>
      <c r="R19" s="296">
        <f t="shared" si="6"/>
        <v>-106200000</v>
      </c>
      <c r="S19" s="406" t="e">
        <f t="shared" si="7"/>
        <v>#DIV/0!</v>
      </c>
      <c r="T19" s="618">
        <f>'AND 1'!AC19+'ADY 1'!AF19</f>
        <v>106200000</v>
      </c>
      <c r="U19" s="296">
        <f>'AND 1'!J19+'ADY 1'!J19</f>
        <v>0</v>
      </c>
      <c r="V19" s="296">
        <f>'AND 1'!L19+'ADY 1'!L19</f>
        <v>0</v>
      </c>
      <c r="W19" s="296">
        <f>'AND 1'!N19+'ADY 1'!N19</f>
        <v>0</v>
      </c>
      <c r="X19" s="296">
        <f>'AND 1'!P19+'ADY 1'!P19</f>
        <v>0</v>
      </c>
      <c r="Y19" s="296">
        <f>'AND 1'!R19+'ADY 1'!R19</f>
        <v>0</v>
      </c>
      <c r="Z19" s="296">
        <f>'AND 1'!T19+'ADY 1'!T19</f>
        <v>0</v>
      </c>
      <c r="AA19" s="296">
        <f>'AND 1'!V19+'ADY 1'!V19</f>
        <v>0</v>
      </c>
      <c r="AB19" s="296">
        <f>'AND 1'!X19+'ADY 1'!X19</f>
        <v>0</v>
      </c>
      <c r="AC19" s="296">
        <f>'AND 1'!Z19+'ADY 1'!Z19</f>
        <v>0</v>
      </c>
      <c r="AD19" s="297">
        <f t="shared" si="13"/>
        <v>0</v>
      </c>
      <c r="AE19" s="296">
        <f t="shared" si="14"/>
        <v>0</v>
      </c>
      <c r="AF19" s="296">
        <f t="shared" si="14"/>
        <v>0</v>
      </c>
      <c r="AG19" s="296">
        <f t="shared" si="14"/>
        <v>0</v>
      </c>
    </row>
    <row r="20" spans="1:33" s="248" customFormat="1" ht="16.899999999999999" customHeight="1" x14ac:dyDescent="0.2">
      <c r="A20" s="252"/>
      <c r="B20" s="247"/>
      <c r="C20" s="308" t="s">
        <v>46</v>
      </c>
      <c r="D20" s="303">
        <f>'AND 1'!V20+'ADY 1'!V20</f>
        <v>0</v>
      </c>
      <c r="E20" s="303">
        <f>'AND 1'!W20+'ADY 1'!W20</f>
        <v>0</v>
      </c>
      <c r="F20" s="296">
        <f t="shared" si="0"/>
        <v>0</v>
      </c>
      <c r="G20" s="406" t="e">
        <f t="shared" si="1"/>
        <v>#DIV/0!</v>
      </c>
      <c r="H20" s="303">
        <f>'AND 1'!X20+'ADY 1'!X20</f>
        <v>0</v>
      </c>
      <c r="I20" s="303">
        <f>'AND 1'!Y20+'ADY 1'!Y20</f>
        <v>0</v>
      </c>
      <c r="J20" s="296">
        <f t="shared" si="2"/>
        <v>0</v>
      </c>
      <c r="K20" s="406" t="e">
        <f t="shared" si="3"/>
        <v>#DIV/0!</v>
      </c>
      <c r="L20" s="303">
        <f>'AND 1'!Z20+'ADY 1'!Z20</f>
        <v>0</v>
      </c>
      <c r="M20" s="303">
        <f>'AND 1'!AA20+'ADY 1'!AA20</f>
        <v>0</v>
      </c>
      <c r="N20" s="296">
        <f t="shared" si="4"/>
        <v>0</v>
      </c>
      <c r="O20" s="406" t="e">
        <f t="shared" si="5"/>
        <v>#DIV/0!</v>
      </c>
      <c r="P20" s="296">
        <f t="shared" si="11"/>
        <v>0</v>
      </c>
      <c r="Q20" s="296">
        <f t="shared" si="12"/>
        <v>0</v>
      </c>
      <c r="R20" s="296">
        <f t="shared" si="6"/>
        <v>0</v>
      </c>
      <c r="S20" s="406" t="e">
        <f t="shared" si="7"/>
        <v>#DIV/0!</v>
      </c>
      <c r="T20" s="618">
        <f>'AND 1'!AC20+'ADY 1'!AF20</f>
        <v>0</v>
      </c>
      <c r="U20" s="296">
        <f>'AND 1'!J20+'ADY 1'!J20</f>
        <v>35000000</v>
      </c>
      <c r="V20" s="296">
        <f>'AND 1'!L20+'ADY 1'!L20</f>
        <v>0</v>
      </c>
      <c r="W20" s="296">
        <f>'AND 1'!N20+'ADY 1'!N20</f>
        <v>0</v>
      </c>
      <c r="X20" s="296">
        <f>'AND 1'!P20+'ADY 1'!P20</f>
        <v>0</v>
      </c>
      <c r="Y20" s="296">
        <f>'AND 1'!R20+'ADY 1'!R20</f>
        <v>0</v>
      </c>
      <c r="Z20" s="296">
        <f>'AND 1'!T20+'ADY 1'!T20</f>
        <v>0</v>
      </c>
      <c r="AA20" s="296">
        <f>'AND 1'!V20+'ADY 1'!V20</f>
        <v>0</v>
      </c>
      <c r="AB20" s="296">
        <f>'AND 1'!X20+'ADY 1'!X20</f>
        <v>0</v>
      </c>
      <c r="AC20" s="296">
        <f>'AND 1'!Z20+'ADY 1'!Z20</f>
        <v>0</v>
      </c>
      <c r="AD20" s="297">
        <f t="shared" si="13"/>
        <v>35000000</v>
      </c>
      <c r="AE20" s="296">
        <f t="shared" si="14"/>
        <v>38500000</v>
      </c>
      <c r="AF20" s="296">
        <f t="shared" si="14"/>
        <v>42350000</v>
      </c>
      <c r="AG20" s="296">
        <f t="shared" si="14"/>
        <v>46585000.000000007</v>
      </c>
    </row>
    <row r="21" spans="1:33" s="248" customFormat="1" ht="16.899999999999999" customHeight="1" x14ac:dyDescent="0.2">
      <c r="A21" s="252"/>
      <c r="B21" s="247"/>
      <c r="C21" s="309" t="s">
        <v>48</v>
      </c>
      <c r="D21" s="303">
        <f>'AND 1'!V21+'ADY 1'!V21</f>
        <v>0</v>
      </c>
      <c r="E21" s="303">
        <f>'AND 1'!W21+'ADY 1'!W21</f>
        <v>0</v>
      </c>
      <c r="F21" s="296">
        <f t="shared" si="0"/>
        <v>0</v>
      </c>
      <c r="G21" s="406" t="e">
        <f t="shared" si="1"/>
        <v>#DIV/0!</v>
      </c>
      <c r="H21" s="303">
        <f>'AND 1'!X21+'ADY 1'!X21</f>
        <v>0</v>
      </c>
      <c r="I21" s="303">
        <f>'AND 1'!Y21+'ADY 1'!Y21</f>
        <v>0</v>
      </c>
      <c r="J21" s="296">
        <f t="shared" si="2"/>
        <v>0</v>
      </c>
      <c r="K21" s="406" t="e">
        <f t="shared" si="3"/>
        <v>#DIV/0!</v>
      </c>
      <c r="L21" s="303">
        <f>'AND 1'!Z21+'ADY 1'!Z21</f>
        <v>0</v>
      </c>
      <c r="M21" s="303">
        <f>'AND 1'!AA21+'ADY 1'!AA21</f>
        <v>0</v>
      </c>
      <c r="N21" s="296">
        <f t="shared" si="4"/>
        <v>0</v>
      </c>
      <c r="O21" s="406" t="e">
        <f t="shared" si="5"/>
        <v>#DIV/0!</v>
      </c>
      <c r="P21" s="296">
        <f t="shared" si="11"/>
        <v>0</v>
      </c>
      <c r="Q21" s="296">
        <f t="shared" si="12"/>
        <v>0</v>
      </c>
      <c r="R21" s="296">
        <f t="shared" si="6"/>
        <v>0</v>
      </c>
      <c r="S21" s="406" t="e">
        <f t="shared" si="7"/>
        <v>#DIV/0!</v>
      </c>
      <c r="T21" s="618">
        <f>'AND 1'!AC21+'ADY 1'!AF21</f>
        <v>0</v>
      </c>
      <c r="U21" s="299">
        <f>'AND 1'!J21+'ADY 1'!J21</f>
        <v>0</v>
      </c>
      <c r="V21" s="299">
        <f>'AND 1'!L21+'ADY 1'!L21</f>
        <v>0</v>
      </c>
      <c r="W21" s="299">
        <f>'AND 1'!N21+'ADY 1'!N21</f>
        <v>0</v>
      </c>
      <c r="X21" s="299">
        <f>'AND 1'!P21+'ADY 1'!P21</f>
        <v>0</v>
      </c>
      <c r="Y21" s="299">
        <f>'AND 1'!R21+'ADY 1'!R21</f>
        <v>0</v>
      </c>
      <c r="Z21" s="299">
        <f>'AND 1'!T21+'ADY 1'!T21</f>
        <v>0</v>
      </c>
      <c r="AA21" s="299">
        <f>'AND 1'!V21+'ADY 1'!V21</f>
        <v>0</v>
      </c>
      <c r="AB21" s="299">
        <f>'AND 1'!X21+'ADY 1'!X21</f>
        <v>0</v>
      </c>
      <c r="AC21" s="299">
        <f>'AND 1'!Z21+'ADY 1'!Z21</f>
        <v>0</v>
      </c>
      <c r="AD21" s="300">
        <f t="shared" si="13"/>
        <v>0</v>
      </c>
      <c r="AE21" s="299">
        <f t="shared" si="14"/>
        <v>0</v>
      </c>
      <c r="AF21" s="299">
        <f t="shared" si="14"/>
        <v>0</v>
      </c>
      <c r="AG21" s="299">
        <f t="shared" si="14"/>
        <v>0</v>
      </c>
    </row>
    <row r="22" spans="1:33" s="251" customFormat="1" ht="16.899999999999999" customHeight="1" x14ac:dyDescent="0.2">
      <c r="A22" s="249"/>
      <c r="B22" s="250"/>
      <c r="C22" s="267" t="s">
        <v>49</v>
      </c>
      <c r="D22" s="270">
        <f>SUM(D12:D21)</f>
        <v>51410675.600000001</v>
      </c>
      <c r="E22" s="270">
        <f>SUM(E12:E21)</f>
        <v>84406050</v>
      </c>
      <c r="F22" s="269">
        <f t="shared" si="0"/>
        <v>-32995374.399999999</v>
      </c>
      <c r="G22" s="412">
        <f t="shared" si="1"/>
        <v>1.6418000544618401</v>
      </c>
      <c r="H22" s="270">
        <f>SUM(H12:H21)</f>
        <v>51410675.600000001</v>
      </c>
      <c r="I22" s="270">
        <f>SUM(I12:I21)</f>
        <v>157429328</v>
      </c>
      <c r="J22" s="269">
        <f t="shared" si="2"/>
        <v>-106018652.40000001</v>
      </c>
      <c r="K22" s="412">
        <f t="shared" si="3"/>
        <v>3.0621913865687458</v>
      </c>
      <c r="L22" s="270">
        <f>SUM(L12:L21)</f>
        <v>51410675.600000001</v>
      </c>
      <c r="M22" s="270">
        <f>SUM(M12:M21)</f>
        <v>77111990</v>
      </c>
      <c r="N22" s="269">
        <f t="shared" si="4"/>
        <v>-25701314.399999999</v>
      </c>
      <c r="O22" s="412">
        <f t="shared" si="5"/>
        <v>1.4999217399897387</v>
      </c>
      <c r="P22" s="270">
        <f>SUM(P12:P21)</f>
        <v>154232026.80000001</v>
      </c>
      <c r="Q22" s="270">
        <f>SUM(Q12:Q21)</f>
        <v>318947368</v>
      </c>
      <c r="R22" s="269">
        <f t="shared" si="6"/>
        <v>-164715341.19999999</v>
      </c>
      <c r="S22" s="412">
        <f t="shared" si="7"/>
        <v>2.067971060340108</v>
      </c>
      <c r="T22" s="619">
        <f t="shared" ref="T22:AG22" si="15">SUM(T12:T21)</f>
        <v>626474567</v>
      </c>
      <c r="U22" s="270">
        <f t="shared" si="15"/>
        <v>86410675.599999994</v>
      </c>
      <c r="V22" s="270">
        <f t="shared" si="15"/>
        <v>51410675.600000001</v>
      </c>
      <c r="W22" s="270">
        <f t="shared" si="15"/>
        <v>131410675.59999999</v>
      </c>
      <c r="X22" s="270">
        <f t="shared" si="15"/>
        <v>51410675.600000001</v>
      </c>
      <c r="Y22" s="270">
        <f t="shared" si="15"/>
        <v>141410675.59999999</v>
      </c>
      <c r="Z22" s="270">
        <f t="shared" si="15"/>
        <v>51410675.600000001</v>
      </c>
      <c r="AA22" s="270">
        <f t="shared" si="15"/>
        <v>51410675.600000001</v>
      </c>
      <c r="AB22" s="270">
        <f t="shared" si="15"/>
        <v>51410675.600000001</v>
      </c>
      <c r="AC22" s="270">
        <f t="shared" si="15"/>
        <v>51410675.600000001</v>
      </c>
      <c r="AD22" s="270">
        <f t="shared" si="15"/>
        <v>821928107.20000017</v>
      </c>
      <c r="AE22" s="270">
        <f t="shared" si="15"/>
        <v>904120917.9200002</v>
      </c>
      <c r="AF22" s="270">
        <f t="shared" si="15"/>
        <v>994533009.71200025</v>
      </c>
      <c r="AG22" s="270">
        <f t="shared" si="15"/>
        <v>1093986310.6832004</v>
      </c>
    </row>
    <row r="23" spans="1:33" ht="16.899999999999999" customHeight="1" x14ac:dyDescent="0.2">
      <c r="A23" s="246"/>
      <c r="B23" s="247"/>
      <c r="C23" s="268" t="s">
        <v>51</v>
      </c>
      <c r="D23" s="267">
        <f>'AND 1'!V23+'ADY 1'!V23</f>
        <v>33500000</v>
      </c>
      <c r="E23" s="267">
        <f>'AND 1'!W23+'ADY 1'!W23</f>
        <v>30679268</v>
      </c>
      <c r="F23" s="269">
        <f t="shared" si="0"/>
        <v>2820732</v>
      </c>
      <c r="G23" s="412">
        <f t="shared" si="1"/>
        <v>0.9157990447761194</v>
      </c>
      <c r="H23" s="267">
        <f>'AND 1'!X23+'ADY 1'!X23</f>
        <v>33500000</v>
      </c>
      <c r="I23" s="267">
        <f>'AND 1'!Y23+'ADY 1'!Y23</f>
        <v>30517601</v>
      </c>
      <c r="J23" s="269">
        <f t="shared" si="2"/>
        <v>2982399</v>
      </c>
      <c r="K23" s="412">
        <f t="shared" si="3"/>
        <v>0.91097316417910446</v>
      </c>
      <c r="L23" s="267">
        <f>'AND 1'!Z23+'ADY 1'!Z23</f>
        <v>33500000</v>
      </c>
      <c r="M23" s="267">
        <f>'AND 1'!AA23+'ADY 1'!AA23</f>
        <v>31376911</v>
      </c>
      <c r="N23" s="269">
        <f t="shared" si="4"/>
        <v>2123089</v>
      </c>
      <c r="O23" s="412">
        <f t="shared" si="5"/>
        <v>0.93662420895522391</v>
      </c>
      <c r="P23" s="415">
        <f t="shared" ref="P23:P31" si="16">D23+H23+L23</f>
        <v>100500000</v>
      </c>
      <c r="Q23" s="415">
        <f t="shared" ref="Q23:Q31" si="17">E23+I23+M23</f>
        <v>92573780</v>
      </c>
      <c r="R23" s="269">
        <f t="shared" si="6"/>
        <v>7926220</v>
      </c>
      <c r="S23" s="412">
        <f t="shared" si="7"/>
        <v>0.92113213930348259</v>
      </c>
      <c r="T23" s="620">
        <f>'AND 1'!AC23+'ADY 1'!AF23</f>
        <v>347859946</v>
      </c>
      <c r="U23" s="267">
        <f>'AND 1'!J23+'ADY 1'!J23</f>
        <v>33500000</v>
      </c>
      <c r="V23" s="267">
        <f>'AND 1'!L23+'ADY 1'!L23</f>
        <v>33500000</v>
      </c>
      <c r="W23" s="267">
        <f>'AND 1'!N23+'ADY 1'!N23</f>
        <v>33500000</v>
      </c>
      <c r="X23" s="267">
        <f>'AND 1'!P23+'ADY 1'!P23</f>
        <v>33500000</v>
      </c>
      <c r="Y23" s="267">
        <f>'AND 1'!R23+'ADY 1'!R23</f>
        <v>33500000</v>
      </c>
      <c r="Z23" s="267">
        <f>'AND 1'!T23+'ADY 1'!T23</f>
        <v>33500000</v>
      </c>
      <c r="AA23" s="267">
        <f>'AND 1'!V23+'ADY 1'!V23</f>
        <v>33500000</v>
      </c>
      <c r="AB23" s="267">
        <f>'AND 1'!X23+'ADY 1'!X23</f>
        <v>33500000</v>
      </c>
      <c r="AC23" s="267">
        <f>'AND 1'!Z23+'ADY 1'!Z23</f>
        <v>33500000</v>
      </c>
      <c r="AD23" s="267">
        <f t="shared" ref="AD23:AD31" si="18">AC23+AB23+AA23+Z23+Y23+X23+W23+V23+U23+L23+H23+D23</f>
        <v>402000000</v>
      </c>
      <c r="AE23" s="271">
        <f t="shared" ref="AE23:AG31" si="19">AD23*1.1</f>
        <v>442200000.00000006</v>
      </c>
      <c r="AF23" s="271">
        <f t="shared" si="19"/>
        <v>486420000.00000012</v>
      </c>
      <c r="AG23" s="271">
        <f t="shared" si="19"/>
        <v>535062000.00000018</v>
      </c>
    </row>
    <row r="24" spans="1:33" ht="16.899999999999999" customHeight="1" x14ac:dyDescent="0.2">
      <c r="A24" s="246"/>
      <c r="B24" s="254"/>
      <c r="C24" s="310" t="s">
        <v>52</v>
      </c>
      <c r="D24" s="303">
        <f>'AND 1'!V24+'ADY 1'!V24</f>
        <v>0</v>
      </c>
      <c r="E24" s="303">
        <f>'AND 1'!W24+'ADY 1'!W24</f>
        <v>0</v>
      </c>
      <c r="F24" s="296">
        <f t="shared" si="0"/>
        <v>0</v>
      </c>
      <c r="G24" s="406" t="e">
        <f t="shared" si="1"/>
        <v>#DIV/0!</v>
      </c>
      <c r="H24" s="303">
        <f>'AND 1'!X24+'ADY 1'!X24</f>
        <v>0</v>
      </c>
      <c r="I24" s="303">
        <f>'AND 1'!Y24+'ADY 1'!Y24</f>
        <v>0</v>
      </c>
      <c r="J24" s="296">
        <f t="shared" si="2"/>
        <v>0</v>
      </c>
      <c r="K24" s="406" t="e">
        <f t="shared" si="3"/>
        <v>#DIV/0!</v>
      </c>
      <c r="L24" s="303">
        <f>'AND 1'!Z24+'ADY 1'!Z24</f>
        <v>0</v>
      </c>
      <c r="M24" s="303">
        <f>'AND 1'!AA24+'ADY 1'!AA24</f>
        <v>0</v>
      </c>
      <c r="N24" s="296">
        <f t="shared" si="4"/>
        <v>0</v>
      </c>
      <c r="O24" s="406" t="e">
        <f t="shared" si="5"/>
        <v>#DIV/0!</v>
      </c>
      <c r="P24" s="296">
        <f t="shared" si="16"/>
        <v>0</v>
      </c>
      <c r="Q24" s="296">
        <f t="shared" si="17"/>
        <v>0</v>
      </c>
      <c r="R24" s="296">
        <f t="shared" si="6"/>
        <v>0</v>
      </c>
      <c r="S24" s="406" t="e">
        <f t="shared" si="7"/>
        <v>#DIV/0!</v>
      </c>
      <c r="T24" s="618">
        <f>'AND 1'!AC24+'ADY 1'!AF24</f>
        <v>0</v>
      </c>
      <c r="U24" s="303">
        <f>'AND 1'!J24+'ADY 1'!J24</f>
        <v>50000000</v>
      </c>
      <c r="V24" s="303">
        <f>'AND 1'!L24+'ADY 1'!L24</f>
        <v>0</v>
      </c>
      <c r="W24" s="303">
        <f>'AND 1'!N24+'ADY 1'!N24</f>
        <v>0</v>
      </c>
      <c r="X24" s="303">
        <f>'AND 1'!P24+'ADY 1'!P24</f>
        <v>0</v>
      </c>
      <c r="Y24" s="303">
        <f>'AND 1'!R24+'ADY 1'!R24</f>
        <v>0</v>
      </c>
      <c r="Z24" s="303">
        <f>'AND 1'!T24+'ADY 1'!T24</f>
        <v>0</v>
      </c>
      <c r="AA24" s="303">
        <f>'AND 1'!V24+'ADY 1'!V24</f>
        <v>0</v>
      </c>
      <c r="AB24" s="303">
        <f>'AND 1'!X24+'ADY 1'!X24</f>
        <v>0</v>
      </c>
      <c r="AC24" s="303">
        <f>'AND 1'!Z24+'ADY 1'!Z24</f>
        <v>0</v>
      </c>
      <c r="AD24" s="304">
        <f t="shared" si="18"/>
        <v>50000000</v>
      </c>
      <c r="AE24" s="303">
        <f t="shared" si="19"/>
        <v>55000000.000000007</v>
      </c>
      <c r="AF24" s="303">
        <f t="shared" si="19"/>
        <v>60500000.000000015</v>
      </c>
      <c r="AG24" s="303">
        <f t="shared" si="19"/>
        <v>66550000.000000022</v>
      </c>
    </row>
    <row r="25" spans="1:33" ht="16.899999999999999" customHeight="1" x14ac:dyDescent="0.2">
      <c r="A25" s="246"/>
      <c r="B25" s="254"/>
      <c r="C25" s="305" t="s">
        <v>54</v>
      </c>
      <c r="D25" s="303">
        <f>'AND 1'!V25+'ADY 1'!V25</f>
        <v>0</v>
      </c>
      <c r="E25" s="303">
        <f>'AND 1'!W25+'ADY 1'!W25</f>
        <v>0</v>
      </c>
      <c r="F25" s="296">
        <f t="shared" si="0"/>
        <v>0</v>
      </c>
      <c r="G25" s="406" t="e">
        <f t="shared" si="1"/>
        <v>#DIV/0!</v>
      </c>
      <c r="H25" s="303">
        <f>'AND 1'!X25+'ADY 1'!X25</f>
        <v>40000000</v>
      </c>
      <c r="I25" s="303">
        <f>'AND 1'!Y25+'ADY 1'!Y25</f>
        <v>0</v>
      </c>
      <c r="J25" s="296">
        <f t="shared" si="2"/>
        <v>40000000</v>
      </c>
      <c r="K25" s="406">
        <f t="shared" si="3"/>
        <v>0</v>
      </c>
      <c r="L25" s="303">
        <f>'AND 1'!Z25+'ADY 1'!Z25</f>
        <v>40000000</v>
      </c>
      <c r="M25" s="303">
        <f>'AND 1'!AA25+'ADY 1'!AA25</f>
        <v>0</v>
      </c>
      <c r="N25" s="296">
        <f t="shared" si="4"/>
        <v>40000000</v>
      </c>
      <c r="O25" s="406">
        <f t="shared" si="5"/>
        <v>0</v>
      </c>
      <c r="P25" s="296">
        <f t="shared" si="16"/>
        <v>80000000</v>
      </c>
      <c r="Q25" s="296">
        <f t="shared" si="17"/>
        <v>0</v>
      </c>
      <c r="R25" s="296">
        <f t="shared" si="6"/>
        <v>80000000</v>
      </c>
      <c r="S25" s="406">
        <f t="shared" si="7"/>
        <v>0</v>
      </c>
      <c r="T25" s="618">
        <f>'AND 1'!AC25+'ADY 1'!AF25</f>
        <v>0</v>
      </c>
      <c r="U25" s="296">
        <f>'AND 1'!J25+'ADY 1'!J25</f>
        <v>0</v>
      </c>
      <c r="V25" s="296">
        <f>'AND 1'!L25+'ADY 1'!L25</f>
        <v>0</v>
      </c>
      <c r="W25" s="296">
        <f>'AND 1'!N25+'ADY 1'!N25</f>
        <v>0</v>
      </c>
      <c r="X25" s="296">
        <f>'AND 1'!P25+'ADY 1'!P25</f>
        <v>0</v>
      </c>
      <c r="Y25" s="296">
        <f>'AND 1'!R25+'ADY 1'!R25</f>
        <v>0</v>
      </c>
      <c r="Z25" s="296">
        <f>'AND 1'!T25+'ADY 1'!T25</f>
        <v>0</v>
      </c>
      <c r="AA25" s="296">
        <f>'AND 1'!V25+'ADY 1'!V25</f>
        <v>0</v>
      </c>
      <c r="AB25" s="296">
        <f>'AND 1'!X25+'ADY 1'!X25</f>
        <v>40000000</v>
      </c>
      <c r="AC25" s="296">
        <f>'AND 1'!Z25+'ADY 1'!Z25</f>
        <v>40000000</v>
      </c>
      <c r="AD25" s="297">
        <f t="shared" si="18"/>
        <v>160000000</v>
      </c>
      <c r="AE25" s="296">
        <f t="shared" si="19"/>
        <v>176000000</v>
      </c>
      <c r="AF25" s="296">
        <f t="shared" si="19"/>
        <v>193600000.00000003</v>
      </c>
      <c r="AG25" s="296">
        <f t="shared" si="19"/>
        <v>212960000.00000006</v>
      </c>
    </row>
    <row r="26" spans="1:33" ht="16.899999999999999" customHeight="1" x14ac:dyDescent="0.2">
      <c r="A26" s="246"/>
      <c r="B26" s="254"/>
      <c r="C26" s="305" t="s">
        <v>56</v>
      </c>
      <c r="D26" s="303">
        <f>'AND 1'!V26+'ADY 1'!V26</f>
        <v>10000000</v>
      </c>
      <c r="E26" s="303">
        <f>'AND 1'!W26+'ADY 1'!W26</f>
        <v>0</v>
      </c>
      <c r="F26" s="296">
        <f t="shared" si="0"/>
        <v>10000000</v>
      </c>
      <c r="G26" s="406">
        <f t="shared" si="1"/>
        <v>0</v>
      </c>
      <c r="H26" s="303">
        <f>'AND 1'!X26+'ADY 1'!X26</f>
        <v>0</v>
      </c>
      <c r="I26" s="303">
        <f>'AND 1'!Y26+'ADY 1'!Y26</f>
        <v>0</v>
      </c>
      <c r="J26" s="296">
        <f t="shared" si="2"/>
        <v>0</v>
      </c>
      <c r="K26" s="406" t="e">
        <f t="shared" si="3"/>
        <v>#DIV/0!</v>
      </c>
      <c r="L26" s="303">
        <f>'AND 1'!Z26+'ADY 1'!Z26</f>
        <v>0</v>
      </c>
      <c r="M26" s="303">
        <f>'AND 1'!AA26+'ADY 1'!AA26</f>
        <v>0</v>
      </c>
      <c r="N26" s="296">
        <f t="shared" si="4"/>
        <v>0</v>
      </c>
      <c r="O26" s="406" t="e">
        <f t="shared" si="5"/>
        <v>#DIV/0!</v>
      </c>
      <c r="P26" s="296">
        <f t="shared" si="16"/>
        <v>10000000</v>
      </c>
      <c r="Q26" s="296">
        <f t="shared" si="17"/>
        <v>0</v>
      </c>
      <c r="R26" s="296">
        <f t="shared" si="6"/>
        <v>10000000</v>
      </c>
      <c r="S26" s="406">
        <f t="shared" si="7"/>
        <v>0</v>
      </c>
      <c r="T26" s="618">
        <f>'AND 1'!AC26+'ADY 1'!AF26</f>
        <v>0</v>
      </c>
      <c r="U26" s="296">
        <f>'AND 1'!J26+'ADY 1'!J26</f>
        <v>0</v>
      </c>
      <c r="V26" s="296">
        <f>'AND 1'!L26+'ADY 1'!L26</f>
        <v>0</v>
      </c>
      <c r="W26" s="296">
        <f>'AND 1'!N26+'ADY 1'!N26</f>
        <v>0</v>
      </c>
      <c r="X26" s="296">
        <f>'AND 1'!P26+'ADY 1'!P26</f>
        <v>0</v>
      </c>
      <c r="Y26" s="296">
        <f>'AND 1'!R26+'ADY 1'!R26</f>
        <v>0</v>
      </c>
      <c r="Z26" s="296">
        <f>'AND 1'!T26+'ADY 1'!T26</f>
        <v>0</v>
      </c>
      <c r="AA26" s="296">
        <f>'AND 1'!V26+'ADY 1'!V26</f>
        <v>10000000</v>
      </c>
      <c r="AB26" s="296">
        <f>'AND 1'!X26+'ADY 1'!X26</f>
        <v>0</v>
      </c>
      <c r="AC26" s="296">
        <f>'AND 1'!Z26+'ADY 1'!Z26</f>
        <v>0</v>
      </c>
      <c r="AD26" s="297">
        <f t="shared" si="18"/>
        <v>20000000</v>
      </c>
      <c r="AE26" s="296">
        <f t="shared" si="19"/>
        <v>22000000</v>
      </c>
      <c r="AF26" s="296">
        <f t="shared" si="19"/>
        <v>24200000.000000004</v>
      </c>
      <c r="AG26" s="296">
        <f t="shared" si="19"/>
        <v>26620000.000000007</v>
      </c>
    </row>
    <row r="27" spans="1:33" ht="16.899999999999999" customHeight="1" x14ac:dyDescent="0.2">
      <c r="A27" s="246"/>
      <c r="B27" s="247"/>
      <c r="C27" s="305" t="s">
        <v>58</v>
      </c>
      <c r="D27" s="303">
        <f>'AND 1'!V27+'ADY 1'!V27</f>
        <v>0</v>
      </c>
      <c r="E27" s="303">
        <f>'AND 1'!W27+'ADY 1'!W27</f>
        <v>0</v>
      </c>
      <c r="F27" s="296">
        <f t="shared" si="0"/>
        <v>0</v>
      </c>
      <c r="G27" s="406" t="e">
        <f t="shared" si="1"/>
        <v>#DIV/0!</v>
      </c>
      <c r="H27" s="303">
        <f>'AND 1'!X27+'ADY 1'!X27</f>
        <v>0</v>
      </c>
      <c r="I27" s="303">
        <f>'AND 1'!Y27+'ADY 1'!Y27</f>
        <v>0</v>
      </c>
      <c r="J27" s="296">
        <f t="shared" si="2"/>
        <v>0</v>
      </c>
      <c r="K27" s="406" t="e">
        <f t="shared" si="3"/>
        <v>#DIV/0!</v>
      </c>
      <c r="L27" s="303">
        <f>'AND 1'!Z27+'ADY 1'!Z27</f>
        <v>1000000</v>
      </c>
      <c r="M27" s="303">
        <f>'AND 1'!AA27+'ADY 1'!AA27</f>
        <v>0</v>
      </c>
      <c r="N27" s="296">
        <f t="shared" si="4"/>
        <v>1000000</v>
      </c>
      <c r="O27" s="406">
        <f t="shared" si="5"/>
        <v>0</v>
      </c>
      <c r="P27" s="296">
        <f t="shared" si="16"/>
        <v>1000000</v>
      </c>
      <c r="Q27" s="296">
        <f t="shared" si="17"/>
        <v>0</v>
      </c>
      <c r="R27" s="296">
        <f t="shared" si="6"/>
        <v>1000000</v>
      </c>
      <c r="S27" s="406">
        <f t="shared" si="7"/>
        <v>0</v>
      </c>
      <c r="T27" s="618">
        <f>'AND 1'!AC27+'ADY 1'!AF27</f>
        <v>1000000</v>
      </c>
      <c r="U27" s="296">
        <f>'AND 1'!J27+'ADY 1'!J27</f>
        <v>0</v>
      </c>
      <c r="V27" s="296">
        <f>'AND 1'!L27+'ADY 1'!L27</f>
        <v>0</v>
      </c>
      <c r="W27" s="296">
        <f>'AND 1'!N27+'ADY 1'!N27</f>
        <v>1000000</v>
      </c>
      <c r="X27" s="296">
        <f>'AND 1'!P27+'ADY 1'!P27</f>
        <v>0</v>
      </c>
      <c r="Y27" s="296">
        <f>'AND 1'!R27+'ADY 1'!R27</f>
        <v>0</v>
      </c>
      <c r="Z27" s="296">
        <f>'AND 1'!T27+'ADY 1'!T27</f>
        <v>1000000</v>
      </c>
      <c r="AA27" s="296">
        <f>'AND 1'!V27+'ADY 1'!V27</f>
        <v>0</v>
      </c>
      <c r="AB27" s="296">
        <f>'AND 1'!X27+'ADY 1'!X27</f>
        <v>0</v>
      </c>
      <c r="AC27" s="296">
        <f>'AND 1'!Z27+'ADY 1'!Z27</f>
        <v>1000000</v>
      </c>
      <c r="AD27" s="297">
        <f t="shared" si="18"/>
        <v>4000000</v>
      </c>
      <c r="AE27" s="296">
        <f t="shared" si="19"/>
        <v>4400000</v>
      </c>
      <c r="AF27" s="296">
        <f t="shared" si="19"/>
        <v>4840000</v>
      </c>
      <c r="AG27" s="296">
        <f t="shared" si="19"/>
        <v>5324000</v>
      </c>
    </row>
    <row r="28" spans="1:33" ht="16.899999999999999" customHeight="1" x14ac:dyDescent="0.2">
      <c r="A28" s="246"/>
      <c r="B28" s="247"/>
      <c r="C28" s="305" t="s">
        <v>59</v>
      </c>
      <c r="D28" s="303">
        <f>'AND 1'!V28+'ADY 1'!V28</f>
        <v>0</v>
      </c>
      <c r="E28" s="303">
        <f>'AND 1'!W28+'ADY 1'!W28</f>
        <v>0</v>
      </c>
      <c r="F28" s="296">
        <f t="shared" si="0"/>
        <v>0</v>
      </c>
      <c r="G28" s="406" t="e">
        <f t="shared" si="1"/>
        <v>#DIV/0!</v>
      </c>
      <c r="H28" s="303">
        <f>'AND 1'!X28+'ADY 1'!X28</f>
        <v>0</v>
      </c>
      <c r="I28" s="303">
        <f>'AND 1'!Y28+'ADY 1'!Y28</f>
        <v>0</v>
      </c>
      <c r="J28" s="296">
        <f t="shared" si="2"/>
        <v>0</v>
      </c>
      <c r="K28" s="406" t="e">
        <f t="shared" si="3"/>
        <v>#DIV/0!</v>
      </c>
      <c r="L28" s="303">
        <f>'AND 1'!Z28+'ADY 1'!Z28</f>
        <v>0</v>
      </c>
      <c r="M28" s="303">
        <f>'AND 1'!AA28+'ADY 1'!AA28</f>
        <v>0</v>
      </c>
      <c r="N28" s="296">
        <f t="shared" si="4"/>
        <v>0</v>
      </c>
      <c r="O28" s="406" t="e">
        <f t="shared" si="5"/>
        <v>#DIV/0!</v>
      </c>
      <c r="P28" s="296">
        <f t="shared" si="16"/>
        <v>0</v>
      </c>
      <c r="Q28" s="296">
        <f t="shared" si="17"/>
        <v>0</v>
      </c>
      <c r="R28" s="296">
        <f t="shared" si="6"/>
        <v>0</v>
      </c>
      <c r="S28" s="406" t="e">
        <f t="shared" si="7"/>
        <v>#DIV/0!</v>
      </c>
      <c r="T28" s="618">
        <f>'AND 1'!AC28+'ADY 1'!AF28</f>
        <v>0</v>
      </c>
      <c r="U28" s="296">
        <f>'AND 1'!J28+'ADY 1'!J28</f>
        <v>0</v>
      </c>
      <c r="V28" s="296">
        <f>'AND 1'!L28+'ADY 1'!L28</f>
        <v>0</v>
      </c>
      <c r="W28" s="296">
        <f>'AND 1'!N28+'ADY 1'!N28</f>
        <v>0</v>
      </c>
      <c r="X28" s="296">
        <f>'AND 1'!P28+'ADY 1'!P28</f>
        <v>0</v>
      </c>
      <c r="Y28" s="296">
        <f>'AND 1'!R28+'ADY 1'!R28</f>
        <v>0</v>
      </c>
      <c r="Z28" s="296">
        <f>'AND 1'!T28+'ADY 1'!T28</f>
        <v>0</v>
      </c>
      <c r="AA28" s="296">
        <f>'AND 1'!V28+'ADY 1'!V28</f>
        <v>0</v>
      </c>
      <c r="AB28" s="296">
        <f>'AND 1'!X28+'ADY 1'!X28</f>
        <v>0</v>
      </c>
      <c r="AC28" s="296">
        <f>'AND 1'!Z28+'ADY 1'!Z28</f>
        <v>0</v>
      </c>
      <c r="AD28" s="297">
        <f t="shared" si="18"/>
        <v>0</v>
      </c>
      <c r="AE28" s="296">
        <f t="shared" si="19"/>
        <v>0</v>
      </c>
      <c r="AF28" s="296">
        <f t="shared" si="19"/>
        <v>0</v>
      </c>
      <c r="AG28" s="296">
        <f t="shared" si="19"/>
        <v>0</v>
      </c>
    </row>
    <row r="29" spans="1:33" ht="16.899999999999999" customHeight="1" x14ac:dyDescent="0.2">
      <c r="A29" s="246"/>
      <c r="B29" s="247"/>
      <c r="C29" s="305" t="s">
        <v>60</v>
      </c>
      <c r="D29" s="303">
        <f>'AND 1'!V29+'ADY 1'!V29</f>
        <v>200000</v>
      </c>
      <c r="E29" s="303">
        <f>'AND 1'!W29+'ADY 1'!W29</f>
        <v>0</v>
      </c>
      <c r="F29" s="296">
        <f t="shared" si="0"/>
        <v>200000</v>
      </c>
      <c r="G29" s="406">
        <f t="shared" si="1"/>
        <v>0</v>
      </c>
      <c r="H29" s="303">
        <f>'AND 1'!X29+'ADY 1'!X29</f>
        <v>200000</v>
      </c>
      <c r="I29" s="303">
        <f>'AND 1'!Y29+'ADY 1'!Y29</f>
        <v>0</v>
      </c>
      <c r="J29" s="296">
        <f t="shared" si="2"/>
        <v>200000</v>
      </c>
      <c r="K29" s="406">
        <f t="shared" si="3"/>
        <v>0</v>
      </c>
      <c r="L29" s="303">
        <f>'AND 1'!Z29+'ADY 1'!Z29</f>
        <v>200000</v>
      </c>
      <c r="M29" s="303">
        <f>'AND 1'!AA29+'ADY 1'!AA29</f>
        <v>0</v>
      </c>
      <c r="N29" s="296">
        <f t="shared" si="4"/>
        <v>200000</v>
      </c>
      <c r="O29" s="406">
        <f t="shared" si="5"/>
        <v>0</v>
      </c>
      <c r="P29" s="296">
        <f t="shared" si="16"/>
        <v>600000</v>
      </c>
      <c r="Q29" s="296">
        <f t="shared" si="17"/>
        <v>0</v>
      </c>
      <c r="R29" s="296">
        <f t="shared" si="6"/>
        <v>600000</v>
      </c>
      <c r="S29" s="406">
        <f t="shared" si="7"/>
        <v>0</v>
      </c>
      <c r="T29" s="618">
        <f>'AND 1'!AC29+'ADY 1'!AF29</f>
        <v>0</v>
      </c>
      <c r="U29" s="296">
        <f>'AND 1'!J29+'ADY 1'!J29</f>
        <v>200000</v>
      </c>
      <c r="V29" s="296">
        <f>'AND 1'!L29+'ADY 1'!L29</f>
        <v>200000</v>
      </c>
      <c r="W29" s="296">
        <f>'AND 1'!N29+'ADY 1'!N29</f>
        <v>200000</v>
      </c>
      <c r="X29" s="296">
        <f>'AND 1'!P29+'ADY 1'!P29</f>
        <v>200000</v>
      </c>
      <c r="Y29" s="296">
        <f>'AND 1'!R29+'ADY 1'!R29</f>
        <v>200000</v>
      </c>
      <c r="Z29" s="296">
        <f>'AND 1'!T29+'ADY 1'!T29</f>
        <v>200000</v>
      </c>
      <c r="AA29" s="296">
        <f>'AND 1'!V29+'ADY 1'!V29</f>
        <v>200000</v>
      </c>
      <c r="AB29" s="296">
        <f>'AND 1'!X29+'ADY 1'!X29</f>
        <v>200000</v>
      </c>
      <c r="AC29" s="296">
        <f>'AND 1'!Z29+'ADY 1'!Z29</f>
        <v>200000</v>
      </c>
      <c r="AD29" s="297">
        <f t="shared" si="18"/>
        <v>2400000</v>
      </c>
      <c r="AE29" s="296">
        <f t="shared" si="19"/>
        <v>2640000</v>
      </c>
      <c r="AF29" s="296">
        <f t="shared" si="19"/>
        <v>2904000.0000000005</v>
      </c>
      <c r="AG29" s="296">
        <f t="shared" si="19"/>
        <v>3194400.0000000009</v>
      </c>
    </row>
    <row r="30" spans="1:33" ht="16.899999999999999" customHeight="1" x14ac:dyDescent="0.2">
      <c r="A30" s="246"/>
      <c r="B30" s="247"/>
      <c r="C30" s="305" t="s">
        <v>61</v>
      </c>
      <c r="D30" s="303">
        <f>'AND 1'!V30+'ADY 1'!V30</f>
        <v>0</v>
      </c>
      <c r="E30" s="303">
        <f>'AND 1'!W30+'ADY 1'!W30</f>
        <v>0</v>
      </c>
      <c r="F30" s="296">
        <f t="shared" si="0"/>
        <v>0</v>
      </c>
      <c r="G30" s="406" t="e">
        <f t="shared" si="1"/>
        <v>#DIV/0!</v>
      </c>
      <c r="H30" s="303">
        <f>'AND 1'!X30+'ADY 1'!X30</f>
        <v>0</v>
      </c>
      <c r="I30" s="303">
        <f>'AND 1'!Y30+'ADY 1'!Y30</f>
        <v>0</v>
      </c>
      <c r="J30" s="296">
        <f t="shared" si="2"/>
        <v>0</v>
      </c>
      <c r="K30" s="406" t="e">
        <f t="shared" si="3"/>
        <v>#DIV/0!</v>
      </c>
      <c r="L30" s="303">
        <f>'AND 1'!Z30+'ADY 1'!Z30</f>
        <v>0</v>
      </c>
      <c r="M30" s="303">
        <f>'AND 1'!AA30+'ADY 1'!AA30</f>
        <v>0</v>
      </c>
      <c r="N30" s="296">
        <f t="shared" si="4"/>
        <v>0</v>
      </c>
      <c r="O30" s="406" t="e">
        <f t="shared" si="5"/>
        <v>#DIV/0!</v>
      </c>
      <c r="P30" s="296">
        <f t="shared" si="16"/>
        <v>0</v>
      </c>
      <c r="Q30" s="296">
        <f t="shared" si="17"/>
        <v>0</v>
      </c>
      <c r="R30" s="296">
        <f t="shared" si="6"/>
        <v>0</v>
      </c>
      <c r="S30" s="406" t="e">
        <f t="shared" si="7"/>
        <v>#DIV/0!</v>
      </c>
      <c r="T30" s="618">
        <f>'AND 1'!AC30+'ADY 1'!AF30</f>
        <v>0</v>
      </c>
      <c r="U30" s="296">
        <f>'AND 1'!J30+'ADY 1'!J30</f>
        <v>0</v>
      </c>
      <c r="V30" s="296">
        <f>'AND 1'!L30+'ADY 1'!L30</f>
        <v>0</v>
      </c>
      <c r="W30" s="296">
        <f>'AND 1'!N30+'ADY 1'!N30</f>
        <v>0</v>
      </c>
      <c r="X30" s="296">
        <f>'AND 1'!P30+'ADY 1'!P30</f>
        <v>0</v>
      </c>
      <c r="Y30" s="296">
        <f>'AND 1'!R30+'ADY 1'!R30</f>
        <v>3000000</v>
      </c>
      <c r="Z30" s="296">
        <f>'AND 1'!T30+'ADY 1'!T30</f>
        <v>0</v>
      </c>
      <c r="AA30" s="296">
        <f>'AND 1'!V30+'ADY 1'!V30</f>
        <v>0</v>
      </c>
      <c r="AB30" s="296">
        <f>'AND 1'!X30+'ADY 1'!X30</f>
        <v>0</v>
      </c>
      <c r="AC30" s="296">
        <f>'AND 1'!Z30+'ADY 1'!Z30</f>
        <v>0</v>
      </c>
      <c r="AD30" s="297">
        <f t="shared" si="18"/>
        <v>3000000</v>
      </c>
      <c r="AE30" s="296">
        <f t="shared" si="19"/>
        <v>3300000.0000000005</v>
      </c>
      <c r="AF30" s="296">
        <f t="shared" si="19"/>
        <v>3630000.0000000009</v>
      </c>
      <c r="AG30" s="296">
        <f t="shared" si="19"/>
        <v>3993000.0000000014</v>
      </c>
    </row>
    <row r="31" spans="1:33" s="57" customFormat="1" ht="38.25" x14ac:dyDescent="0.2">
      <c r="A31" s="255"/>
      <c r="B31" s="256"/>
      <c r="C31" s="311" t="s">
        <v>62</v>
      </c>
      <c r="D31" s="303">
        <f>'AND 1'!V31+'ADY 1'!V31</f>
        <v>3000000</v>
      </c>
      <c r="E31" s="303">
        <f>'AND 1'!W31+'ADY 1'!W31</f>
        <v>1200000</v>
      </c>
      <c r="F31" s="296">
        <f t="shared" si="0"/>
        <v>1800000</v>
      </c>
      <c r="G31" s="406">
        <f t="shared" si="1"/>
        <v>0.4</v>
      </c>
      <c r="H31" s="303">
        <f>'AND 1'!X31+'ADY 1'!X31</f>
        <v>3000000</v>
      </c>
      <c r="I31" s="303">
        <f>'AND 1'!Y31+'ADY 1'!Y31</f>
        <v>0</v>
      </c>
      <c r="J31" s="296">
        <f t="shared" si="2"/>
        <v>3000000</v>
      </c>
      <c r="K31" s="406">
        <f t="shared" si="3"/>
        <v>0</v>
      </c>
      <c r="L31" s="303">
        <f>'AND 1'!Z31+'ADY 1'!Z31</f>
        <v>3000000</v>
      </c>
      <c r="M31" s="303">
        <f>'AND 1'!AA31+'ADY 1'!AA31</f>
        <v>0</v>
      </c>
      <c r="N31" s="296">
        <f t="shared" si="4"/>
        <v>3000000</v>
      </c>
      <c r="O31" s="406">
        <f t="shared" si="5"/>
        <v>0</v>
      </c>
      <c r="P31" s="296">
        <f t="shared" si="16"/>
        <v>9000000</v>
      </c>
      <c r="Q31" s="296">
        <f t="shared" si="17"/>
        <v>1200000</v>
      </c>
      <c r="R31" s="296">
        <f t="shared" si="6"/>
        <v>7800000</v>
      </c>
      <c r="S31" s="406">
        <f t="shared" si="7"/>
        <v>0.13333333333333333</v>
      </c>
      <c r="T31" s="618">
        <f>'AND 1'!AC31+'ADY 1'!AF31</f>
        <v>1200000</v>
      </c>
      <c r="U31" s="299">
        <f>'AND 1'!J31+'ADY 1'!J31</f>
        <v>3000000</v>
      </c>
      <c r="V31" s="299">
        <f>'AND 1'!L31+'ADY 1'!L31</f>
        <v>3000000</v>
      </c>
      <c r="W31" s="299">
        <f>'AND 1'!N31+'ADY 1'!N31</f>
        <v>6000000</v>
      </c>
      <c r="X31" s="299">
        <f>'AND 1'!P31+'ADY 1'!P31</f>
        <v>3000000</v>
      </c>
      <c r="Y31" s="299">
        <f>'AND 1'!R31+'ADY 1'!R31</f>
        <v>3000000</v>
      </c>
      <c r="Z31" s="299">
        <f>'AND 1'!T31+'ADY 1'!T31</f>
        <v>3000000</v>
      </c>
      <c r="AA31" s="299">
        <f>'AND 1'!V31+'ADY 1'!V31</f>
        <v>3000000</v>
      </c>
      <c r="AB31" s="299">
        <f>'AND 1'!X31+'ADY 1'!X31</f>
        <v>3000000</v>
      </c>
      <c r="AC31" s="299">
        <f>'AND 1'!Z31+'ADY 1'!Z31</f>
        <v>3000000</v>
      </c>
      <c r="AD31" s="312">
        <f t="shared" si="18"/>
        <v>39000000</v>
      </c>
      <c r="AE31" s="299">
        <f t="shared" si="19"/>
        <v>42900000</v>
      </c>
      <c r="AF31" s="299">
        <f t="shared" si="19"/>
        <v>47190000.000000007</v>
      </c>
      <c r="AG31" s="299">
        <f t="shared" si="19"/>
        <v>51909000.000000015</v>
      </c>
    </row>
    <row r="32" spans="1:33" s="242" customFormat="1" ht="16.899999999999999" customHeight="1" x14ac:dyDescent="0.2">
      <c r="A32" s="257"/>
      <c r="B32" s="253"/>
      <c r="C32" s="268" t="s">
        <v>63</v>
      </c>
      <c r="D32" s="270">
        <f>SUM(D24:D31)</f>
        <v>13200000</v>
      </c>
      <c r="E32" s="270">
        <f>SUM(E24:E31)</f>
        <v>1200000</v>
      </c>
      <c r="F32" s="269">
        <f t="shared" si="0"/>
        <v>12000000</v>
      </c>
      <c r="G32" s="412">
        <f t="shared" si="1"/>
        <v>9.0909090909090912E-2</v>
      </c>
      <c r="H32" s="270">
        <f>SUM(H24:H31)</f>
        <v>43200000</v>
      </c>
      <c r="I32" s="270">
        <f>SUM(I24:I31)</f>
        <v>0</v>
      </c>
      <c r="J32" s="269">
        <f t="shared" si="2"/>
        <v>43200000</v>
      </c>
      <c r="K32" s="412">
        <f t="shared" si="3"/>
        <v>0</v>
      </c>
      <c r="L32" s="270">
        <f>SUM(L24:L31)</f>
        <v>44200000</v>
      </c>
      <c r="M32" s="270">
        <f>SUM(M24:M31)</f>
        <v>0</v>
      </c>
      <c r="N32" s="269">
        <f t="shared" si="4"/>
        <v>44200000</v>
      </c>
      <c r="O32" s="412">
        <f t="shared" si="5"/>
        <v>0</v>
      </c>
      <c r="P32" s="270">
        <f>SUM(P24:P31)</f>
        <v>100600000</v>
      </c>
      <c r="Q32" s="270">
        <f>SUM(Q24:Q31)</f>
        <v>1200000</v>
      </c>
      <c r="R32" s="269">
        <f t="shared" si="6"/>
        <v>99400000</v>
      </c>
      <c r="S32" s="412">
        <f t="shared" si="7"/>
        <v>1.1928429423459244E-2</v>
      </c>
      <c r="T32" s="619">
        <f t="shared" ref="T32:AG32" si="20">SUM(T24:T31)</f>
        <v>2200000</v>
      </c>
      <c r="U32" s="270">
        <f t="shared" si="20"/>
        <v>53200000</v>
      </c>
      <c r="V32" s="270">
        <f t="shared" si="20"/>
        <v>3200000</v>
      </c>
      <c r="W32" s="270">
        <f t="shared" si="20"/>
        <v>7200000</v>
      </c>
      <c r="X32" s="270">
        <f t="shared" si="20"/>
        <v>3200000</v>
      </c>
      <c r="Y32" s="270">
        <f t="shared" si="20"/>
        <v>6200000</v>
      </c>
      <c r="Z32" s="270">
        <f t="shared" si="20"/>
        <v>4200000</v>
      </c>
      <c r="AA32" s="270">
        <f t="shared" si="20"/>
        <v>13200000</v>
      </c>
      <c r="AB32" s="270">
        <f t="shared" si="20"/>
        <v>43200000</v>
      </c>
      <c r="AC32" s="270">
        <f t="shared" si="20"/>
        <v>44200000</v>
      </c>
      <c r="AD32" s="270">
        <f t="shared" si="20"/>
        <v>278400000</v>
      </c>
      <c r="AE32" s="270">
        <f t="shared" si="20"/>
        <v>306240000</v>
      </c>
      <c r="AF32" s="270">
        <f t="shared" si="20"/>
        <v>336864000.00000006</v>
      </c>
      <c r="AG32" s="270">
        <f t="shared" si="20"/>
        <v>370550400.00000006</v>
      </c>
    </row>
    <row r="33" spans="1:33" ht="16.899999999999999" customHeight="1" x14ac:dyDescent="0.2">
      <c r="A33" s="246"/>
      <c r="B33" s="247"/>
      <c r="C33" s="310" t="s">
        <v>65</v>
      </c>
      <c r="D33" s="303">
        <f>'AND 1'!V33+'ADY 1'!V33</f>
        <v>9000000</v>
      </c>
      <c r="E33" s="303">
        <f>'AND 1'!W33+'ADY 1'!W33</f>
        <v>15175400</v>
      </c>
      <c r="F33" s="296">
        <f t="shared" si="0"/>
        <v>-6175400</v>
      </c>
      <c r="G33" s="406">
        <f t="shared" si="1"/>
        <v>1.6861555555555556</v>
      </c>
      <c r="H33" s="303">
        <f>'AND 1'!X33+'ADY 1'!X33</f>
        <v>9000000</v>
      </c>
      <c r="I33" s="303">
        <f>'AND 1'!Y33+'ADY 1'!Y33</f>
        <v>17815600</v>
      </c>
      <c r="J33" s="296">
        <f t="shared" si="2"/>
        <v>-8815600</v>
      </c>
      <c r="K33" s="406">
        <f>I33/H33</f>
        <v>1.9795111111111112</v>
      </c>
      <c r="L33" s="303">
        <f>'AND 1'!Z33+'ADY 1'!Z33</f>
        <v>9000000</v>
      </c>
      <c r="M33" s="303">
        <f>'AND 1'!AA33+'ADY 1'!AA33</f>
        <v>23993300</v>
      </c>
      <c r="N33" s="296">
        <f t="shared" si="4"/>
        <v>-14993300</v>
      </c>
      <c r="O33" s="406">
        <f t="shared" si="5"/>
        <v>2.6659222222222221</v>
      </c>
      <c r="P33" s="296">
        <f t="shared" ref="P33:P43" si="21">D33+H33+L33</f>
        <v>27000000</v>
      </c>
      <c r="Q33" s="296">
        <f t="shared" ref="Q33:Q43" si="22">E33+I33+M33</f>
        <v>56984300</v>
      </c>
      <c r="R33" s="296">
        <f t="shared" si="6"/>
        <v>-29984300</v>
      </c>
      <c r="S33" s="406">
        <f t="shared" si="7"/>
        <v>2.1105296296296294</v>
      </c>
      <c r="T33" s="618">
        <f>'AND 1'!AC33+'ADY 1'!AF33</f>
        <v>123350650.04000001</v>
      </c>
      <c r="U33" s="303">
        <f>'AND 1'!J33+'ADY 1'!J33</f>
        <v>9000000</v>
      </c>
      <c r="V33" s="303">
        <f>'AND 1'!L33+'ADY 1'!L33</f>
        <v>9000000</v>
      </c>
      <c r="W33" s="303">
        <f>'AND 1'!N33+'ADY 1'!N33</f>
        <v>9000000</v>
      </c>
      <c r="X33" s="303">
        <f>'AND 1'!P33+'ADY 1'!P33</f>
        <v>9000000</v>
      </c>
      <c r="Y33" s="303">
        <f>'AND 1'!R33+'ADY 1'!R33</f>
        <v>9000000</v>
      </c>
      <c r="Z33" s="303">
        <f>'AND 1'!T33+'ADY 1'!T33</f>
        <v>9000000</v>
      </c>
      <c r="AA33" s="303">
        <f>'AND 1'!V33+'ADY 1'!V33</f>
        <v>9000000</v>
      </c>
      <c r="AB33" s="303">
        <f>'AND 1'!X33+'ADY 1'!X33</f>
        <v>9000000</v>
      </c>
      <c r="AC33" s="303">
        <f>'AND 1'!Z33+'ADY 1'!Z33</f>
        <v>9000000</v>
      </c>
      <c r="AD33" s="304">
        <f t="shared" ref="AD33:AD43" si="23">AC33+AB33+AA33+Z33+Y33+X33+W33+V33+U33+L33+H33+D33</f>
        <v>108000000</v>
      </c>
      <c r="AE33" s="303">
        <f t="shared" ref="AE33:AG43" si="24">AD33*1.1</f>
        <v>118800000.00000001</v>
      </c>
      <c r="AF33" s="303">
        <f t="shared" si="24"/>
        <v>130680000.00000003</v>
      </c>
      <c r="AG33" s="303">
        <f t="shared" si="24"/>
        <v>143748000.00000003</v>
      </c>
    </row>
    <row r="34" spans="1:33" ht="16.899999999999999" customHeight="1" x14ac:dyDescent="0.2">
      <c r="A34" s="246"/>
      <c r="B34" s="247"/>
      <c r="C34" s="305" t="s">
        <v>67</v>
      </c>
      <c r="D34" s="303">
        <f>'AND 1'!V34+'ADY 1'!V34</f>
        <v>2000000</v>
      </c>
      <c r="E34" s="303">
        <f>'AND 1'!W34+'ADY 1'!W34</f>
        <v>672000</v>
      </c>
      <c r="F34" s="296">
        <f t="shared" si="0"/>
        <v>1328000</v>
      </c>
      <c r="G34" s="406">
        <f t="shared" si="1"/>
        <v>0.33600000000000002</v>
      </c>
      <c r="H34" s="303">
        <f>'AND 1'!X34+'ADY 1'!X34</f>
        <v>2000000</v>
      </c>
      <c r="I34" s="303">
        <f>'AND 1'!Y34+'ADY 1'!Y34</f>
        <v>781500</v>
      </c>
      <c r="J34" s="296">
        <f t="shared" si="2"/>
        <v>1218500</v>
      </c>
      <c r="K34" s="406">
        <f t="shared" si="3"/>
        <v>0.39074999999999999</v>
      </c>
      <c r="L34" s="303">
        <f>'AND 1'!Z34+'ADY 1'!Z34</f>
        <v>2000000</v>
      </c>
      <c r="M34" s="303">
        <f>'AND 1'!AA34+'ADY 1'!AA34</f>
        <v>546300</v>
      </c>
      <c r="N34" s="296">
        <f t="shared" si="4"/>
        <v>1453700</v>
      </c>
      <c r="O34" s="406">
        <f t="shared" si="5"/>
        <v>0.27315</v>
      </c>
      <c r="P34" s="296">
        <f t="shared" si="21"/>
        <v>6000000</v>
      </c>
      <c r="Q34" s="296">
        <f t="shared" si="22"/>
        <v>1999800</v>
      </c>
      <c r="R34" s="296">
        <f t="shared" si="6"/>
        <v>4000200</v>
      </c>
      <c r="S34" s="406">
        <f t="shared" si="7"/>
        <v>0.33329999999999999</v>
      </c>
      <c r="T34" s="618">
        <f>'AND 1'!AC34+'ADY 1'!AF34</f>
        <v>1999800</v>
      </c>
      <c r="U34" s="296">
        <f>'AND 1'!J34+'ADY 1'!J34</f>
        <v>2000000</v>
      </c>
      <c r="V34" s="296">
        <f>'AND 1'!L34+'ADY 1'!L34</f>
        <v>2000000</v>
      </c>
      <c r="W34" s="296">
        <f>'AND 1'!N34+'ADY 1'!N34</f>
        <v>2000000</v>
      </c>
      <c r="X34" s="296">
        <f>'AND 1'!P34+'ADY 1'!P34</f>
        <v>2000000</v>
      </c>
      <c r="Y34" s="296">
        <f>'AND 1'!R34+'ADY 1'!R34</f>
        <v>2000000</v>
      </c>
      <c r="Z34" s="296">
        <f>'AND 1'!T34+'ADY 1'!T34</f>
        <v>2000000</v>
      </c>
      <c r="AA34" s="296">
        <f>'AND 1'!V34+'ADY 1'!V34</f>
        <v>2000000</v>
      </c>
      <c r="AB34" s="296">
        <f>'AND 1'!X34+'ADY 1'!X34</f>
        <v>2000000</v>
      </c>
      <c r="AC34" s="296">
        <f>'AND 1'!Z34+'ADY 1'!Z34</f>
        <v>2000000</v>
      </c>
      <c r="AD34" s="297">
        <f t="shared" si="23"/>
        <v>24000000</v>
      </c>
      <c r="AE34" s="296">
        <f t="shared" si="24"/>
        <v>26400000.000000004</v>
      </c>
      <c r="AF34" s="296">
        <f t="shared" si="24"/>
        <v>29040000.000000007</v>
      </c>
      <c r="AG34" s="296">
        <f t="shared" si="24"/>
        <v>31944000.000000011</v>
      </c>
    </row>
    <row r="35" spans="1:33" ht="16.899999999999999" customHeight="1" x14ac:dyDescent="0.2">
      <c r="A35" s="246"/>
      <c r="B35" s="247"/>
      <c r="C35" s="305" t="s">
        <v>68</v>
      </c>
      <c r="D35" s="303">
        <f>'AND 1'!V35+'ADY 1'!V35</f>
        <v>2000000</v>
      </c>
      <c r="E35" s="303">
        <f>'AND 1'!W35+'ADY 1'!W35</f>
        <v>3282750</v>
      </c>
      <c r="F35" s="296">
        <f t="shared" si="0"/>
        <v>-1282750</v>
      </c>
      <c r="G35" s="406">
        <f t="shared" si="1"/>
        <v>1.641375</v>
      </c>
      <c r="H35" s="303">
        <f>'AND 1'!X35+'ADY 1'!X35</f>
        <v>2000000</v>
      </c>
      <c r="I35" s="303">
        <f>'AND 1'!Y35+'ADY 1'!Y35</f>
        <v>4500440</v>
      </c>
      <c r="J35" s="296">
        <f t="shared" si="2"/>
        <v>-2500440</v>
      </c>
      <c r="K35" s="406">
        <f t="shared" si="3"/>
        <v>2.2502200000000001</v>
      </c>
      <c r="L35" s="303">
        <f>'AND 1'!Z35+'ADY 1'!Z35</f>
        <v>2000000</v>
      </c>
      <c r="M35" s="303">
        <f>'AND 1'!AA35+'ADY 1'!AA35</f>
        <v>4402540</v>
      </c>
      <c r="N35" s="296">
        <f t="shared" si="4"/>
        <v>-2402540</v>
      </c>
      <c r="O35" s="406">
        <f t="shared" si="5"/>
        <v>2.2012700000000001</v>
      </c>
      <c r="P35" s="296">
        <f t="shared" si="21"/>
        <v>6000000</v>
      </c>
      <c r="Q35" s="296">
        <f t="shared" si="22"/>
        <v>12185730</v>
      </c>
      <c r="R35" s="296">
        <f t="shared" si="6"/>
        <v>-6185730</v>
      </c>
      <c r="S35" s="406">
        <f t="shared" si="7"/>
        <v>2.0309550000000001</v>
      </c>
      <c r="T35" s="618">
        <f>'AND 1'!AC35+'ADY 1'!AF35</f>
        <v>57402440</v>
      </c>
      <c r="U35" s="296">
        <f>'AND 1'!J35+'ADY 1'!J35</f>
        <v>2000000</v>
      </c>
      <c r="V35" s="296">
        <f>'AND 1'!L35+'ADY 1'!L35</f>
        <v>2000000</v>
      </c>
      <c r="W35" s="296">
        <f>'AND 1'!N35+'ADY 1'!N35</f>
        <v>2000000</v>
      </c>
      <c r="X35" s="296">
        <f>'AND 1'!P35+'ADY 1'!P35</f>
        <v>2000000</v>
      </c>
      <c r="Y35" s="296">
        <f>'AND 1'!R35+'ADY 1'!R35</f>
        <v>2000000</v>
      </c>
      <c r="Z35" s="296">
        <f>'AND 1'!T35+'ADY 1'!T35</f>
        <v>2000000</v>
      </c>
      <c r="AA35" s="296">
        <f>'AND 1'!V35+'ADY 1'!V35</f>
        <v>2000000</v>
      </c>
      <c r="AB35" s="296">
        <f>'AND 1'!X35+'ADY 1'!X35</f>
        <v>2000000</v>
      </c>
      <c r="AC35" s="296">
        <f>'AND 1'!Z35+'ADY 1'!Z35</f>
        <v>2000000</v>
      </c>
      <c r="AD35" s="297">
        <f t="shared" si="23"/>
        <v>24000000</v>
      </c>
      <c r="AE35" s="296">
        <f t="shared" si="24"/>
        <v>26400000.000000004</v>
      </c>
      <c r="AF35" s="296">
        <f t="shared" si="24"/>
        <v>29040000.000000007</v>
      </c>
      <c r="AG35" s="296">
        <f t="shared" si="24"/>
        <v>31944000.000000011</v>
      </c>
    </row>
    <row r="36" spans="1:33" ht="16.899999999999999" customHeight="1" x14ac:dyDescent="0.2">
      <c r="A36" s="246"/>
      <c r="B36" s="247"/>
      <c r="C36" s="305" t="s">
        <v>70</v>
      </c>
      <c r="D36" s="303">
        <f>'AND 1'!V36+'ADY 1'!V36</f>
        <v>11000000</v>
      </c>
      <c r="E36" s="303">
        <f>'AND 1'!W36+'ADY 1'!W36</f>
        <v>20122100</v>
      </c>
      <c r="F36" s="296">
        <f t="shared" si="0"/>
        <v>-9122100</v>
      </c>
      <c r="G36" s="406">
        <f t="shared" si="1"/>
        <v>1.8292818181818182</v>
      </c>
      <c r="H36" s="303">
        <f>'AND 1'!X36+'ADY 1'!X36</f>
        <v>11000000</v>
      </c>
      <c r="I36" s="303">
        <f>'AND 1'!Y36+'ADY 1'!Y36</f>
        <v>18799300</v>
      </c>
      <c r="J36" s="296">
        <f t="shared" si="2"/>
        <v>-7799300</v>
      </c>
      <c r="K36" s="406">
        <f t="shared" si="3"/>
        <v>1.7090272727272726</v>
      </c>
      <c r="L36" s="303">
        <f>'AND 1'!Z36+'ADY 1'!Z36</f>
        <v>11000000</v>
      </c>
      <c r="M36" s="303">
        <f>'AND 1'!AA36+'ADY 1'!AA36</f>
        <v>22402500</v>
      </c>
      <c r="N36" s="296">
        <f t="shared" si="4"/>
        <v>-11402500</v>
      </c>
      <c r="O36" s="406">
        <f t="shared" si="5"/>
        <v>2.0365909090909091</v>
      </c>
      <c r="P36" s="296">
        <f t="shared" si="21"/>
        <v>33000000</v>
      </c>
      <c r="Q36" s="296">
        <f t="shared" si="22"/>
        <v>61323900</v>
      </c>
      <c r="R36" s="296">
        <f t="shared" si="6"/>
        <v>-28323900</v>
      </c>
      <c r="S36" s="406">
        <f t="shared" si="7"/>
        <v>1.8583000000000001</v>
      </c>
      <c r="T36" s="618">
        <f>'AND 1'!AC36+'ADY 1'!AF36</f>
        <v>209392490</v>
      </c>
      <c r="U36" s="296">
        <f>'AND 1'!J36+'ADY 1'!J36</f>
        <v>11000000</v>
      </c>
      <c r="V36" s="296">
        <f>'AND 1'!L36+'ADY 1'!L36</f>
        <v>11000000</v>
      </c>
      <c r="W36" s="296">
        <f>'AND 1'!N36+'ADY 1'!N36</f>
        <v>11000000</v>
      </c>
      <c r="X36" s="296">
        <f>'AND 1'!P36+'ADY 1'!P36</f>
        <v>11000000</v>
      </c>
      <c r="Y36" s="296">
        <f>'AND 1'!R36+'ADY 1'!R36</f>
        <v>11000000</v>
      </c>
      <c r="Z36" s="296">
        <f>'AND 1'!T36+'ADY 1'!T36</f>
        <v>11000000</v>
      </c>
      <c r="AA36" s="296">
        <f>'AND 1'!V36+'ADY 1'!V36</f>
        <v>11000000</v>
      </c>
      <c r="AB36" s="296">
        <f>'AND 1'!X36+'ADY 1'!X36</f>
        <v>11000000</v>
      </c>
      <c r="AC36" s="296">
        <f>'AND 1'!Z36+'ADY 1'!Z36</f>
        <v>11000000</v>
      </c>
      <c r="AD36" s="297">
        <f t="shared" si="23"/>
        <v>132000000</v>
      </c>
      <c r="AE36" s="296">
        <f t="shared" si="24"/>
        <v>145200000</v>
      </c>
      <c r="AF36" s="296">
        <f t="shared" si="24"/>
        <v>159720000</v>
      </c>
      <c r="AG36" s="296">
        <f t="shared" si="24"/>
        <v>175692000</v>
      </c>
    </row>
    <row r="37" spans="1:33" ht="16.899999999999999" customHeight="1" x14ac:dyDescent="0.2">
      <c r="A37" s="246"/>
      <c r="B37" s="247"/>
      <c r="C37" s="305" t="s">
        <v>72</v>
      </c>
      <c r="D37" s="303">
        <f>'AND 1'!V37+'ADY 1'!V37</f>
        <v>9000000</v>
      </c>
      <c r="E37" s="303">
        <f>'AND 1'!W37+'ADY 1'!W37</f>
        <v>12209100</v>
      </c>
      <c r="F37" s="296">
        <f t="shared" si="0"/>
        <v>-3209100</v>
      </c>
      <c r="G37" s="406">
        <f t="shared" si="1"/>
        <v>1.3565666666666667</v>
      </c>
      <c r="H37" s="303">
        <f>'AND 1'!X37+'ADY 1'!X37</f>
        <v>9000000</v>
      </c>
      <c r="I37" s="303">
        <f>'AND 1'!Y37+'ADY 1'!Y37</f>
        <v>9829800</v>
      </c>
      <c r="J37" s="296">
        <f t="shared" si="2"/>
        <v>-829800</v>
      </c>
      <c r="K37" s="406">
        <f t="shared" si="3"/>
        <v>1.0922000000000001</v>
      </c>
      <c r="L37" s="303">
        <f>'AND 1'!Z37+'ADY 1'!Z37</f>
        <v>9000000</v>
      </c>
      <c r="M37" s="303">
        <f>'AND 1'!AA37+'ADY 1'!AA37</f>
        <v>9726010</v>
      </c>
      <c r="N37" s="296">
        <f t="shared" si="4"/>
        <v>-726010</v>
      </c>
      <c r="O37" s="406">
        <f t="shared" si="5"/>
        <v>1.0806677777777778</v>
      </c>
      <c r="P37" s="296">
        <f t="shared" si="21"/>
        <v>27000000</v>
      </c>
      <c r="Q37" s="296">
        <f t="shared" si="22"/>
        <v>31764910</v>
      </c>
      <c r="R37" s="296">
        <f t="shared" si="6"/>
        <v>-4764910</v>
      </c>
      <c r="S37" s="406">
        <f t="shared" si="7"/>
        <v>1.1764781481481481</v>
      </c>
      <c r="T37" s="618">
        <f>'AND 1'!AC37+'ADY 1'!AF37</f>
        <v>120015456.75999999</v>
      </c>
      <c r="U37" s="296">
        <f>'AND 1'!J37+'ADY 1'!J37</f>
        <v>9000000</v>
      </c>
      <c r="V37" s="296">
        <f>'AND 1'!L37+'ADY 1'!L37</f>
        <v>9000000</v>
      </c>
      <c r="W37" s="296">
        <f>'AND 1'!N37+'ADY 1'!N37</f>
        <v>9000000</v>
      </c>
      <c r="X37" s="296">
        <f>'AND 1'!P37+'ADY 1'!P37</f>
        <v>9000000</v>
      </c>
      <c r="Y37" s="296">
        <f>'AND 1'!R37+'ADY 1'!R37</f>
        <v>9000000</v>
      </c>
      <c r="Z37" s="296">
        <f>'AND 1'!T37+'ADY 1'!T37</f>
        <v>9000000</v>
      </c>
      <c r="AA37" s="296">
        <f>'AND 1'!V37+'ADY 1'!V37</f>
        <v>9000000</v>
      </c>
      <c r="AB37" s="296">
        <f>'AND 1'!X37+'ADY 1'!X37</f>
        <v>9000000</v>
      </c>
      <c r="AC37" s="296">
        <f>'AND 1'!Z37+'ADY 1'!Z37</f>
        <v>9000000</v>
      </c>
      <c r="AD37" s="297">
        <f t="shared" si="23"/>
        <v>108000000</v>
      </c>
      <c r="AE37" s="296">
        <f t="shared" si="24"/>
        <v>118800000.00000001</v>
      </c>
      <c r="AF37" s="296">
        <f t="shared" si="24"/>
        <v>130680000.00000003</v>
      </c>
      <c r="AG37" s="296">
        <f t="shared" si="24"/>
        <v>143748000.00000003</v>
      </c>
    </row>
    <row r="38" spans="1:33" ht="16.899999999999999" customHeight="1" x14ac:dyDescent="0.2">
      <c r="A38" s="246"/>
      <c r="B38" s="247"/>
      <c r="C38" s="305" t="s">
        <v>74</v>
      </c>
      <c r="D38" s="303">
        <f>'AND 1'!V38+'ADY 1'!V38</f>
        <v>2000000</v>
      </c>
      <c r="E38" s="303">
        <f>'AND 1'!W38+'ADY 1'!W38</f>
        <v>6073400</v>
      </c>
      <c r="F38" s="296">
        <f t="shared" ref="F38:F69" si="25">D38-E38</f>
        <v>-4073400</v>
      </c>
      <c r="G38" s="406">
        <f t="shared" ref="G38:G69" si="26">E38/D38</f>
        <v>3.0367000000000002</v>
      </c>
      <c r="H38" s="303">
        <f>'AND 1'!X38+'ADY 1'!X38</f>
        <v>2000000</v>
      </c>
      <c r="I38" s="303">
        <f>'AND 1'!Y38+'ADY 1'!Y38</f>
        <v>4728900</v>
      </c>
      <c r="J38" s="296">
        <f t="shared" ref="J38:J69" si="27">H38-I38</f>
        <v>-2728900</v>
      </c>
      <c r="K38" s="406">
        <f t="shared" ref="K38:K69" si="28">I38/H38</f>
        <v>2.3644500000000002</v>
      </c>
      <c r="L38" s="303">
        <f>'AND 1'!Z38+'ADY 1'!Z38</f>
        <v>2000000</v>
      </c>
      <c r="M38" s="303">
        <f>'AND 1'!AA38+'ADY 1'!AA38</f>
        <v>9509000</v>
      </c>
      <c r="N38" s="296">
        <f t="shared" ref="N38:N69" si="29">L38-M38</f>
        <v>-7509000</v>
      </c>
      <c r="O38" s="406">
        <f t="shared" ref="O38:O69" si="30">M38/L38</f>
        <v>4.7545000000000002</v>
      </c>
      <c r="P38" s="296">
        <f t="shared" si="21"/>
        <v>6000000</v>
      </c>
      <c r="Q38" s="296">
        <f t="shared" si="22"/>
        <v>20311300</v>
      </c>
      <c r="R38" s="296">
        <f t="shared" ref="R38:R69" si="31">P38-Q38</f>
        <v>-14311300</v>
      </c>
      <c r="S38" s="406">
        <f t="shared" ref="S38:S69" si="32">Q38/P38</f>
        <v>3.3852166666666665</v>
      </c>
      <c r="T38" s="618">
        <f>'AND 1'!AC38+'ADY 1'!AF38</f>
        <v>44120877.43</v>
      </c>
      <c r="U38" s="296">
        <f>'AND 1'!J38+'ADY 1'!J38</f>
        <v>2000000</v>
      </c>
      <c r="V38" s="296">
        <f>'AND 1'!L38+'ADY 1'!L38</f>
        <v>2000000</v>
      </c>
      <c r="W38" s="296">
        <f>'AND 1'!N38+'ADY 1'!N38</f>
        <v>2000000</v>
      </c>
      <c r="X38" s="296">
        <f>'AND 1'!P38+'ADY 1'!P38</f>
        <v>2000000</v>
      </c>
      <c r="Y38" s="296">
        <f>'AND 1'!R38+'ADY 1'!R38</f>
        <v>2000000</v>
      </c>
      <c r="Z38" s="296">
        <f>'AND 1'!T38+'ADY 1'!T38</f>
        <v>2000000</v>
      </c>
      <c r="AA38" s="296">
        <f>'AND 1'!V38+'ADY 1'!V38</f>
        <v>2000000</v>
      </c>
      <c r="AB38" s="296">
        <f>'AND 1'!X38+'ADY 1'!X38</f>
        <v>2000000</v>
      </c>
      <c r="AC38" s="296">
        <f>'AND 1'!Z38+'ADY 1'!Z38</f>
        <v>2000000</v>
      </c>
      <c r="AD38" s="297">
        <f t="shared" si="23"/>
        <v>24000000</v>
      </c>
      <c r="AE38" s="296">
        <f t="shared" si="24"/>
        <v>26400000.000000004</v>
      </c>
      <c r="AF38" s="296">
        <f t="shared" si="24"/>
        <v>29040000.000000007</v>
      </c>
      <c r="AG38" s="296">
        <f t="shared" si="24"/>
        <v>31944000.000000011</v>
      </c>
    </row>
    <row r="39" spans="1:33" ht="16.899999999999999" customHeight="1" x14ac:dyDescent="0.2">
      <c r="A39" s="246"/>
      <c r="B39" s="247"/>
      <c r="C39" s="305" t="s">
        <v>76</v>
      </c>
      <c r="D39" s="303">
        <f>'AND 1'!V39+'ADY 1'!V39</f>
        <v>12000000</v>
      </c>
      <c r="E39" s="303">
        <f>'AND 1'!W39+'ADY 1'!W39</f>
        <v>1292300</v>
      </c>
      <c r="F39" s="296">
        <f t="shared" si="25"/>
        <v>10707700</v>
      </c>
      <c r="G39" s="406">
        <f t="shared" si="26"/>
        <v>0.10769166666666667</v>
      </c>
      <c r="H39" s="303">
        <f>'AND 1'!X39+'ADY 1'!X39</f>
        <v>12000000</v>
      </c>
      <c r="I39" s="303">
        <f>'AND 1'!Y39+'ADY 1'!Y39</f>
        <v>1503900</v>
      </c>
      <c r="J39" s="296">
        <f t="shared" si="27"/>
        <v>10496100</v>
      </c>
      <c r="K39" s="406">
        <f t="shared" si="28"/>
        <v>0.12532499999999999</v>
      </c>
      <c r="L39" s="303">
        <f>'AND 1'!Z39+'ADY 1'!Z39</f>
        <v>12000000</v>
      </c>
      <c r="M39" s="303">
        <f>'AND 1'!AA39+'ADY 1'!AA39</f>
        <v>1518400</v>
      </c>
      <c r="N39" s="296">
        <f t="shared" si="29"/>
        <v>10481600</v>
      </c>
      <c r="O39" s="406">
        <f t="shared" si="30"/>
        <v>0.12653333333333333</v>
      </c>
      <c r="P39" s="296">
        <f t="shared" si="21"/>
        <v>36000000</v>
      </c>
      <c r="Q39" s="296">
        <f t="shared" si="22"/>
        <v>4314600</v>
      </c>
      <c r="R39" s="296">
        <f t="shared" si="31"/>
        <v>31685400</v>
      </c>
      <c r="S39" s="406">
        <f t="shared" si="32"/>
        <v>0.11985</v>
      </c>
      <c r="T39" s="618">
        <f>'AND 1'!AC39+'ADY 1'!AF39</f>
        <v>57082865</v>
      </c>
      <c r="U39" s="296">
        <f>'AND 1'!J39+'ADY 1'!J39</f>
        <v>12000000</v>
      </c>
      <c r="V39" s="296">
        <f>'AND 1'!L39+'ADY 1'!L39</f>
        <v>12000000</v>
      </c>
      <c r="W39" s="296">
        <f>'AND 1'!N39+'ADY 1'!N39</f>
        <v>12000000</v>
      </c>
      <c r="X39" s="296">
        <f>'AND 1'!P39+'ADY 1'!P39</f>
        <v>12000000</v>
      </c>
      <c r="Y39" s="296">
        <f>'AND 1'!R39+'ADY 1'!R39</f>
        <v>12000000</v>
      </c>
      <c r="Z39" s="296">
        <f>'AND 1'!T39+'ADY 1'!T39</f>
        <v>12000000</v>
      </c>
      <c r="AA39" s="296">
        <f>'AND 1'!V39+'ADY 1'!V39</f>
        <v>12000000</v>
      </c>
      <c r="AB39" s="296">
        <f>'AND 1'!X39+'ADY 1'!X39</f>
        <v>12000000</v>
      </c>
      <c r="AC39" s="296">
        <f>'AND 1'!Z39+'ADY 1'!Z39</f>
        <v>12000000</v>
      </c>
      <c r="AD39" s="297">
        <f t="shared" si="23"/>
        <v>144000000</v>
      </c>
      <c r="AE39" s="296">
        <f t="shared" si="24"/>
        <v>158400000</v>
      </c>
      <c r="AF39" s="296">
        <f t="shared" si="24"/>
        <v>174240000</v>
      </c>
      <c r="AG39" s="296">
        <f t="shared" si="24"/>
        <v>191664000.00000003</v>
      </c>
    </row>
    <row r="40" spans="1:33" ht="16.899999999999999" customHeight="1" x14ac:dyDescent="0.2">
      <c r="A40" s="246"/>
      <c r="B40" s="247"/>
      <c r="C40" s="305" t="s">
        <v>78</v>
      </c>
      <c r="D40" s="303">
        <f>'AND 1'!V40+'ADY 1'!V40</f>
        <v>0</v>
      </c>
      <c r="E40" s="303">
        <f>'AND 1'!W40+'ADY 1'!W40</f>
        <v>0</v>
      </c>
      <c r="F40" s="296">
        <f t="shared" si="25"/>
        <v>0</v>
      </c>
      <c r="G40" s="406" t="e">
        <f t="shared" si="26"/>
        <v>#DIV/0!</v>
      </c>
      <c r="H40" s="303">
        <f>'AND 1'!X40+'ADY 1'!X40</f>
        <v>0</v>
      </c>
      <c r="I40" s="303">
        <f>'AND 1'!Y40+'ADY 1'!Y40</f>
        <v>920000</v>
      </c>
      <c r="J40" s="296">
        <f t="shared" si="27"/>
        <v>-920000</v>
      </c>
      <c r="K40" s="406" t="e">
        <f t="shared" si="28"/>
        <v>#DIV/0!</v>
      </c>
      <c r="L40" s="303">
        <f>'AND 1'!Z40+'ADY 1'!Z40</f>
        <v>0</v>
      </c>
      <c r="M40" s="303">
        <f>'AND 1'!AA40+'ADY 1'!AA40</f>
        <v>920000</v>
      </c>
      <c r="N40" s="296">
        <f t="shared" si="29"/>
        <v>-920000</v>
      </c>
      <c r="O40" s="406" t="e">
        <f t="shared" si="30"/>
        <v>#DIV/0!</v>
      </c>
      <c r="P40" s="296">
        <f t="shared" si="21"/>
        <v>0</v>
      </c>
      <c r="Q40" s="296">
        <f t="shared" si="22"/>
        <v>1840000</v>
      </c>
      <c r="R40" s="296">
        <f t="shared" si="31"/>
        <v>-1840000</v>
      </c>
      <c r="S40" s="406" t="e">
        <f t="shared" si="32"/>
        <v>#DIV/0!</v>
      </c>
      <c r="T40" s="618">
        <f>'AND 1'!AC40+'ADY 1'!AF40</f>
        <v>5520000</v>
      </c>
      <c r="U40" s="296">
        <f>'AND 1'!J40+'ADY 1'!J40</f>
        <v>0</v>
      </c>
      <c r="V40" s="296">
        <f>'AND 1'!L40+'ADY 1'!L40</f>
        <v>0</v>
      </c>
      <c r="W40" s="296">
        <f>'AND 1'!N40+'ADY 1'!N40</f>
        <v>0</v>
      </c>
      <c r="X40" s="296">
        <f>'AND 1'!P40+'ADY 1'!P40</f>
        <v>0</v>
      </c>
      <c r="Y40" s="296">
        <f>'AND 1'!R40+'ADY 1'!R40</f>
        <v>0</v>
      </c>
      <c r="Z40" s="296">
        <f>'AND 1'!T40+'ADY 1'!T40</f>
        <v>0</v>
      </c>
      <c r="AA40" s="296">
        <f>'AND 1'!V40+'ADY 1'!V40</f>
        <v>0</v>
      </c>
      <c r="AB40" s="296">
        <f>'AND 1'!X40+'ADY 1'!X40</f>
        <v>0</v>
      </c>
      <c r="AC40" s="296">
        <f>'AND 1'!Z40+'ADY 1'!Z40</f>
        <v>0</v>
      </c>
      <c r="AD40" s="297">
        <f t="shared" si="23"/>
        <v>0</v>
      </c>
      <c r="AE40" s="296">
        <f t="shared" si="24"/>
        <v>0</v>
      </c>
      <c r="AF40" s="296">
        <f t="shared" si="24"/>
        <v>0</v>
      </c>
      <c r="AG40" s="296">
        <f t="shared" si="24"/>
        <v>0</v>
      </c>
    </row>
    <row r="41" spans="1:33" ht="16.899999999999999" customHeight="1" x14ac:dyDescent="0.2">
      <c r="A41" s="246"/>
      <c r="B41" s="247"/>
      <c r="C41" s="308" t="s">
        <v>80</v>
      </c>
      <c r="D41" s="303">
        <f>'AND 1'!V41+'ADY 1'!V41</f>
        <v>0</v>
      </c>
      <c r="E41" s="303">
        <f>'AND 1'!W41+'ADY 1'!W41</f>
        <v>0</v>
      </c>
      <c r="F41" s="296">
        <f t="shared" si="25"/>
        <v>0</v>
      </c>
      <c r="G41" s="406" t="e">
        <f t="shared" si="26"/>
        <v>#DIV/0!</v>
      </c>
      <c r="H41" s="303">
        <f>'AND 1'!X41+'ADY 1'!X41</f>
        <v>0</v>
      </c>
      <c r="I41" s="303">
        <f>'AND 1'!Y41+'ADY 1'!Y41</f>
        <v>0</v>
      </c>
      <c r="J41" s="296">
        <f t="shared" si="27"/>
        <v>0</v>
      </c>
      <c r="K41" s="406" t="e">
        <f t="shared" si="28"/>
        <v>#DIV/0!</v>
      </c>
      <c r="L41" s="303">
        <f>'AND 1'!Z41+'ADY 1'!Z41</f>
        <v>0</v>
      </c>
      <c r="M41" s="303">
        <f>'AND 1'!AA41+'ADY 1'!AA41</f>
        <v>0</v>
      </c>
      <c r="N41" s="296">
        <f t="shared" si="29"/>
        <v>0</v>
      </c>
      <c r="O41" s="406" t="e">
        <f t="shared" si="30"/>
        <v>#DIV/0!</v>
      </c>
      <c r="P41" s="296">
        <f t="shared" si="21"/>
        <v>0</v>
      </c>
      <c r="Q41" s="296">
        <f t="shared" si="22"/>
        <v>0</v>
      </c>
      <c r="R41" s="296">
        <f t="shared" si="31"/>
        <v>0</v>
      </c>
      <c r="S41" s="406" t="e">
        <f t="shared" si="32"/>
        <v>#DIV/0!</v>
      </c>
      <c r="T41" s="618">
        <f>'AND 1'!AC41+'ADY 1'!AF41</f>
        <v>0</v>
      </c>
      <c r="U41" s="296">
        <f>'AND 1'!J41+'ADY 1'!J41</f>
        <v>0</v>
      </c>
      <c r="V41" s="296">
        <f>'AND 1'!L41+'ADY 1'!L41</f>
        <v>0</v>
      </c>
      <c r="W41" s="296">
        <f>'AND 1'!N41+'ADY 1'!N41</f>
        <v>16000000</v>
      </c>
      <c r="X41" s="296">
        <f>'AND 1'!P41+'ADY 1'!P41</f>
        <v>0</v>
      </c>
      <c r="Y41" s="296">
        <f>'AND 1'!R41+'ADY 1'!R41</f>
        <v>0</v>
      </c>
      <c r="Z41" s="296">
        <f>'AND 1'!T41+'ADY 1'!T41</f>
        <v>0</v>
      </c>
      <c r="AA41" s="296">
        <f>'AND 1'!V41+'ADY 1'!V41</f>
        <v>0</v>
      </c>
      <c r="AB41" s="296">
        <f>'AND 1'!X41+'ADY 1'!X41</f>
        <v>0</v>
      </c>
      <c r="AC41" s="296">
        <f>'AND 1'!Z41+'ADY 1'!Z41</f>
        <v>0</v>
      </c>
      <c r="AD41" s="297">
        <f t="shared" si="23"/>
        <v>16000000</v>
      </c>
      <c r="AE41" s="296">
        <f t="shared" si="24"/>
        <v>17600000</v>
      </c>
      <c r="AF41" s="296">
        <f t="shared" si="24"/>
        <v>19360000</v>
      </c>
      <c r="AG41" s="296">
        <f t="shared" si="24"/>
        <v>21296000</v>
      </c>
    </row>
    <row r="42" spans="1:33" ht="16.899999999999999" customHeight="1" x14ac:dyDescent="0.2">
      <c r="A42" s="246"/>
      <c r="B42" s="247"/>
      <c r="C42" s="308" t="s">
        <v>81</v>
      </c>
      <c r="D42" s="303">
        <f>'AND 1'!V42+'ADY 1'!V42</f>
        <v>30000000</v>
      </c>
      <c r="E42" s="303">
        <f>'AND 1'!W42+'ADY 1'!W42</f>
        <v>0</v>
      </c>
      <c r="F42" s="296">
        <f t="shared" si="25"/>
        <v>30000000</v>
      </c>
      <c r="G42" s="406">
        <f t="shared" si="26"/>
        <v>0</v>
      </c>
      <c r="H42" s="303">
        <f>'AND 1'!X42+'ADY 1'!X42</f>
        <v>0</v>
      </c>
      <c r="I42" s="303">
        <f>'AND 1'!Y42+'ADY 1'!Y42</f>
        <v>0</v>
      </c>
      <c r="J42" s="296">
        <f t="shared" si="27"/>
        <v>0</v>
      </c>
      <c r="K42" s="406" t="e">
        <f t="shared" si="28"/>
        <v>#DIV/0!</v>
      </c>
      <c r="L42" s="303">
        <f>'AND 1'!Z42+'ADY 1'!Z42</f>
        <v>0</v>
      </c>
      <c r="M42" s="303">
        <f>'AND 1'!AA42+'ADY 1'!AA42</f>
        <v>42700000</v>
      </c>
      <c r="N42" s="296">
        <f t="shared" si="29"/>
        <v>-42700000</v>
      </c>
      <c r="O42" s="406" t="e">
        <f t="shared" si="30"/>
        <v>#DIV/0!</v>
      </c>
      <c r="P42" s="296">
        <f t="shared" si="21"/>
        <v>30000000</v>
      </c>
      <c r="Q42" s="296">
        <f t="shared" si="22"/>
        <v>42700000</v>
      </c>
      <c r="R42" s="296">
        <f t="shared" si="31"/>
        <v>-12700000</v>
      </c>
      <c r="S42" s="406">
        <f t="shared" si="32"/>
        <v>1.4233333333333333</v>
      </c>
      <c r="T42" s="618">
        <f>'AND 1'!AC42+'ADY 1'!AF42</f>
        <v>42700000</v>
      </c>
      <c r="U42" s="296">
        <f>'AND 1'!J42+'ADY 1'!J42</f>
        <v>0</v>
      </c>
      <c r="V42" s="296">
        <f>'AND 1'!L42+'ADY 1'!L42</f>
        <v>0</v>
      </c>
      <c r="W42" s="296">
        <f>'AND 1'!N42+'ADY 1'!N42</f>
        <v>0</v>
      </c>
      <c r="X42" s="296">
        <f>'AND 1'!P42+'ADY 1'!P42</f>
        <v>0</v>
      </c>
      <c r="Y42" s="296">
        <f>'AND 1'!R42+'ADY 1'!R42</f>
        <v>0</v>
      </c>
      <c r="Z42" s="296">
        <f>'AND 1'!T42+'ADY 1'!T42</f>
        <v>0</v>
      </c>
      <c r="AA42" s="296">
        <f>'AND 1'!V42+'ADY 1'!V42</f>
        <v>30000000</v>
      </c>
      <c r="AB42" s="296">
        <f>'AND 1'!X42+'ADY 1'!X42</f>
        <v>0</v>
      </c>
      <c r="AC42" s="296">
        <f>'AND 1'!Z42+'ADY 1'!Z42</f>
        <v>0</v>
      </c>
      <c r="AD42" s="297">
        <f t="shared" si="23"/>
        <v>60000000</v>
      </c>
      <c r="AE42" s="296">
        <f t="shared" si="24"/>
        <v>66000000.000000007</v>
      </c>
      <c r="AF42" s="296">
        <f t="shared" si="24"/>
        <v>72600000.000000015</v>
      </c>
      <c r="AG42" s="296">
        <f t="shared" si="24"/>
        <v>79860000.00000003</v>
      </c>
    </row>
    <row r="43" spans="1:33" s="258" customFormat="1" ht="16.899999999999999" customHeight="1" x14ac:dyDescent="0.2">
      <c r="A43" s="246"/>
      <c r="B43" s="247"/>
      <c r="C43" s="309" t="s">
        <v>82</v>
      </c>
      <c r="D43" s="303">
        <f>'AND 1'!V43+'ADY 1'!V43</f>
        <v>30000000</v>
      </c>
      <c r="E43" s="303">
        <f>'AND 1'!W43+'ADY 1'!W43</f>
        <v>0</v>
      </c>
      <c r="F43" s="296">
        <f t="shared" si="25"/>
        <v>30000000</v>
      </c>
      <c r="G43" s="406">
        <f t="shared" si="26"/>
        <v>0</v>
      </c>
      <c r="H43" s="303">
        <f>'AND 1'!X43+'ADY 1'!X43</f>
        <v>0</v>
      </c>
      <c r="I43" s="303">
        <f>'AND 1'!Y43+'ADY 1'!Y43</f>
        <v>0</v>
      </c>
      <c r="J43" s="296">
        <f t="shared" si="27"/>
        <v>0</v>
      </c>
      <c r="K43" s="406" t="e">
        <f t="shared" si="28"/>
        <v>#DIV/0!</v>
      </c>
      <c r="L43" s="303">
        <f>'AND 1'!Z43+'ADY 1'!Z43</f>
        <v>0</v>
      </c>
      <c r="M43" s="303">
        <f>'AND 1'!AA43+'ADY 1'!AA43</f>
        <v>0</v>
      </c>
      <c r="N43" s="296">
        <f t="shared" si="29"/>
        <v>0</v>
      </c>
      <c r="O43" s="406" t="e">
        <f t="shared" si="30"/>
        <v>#DIV/0!</v>
      </c>
      <c r="P43" s="296">
        <f t="shared" si="21"/>
        <v>30000000</v>
      </c>
      <c r="Q43" s="296">
        <f t="shared" si="22"/>
        <v>0</v>
      </c>
      <c r="R43" s="296">
        <f t="shared" si="31"/>
        <v>30000000</v>
      </c>
      <c r="S43" s="406">
        <f t="shared" si="32"/>
        <v>0</v>
      </c>
      <c r="T43" s="618">
        <f>'AND 1'!AC43+'ADY 1'!AF43</f>
        <v>0</v>
      </c>
      <c r="U43" s="299">
        <f>'AND 1'!J43+'ADY 1'!J43</f>
        <v>0</v>
      </c>
      <c r="V43" s="299">
        <f>'AND 1'!L43+'ADY 1'!L43</f>
        <v>0</v>
      </c>
      <c r="W43" s="299">
        <f>'AND 1'!N43+'ADY 1'!N43</f>
        <v>0</v>
      </c>
      <c r="X43" s="299">
        <f>'AND 1'!P43+'ADY 1'!P43</f>
        <v>0</v>
      </c>
      <c r="Y43" s="299">
        <f>'AND 1'!R43+'ADY 1'!R43</f>
        <v>0</v>
      </c>
      <c r="Z43" s="299">
        <f>'AND 1'!T43+'ADY 1'!T43</f>
        <v>0</v>
      </c>
      <c r="AA43" s="299">
        <f>'AND 1'!V43+'ADY 1'!V43</f>
        <v>30000000</v>
      </c>
      <c r="AB43" s="299">
        <f>'AND 1'!X43+'ADY 1'!X43</f>
        <v>0</v>
      </c>
      <c r="AC43" s="299">
        <f>'AND 1'!Z43+'ADY 1'!Z43</f>
        <v>0</v>
      </c>
      <c r="AD43" s="300">
        <f t="shared" si="23"/>
        <v>60000000</v>
      </c>
      <c r="AE43" s="299">
        <f t="shared" si="24"/>
        <v>66000000.000000007</v>
      </c>
      <c r="AF43" s="299">
        <f t="shared" si="24"/>
        <v>72600000.000000015</v>
      </c>
      <c r="AG43" s="299">
        <f t="shared" si="24"/>
        <v>79860000.00000003</v>
      </c>
    </row>
    <row r="44" spans="1:33" s="242" customFormat="1" ht="16.899999999999999" customHeight="1" x14ac:dyDescent="0.2">
      <c r="A44" s="257"/>
      <c r="B44" s="247"/>
      <c r="C44" s="268" t="s">
        <v>329</v>
      </c>
      <c r="D44" s="267">
        <f>SUM(D33:D43)</f>
        <v>107000000</v>
      </c>
      <c r="E44" s="267">
        <f>SUM(E33:E43)</f>
        <v>58827050</v>
      </c>
      <c r="F44" s="269">
        <f t="shared" si="25"/>
        <v>48172950</v>
      </c>
      <c r="G44" s="412">
        <f t="shared" si="26"/>
        <v>0.54978551401869158</v>
      </c>
      <c r="H44" s="267">
        <f>SUM(H33:H43)</f>
        <v>47000000</v>
      </c>
      <c r="I44" s="267">
        <f>SUM(I33:I43)</f>
        <v>58879440</v>
      </c>
      <c r="J44" s="269">
        <f t="shared" si="27"/>
        <v>-11879440</v>
      </c>
      <c r="K44" s="412">
        <f t="shared" si="28"/>
        <v>1.2527540425531916</v>
      </c>
      <c r="L44" s="267">
        <f>SUM(L33:L43)</f>
        <v>47000000</v>
      </c>
      <c r="M44" s="267">
        <f>SUM(M33:M43)</f>
        <v>115718050</v>
      </c>
      <c r="N44" s="269">
        <f t="shared" si="29"/>
        <v>-68718050</v>
      </c>
      <c r="O44" s="412">
        <f t="shared" si="30"/>
        <v>2.4620861702127659</v>
      </c>
      <c r="P44" s="267">
        <f>SUM(P33:P43)</f>
        <v>201000000</v>
      </c>
      <c r="Q44" s="267">
        <f>SUM(Q33:Q43)</f>
        <v>233424540</v>
      </c>
      <c r="R44" s="269">
        <f>P44-Q44</f>
        <v>-32424540</v>
      </c>
      <c r="S44" s="412">
        <f t="shared" si="32"/>
        <v>1.1613161194029851</v>
      </c>
      <c r="T44" s="621">
        <f t="shared" ref="T44:AG44" si="33">SUM(T33:T43)</f>
        <v>661584579.23000002</v>
      </c>
      <c r="U44" s="267">
        <f t="shared" si="33"/>
        <v>47000000</v>
      </c>
      <c r="V44" s="267">
        <f t="shared" si="33"/>
        <v>47000000</v>
      </c>
      <c r="W44" s="267">
        <f t="shared" si="33"/>
        <v>63000000</v>
      </c>
      <c r="X44" s="267">
        <f t="shared" si="33"/>
        <v>47000000</v>
      </c>
      <c r="Y44" s="267">
        <f t="shared" si="33"/>
        <v>47000000</v>
      </c>
      <c r="Z44" s="267">
        <f t="shared" si="33"/>
        <v>47000000</v>
      </c>
      <c r="AA44" s="267">
        <f t="shared" si="33"/>
        <v>107000000</v>
      </c>
      <c r="AB44" s="267">
        <f t="shared" si="33"/>
        <v>47000000</v>
      </c>
      <c r="AC44" s="267">
        <f t="shared" si="33"/>
        <v>47000000</v>
      </c>
      <c r="AD44" s="267">
        <f t="shared" si="33"/>
        <v>700000000</v>
      </c>
      <c r="AE44" s="267">
        <f t="shared" si="33"/>
        <v>770000000</v>
      </c>
      <c r="AF44" s="267">
        <f t="shared" si="33"/>
        <v>847000000</v>
      </c>
      <c r="AG44" s="267">
        <f t="shared" si="33"/>
        <v>931700000</v>
      </c>
    </row>
    <row r="45" spans="1:33" s="242" customFormat="1" ht="16.899999999999999" customHeight="1" x14ac:dyDescent="0.2">
      <c r="A45" s="246"/>
      <c r="B45" s="247"/>
      <c r="C45" s="652" t="s">
        <v>84</v>
      </c>
      <c r="D45" s="303">
        <f>'AND 1'!V45+'ADY 1'!V45</f>
        <v>30000000</v>
      </c>
      <c r="E45" s="303">
        <f>'AND 1'!W45+'ADY 1'!W45</f>
        <v>151901200</v>
      </c>
      <c r="F45" s="296">
        <f t="shared" si="25"/>
        <v>-121901200</v>
      </c>
      <c r="G45" s="406">
        <f t="shared" si="26"/>
        <v>5.0633733333333337</v>
      </c>
      <c r="H45" s="303">
        <f>'AND 1'!X45+'ADY 1'!X45</f>
        <v>30000000</v>
      </c>
      <c r="I45" s="303">
        <f>'AND 1'!Y45+'ADY 1'!Y45</f>
        <v>146645200</v>
      </c>
      <c r="J45" s="296">
        <f t="shared" si="27"/>
        <v>-116645200</v>
      </c>
      <c r="K45" s="406">
        <f t="shared" si="28"/>
        <v>4.8881733333333335</v>
      </c>
      <c r="L45" s="303">
        <f>'AND 1'!Z45+'ADY 1'!Z45</f>
        <v>30000000</v>
      </c>
      <c r="M45" s="303">
        <f>'AND 1'!AA45+'ADY 1'!AA45</f>
        <v>206322550</v>
      </c>
      <c r="N45" s="296">
        <f t="shared" si="29"/>
        <v>-176322550</v>
      </c>
      <c r="O45" s="406">
        <f t="shared" si="30"/>
        <v>6.877418333333333</v>
      </c>
      <c r="P45" s="296">
        <f t="shared" ref="P45:P55" si="34">D45+H45+L45</f>
        <v>90000000</v>
      </c>
      <c r="Q45" s="296">
        <f t="shared" ref="Q45:Q55" si="35">E45+I45+M45</f>
        <v>504868950</v>
      </c>
      <c r="R45" s="296">
        <f t="shared" si="31"/>
        <v>-414868950</v>
      </c>
      <c r="S45" s="406">
        <f t="shared" si="32"/>
        <v>5.6096550000000001</v>
      </c>
      <c r="T45" s="618">
        <f>'AND 1'!AC45+'ADY 1'!AF45</f>
        <v>903655481</v>
      </c>
      <c r="U45" s="303">
        <f>'AND 1'!J45+'ADY 1'!J45</f>
        <v>30000000</v>
      </c>
      <c r="V45" s="303">
        <f>'AND 1'!L45+'ADY 1'!L45</f>
        <v>30000000</v>
      </c>
      <c r="W45" s="303">
        <f>'AND 1'!N45+'ADY 1'!N45</f>
        <v>30000000</v>
      </c>
      <c r="X45" s="303">
        <f>'AND 1'!P45+'ADY 1'!P45</f>
        <v>30000000</v>
      </c>
      <c r="Y45" s="303">
        <f>'AND 1'!R45+'ADY 1'!R45</f>
        <v>30000000</v>
      </c>
      <c r="Z45" s="303">
        <f>'AND 1'!T45+'ADY 1'!T45</f>
        <v>30000000</v>
      </c>
      <c r="AA45" s="303">
        <f>'AND 1'!V45+'ADY 1'!V45</f>
        <v>30000000</v>
      </c>
      <c r="AB45" s="303">
        <f>'AND 1'!X45+'ADY 1'!X45</f>
        <v>30000000</v>
      </c>
      <c r="AC45" s="303">
        <f>'AND 1'!Z45+'ADY 1'!Z45</f>
        <v>30000000</v>
      </c>
      <c r="AD45" s="304">
        <f t="shared" ref="AD45:AD55" si="36">AC45+AB45+AA45+Z45+Y45+X45+W45+V45+U45+L45+H45+D45</f>
        <v>360000000</v>
      </c>
      <c r="AE45" s="303">
        <f t="shared" ref="AE45:AG55" si="37">AD45*1.1</f>
        <v>396000000.00000006</v>
      </c>
      <c r="AF45" s="303">
        <f t="shared" si="37"/>
        <v>435600000.00000012</v>
      </c>
      <c r="AG45" s="303">
        <f t="shared" si="37"/>
        <v>479160000.00000018</v>
      </c>
    </row>
    <row r="46" spans="1:33" s="242" customFormat="1" ht="16.899999999999999" customHeight="1" x14ac:dyDescent="0.2">
      <c r="A46" s="246"/>
      <c r="B46" s="247"/>
      <c r="C46" s="653" t="s">
        <v>86</v>
      </c>
      <c r="D46" s="303">
        <f>'AND 1'!V46+'ADY 1'!V46</f>
        <v>60000000</v>
      </c>
      <c r="E46" s="303">
        <f>'AND 1'!W46+'ADY 1'!W46</f>
        <v>107019400</v>
      </c>
      <c r="F46" s="296">
        <f t="shared" si="25"/>
        <v>-47019400</v>
      </c>
      <c r="G46" s="406">
        <f t="shared" si="26"/>
        <v>1.7836566666666667</v>
      </c>
      <c r="H46" s="303">
        <f>'AND 1'!X46+'ADY 1'!X46</f>
        <v>0</v>
      </c>
      <c r="I46" s="303">
        <f>'AND 1'!Y46+'ADY 1'!Y46</f>
        <v>127238900</v>
      </c>
      <c r="J46" s="296">
        <f t="shared" si="27"/>
        <v>-127238900</v>
      </c>
      <c r="K46" s="406" t="e">
        <f t="shared" si="28"/>
        <v>#DIV/0!</v>
      </c>
      <c r="L46" s="303">
        <f>'AND 1'!Z46+'ADY 1'!Z46</f>
        <v>0</v>
      </c>
      <c r="M46" s="303">
        <f>'AND 1'!AA46+'ADY 1'!AA46</f>
        <v>72109600</v>
      </c>
      <c r="N46" s="296">
        <f t="shared" si="29"/>
        <v>-72109600</v>
      </c>
      <c r="O46" s="406" t="e">
        <f t="shared" si="30"/>
        <v>#DIV/0!</v>
      </c>
      <c r="P46" s="296">
        <f t="shared" si="34"/>
        <v>60000000</v>
      </c>
      <c r="Q46" s="296">
        <f t="shared" si="35"/>
        <v>306367900</v>
      </c>
      <c r="R46" s="296">
        <f t="shared" si="31"/>
        <v>-246367900</v>
      </c>
      <c r="S46" s="406">
        <f t="shared" si="32"/>
        <v>5.1061316666666663</v>
      </c>
      <c r="T46" s="618">
        <f>'AND 1'!AC46+'ADY 1'!AF46</f>
        <v>413008787.52999997</v>
      </c>
      <c r="U46" s="296">
        <f>'AND 1'!J46+'ADY 1'!J46</f>
        <v>0</v>
      </c>
      <c r="V46" s="296">
        <f>'AND 1'!L46+'ADY 1'!L46</f>
        <v>0</v>
      </c>
      <c r="W46" s="296">
        <f>'AND 1'!N46+'ADY 1'!N46</f>
        <v>60000000</v>
      </c>
      <c r="X46" s="296">
        <f>'AND 1'!P46+'ADY 1'!P46</f>
        <v>0</v>
      </c>
      <c r="Y46" s="296">
        <f>'AND 1'!R46+'ADY 1'!R46</f>
        <v>0</v>
      </c>
      <c r="Z46" s="296">
        <f>'AND 1'!T46+'ADY 1'!T46</f>
        <v>0</v>
      </c>
      <c r="AA46" s="296">
        <f>'AND 1'!V46+'ADY 1'!V46</f>
        <v>60000000</v>
      </c>
      <c r="AB46" s="296">
        <f>'AND 1'!X46+'ADY 1'!X46</f>
        <v>0</v>
      </c>
      <c r="AC46" s="296">
        <f>'AND 1'!Z46+'ADY 1'!Z46</f>
        <v>0</v>
      </c>
      <c r="AD46" s="297">
        <f t="shared" si="36"/>
        <v>180000000</v>
      </c>
      <c r="AE46" s="296">
        <f t="shared" si="37"/>
        <v>198000000.00000003</v>
      </c>
      <c r="AF46" s="296">
        <f t="shared" si="37"/>
        <v>217800000.00000006</v>
      </c>
      <c r="AG46" s="296">
        <f t="shared" si="37"/>
        <v>239580000.00000009</v>
      </c>
    </row>
    <row r="47" spans="1:33" ht="16.899999999999999" customHeight="1" x14ac:dyDescent="0.2">
      <c r="A47" s="246"/>
      <c r="B47" s="247"/>
      <c r="C47" s="313" t="s">
        <v>88</v>
      </c>
      <c r="D47" s="303">
        <f>'AND 1'!V47+'ADY 1'!V47</f>
        <v>131000000</v>
      </c>
      <c r="E47" s="303">
        <f>'AND 1'!W47+'ADY 1'!W47</f>
        <v>158512000</v>
      </c>
      <c r="F47" s="296">
        <f t="shared" si="25"/>
        <v>-27512000</v>
      </c>
      <c r="G47" s="406">
        <f t="shared" si="26"/>
        <v>1.2100152671755726</v>
      </c>
      <c r="H47" s="303">
        <f>'AND 1'!X47+'ADY 1'!X47</f>
        <v>131000000</v>
      </c>
      <c r="I47" s="303">
        <f>'AND 1'!Y47+'ADY 1'!Y47</f>
        <v>158512000</v>
      </c>
      <c r="J47" s="296">
        <f t="shared" si="27"/>
        <v>-27512000</v>
      </c>
      <c r="K47" s="406">
        <f t="shared" si="28"/>
        <v>1.2100152671755726</v>
      </c>
      <c r="L47" s="303">
        <f>'AND 1'!Z47+'ADY 1'!Z47</f>
        <v>131000000</v>
      </c>
      <c r="M47" s="303">
        <f>'AND 1'!AA47+'ADY 1'!AA47</f>
        <v>158512000</v>
      </c>
      <c r="N47" s="296">
        <f t="shared" si="29"/>
        <v>-27512000</v>
      </c>
      <c r="O47" s="406">
        <f t="shared" si="30"/>
        <v>1.2100152671755726</v>
      </c>
      <c r="P47" s="296">
        <f t="shared" si="34"/>
        <v>393000000</v>
      </c>
      <c r="Q47" s="296">
        <f t="shared" si="35"/>
        <v>475536000</v>
      </c>
      <c r="R47" s="296">
        <f t="shared" si="31"/>
        <v>-82536000</v>
      </c>
      <c r="S47" s="406">
        <f t="shared" si="32"/>
        <v>1.2100152671755726</v>
      </c>
      <c r="T47" s="618">
        <f>'AND 1'!AC47+'ADY 1'!AF47</f>
        <v>1909674000</v>
      </c>
      <c r="U47" s="296">
        <f>'AND 1'!J47+'ADY 1'!J47</f>
        <v>131000000</v>
      </c>
      <c r="V47" s="296">
        <f>'AND 1'!L47+'ADY 1'!L47</f>
        <v>131000000</v>
      </c>
      <c r="W47" s="296">
        <f>'AND 1'!N47+'ADY 1'!N47</f>
        <v>131000000</v>
      </c>
      <c r="X47" s="296">
        <f>'AND 1'!P47+'ADY 1'!P47</f>
        <v>131000000</v>
      </c>
      <c r="Y47" s="296">
        <f>'AND 1'!R47+'ADY 1'!R47</f>
        <v>131000000</v>
      </c>
      <c r="Z47" s="296">
        <f>'AND 1'!T47+'ADY 1'!T47</f>
        <v>131000000</v>
      </c>
      <c r="AA47" s="296">
        <f>'AND 1'!V47+'ADY 1'!V47</f>
        <v>131000000</v>
      </c>
      <c r="AB47" s="296">
        <f>'AND 1'!X47+'ADY 1'!X47</f>
        <v>131000000</v>
      </c>
      <c r="AC47" s="296">
        <f>'AND 1'!Z47+'ADY 1'!Z47</f>
        <v>131000000</v>
      </c>
      <c r="AD47" s="297">
        <f t="shared" si="36"/>
        <v>1572000000</v>
      </c>
      <c r="AE47" s="296">
        <f t="shared" si="37"/>
        <v>1729200000.0000002</v>
      </c>
      <c r="AF47" s="296">
        <f t="shared" si="37"/>
        <v>1902120000.0000005</v>
      </c>
      <c r="AG47" s="296">
        <f t="shared" si="37"/>
        <v>2092332000.0000007</v>
      </c>
    </row>
    <row r="48" spans="1:33" ht="16.899999999999999" customHeight="1" x14ac:dyDescent="0.2">
      <c r="A48" s="246"/>
      <c r="B48" s="247"/>
      <c r="C48" s="653" t="s">
        <v>90</v>
      </c>
      <c r="D48" s="303">
        <f>'AND 1'!V48+'ADY 1'!V48</f>
        <v>13000000</v>
      </c>
      <c r="E48" s="303">
        <f>'AND 1'!W48+'ADY 1'!W48</f>
        <v>17984245.210000001</v>
      </c>
      <c r="F48" s="296">
        <f t="shared" si="25"/>
        <v>-4984245.2100000009</v>
      </c>
      <c r="G48" s="406">
        <f t="shared" si="26"/>
        <v>1.3834034776923079</v>
      </c>
      <c r="H48" s="303">
        <f>'AND 1'!X48+'ADY 1'!X48</f>
        <v>13000000</v>
      </c>
      <c r="I48" s="303">
        <f>'AND 1'!Y48+'ADY 1'!Y48</f>
        <v>9463353.0399999991</v>
      </c>
      <c r="J48" s="296">
        <f t="shared" si="27"/>
        <v>3536646.9600000009</v>
      </c>
      <c r="K48" s="406">
        <f t="shared" si="28"/>
        <v>0.72795023384615376</v>
      </c>
      <c r="L48" s="303">
        <f>'AND 1'!Z48+'ADY 1'!Z48</f>
        <v>13000000</v>
      </c>
      <c r="M48" s="303">
        <f>'AND 1'!AA48+'ADY 1'!AA48</f>
        <v>15658319.440000001</v>
      </c>
      <c r="N48" s="296">
        <f t="shared" si="29"/>
        <v>-2658319.4400000013</v>
      </c>
      <c r="O48" s="406">
        <f t="shared" si="30"/>
        <v>1.2044861107692308</v>
      </c>
      <c r="P48" s="296">
        <f t="shared" si="34"/>
        <v>39000000</v>
      </c>
      <c r="Q48" s="296">
        <f t="shared" si="35"/>
        <v>43105917.689999998</v>
      </c>
      <c r="R48" s="296">
        <f t="shared" si="31"/>
        <v>-4105917.6899999976</v>
      </c>
      <c r="S48" s="406">
        <f t="shared" si="32"/>
        <v>1.1052799407692306</v>
      </c>
      <c r="T48" s="618">
        <f>'AND 1'!AC48+'ADY 1'!AF48</f>
        <v>114064085.77</v>
      </c>
      <c r="U48" s="296">
        <f>'AND 1'!J48+'ADY 1'!J48</f>
        <v>13000000</v>
      </c>
      <c r="V48" s="296">
        <f>'AND 1'!L48+'ADY 1'!L48</f>
        <v>13000000</v>
      </c>
      <c r="W48" s="296">
        <f>'AND 1'!N48+'ADY 1'!N48</f>
        <v>13000000</v>
      </c>
      <c r="X48" s="296">
        <f>'AND 1'!P48+'ADY 1'!P48</f>
        <v>13000000</v>
      </c>
      <c r="Y48" s="296">
        <f>'AND 1'!R48+'ADY 1'!R48</f>
        <v>13000000</v>
      </c>
      <c r="Z48" s="296">
        <f>'AND 1'!T48+'ADY 1'!T48</f>
        <v>13000000</v>
      </c>
      <c r="AA48" s="296">
        <f>'AND 1'!V48+'ADY 1'!V48</f>
        <v>13000000</v>
      </c>
      <c r="AB48" s="296">
        <f>'AND 1'!X48+'ADY 1'!X48</f>
        <v>13000000</v>
      </c>
      <c r="AC48" s="296">
        <f>'AND 1'!Z48+'ADY 1'!Z48</f>
        <v>13000000</v>
      </c>
      <c r="AD48" s="297">
        <f t="shared" si="36"/>
        <v>156000000</v>
      </c>
      <c r="AE48" s="296">
        <f t="shared" si="37"/>
        <v>171600000</v>
      </c>
      <c r="AF48" s="296">
        <f t="shared" si="37"/>
        <v>188760000.00000003</v>
      </c>
      <c r="AG48" s="296">
        <f t="shared" si="37"/>
        <v>207636000.00000006</v>
      </c>
    </row>
    <row r="49" spans="1:38" ht="16.899999999999999" customHeight="1" x14ac:dyDescent="0.2">
      <c r="A49" s="246"/>
      <c r="B49" s="247"/>
      <c r="C49" s="653" t="s">
        <v>92</v>
      </c>
      <c r="D49" s="303">
        <f>'AND 1'!V49+'ADY 1'!V49</f>
        <v>40000000</v>
      </c>
      <c r="E49" s="303">
        <f>'AND 1'!W49+'ADY 1'!W49</f>
        <v>102722501.12</v>
      </c>
      <c r="F49" s="296">
        <f t="shared" si="25"/>
        <v>-62722501.120000005</v>
      </c>
      <c r="G49" s="406">
        <f t="shared" si="26"/>
        <v>2.568062528</v>
      </c>
      <c r="H49" s="303">
        <f>'AND 1'!X49+'ADY 1'!X49</f>
        <v>40000000</v>
      </c>
      <c r="I49" s="303">
        <f>'AND 1'!Y49+'ADY 1'!Y49</f>
        <v>51416236</v>
      </c>
      <c r="J49" s="296">
        <f t="shared" si="27"/>
        <v>-11416236</v>
      </c>
      <c r="K49" s="406">
        <f t="shared" si="28"/>
        <v>1.2854059</v>
      </c>
      <c r="L49" s="303">
        <f>'AND 1'!Z49+'ADY 1'!Z49</f>
        <v>40000000</v>
      </c>
      <c r="M49" s="303">
        <f>'AND 1'!AA49+'ADY 1'!AA49</f>
        <v>70676101</v>
      </c>
      <c r="N49" s="296">
        <f t="shared" si="29"/>
        <v>-30676101</v>
      </c>
      <c r="O49" s="406">
        <f t="shared" si="30"/>
        <v>1.7669025249999999</v>
      </c>
      <c r="P49" s="296">
        <f t="shared" si="34"/>
        <v>120000000</v>
      </c>
      <c r="Q49" s="296">
        <f t="shared" si="35"/>
        <v>224814838.12</v>
      </c>
      <c r="R49" s="296">
        <f t="shared" si="31"/>
        <v>-104814838.12</v>
      </c>
      <c r="S49" s="406">
        <f t="shared" si="32"/>
        <v>1.8734569843333333</v>
      </c>
      <c r="T49" s="618">
        <f>'AND 1'!AC49+'ADY 1'!AF49</f>
        <v>661004347.12</v>
      </c>
      <c r="U49" s="296">
        <f>'AND 1'!J49+'ADY 1'!J49</f>
        <v>40000000</v>
      </c>
      <c r="V49" s="296">
        <f>'AND 1'!L49+'ADY 1'!L49</f>
        <v>40000000</v>
      </c>
      <c r="W49" s="296">
        <f>'AND 1'!N49+'ADY 1'!N49</f>
        <v>40000000</v>
      </c>
      <c r="X49" s="296">
        <f>'AND 1'!P49+'ADY 1'!P49</f>
        <v>40000000</v>
      </c>
      <c r="Y49" s="296">
        <f>'AND 1'!R49+'ADY 1'!R49</f>
        <v>40000000</v>
      </c>
      <c r="Z49" s="296">
        <f>'AND 1'!T49+'ADY 1'!T49</f>
        <v>40000000</v>
      </c>
      <c r="AA49" s="296">
        <f>'AND 1'!V49+'ADY 1'!V49</f>
        <v>40000000</v>
      </c>
      <c r="AB49" s="296">
        <f>'AND 1'!X49+'ADY 1'!X49</f>
        <v>40000000</v>
      </c>
      <c r="AC49" s="296">
        <f>'AND 1'!Z49+'ADY 1'!Z49</f>
        <v>40000000</v>
      </c>
      <c r="AD49" s="297">
        <f t="shared" si="36"/>
        <v>480000000</v>
      </c>
      <c r="AE49" s="296">
        <f t="shared" si="37"/>
        <v>528000000.00000006</v>
      </c>
      <c r="AF49" s="296">
        <f t="shared" si="37"/>
        <v>580800000.00000012</v>
      </c>
      <c r="AG49" s="296">
        <f t="shared" si="37"/>
        <v>638880000.00000024</v>
      </c>
    </row>
    <row r="50" spans="1:38" ht="16.899999999999999" customHeight="1" x14ac:dyDescent="0.2">
      <c r="A50" s="246"/>
      <c r="B50" s="247"/>
      <c r="C50" s="653" t="s">
        <v>94</v>
      </c>
      <c r="D50" s="303">
        <f>'AND 1'!V50+'ADY 1'!V50</f>
        <v>46000000</v>
      </c>
      <c r="E50" s="303">
        <f>'AND 1'!W50+'ADY 1'!W50</f>
        <v>39436954.090000004</v>
      </c>
      <c r="F50" s="296">
        <f t="shared" si="25"/>
        <v>6563045.9099999964</v>
      </c>
      <c r="G50" s="406">
        <f t="shared" si="26"/>
        <v>0.8573250889130436</v>
      </c>
      <c r="H50" s="303">
        <f>'AND 1'!X50+'ADY 1'!X50</f>
        <v>46000000</v>
      </c>
      <c r="I50" s="303">
        <f>'AND 1'!Y50+'ADY 1'!Y50</f>
        <v>38164794.280000001</v>
      </c>
      <c r="J50" s="296">
        <f t="shared" si="27"/>
        <v>7835205.7199999988</v>
      </c>
      <c r="K50" s="406">
        <f t="shared" si="28"/>
        <v>0.82966944086956529</v>
      </c>
      <c r="L50" s="303">
        <f>'AND 1'!Z50+'ADY 1'!Z50</f>
        <v>46000000</v>
      </c>
      <c r="M50" s="303">
        <f>'AND 1'!AA50+'ADY 1'!AA50</f>
        <v>39436954.100000001</v>
      </c>
      <c r="N50" s="296">
        <f t="shared" si="29"/>
        <v>6563045.8999999985</v>
      </c>
      <c r="O50" s="406">
        <f t="shared" si="30"/>
        <v>0.85732508913043481</v>
      </c>
      <c r="P50" s="296">
        <f t="shared" si="34"/>
        <v>138000000</v>
      </c>
      <c r="Q50" s="296">
        <f t="shared" si="35"/>
        <v>117038702.47</v>
      </c>
      <c r="R50" s="296">
        <f t="shared" si="31"/>
        <v>20961297.530000001</v>
      </c>
      <c r="S50" s="406">
        <f t="shared" si="32"/>
        <v>0.84810653963768112</v>
      </c>
      <c r="T50" s="618">
        <f>'AND 1'!AC50+'ADY 1'!AF50</f>
        <v>466879423.70000005</v>
      </c>
      <c r="U50" s="296">
        <f>'AND 1'!J50+'ADY 1'!J50</f>
        <v>46000000</v>
      </c>
      <c r="V50" s="296">
        <f>'AND 1'!L50+'ADY 1'!L50</f>
        <v>46000000</v>
      </c>
      <c r="W50" s="296">
        <f>'AND 1'!N50+'ADY 1'!N50</f>
        <v>46000000</v>
      </c>
      <c r="X50" s="296">
        <f>'AND 1'!P50+'ADY 1'!P50</f>
        <v>46000000</v>
      </c>
      <c r="Y50" s="296">
        <f>'AND 1'!R50+'ADY 1'!R50</f>
        <v>46000000</v>
      </c>
      <c r="Z50" s="296">
        <f>'AND 1'!T50+'ADY 1'!T50</f>
        <v>46000000</v>
      </c>
      <c r="AA50" s="296">
        <f>'AND 1'!V50+'ADY 1'!V50</f>
        <v>46000000</v>
      </c>
      <c r="AB50" s="296">
        <f>'AND 1'!X50+'ADY 1'!X50</f>
        <v>46000000</v>
      </c>
      <c r="AC50" s="296">
        <f>'AND 1'!Z50+'ADY 1'!Z50</f>
        <v>46000000</v>
      </c>
      <c r="AD50" s="297">
        <f t="shared" si="36"/>
        <v>552000000</v>
      </c>
      <c r="AE50" s="296">
        <f t="shared" si="37"/>
        <v>607200000</v>
      </c>
      <c r="AF50" s="296">
        <f t="shared" si="37"/>
        <v>667920000</v>
      </c>
      <c r="AG50" s="296">
        <f t="shared" si="37"/>
        <v>734712000</v>
      </c>
    </row>
    <row r="51" spans="1:38" s="57" customFormat="1" ht="27" x14ac:dyDescent="0.2">
      <c r="A51" s="246"/>
      <c r="B51" s="256"/>
      <c r="C51" s="314" t="s">
        <v>96</v>
      </c>
      <c r="D51" s="303">
        <f>'AND 1'!V51+'ADY 1'!V51</f>
        <v>2000000</v>
      </c>
      <c r="E51" s="303">
        <f>'AND 1'!W51+'ADY 1'!W51</f>
        <v>1428900</v>
      </c>
      <c r="F51" s="296">
        <f t="shared" si="25"/>
        <v>571100</v>
      </c>
      <c r="G51" s="406">
        <f t="shared" si="26"/>
        <v>0.71445000000000003</v>
      </c>
      <c r="H51" s="303">
        <f>'AND 1'!X51+'ADY 1'!X51</f>
        <v>2000000</v>
      </c>
      <c r="I51" s="303">
        <f>'AND 1'!Y51+'ADY 1'!Y51</f>
        <v>1095800</v>
      </c>
      <c r="J51" s="296">
        <f t="shared" si="27"/>
        <v>904200</v>
      </c>
      <c r="K51" s="406">
        <f t="shared" si="28"/>
        <v>0.54790000000000005</v>
      </c>
      <c r="L51" s="303">
        <f>'AND 1'!Z51+'ADY 1'!Z51</f>
        <v>2000000</v>
      </c>
      <c r="M51" s="303">
        <f>'AND 1'!AA51+'ADY 1'!AA51</f>
        <v>3910400</v>
      </c>
      <c r="N51" s="296">
        <f t="shared" si="29"/>
        <v>-1910400</v>
      </c>
      <c r="O51" s="406">
        <f t="shared" si="30"/>
        <v>1.9552</v>
      </c>
      <c r="P51" s="296">
        <f t="shared" si="34"/>
        <v>6000000</v>
      </c>
      <c r="Q51" s="296">
        <f t="shared" si="35"/>
        <v>6435100</v>
      </c>
      <c r="R51" s="296">
        <f t="shared" si="31"/>
        <v>-435100</v>
      </c>
      <c r="S51" s="406">
        <f t="shared" si="32"/>
        <v>1.0725166666666666</v>
      </c>
      <c r="T51" s="618">
        <f>'AND 1'!AC51+'ADY 1'!AF51</f>
        <v>24288760</v>
      </c>
      <c r="U51" s="296">
        <f>'AND 1'!J51+'ADY 1'!J51</f>
        <v>2000000</v>
      </c>
      <c r="V51" s="296">
        <f>'AND 1'!L51+'ADY 1'!L51</f>
        <v>2000000</v>
      </c>
      <c r="W51" s="296">
        <f>'AND 1'!N51+'ADY 1'!N51</f>
        <v>2000000</v>
      </c>
      <c r="X51" s="296">
        <f>'AND 1'!P51+'ADY 1'!P51</f>
        <v>2000000</v>
      </c>
      <c r="Y51" s="296">
        <f>'AND 1'!R51+'ADY 1'!R51</f>
        <v>2000000</v>
      </c>
      <c r="Z51" s="296">
        <f>'AND 1'!T51+'ADY 1'!T51</f>
        <v>2000000</v>
      </c>
      <c r="AA51" s="296">
        <f>'AND 1'!V51+'ADY 1'!V51</f>
        <v>2000000</v>
      </c>
      <c r="AB51" s="296">
        <f>'AND 1'!X51+'ADY 1'!X51</f>
        <v>2000000</v>
      </c>
      <c r="AC51" s="296">
        <f>'AND 1'!Z51+'ADY 1'!Z51</f>
        <v>2000000</v>
      </c>
      <c r="AD51" s="297">
        <f t="shared" si="36"/>
        <v>24000000</v>
      </c>
      <c r="AE51" s="296">
        <f t="shared" si="37"/>
        <v>26400000.000000004</v>
      </c>
      <c r="AF51" s="296">
        <f t="shared" si="37"/>
        <v>29040000.000000007</v>
      </c>
      <c r="AG51" s="296">
        <f t="shared" si="37"/>
        <v>31944000.000000011</v>
      </c>
    </row>
    <row r="52" spans="1:38" ht="16.899999999999999" customHeight="1" x14ac:dyDescent="0.2">
      <c r="A52" s="246"/>
      <c r="B52" s="247"/>
      <c r="C52" s="653" t="s">
        <v>98</v>
      </c>
      <c r="D52" s="303">
        <f>'AND 1'!V52+'ADY 1'!V52</f>
        <v>5000000</v>
      </c>
      <c r="E52" s="303">
        <f>'AND 1'!W52+'ADY 1'!W52</f>
        <v>0</v>
      </c>
      <c r="F52" s="296">
        <f t="shared" si="25"/>
        <v>5000000</v>
      </c>
      <c r="G52" s="406">
        <f t="shared" si="26"/>
        <v>0</v>
      </c>
      <c r="H52" s="303">
        <f>'AND 1'!X52+'ADY 1'!X52</f>
        <v>5000000</v>
      </c>
      <c r="I52" s="303">
        <f>'AND 1'!Y52+'ADY 1'!Y52</f>
        <v>2345000</v>
      </c>
      <c r="J52" s="296">
        <f t="shared" si="27"/>
        <v>2655000</v>
      </c>
      <c r="K52" s="406">
        <f t="shared" si="28"/>
        <v>0.46899999999999997</v>
      </c>
      <c r="L52" s="303">
        <f>'AND 1'!Z52+'ADY 1'!Z52</f>
        <v>5000000</v>
      </c>
      <c r="M52" s="303">
        <f>'AND 1'!AA52+'ADY 1'!AA52</f>
        <v>1780000</v>
      </c>
      <c r="N52" s="296">
        <f t="shared" si="29"/>
        <v>3220000</v>
      </c>
      <c r="O52" s="406">
        <f t="shared" si="30"/>
        <v>0.35599999999999998</v>
      </c>
      <c r="P52" s="296">
        <f t="shared" si="34"/>
        <v>15000000</v>
      </c>
      <c r="Q52" s="296">
        <f t="shared" si="35"/>
        <v>4125000</v>
      </c>
      <c r="R52" s="296">
        <f t="shared" si="31"/>
        <v>10875000</v>
      </c>
      <c r="S52" s="406">
        <f t="shared" si="32"/>
        <v>0.27500000000000002</v>
      </c>
      <c r="T52" s="618">
        <f>'AND 1'!AC52+'ADY 1'!AF52</f>
        <v>22073182</v>
      </c>
      <c r="U52" s="296">
        <f>'AND 1'!J52+'ADY 1'!J52</f>
        <v>5000000</v>
      </c>
      <c r="V52" s="296">
        <f>'AND 1'!L52+'ADY 1'!L52</f>
        <v>5000000</v>
      </c>
      <c r="W52" s="296">
        <f>'AND 1'!N52+'ADY 1'!N52</f>
        <v>5000000</v>
      </c>
      <c r="X52" s="296">
        <f>'AND 1'!P52+'ADY 1'!P52</f>
        <v>5000000</v>
      </c>
      <c r="Y52" s="296">
        <f>'AND 1'!R52+'ADY 1'!R52</f>
        <v>5000000</v>
      </c>
      <c r="Z52" s="296">
        <f>'AND 1'!T52+'ADY 1'!T52</f>
        <v>5000000</v>
      </c>
      <c r="AA52" s="296">
        <f>'AND 1'!V52+'ADY 1'!V52</f>
        <v>5000000</v>
      </c>
      <c r="AB52" s="296">
        <f>'AND 1'!X52+'ADY 1'!X52</f>
        <v>5000000</v>
      </c>
      <c r="AC52" s="296">
        <f>'AND 1'!Z52+'ADY 1'!Z52</f>
        <v>5000000</v>
      </c>
      <c r="AD52" s="297">
        <f t="shared" si="36"/>
        <v>60000000</v>
      </c>
      <c r="AE52" s="296">
        <f t="shared" si="37"/>
        <v>66000000.000000007</v>
      </c>
      <c r="AF52" s="296">
        <f t="shared" si="37"/>
        <v>72600000.000000015</v>
      </c>
      <c r="AG52" s="296">
        <f t="shared" si="37"/>
        <v>79860000.00000003</v>
      </c>
    </row>
    <row r="53" spans="1:38" ht="16.899999999999999" customHeight="1" x14ac:dyDescent="0.2">
      <c r="A53" s="246"/>
      <c r="B53" s="247"/>
      <c r="C53" s="305" t="s">
        <v>100</v>
      </c>
      <c r="D53" s="303">
        <f>'AND 1'!V53+'ADY 1'!V53</f>
        <v>20000000</v>
      </c>
      <c r="E53" s="303">
        <f>'AND 1'!W53+'ADY 1'!W53</f>
        <v>43230900</v>
      </c>
      <c r="F53" s="296">
        <f t="shared" si="25"/>
        <v>-23230900</v>
      </c>
      <c r="G53" s="406">
        <f t="shared" si="26"/>
        <v>2.1615449999999998</v>
      </c>
      <c r="H53" s="303">
        <f>'AND 1'!X53+'ADY 1'!X53</f>
        <v>20000000</v>
      </c>
      <c r="I53" s="303">
        <f>'AND 1'!Y53+'ADY 1'!Y53</f>
        <v>34541100</v>
      </c>
      <c r="J53" s="296">
        <f t="shared" si="27"/>
        <v>-14541100</v>
      </c>
      <c r="K53" s="406">
        <f t="shared" si="28"/>
        <v>1.727055</v>
      </c>
      <c r="L53" s="303">
        <f>'AND 1'!Z53+'ADY 1'!Z53</f>
        <v>20000000</v>
      </c>
      <c r="M53" s="303">
        <f>'AND 1'!AA53+'ADY 1'!AA53</f>
        <v>42062100</v>
      </c>
      <c r="N53" s="296">
        <f t="shared" si="29"/>
        <v>-22062100</v>
      </c>
      <c r="O53" s="406">
        <f t="shared" si="30"/>
        <v>2.1031049999999998</v>
      </c>
      <c r="P53" s="296">
        <f t="shared" si="34"/>
        <v>60000000</v>
      </c>
      <c r="Q53" s="296">
        <f t="shared" si="35"/>
        <v>119834100</v>
      </c>
      <c r="R53" s="296">
        <f t="shared" si="31"/>
        <v>-59834100</v>
      </c>
      <c r="S53" s="406">
        <f t="shared" si="32"/>
        <v>1.9972350000000001</v>
      </c>
      <c r="T53" s="618">
        <f>'AND 1'!AC53+'ADY 1'!AF53</f>
        <v>291020247.69999999</v>
      </c>
      <c r="U53" s="296">
        <f>'AND 1'!J53+'ADY 1'!J53</f>
        <v>20000000</v>
      </c>
      <c r="V53" s="296">
        <f>'AND 1'!L53+'ADY 1'!L53</f>
        <v>20000000</v>
      </c>
      <c r="W53" s="296">
        <f>'AND 1'!N53+'ADY 1'!N53</f>
        <v>20000000</v>
      </c>
      <c r="X53" s="296">
        <f>'AND 1'!P53+'ADY 1'!P53</f>
        <v>20000000</v>
      </c>
      <c r="Y53" s="296">
        <f>'AND 1'!R53+'ADY 1'!R53</f>
        <v>20000000</v>
      </c>
      <c r="Z53" s="296">
        <f>'AND 1'!T53+'ADY 1'!T53</f>
        <v>20000000</v>
      </c>
      <c r="AA53" s="296">
        <f>'AND 1'!V53+'ADY 1'!V53</f>
        <v>20000000</v>
      </c>
      <c r="AB53" s="296">
        <f>'AND 1'!X53+'ADY 1'!X53</f>
        <v>20000000</v>
      </c>
      <c r="AC53" s="296">
        <f>'AND 1'!Z53+'ADY 1'!Z53</f>
        <v>20000000</v>
      </c>
      <c r="AD53" s="297">
        <f t="shared" si="36"/>
        <v>240000000</v>
      </c>
      <c r="AE53" s="296">
        <f t="shared" si="37"/>
        <v>264000000.00000003</v>
      </c>
      <c r="AF53" s="296">
        <f t="shared" si="37"/>
        <v>290400000.00000006</v>
      </c>
      <c r="AG53" s="296">
        <f t="shared" si="37"/>
        <v>319440000.00000012</v>
      </c>
    </row>
    <row r="54" spans="1:38" ht="16.899999999999999" customHeight="1" x14ac:dyDescent="0.2">
      <c r="A54" s="246"/>
      <c r="B54" s="247"/>
      <c r="C54" s="305" t="s">
        <v>101</v>
      </c>
      <c r="D54" s="303">
        <f>'AND 1'!V54+'ADY 1'!V54</f>
        <v>0</v>
      </c>
      <c r="E54" s="303">
        <f>'AND 1'!W54+'ADY 1'!W54</f>
        <v>0</v>
      </c>
      <c r="F54" s="296">
        <f t="shared" si="25"/>
        <v>0</v>
      </c>
      <c r="G54" s="406" t="e">
        <f t="shared" si="26"/>
        <v>#DIV/0!</v>
      </c>
      <c r="H54" s="303">
        <f>'AND 1'!X54+'ADY 1'!X54</f>
        <v>0</v>
      </c>
      <c r="I54" s="303">
        <f>'AND 1'!Y54+'ADY 1'!Y54</f>
        <v>0</v>
      </c>
      <c r="J54" s="296">
        <f t="shared" si="27"/>
        <v>0</v>
      </c>
      <c r="K54" s="406" t="e">
        <f t="shared" si="28"/>
        <v>#DIV/0!</v>
      </c>
      <c r="L54" s="303">
        <f>'AND 1'!Z54+'ADY 1'!Z54</f>
        <v>0</v>
      </c>
      <c r="M54" s="303">
        <f>'AND 1'!AA54+'ADY 1'!AA54</f>
        <v>0</v>
      </c>
      <c r="N54" s="296">
        <f t="shared" si="29"/>
        <v>0</v>
      </c>
      <c r="O54" s="406" t="e">
        <f t="shared" si="30"/>
        <v>#DIV/0!</v>
      </c>
      <c r="P54" s="296">
        <f t="shared" si="34"/>
        <v>0</v>
      </c>
      <c r="Q54" s="296">
        <f t="shared" si="35"/>
        <v>0</v>
      </c>
      <c r="R54" s="296">
        <f t="shared" si="31"/>
        <v>0</v>
      </c>
      <c r="S54" s="406" t="e">
        <f t="shared" si="32"/>
        <v>#DIV/0!</v>
      </c>
      <c r="T54" s="618">
        <f>'AND 1'!AC54+'ADY 1'!AF54</f>
        <v>0</v>
      </c>
      <c r="U54" s="296">
        <f>'AND 1'!J54+'ADY 1'!J54</f>
        <v>0</v>
      </c>
      <c r="V54" s="296">
        <f>'AND 1'!L54+'ADY 1'!L54</f>
        <v>0</v>
      </c>
      <c r="W54" s="296">
        <f>'AND 1'!N54+'ADY 1'!N54</f>
        <v>0</v>
      </c>
      <c r="X54" s="296">
        <f>'AND 1'!P54+'ADY 1'!P54</f>
        <v>0</v>
      </c>
      <c r="Y54" s="296">
        <f>'AND 1'!R54+'ADY 1'!R54</f>
        <v>0</v>
      </c>
      <c r="Z54" s="296">
        <f>'AND 1'!T54+'ADY 1'!T54</f>
        <v>0</v>
      </c>
      <c r="AA54" s="296">
        <f>'AND 1'!V54+'ADY 1'!V54</f>
        <v>0</v>
      </c>
      <c r="AB54" s="296">
        <f>'AND 1'!X54+'ADY 1'!X54</f>
        <v>0</v>
      </c>
      <c r="AC54" s="296">
        <f>'AND 1'!Z54+'ADY 1'!Z54</f>
        <v>0</v>
      </c>
      <c r="AD54" s="297">
        <f t="shared" si="36"/>
        <v>0</v>
      </c>
      <c r="AE54" s="296">
        <f t="shared" si="37"/>
        <v>0</v>
      </c>
      <c r="AF54" s="296">
        <f t="shared" si="37"/>
        <v>0</v>
      </c>
      <c r="AG54" s="296">
        <f t="shared" si="37"/>
        <v>0</v>
      </c>
    </row>
    <row r="55" spans="1:38" ht="16.899999999999999" customHeight="1" x14ac:dyDescent="0.2">
      <c r="A55" s="246"/>
      <c r="B55" s="247"/>
      <c r="C55" s="315" t="s">
        <v>102</v>
      </c>
      <c r="D55" s="303">
        <f>'AND 1'!V55+'ADY 1'!V55</f>
        <v>0</v>
      </c>
      <c r="E55" s="303">
        <f>'AND 1'!W55+'ADY 1'!W55</f>
        <v>0</v>
      </c>
      <c r="F55" s="296">
        <f t="shared" si="25"/>
        <v>0</v>
      </c>
      <c r="G55" s="406" t="e">
        <f t="shared" si="26"/>
        <v>#DIV/0!</v>
      </c>
      <c r="H55" s="303">
        <f>'AND 1'!X55+'ADY 1'!X55</f>
        <v>0</v>
      </c>
      <c r="I55" s="303">
        <f>'AND 1'!Y55+'ADY 1'!Y55</f>
        <v>0</v>
      </c>
      <c r="J55" s="296">
        <f t="shared" si="27"/>
        <v>0</v>
      </c>
      <c r="K55" s="406" t="e">
        <f t="shared" si="28"/>
        <v>#DIV/0!</v>
      </c>
      <c r="L55" s="303">
        <f>'AND 1'!Z55+'ADY 1'!Z55</f>
        <v>0</v>
      </c>
      <c r="M55" s="303">
        <f>'AND 1'!AA55+'ADY 1'!AA55</f>
        <v>0</v>
      </c>
      <c r="N55" s="296">
        <f t="shared" si="29"/>
        <v>0</v>
      </c>
      <c r="O55" s="406" t="e">
        <f t="shared" si="30"/>
        <v>#DIV/0!</v>
      </c>
      <c r="P55" s="296">
        <f t="shared" si="34"/>
        <v>0</v>
      </c>
      <c r="Q55" s="296">
        <f t="shared" si="35"/>
        <v>0</v>
      </c>
      <c r="R55" s="296">
        <f t="shared" si="31"/>
        <v>0</v>
      </c>
      <c r="S55" s="406" t="e">
        <f t="shared" si="32"/>
        <v>#DIV/0!</v>
      </c>
      <c r="T55" s="618">
        <f>'AND 1'!AC55+'ADY 1'!AF55</f>
        <v>0</v>
      </c>
      <c r="U55" s="299">
        <f>'AND 1'!J55+'ADY 1'!J55</f>
        <v>0</v>
      </c>
      <c r="V55" s="299">
        <f>'AND 1'!L55+'ADY 1'!L55</f>
        <v>0</v>
      </c>
      <c r="W55" s="299">
        <f>'AND 1'!N55+'ADY 1'!N55</f>
        <v>0</v>
      </c>
      <c r="X55" s="299">
        <f>'AND 1'!P55+'ADY 1'!P55</f>
        <v>5000000</v>
      </c>
      <c r="Y55" s="299">
        <f>'AND 1'!R55+'ADY 1'!R55</f>
        <v>5000000</v>
      </c>
      <c r="Z55" s="299">
        <f>'AND 1'!T55+'ADY 1'!T55</f>
        <v>0</v>
      </c>
      <c r="AA55" s="299">
        <f>'AND 1'!V55+'ADY 1'!V55</f>
        <v>0</v>
      </c>
      <c r="AB55" s="299">
        <f>'AND 1'!X55+'ADY 1'!X55</f>
        <v>0</v>
      </c>
      <c r="AC55" s="299">
        <f>'AND 1'!Z55+'ADY 1'!Z55</f>
        <v>0</v>
      </c>
      <c r="AD55" s="300">
        <f t="shared" si="36"/>
        <v>10000000</v>
      </c>
      <c r="AE55" s="299">
        <f t="shared" si="37"/>
        <v>11000000</v>
      </c>
      <c r="AF55" s="299">
        <f t="shared" si="37"/>
        <v>12100000.000000002</v>
      </c>
      <c r="AG55" s="299">
        <f t="shared" si="37"/>
        <v>13310000.000000004</v>
      </c>
      <c r="AI55" s="251">
        <f>'AND 1'!AB44+'AND 1'!AB47+'AND 1'!AB51+'AND 1'!AB53+'AND 1'!AB54+'AND 1'!AB55+'ADY 1'!AB44+'ADY 1'!AB47+'ADY 1'!AB51+'ADY 1'!AB53+'ADY 1'!AB54+'ADY 1'!AB55</f>
        <v>2661000000</v>
      </c>
      <c r="AJ55" s="251">
        <f>'AND 1'!AC44+'AND 1'!AC47+'AND 1'!AC51+'AND 1'!AC53+'AND 1'!AC54+'AND 1'!AC55+'ADY 1'!AF44+'ADY 1'!AF47+'ADY 1'!AF51+'ADY 1'!AF53+'ADY 1'!AF54+'ADY 1'!AF55</f>
        <v>2886567586.9299998</v>
      </c>
      <c r="AK55" s="251">
        <f>AJ55-AI55</f>
        <v>225567586.92999983</v>
      </c>
      <c r="AL55" s="403">
        <f>AK55/AI55</f>
        <v>8.4767977049981152E-2</v>
      </c>
    </row>
    <row r="56" spans="1:38" s="251" customFormat="1" ht="16.899999999999999" customHeight="1" x14ac:dyDescent="0.2">
      <c r="A56" s="249"/>
      <c r="B56" s="247"/>
      <c r="C56" s="267" t="s">
        <v>330</v>
      </c>
      <c r="D56" s="267">
        <f>SUM(D45:D55)</f>
        <v>347000000</v>
      </c>
      <c r="E56" s="267">
        <f>SUM(E45:E55)</f>
        <v>622236100.41999996</v>
      </c>
      <c r="F56" s="269">
        <f t="shared" si="25"/>
        <v>-275236100.41999996</v>
      </c>
      <c r="G56" s="412">
        <f t="shared" si="26"/>
        <v>1.7931876092795387</v>
      </c>
      <c r="H56" s="267">
        <f>SUM(H45:H55)</f>
        <v>287000000</v>
      </c>
      <c r="I56" s="267">
        <f>SUM(I45:I55)</f>
        <v>569422383.32000005</v>
      </c>
      <c r="J56" s="269">
        <f t="shared" si="27"/>
        <v>-282422383.32000005</v>
      </c>
      <c r="K56" s="412">
        <f t="shared" si="28"/>
        <v>1.9840501160975612</v>
      </c>
      <c r="L56" s="267">
        <f>SUM(L45:L55)</f>
        <v>287000000</v>
      </c>
      <c r="M56" s="267">
        <f>SUM(M45:M55)</f>
        <v>610468024.53999996</v>
      </c>
      <c r="N56" s="269">
        <f t="shared" si="29"/>
        <v>-323468024.53999996</v>
      </c>
      <c r="O56" s="412">
        <f t="shared" si="30"/>
        <v>2.1270662875958188</v>
      </c>
      <c r="P56" s="267">
        <f>SUM(P45:P55)</f>
        <v>921000000</v>
      </c>
      <c r="Q56" s="267">
        <f>SUM(Q45:Q55)</f>
        <v>1802126508.28</v>
      </c>
      <c r="R56" s="269">
        <f t="shared" si="31"/>
        <v>-881126508.27999997</v>
      </c>
      <c r="S56" s="412">
        <f t="shared" si="32"/>
        <v>1.9567063064929424</v>
      </c>
      <c r="T56" s="621">
        <f t="shared" ref="T56:AG56" si="38">SUM(T45:T55)</f>
        <v>4805668314.8199997</v>
      </c>
      <c r="U56" s="267">
        <f t="shared" si="38"/>
        <v>287000000</v>
      </c>
      <c r="V56" s="267">
        <f t="shared" si="38"/>
        <v>287000000</v>
      </c>
      <c r="W56" s="267">
        <f t="shared" si="38"/>
        <v>347000000</v>
      </c>
      <c r="X56" s="267">
        <f t="shared" si="38"/>
        <v>292000000</v>
      </c>
      <c r="Y56" s="267">
        <f t="shared" si="38"/>
        <v>292000000</v>
      </c>
      <c r="Z56" s="267">
        <f t="shared" si="38"/>
        <v>287000000</v>
      </c>
      <c r="AA56" s="267">
        <f t="shared" si="38"/>
        <v>347000000</v>
      </c>
      <c r="AB56" s="267">
        <f t="shared" si="38"/>
        <v>287000000</v>
      </c>
      <c r="AC56" s="267">
        <f t="shared" si="38"/>
        <v>287000000</v>
      </c>
      <c r="AD56" s="267">
        <f t="shared" si="38"/>
        <v>3634000000</v>
      </c>
      <c r="AE56" s="267">
        <f t="shared" si="38"/>
        <v>3997400000.0000005</v>
      </c>
      <c r="AF56" s="267">
        <f t="shared" si="38"/>
        <v>4397140000.000001</v>
      </c>
      <c r="AG56" s="267">
        <f t="shared" si="38"/>
        <v>4836854000.000001</v>
      </c>
      <c r="AI56" s="251">
        <f>P44+P47+P51+P53+P54+P55</f>
        <v>660000000</v>
      </c>
      <c r="AJ56" s="251">
        <f>Q44+Q47+Q51+Q53+Q54+Q55</f>
        <v>835229740</v>
      </c>
      <c r="AK56" s="251">
        <f>AJ56-AI56</f>
        <v>175229740</v>
      </c>
      <c r="AL56" s="403">
        <f>AK56/AI56</f>
        <v>0.26549960606060607</v>
      </c>
    </row>
    <row r="57" spans="1:38" ht="16.899999999999999" customHeight="1" x14ac:dyDescent="0.2">
      <c r="A57" s="246"/>
      <c r="B57" s="247"/>
      <c r="C57" s="310" t="s">
        <v>106</v>
      </c>
      <c r="D57" s="303">
        <f>'AND 1'!V58+'ADY 1'!V58</f>
        <v>0</v>
      </c>
      <c r="E57" s="303">
        <f>'AND 1'!W58+'ADY 1'!W58</f>
        <v>2450000</v>
      </c>
      <c r="F57" s="296">
        <f t="shared" si="25"/>
        <v>-2450000</v>
      </c>
      <c r="G57" s="406" t="e">
        <f t="shared" si="26"/>
        <v>#DIV/0!</v>
      </c>
      <c r="H57" s="303">
        <f>'AND 1'!X58+'ADY 1'!X58</f>
        <v>0</v>
      </c>
      <c r="I57" s="303">
        <f>'AND 1'!Y58+'ADY 1'!Y58</f>
        <v>2670000</v>
      </c>
      <c r="J57" s="296">
        <f t="shared" si="27"/>
        <v>-2670000</v>
      </c>
      <c r="K57" s="406" t="e">
        <f t="shared" si="28"/>
        <v>#DIV/0!</v>
      </c>
      <c r="L57" s="303">
        <f>'AND 1'!Z58+'ADY 1'!Z58</f>
        <v>0</v>
      </c>
      <c r="M57" s="303">
        <f>'AND 1'!AA58+'ADY 1'!AA58</f>
        <v>0</v>
      </c>
      <c r="N57" s="296">
        <f t="shared" si="29"/>
        <v>0</v>
      </c>
      <c r="O57" s="406" t="e">
        <f t="shared" si="30"/>
        <v>#DIV/0!</v>
      </c>
      <c r="P57" s="296">
        <f t="shared" ref="P57:Q62" si="39">D57+H57+L57</f>
        <v>0</v>
      </c>
      <c r="Q57" s="296">
        <f t="shared" si="39"/>
        <v>5120000</v>
      </c>
      <c r="R57" s="296">
        <f t="shared" si="31"/>
        <v>-5120000</v>
      </c>
      <c r="S57" s="406" t="e">
        <f t="shared" si="32"/>
        <v>#DIV/0!</v>
      </c>
      <c r="T57" s="618">
        <f>'AND 1'!AC58+'ADY 1'!AF58</f>
        <v>17738000</v>
      </c>
      <c r="U57" s="303">
        <f>'AND 1'!J58+'ADY 1'!J58</f>
        <v>0</v>
      </c>
      <c r="V57" s="303">
        <f>'AND 1'!L58+'ADY 1'!L58</f>
        <v>0</v>
      </c>
      <c r="W57" s="303">
        <f>'AND 1'!N58+'ADY 1'!N58</f>
        <v>2850000</v>
      </c>
      <c r="X57" s="303">
        <f>'AND 1'!P58+'ADY 1'!P58</f>
        <v>0</v>
      </c>
      <c r="Y57" s="303">
        <f>'AND 1'!R58+'ADY 1'!R58</f>
        <v>0</v>
      </c>
      <c r="Z57" s="303">
        <f>'AND 1'!T58+'ADY 1'!T58</f>
        <v>0</v>
      </c>
      <c r="AA57" s="303">
        <f>'AND 1'!V58+'ADY 1'!V58</f>
        <v>0</v>
      </c>
      <c r="AB57" s="303">
        <f>'AND 1'!X58+'ADY 1'!X58</f>
        <v>0</v>
      </c>
      <c r="AC57" s="303">
        <f>'AND 1'!Z58+'ADY 1'!Z58</f>
        <v>0</v>
      </c>
      <c r="AD57" s="304">
        <f t="shared" ref="AD57:AD62" si="40">AC57+AB57+AA57+Z57+Y57+X57+W57+V57+U57+L57+H57+D57</f>
        <v>2850000</v>
      </c>
      <c r="AE57" s="303">
        <f t="shared" ref="AE57:AG62" si="41">AD57*1.1</f>
        <v>3135000.0000000005</v>
      </c>
      <c r="AF57" s="303">
        <f t="shared" si="41"/>
        <v>3448500.0000000009</v>
      </c>
      <c r="AG57" s="303">
        <f t="shared" si="41"/>
        <v>3793350.0000000014</v>
      </c>
    </row>
    <row r="58" spans="1:38" ht="16.899999999999999" customHeight="1" x14ac:dyDescent="0.2">
      <c r="A58" s="332"/>
      <c r="B58" s="333"/>
      <c r="C58" s="305" t="s">
        <v>108</v>
      </c>
      <c r="D58" s="303">
        <f>'AND 1'!V59+'ADY 1'!V59</f>
        <v>1349000</v>
      </c>
      <c r="E58" s="303">
        <f>'AND 1'!W59+'ADY 1'!W59</f>
        <v>0</v>
      </c>
      <c r="F58" s="296">
        <f t="shared" si="25"/>
        <v>1349000</v>
      </c>
      <c r="G58" s="406">
        <f t="shared" si="26"/>
        <v>0</v>
      </c>
      <c r="H58" s="303">
        <f>'AND 1'!X59+'ADY 1'!X59</f>
        <v>1349000</v>
      </c>
      <c r="I58" s="303">
        <f>'AND 1'!Y59+'ADY 1'!Y59</f>
        <v>0</v>
      </c>
      <c r="J58" s="296">
        <f t="shared" si="27"/>
        <v>1349000</v>
      </c>
      <c r="K58" s="406">
        <f t="shared" si="28"/>
        <v>0</v>
      </c>
      <c r="L58" s="303">
        <f>'AND 1'!Z59+'ADY 1'!Z59</f>
        <v>1349000</v>
      </c>
      <c r="M58" s="303">
        <f>'AND 1'!AA59+'ADY 1'!AA59</f>
        <v>0</v>
      </c>
      <c r="N58" s="296">
        <f t="shared" si="29"/>
        <v>1349000</v>
      </c>
      <c r="O58" s="406">
        <f t="shared" si="30"/>
        <v>0</v>
      </c>
      <c r="P58" s="296">
        <f t="shared" si="39"/>
        <v>4047000</v>
      </c>
      <c r="Q58" s="296">
        <f t="shared" si="39"/>
        <v>0</v>
      </c>
      <c r="R58" s="296">
        <f t="shared" si="31"/>
        <v>4047000</v>
      </c>
      <c r="S58" s="406">
        <f t="shared" si="32"/>
        <v>0</v>
      </c>
      <c r="T58" s="618">
        <f>'AND 1'!AC59+'ADY 1'!AF59</f>
        <v>690000</v>
      </c>
      <c r="U58" s="296">
        <f>'AND 1'!J59+'ADY 1'!J59</f>
        <v>1349000</v>
      </c>
      <c r="V58" s="296">
        <f>'AND 1'!L59+'ADY 1'!L59</f>
        <v>1349000</v>
      </c>
      <c r="W58" s="296">
        <f>'AND 1'!N59+'ADY 1'!N59</f>
        <v>1349000</v>
      </c>
      <c r="X58" s="296">
        <f>'AND 1'!P59+'ADY 1'!P59</f>
        <v>1349000</v>
      </c>
      <c r="Y58" s="296">
        <f>'AND 1'!R59+'ADY 1'!R59</f>
        <v>1349000</v>
      </c>
      <c r="Z58" s="296">
        <f>'AND 1'!T59+'ADY 1'!T59</f>
        <v>1349000</v>
      </c>
      <c r="AA58" s="296">
        <f>'AND 1'!V59+'ADY 1'!V59</f>
        <v>1349000</v>
      </c>
      <c r="AB58" s="296">
        <f>'AND 1'!X59+'ADY 1'!X59</f>
        <v>1349000</v>
      </c>
      <c r="AC58" s="296">
        <f>'AND 1'!Z59+'ADY 1'!Z59</f>
        <v>1349000</v>
      </c>
      <c r="AD58" s="297">
        <f t="shared" si="40"/>
        <v>16188000</v>
      </c>
      <c r="AE58" s="296">
        <f t="shared" si="41"/>
        <v>17806800</v>
      </c>
      <c r="AF58" s="296">
        <f t="shared" si="41"/>
        <v>19587480</v>
      </c>
      <c r="AG58" s="296">
        <f t="shared" si="41"/>
        <v>21546228</v>
      </c>
    </row>
    <row r="59" spans="1:38" ht="16.899999999999999" customHeight="1" x14ac:dyDescent="0.2">
      <c r="A59" s="246"/>
      <c r="B59" s="247"/>
      <c r="C59" s="308" t="s">
        <v>110</v>
      </c>
      <c r="D59" s="303">
        <f>'AND 1'!V60+'ADY 1'!V60</f>
        <v>16910000</v>
      </c>
      <c r="E59" s="303">
        <f>'AND 1'!W60+'ADY 1'!W60</f>
        <v>19430600</v>
      </c>
      <c r="F59" s="296">
        <f t="shared" si="25"/>
        <v>-2520600</v>
      </c>
      <c r="G59" s="406">
        <f t="shared" si="26"/>
        <v>1.1490597279716144</v>
      </c>
      <c r="H59" s="303">
        <f>'AND 1'!X60+'ADY 1'!X60</f>
        <v>16910000</v>
      </c>
      <c r="I59" s="303">
        <f>'AND 1'!Y60+'ADY 1'!Y60</f>
        <v>5678000</v>
      </c>
      <c r="J59" s="296">
        <f t="shared" si="27"/>
        <v>11232000</v>
      </c>
      <c r="K59" s="406">
        <f t="shared" si="28"/>
        <v>0.33577764636309876</v>
      </c>
      <c r="L59" s="303">
        <f>'AND 1'!Z60+'ADY 1'!Z60</f>
        <v>16910000</v>
      </c>
      <c r="M59" s="303">
        <f>'AND 1'!AA60+'ADY 1'!AA60</f>
        <v>7894500</v>
      </c>
      <c r="N59" s="296">
        <f t="shared" si="29"/>
        <v>9015500</v>
      </c>
      <c r="O59" s="406">
        <f t="shared" si="30"/>
        <v>0.46685393258426966</v>
      </c>
      <c r="P59" s="296">
        <f t="shared" si="39"/>
        <v>50730000</v>
      </c>
      <c r="Q59" s="296">
        <f t="shared" si="39"/>
        <v>33003100</v>
      </c>
      <c r="R59" s="296">
        <f t="shared" si="31"/>
        <v>17726900</v>
      </c>
      <c r="S59" s="406">
        <f t="shared" si="32"/>
        <v>0.65056376897299428</v>
      </c>
      <c r="T59" s="618">
        <f>'AND 1'!AC60+'ADY 1'!AF60</f>
        <v>145402506</v>
      </c>
      <c r="U59" s="296">
        <f>'AND 1'!J60+'ADY 1'!J60</f>
        <v>16910000</v>
      </c>
      <c r="V59" s="296">
        <f>'AND 1'!L60+'ADY 1'!L60</f>
        <v>36860000</v>
      </c>
      <c r="W59" s="296">
        <f>'AND 1'!N60+'ADY 1'!N60</f>
        <v>16910000</v>
      </c>
      <c r="X59" s="296">
        <f>'AND 1'!P60+'ADY 1'!P60</f>
        <v>16910000</v>
      </c>
      <c r="Y59" s="296">
        <f>'AND 1'!R60+'ADY 1'!R60</f>
        <v>16910000</v>
      </c>
      <c r="Z59" s="296">
        <f>'AND 1'!T60+'ADY 1'!T60</f>
        <v>16910000</v>
      </c>
      <c r="AA59" s="296">
        <f>'AND 1'!V60+'ADY 1'!V60</f>
        <v>16910000</v>
      </c>
      <c r="AB59" s="296">
        <f>'AND 1'!X60+'ADY 1'!X60</f>
        <v>16910000</v>
      </c>
      <c r="AC59" s="296">
        <f>'AND 1'!Z60+'ADY 1'!Z60</f>
        <v>16910000</v>
      </c>
      <c r="AD59" s="297">
        <f t="shared" si="40"/>
        <v>222870000</v>
      </c>
      <c r="AE59" s="296">
        <f t="shared" si="41"/>
        <v>245157000.00000003</v>
      </c>
      <c r="AF59" s="296">
        <f t="shared" si="41"/>
        <v>269672700.00000006</v>
      </c>
      <c r="AG59" s="296">
        <f t="shared" si="41"/>
        <v>296639970.00000012</v>
      </c>
    </row>
    <row r="60" spans="1:38" ht="16.899999999999999" customHeight="1" x14ac:dyDescent="0.2">
      <c r="A60" s="246"/>
      <c r="B60" s="247"/>
      <c r="C60" s="305" t="s">
        <v>111</v>
      </c>
      <c r="D60" s="303">
        <f>'AND 1'!V61+'ADY 1'!V61</f>
        <v>0</v>
      </c>
      <c r="E60" s="303">
        <f>'AND 1'!W61+'ADY 1'!W61</f>
        <v>0</v>
      </c>
      <c r="F60" s="296">
        <f t="shared" si="25"/>
        <v>0</v>
      </c>
      <c r="G60" s="406" t="e">
        <f t="shared" si="26"/>
        <v>#DIV/0!</v>
      </c>
      <c r="H60" s="303">
        <f>'AND 1'!X61+'ADY 1'!X61</f>
        <v>0</v>
      </c>
      <c r="I60" s="303">
        <f>'AND 1'!Y68+'ADY 1'!Y61</f>
        <v>0</v>
      </c>
      <c r="J60" s="296">
        <f t="shared" si="27"/>
        <v>0</v>
      </c>
      <c r="K60" s="406" t="e">
        <f t="shared" si="28"/>
        <v>#DIV/0!</v>
      </c>
      <c r="L60" s="303">
        <f>'AND 1'!Z61+'ADY 1'!Z61</f>
        <v>0</v>
      </c>
      <c r="M60" s="303">
        <f>'AND 1'!AA68+'ADY 1'!AA61</f>
        <v>7000000</v>
      </c>
      <c r="N60" s="296">
        <f t="shared" si="29"/>
        <v>-7000000</v>
      </c>
      <c r="O60" s="406" t="e">
        <f t="shared" si="30"/>
        <v>#DIV/0!</v>
      </c>
      <c r="P60" s="296">
        <f t="shared" si="39"/>
        <v>0</v>
      </c>
      <c r="Q60" s="296">
        <f t="shared" si="39"/>
        <v>7000000</v>
      </c>
      <c r="R60" s="296">
        <f t="shared" si="31"/>
        <v>-7000000</v>
      </c>
      <c r="S60" s="406" t="e">
        <f t="shared" si="32"/>
        <v>#DIV/0!</v>
      </c>
      <c r="T60" s="618">
        <f>'AND 1'!AC61+'ADY 1'!AF61</f>
        <v>0</v>
      </c>
      <c r="U60" s="296">
        <f>'AND 1'!J61+'ADY 1'!J61</f>
        <v>0</v>
      </c>
      <c r="V60" s="296">
        <f>'AND 1'!L61+'ADY 1'!L61</f>
        <v>0</v>
      </c>
      <c r="W60" s="296">
        <f>'AND 1'!N61+'ADY 1'!N61</f>
        <v>0</v>
      </c>
      <c r="X60" s="296">
        <f>'AND 1'!P61+'ADY 1'!P61</f>
        <v>6650000</v>
      </c>
      <c r="Y60" s="296">
        <f>'AND 1'!R61+'ADY 1'!R61</f>
        <v>0</v>
      </c>
      <c r="Z60" s="296">
        <f>'AND 1'!T61+'ADY 1'!T61</f>
        <v>0</v>
      </c>
      <c r="AA60" s="296">
        <f>'AND 1'!V61+'ADY 1'!V61</f>
        <v>0</v>
      </c>
      <c r="AB60" s="296">
        <f>'AND 1'!X61+'ADY 1'!X61</f>
        <v>0</v>
      </c>
      <c r="AC60" s="296">
        <f>'AND 1'!Z61+'ADY 1'!Z61</f>
        <v>0</v>
      </c>
      <c r="AD60" s="297">
        <f t="shared" si="40"/>
        <v>6650000</v>
      </c>
      <c r="AE60" s="296">
        <f t="shared" si="41"/>
        <v>7315000.0000000009</v>
      </c>
      <c r="AF60" s="296">
        <f t="shared" si="41"/>
        <v>8046500.0000000019</v>
      </c>
      <c r="AG60" s="296">
        <f t="shared" si="41"/>
        <v>8851150.0000000019</v>
      </c>
    </row>
    <row r="61" spans="1:38" ht="16.899999999999999" customHeight="1" x14ac:dyDescent="0.2">
      <c r="A61" s="246"/>
      <c r="B61" s="247"/>
      <c r="C61" s="308" t="s">
        <v>112</v>
      </c>
      <c r="D61" s="303">
        <f>'AND 1'!V62+'ADY 1'!V62</f>
        <v>0</v>
      </c>
      <c r="E61" s="303">
        <f>'AND 1'!W62+'ADY 1'!W62</f>
        <v>0</v>
      </c>
      <c r="F61" s="296">
        <f t="shared" si="25"/>
        <v>0</v>
      </c>
      <c r="G61" s="406" t="e">
        <f t="shared" si="26"/>
        <v>#DIV/0!</v>
      </c>
      <c r="H61" s="303">
        <f>'AND 1'!X62+'ADY 1'!X62</f>
        <v>4750000</v>
      </c>
      <c r="I61" s="303">
        <f>'AND 1'!Y62+'ADY 1'!Y62</f>
        <v>0</v>
      </c>
      <c r="J61" s="296">
        <f t="shared" si="27"/>
        <v>4750000</v>
      </c>
      <c r="K61" s="406">
        <f t="shared" si="28"/>
        <v>0</v>
      </c>
      <c r="L61" s="303">
        <f>'AND 1'!Z62+'ADY 1'!Z62</f>
        <v>0</v>
      </c>
      <c r="M61" s="303">
        <f>'AND 1'!AA62+'ADY 1'!AA62</f>
        <v>0</v>
      </c>
      <c r="N61" s="296">
        <f t="shared" si="29"/>
        <v>0</v>
      </c>
      <c r="O61" s="406" t="e">
        <f t="shared" si="30"/>
        <v>#DIV/0!</v>
      </c>
      <c r="P61" s="296">
        <f t="shared" si="39"/>
        <v>4750000</v>
      </c>
      <c r="Q61" s="296">
        <f t="shared" si="39"/>
        <v>0</v>
      </c>
      <c r="R61" s="296">
        <f t="shared" si="31"/>
        <v>4750000</v>
      </c>
      <c r="S61" s="406">
        <f t="shared" si="32"/>
        <v>0</v>
      </c>
      <c r="T61" s="618">
        <f>'AND 1'!AC62+'ADY 1'!AF62</f>
        <v>0</v>
      </c>
      <c r="U61" s="296">
        <f>'AND 1'!J62+'ADY 1'!J62</f>
        <v>0</v>
      </c>
      <c r="V61" s="296">
        <f>'AND 1'!L62+'ADY 1'!L62</f>
        <v>0</v>
      </c>
      <c r="W61" s="296">
        <f>'AND 1'!N62+'ADY 1'!N62</f>
        <v>0</v>
      </c>
      <c r="X61" s="296">
        <f>'AND 1'!P62+'ADY 1'!P62</f>
        <v>4750000</v>
      </c>
      <c r="Y61" s="296">
        <f>'AND 1'!R62+'ADY 1'!R62</f>
        <v>0</v>
      </c>
      <c r="Z61" s="296">
        <f>'AND 1'!T62+'ADY 1'!T62</f>
        <v>0</v>
      </c>
      <c r="AA61" s="296">
        <f>'AND 1'!V62+'ADY 1'!V62</f>
        <v>0</v>
      </c>
      <c r="AB61" s="296">
        <f>'AND 1'!X62+'ADY 1'!X62</f>
        <v>4750000</v>
      </c>
      <c r="AC61" s="296">
        <f>'AND 1'!Z62+'ADY 1'!Z62</f>
        <v>0</v>
      </c>
      <c r="AD61" s="297">
        <f t="shared" si="40"/>
        <v>14250000</v>
      </c>
      <c r="AE61" s="296">
        <f t="shared" si="41"/>
        <v>15675000.000000002</v>
      </c>
      <c r="AF61" s="296">
        <f t="shared" si="41"/>
        <v>17242500.000000004</v>
      </c>
      <c r="AG61" s="296">
        <f t="shared" si="41"/>
        <v>18966750.000000007</v>
      </c>
    </row>
    <row r="62" spans="1:38" ht="16.899999999999999" customHeight="1" x14ac:dyDescent="0.2">
      <c r="A62" s="246"/>
      <c r="B62" s="247"/>
      <c r="C62" s="309" t="s">
        <v>113</v>
      </c>
      <c r="D62" s="303">
        <f>'AND 1'!V63+'ADY 1'!V63</f>
        <v>0</v>
      </c>
      <c r="E62" s="303">
        <f>'AND 1'!W63+'ADY 1'!W63</f>
        <v>0</v>
      </c>
      <c r="F62" s="296">
        <f t="shared" si="25"/>
        <v>0</v>
      </c>
      <c r="G62" s="406" t="e">
        <f t="shared" si="26"/>
        <v>#DIV/0!</v>
      </c>
      <c r="H62" s="303">
        <f>'AND 1'!X63+'ADY 1'!X63</f>
        <v>0</v>
      </c>
      <c r="I62" s="303">
        <f>'AND 1'!Y63+'ADY 1'!Y63</f>
        <v>0</v>
      </c>
      <c r="J62" s="296">
        <f t="shared" si="27"/>
        <v>0</v>
      </c>
      <c r="K62" s="406" t="e">
        <f t="shared" si="28"/>
        <v>#DIV/0!</v>
      </c>
      <c r="L62" s="303">
        <f>'AND 1'!Z63+'ADY 1'!Z63</f>
        <v>0</v>
      </c>
      <c r="M62" s="303">
        <f>'AND 1'!AA63+'ADY 1'!AA63</f>
        <v>0</v>
      </c>
      <c r="N62" s="296">
        <f t="shared" si="29"/>
        <v>0</v>
      </c>
      <c r="O62" s="406" t="e">
        <f t="shared" si="30"/>
        <v>#DIV/0!</v>
      </c>
      <c r="P62" s="296">
        <f t="shared" si="39"/>
        <v>0</v>
      </c>
      <c r="Q62" s="296">
        <f t="shared" si="39"/>
        <v>0</v>
      </c>
      <c r="R62" s="296">
        <f t="shared" si="31"/>
        <v>0</v>
      </c>
      <c r="S62" s="406" t="e">
        <f t="shared" si="32"/>
        <v>#DIV/0!</v>
      </c>
      <c r="T62" s="618">
        <f>'AND 1'!AC63+'ADY 1'!AF63</f>
        <v>0</v>
      </c>
      <c r="U62" s="299">
        <f>'AND 1'!J63+'ADY 1'!J63</f>
        <v>0</v>
      </c>
      <c r="V62" s="299">
        <f>'AND 1'!L63+'ADY 1'!L63</f>
        <v>1064000</v>
      </c>
      <c r="W62" s="299">
        <f>'AND 1'!N63+'ADY 1'!N63</f>
        <v>0</v>
      </c>
      <c r="X62" s="299">
        <f>'AND 1'!P63+'ADY 1'!P63</f>
        <v>0</v>
      </c>
      <c r="Y62" s="299">
        <f>'AND 1'!R63+'ADY 1'!R63</f>
        <v>0</v>
      </c>
      <c r="Z62" s="299">
        <f>'AND 1'!T63+'ADY 1'!T63</f>
        <v>0</v>
      </c>
      <c r="AA62" s="299">
        <f>'AND 1'!V63+'ADY 1'!V63</f>
        <v>0</v>
      </c>
      <c r="AB62" s="299">
        <f>'AND 1'!X63+'ADY 1'!X63</f>
        <v>0</v>
      </c>
      <c r="AC62" s="299">
        <f>'AND 1'!Z63+'ADY 1'!Z63</f>
        <v>0</v>
      </c>
      <c r="AD62" s="300">
        <f t="shared" si="40"/>
        <v>1064000</v>
      </c>
      <c r="AE62" s="299">
        <f t="shared" si="41"/>
        <v>1170400</v>
      </c>
      <c r="AF62" s="299">
        <f t="shared" si="41"/>
        <v>1287440</v>
      </c>
      <c r="AG62" s="299">
        <f t="shared" si="41"/>
        <v>1416184</v>
      </c>
    </row>
    <row r="63" spans="1:38" s="242" customFormat="1" ht="16.899999999999999" customHeight="1" x14ac:dyDescent="0.2">
      <c r="A63" s="246"/>
      <c r="B63" s="247"/>
      <c r="C63" s="268" t="s">
        <v>331</v>
      </c>
      <c r="D63" s="267">
        <f>SUM(D57:D62)</f>
        <v>18259000</v>
      </c>
      <c r="E63" s="267">
        <f>SUM(E57:E62)</f>
        <v>21880600</v>
      </c>
      <c r="F63" s="269">
        <f t="shared" si="25"/>
        <v>-3621600</v>
      </c>
      <c r="G63" s="412">
        <f t="shared" si="26"/>
        <v>1.1983460211402597</v>
      </c>
      <c r="H63" s="267">
        <f>SUM(H57:H62)</f>
        <v>23009000</v>
      </c>
      <c r="I63" s="267">
        <f>SUM(I57:I62)</f>
        <v>8348000</v>
      </c>
      <c r="J63" s="269">
        <f t="shared" si="27"/>
        <v>14661000</v>
      </c>
      <c r="K63" s="412">
        <f t="shared" si="28"/>
        <v>0.3628145508279369</v>
      </c>
      <c r="L63" s="267">
        <f>SUM(L57:L62)</f>
        <v>18259000</v>
      </c>
      <c r="M63" s="267">
        <f>SUM(M57:M62)</f>
        <v>14894500</v>
      </c>
      <c r="N63" s="269">
        <f t="shared" si="29"/>
        <v>3364500</v>
      </c>
      <c r="O63" s="412">
        <f t="shared" si="30"/>
        <v>0.8157347061722986</v>
      </c>
      <c r="P63" s="267">
        <f>SUM(P57:P62)</f>
        <v>59527000</v>
      </c>
      <c r="Q63" s="267">
        <f>SUM(Q57:Q62)</f>
        <v>45123100</v>
      </c>
      <c r="R63" s="269">
        <f t="shared" si="31"/>
        <v>14403900</v>
      </c>
      <c r="S63" s="412">
        <f t="shared" si="32"/>
        <v>0.75802744972869451</v>
      </c>
      <c r="T63" s="621">
        <f t="shared" ref="T63:AG63" si="42">SUM(T57:T62)</f>
        <v>163830506</v>
      </c>
      <c r="U63" s="267">
        <f t="shared" si="42"/>
        <v>18259000</v>
      </c>
      <c r="V63" s="267">
        <f t="shared" si="42"/>
        <v>39273000</v>
      </c>
      <c r="W63" s="267">
        <f t="shared" si="42"/>
        <v>21109000</v>
      </c>
      <c r="X63" s="267">
        <f t="shared" si="42"/>
        <v>29659000</v>
      </c>
      <c r="Y63" s="267">
        <f t="shared" si="42"/>
        <v>18259000</v>
      </c>
      <c r="Z63" s="267">
        <f t="shared" si="42"/>
        <v>18259000</v>
      </c>
      <c r="AA63" s="267">
        <f t="shared" si="42"/>
        <v>18259000</v>
      </c>
      <c r="AB63" s="267">
        <f t="shared" si="42"/>
        <v>23009000</v>
      </c>
      <c r="AC63" s="267">
        <f t="shared" si="42"/>
        <v>18259000</v>
      </c>
      <c r="AD63" s="267">
        <f t="shared" si="42"/>
        <v>263872000</v>
      </c>
      <c r="AE63" s="267">
        <f t="shared" si="42"/>
        <v>290259200.00000006</v>
      </c>
      <c r="AF63" s="267">
        <f t="shared" si="42"/>
        <v>319285120.00000006</v>
      </c>
      <c r="AG63" s="267">
        <f t="shared" si="42"/>
        <v>351213632.00000012</v>
      </c>
    </row>
    <row r="64" spans="1:38" s="260" customFormat="1" ht="16.899999999999999" customHeight="1" x14ac:dyDescent="0.2">
      <c r="A64" s="259"/>
      <c r="B64" s="247"/>
      <c r="C64" s="310" t="s">
        <v>111</v>
      </c>
      <c r="D64" s="303">
        <f>'AND 1'!V65+'ADY 1'!V65</f>
        <v>6650000</v>
      </c>
      <c r="E64" s="303">
        <f>'AND 1'!W65+'ADY 1'!W65</f>
        <v>0</v>
      </c>
      <c r="F64" s="296">
        <f t="shared" si="25"/>
        <v>6650000</v>
      </c>
      <c r="G64" s="406">
        <f t="shared" si="26"/>
        <v>0</v>
      </c>
      <c r="H64" s="303">
        <f>'AND 1'!X65+'ADY 1'!X65</f>
        <v>0</v>
      </c>
      <c r="I64" s="303">
        <f>'AND 1'!Y65+'ADY 1'!Y65</f>
        <v>0</v>
      </c>
      <c r="J64" s="296">
        <f t="shared" si="27"/>
        <v>0</v>
      </c>
      <c r="K64" s="406" t="e">
        <f t="shared" si="28"/>
        <v>#DIV/0!</v>
      </c>
      <c r="L64" s="303">
        <f>'AND 1'!Z65+'ADY 1'!Z65</f>
        <v>0</v>
      </c>
      <c r="M64" s="303">
        <f>'AND 1'!AA65+'ADY 1'!AA65</f>
        <v>0</v>
      </c>
      <c r="N64" s="296">
        <f t="shared" si="29"/>
        <v>0</v>
      </c>
      <c r="O64" s="406" t="e">
        <f t="shared" si="30"/>
        <v>#DIV/0!</v>
      </c>
      <c r="P64" s="296">
        <f>D64+H64+L64</f>
        <v>6650000</v>
      </c>
      <c r="Q64" s="296">
        <f>E64+I64+M64</f>
        <v>0</v>
      </c>
      <c r="R64" s="296">
        <f t="shared" si="31"/>
        <v>6650000</v>
      </c>
      <c r="S64" s="406">
        <f t="shared" si="32"/>
        <v>0</v>
      </c>
      <c r="T64" s="618">
        <f>'AND 1'!AC65+'ADY 1'!AF65</f>
        <v>0</v>
      </c>
      <c r="U64" s="303">
        <f>'AND 1'!J65+'ADY 1'!J65</f>
        <v>6650000</v>
      </c>
      <c r="V64" s="303">
        <f>'AND 1'!L65+'ADY 1'!L65</f>
        <v>0</v>
      </c>
      <c r="W64" s="303">
        <f>'AND 1'!N65+'ADY 1'!N65</f>
        <v>0</v>
      </c>
      <c r="X64" s="303">
        <f>'AND 1'!P65+'ADY 1'!P65</f>
        <v>0</v>
      </c>
      <c r="Y64" s="303">
        <f>'AND 1'!R65+'ADY 1'!R65</f>
        <v>0</v>
      </c>
      <c r="Z64" s="303">
        <f>'AND 1'!T65+'ADY 1'!T65</f>
        <v>0</v>
      </c>
      <c r="AA64" s="303">
        <f>'AND 1'!V65+'ADY 1'!V65</f>
        <v>6650000</v>
      </c>
      <c r="AB64" s="303">
        <f>'AND 1'!X65+'ADY 1'!X65</f>
        <v>0</v>
      </c>
      <c r="AC64" s="303">
        <f>'AND 1'!Z65+'ADY 1'!Z65</f>
        <v>0</v>
      </c>
      <c r="AD64" s="304">
        <f>AC64+AB64+AA64+Z64+Y64+X64+W64+V64+U64+L64+H64+D64</f>
        <v>19950000</v>
      </c>
      <c r="AE64" s="303">
        <f t="shared" ref="AE64:AG65" si="43">AD64*1.1</f>
        <v>21945000</v>
      </c>
      <c r="AF64" s="303">
        <f t="shared" si="43"/>
        <v>24139500.000000004</v>
      </c>
      <c r="AG64" s="303">
        <f t="shared" si="43"/>
        <v>26553450.000000007</v>
      </c>
    </row>
    <row r="65" spans="1:33" s="260" customFormat="1" ht="16.899999999999999" customHeight="1" x14ac:dyDescent="0.2">
      <c r="A65" s="261"/>
      <c r="B65" s="247"/>
      <c r="C65" s="309" t="s">
        <v>112</v>
      </c>
      <c r="D65" s="303">
        <f>'AND 1'!V66+'ADY 1'!V66</f>
        <v>0</v>
      </c>
      <c r="E65" s="303">
        <f>'AND 1'!W66+'ADY 1'!W66</f>
        <v>0</v>
      </c>
      <c r="F65" s="296">
        <f t="shared" si="25"/>
        <v>0</v>
      </c>
      <c r="G65" s="406" t="e">
        <f t="shared" si="26"/>
        <v>#DIV/0!</v>
      </c>
      <c r="H65" s="303">
        <f>'AND 1'!X66+'ADY 1'!X66</f>
        <v>0</v>
      </c>
      <c r="I65" s="303">
        <f>'AND 1'!Y66+'ADY 1'!Y66</f>
        <v>0</v>
      </c>
      <c r="J65" s="296">
        <f t="shared" si="27"/>
        <v>0</v>
      </c>
      <c r="K65" s="406" t="e">
        <f t="shared" si="28"/>
        <v>#DIV/0!</v>
      </c>
      <c r="L65" s="303">
        <f>'AND 1'!Z66+'ADY 1'!Z66</f>
        <v>0</v>
      </c>
      <c r="M65" s="303">
        <f>'AND 1'!AA66+'ADY 1'!AA66</f>
        <v>0</v>
      </c>
      <c r="N65" s="296">
        <f t="shared" si="29"/>
        <v>0</v>
      </c>
      <c r="O65" s="406" t="e">
        <f t="shared" si="30"/>
        <v>#DIV/0!</v>
      </c>
      <c r="P65" s="296">
        <f>D65+H65+L65</f>
        <v>0</v>
      </c>
      <c r="Q65" s="296">
        <f>E65+I65+M65</f>
        <v>0</v>
      </c>
      <c r="R65" s="296">
        <f t="shared" si="31"/>
        <v>0</v>
      </c>
      <c r="S65" s="406" t="e">
        <f t="shared" si="32"/>
        <v>#DIV/0!</v>
      </c>
      <c r="T65" s="618">
        <f>'AND 1'!AC66+'ADY 1'!AF66</f>
        <v>0</v>
      </c>
      <c r="U65" s="299">
        <f>'AND 1'!J66+'ADY 1'!J66</f>
        <v>0</v>
      </c>
      <c r="V65" s="299">
        <f>'AND 1'!L66+'ADY 1'!L66</f>
        <v>4750000</v>
      </c>
      <c r="W65" s="299">
        <f>'AND 1'!N66+'ADY 1'!N66</f>
        <v>0</v>
      </c>
      <c r="X65" s="299">
        <f>'AND 1'!P66+'ADY 1'!P66</f>
        <v>0</v>
      </c>
      <c r="Y65" s="299">
        <f>'AND 1'!R66+'ADY 1'!R66</f>
        <v>0</v>
      </c>
      <c r="Z65" s="299">
        <f>'AND 1'!T66+'ADY 1'!T66</f>
        <v>4750000</v>
      </c>
      <c r="AA65" s="299">
        <f>'AND 1'!V66+'ADY 1'!V66</f>
        <v>0</v>
      </c>
      <c r="AB65" s="299">
        <f>'AND 1'!X66+'ADY 1'!X66</f>
        <v>0</v>
      </c>
      <c r="AC65" s="299">
        <f>'AND 1'!Z66+'ADY 1'!Z66</f>
        <v>0</v>
      </c>
      <c r="AD65" s="300">
        <f>AC65+AB65+AA65+Z65+Y65+X65+W65+V65+U65+L65+H65+D65</f>
        <v>9500000</v>
      </c>
      <c r="AE65" s="299">
        <f t="shared" si="43"/>
        <v>10450000</v>
      </c>
      <c r="AF65" s="299">
        <f t="shared" si="43"/>
        <v>11495000</v>
      </c>
      <c r="AG65" s="299">
        <f t="shared" si="43"/>
        <v>12644500.000000002</v>
      </c>
    </row>
    <row r="66" spans="1:33" s="242" customFormat="1" ht="16.899999999999999" customHeight="1" x14ac:dyDescent="0.2">
      <c r="A66" s="257"/>
      <c r="B66" s="253"/>
      <c r="C66" s="268" t="s">
        <v>332</v>
      </c>
      <c r="D66" s="267">
        <f>SUM(D64:D65)</f>
        <v>6650000</v>
      </c>
      <c r="E66" s="267">
        <f>SUM(E64:E65)</f>
        <v>0</v>
      </c>
      <c r="F66" s="269">
        <f t="shared" si="25"/>
        <v>6650000</v>
      </c>
      <c r="G66" s="412">
        <f t="shared" si="26"/>
        <v>0</v>
      </c>
      <c r="H66" s="267">
        <f>SUM(H64:H65)</f>
        <v>0</v>
      </c>
      <c r="I66" s="267">
        <f>SUM(I64:I65)</f>
        <v>0</v>
      </c>
      <c r="J66" s="269">
        <f t="shared" si="27"/>
        <v>0</v>
      </c>
      <c r="K66" s="412" t="e">
        <f t="shared" si="28"/>
        <v>#DIV/0!</v>
      </c>
      <c r="L66" s="267">
        <f>SUM(L64:L65)</f>
        <v>0</v>
      </c>
      <c r="M66" s="267">
        <f>SUM(M64:M65)</f>
        <v>0</v>
      </c>
      <c r="N66" s="269">
        <f t="shared" si="29"/>
        <v>0</v>
      </c>
      <c r="O66" s="412" t="e">
        <f t="shared" si="30"/>
        <v>#DIV/0!</v>
      </c>
      <c r="P66" s="267">
        <f>SUM(P64:P65)</f>
        <v>6650000</v>
      </c>
      <c r="Q66" s="267">
        <f>SUM(Q64:Q65)</f>
        <v>0</v>
      </c>
      <c r="R66" s="269">
        <f t="shared" si="31"/>
        <v>6650000</v>
      </c>
      <c r="S66" s="412">
        <f t="shared" si="32"/>
        <v>0</v>
      </c>
      <c r="T66" s="621">
        <f t="shared" ref="T66:AG66" si="44">SUM(T64:T65)</f>
        <v>0</v>
      </c>
      <c r="U66" s="267">
        <f t="shared" si="44"/>
        <v>6650000</v>
      </c>
      <c r="V66" s="267">
        <f t="shared" si="44"/>
        <v>4750000</v>
      </c>
      <c r="W66" s="267">
        <f t="shared" si="44"/>
        <v>0</v>
      </c>
      <c r="X66" s="267">
        <f t="shared" si="44"/>
        <v>0</v>
      </c>
      <c r="Y66" s="267">
        <f t="shared" si="44"/>
        <v>0</v>
      </c>
      <c r="Z66" s="267">
        <f t="shared" si="44"/>
        <v>4750000</v>
      </c>
      <c r="AA66" s="267">
        <f t="shared" si="44"/>
        <v>6650000</v>
      </c>
      <c r="AB66" s="267">
        <f t="shared" si="44"/>
        <v>0</v>
      </c>
      <c r="AC66" s="267">
        <f t="shared" si="44"/>
        <v>0</v>
      </c>
      <c r="AD66" s="267">
        <f t="shared" si="44"/>
        <v>29450000</v>
      </c>
      <c r="AE66" s="267">
        <f t="shared" si="44"/>
        <v>32395000</v>
      </c>
      <c r="AF66" s="267">
        <f t="shared" si="44"/>
        <v>35634500</v>
      </c>
      <c r="AG66" s="267">
        <f t="shared" si="44"/>
        <v>39197950.000000007</v>
      </c>
    </row>
    <row r="67" spans="1:33" ht="16.899999999999999" customHeight="1" x14ac:dyDescent="0.2">
      <c r="A67" s="246"/>
      <c r="B67" s="247"/>
      <c r="C67" s="310" t="s">
        <v>111</v>
      </c>
      <c r="D67" s="303">
        <f>'AND 1'!V68+'ADY 1'!V68</f>
        <v>6000000</v>
      </c>
      <c r="E67" s="303">
        <f>'AND 1'!W68+'ADY 1'!W68</f>
        <v>41350000</v>
      </c>
      <c r="F67" s="296">
        <f t="shared" si="25"/>
        <v>-35350000</v>
      </c>
      <c r="G67" s="406">
        <f t="shared" si="26"/>
        <v>6.8916666666666666</v>
      </c>
      <c r="H67" s="303">
        <f>'AND 1'!X68+'ADY 1'!X68</f>
        <v>6000000</v>
      </c>
      <c r="I67" s="303">
        <f>'AND 1'!Y68+'ADY 1'!Y68</f>
        <v>0</v>
      </c>
      <c r="J67" s="296">
        <f t="shared" si="27"/>
        <v>6000000</v>
      </c>
      <c r="K67" s="406">
        <f t="shared" si="28"/>
        <v>0</v>
      </c>
      <c r="L67" s="303">
        <f>'AND 1'!Z68+'ADY 1'!Z68</f>
        <v>6000000</v>
      </c>
      <c r="M67" s="303">
        <f>'AND 1'!AA68+'ADY 1'!AA68</f>
        <v>7000000</v>
      </c>
      <c r="N67" s="296">
        <f t="shared" si="29"/>
        <v>-1000000</v>
      </c>
      <c r="O67" s="406">
        <f t="shared" si="30"/>
        <v>1.1666666666666667</v>
      </c>
      <c r="P67" s="296">
        <f t="shared" ref="P67:Q71" si="45">D67+H67+L67</f>
        <v>18000000</v>
      </c>
      <c r="Q67" s="296">
        <f t="shared" si="45"/>
        <v>48350000</v>
      </c>
      <c r="R67" s="296">
        <f t="shared" si="31"/>
        <v>-30350000</v>
      </c>
      <c r="S67" s="406">
        <f t="shared" si="32"/>
        <v>2.6861111111111109</v>
      </c>
      <c r="T67" s="618">
        <f>'AND 1'!AC68+'ADY 1'!AF68</f>
        <v>65690000</v>
      </c>
      <c r="U67" s="303">
        <f>'AND 1'!J68+'ADY 1'!J68</f>
        <v>6000000</v>
      </c>
      <c r="V67" s="303">
        <f>'AND 1'!L68+'ADY 1'!L68</f>
        <v>6000000</v>
      </c>
      <c r="W67" s="303">
        <f>'AND 1'!N68+'ADY 1'!N68</f>
        <v>6000000</v>
      </c>
      <c r="X67" s="303">
        <f>'AND 1'!P68+'ADY 1'!P68</f>
        <v>6000000</v>
      </c>
      <c r="Y67" s="303">
        <f>'AND 1'!R68+'ADY 1'!R68</f>
        <v>6000000</v>
      </c>
      <c r="Z67" s="303">
        <f>'AND 1'!T68+'ADY 1'!T68</f>
        <v>6000000</v>
      </c>
      <c r="AA67" s="303">
        <f>'AND 1'!V68+'ADY 1'!V68</f>
        <v>6000000</v>
      </c>
      <c r="AB67" s="303">
        <f>'AND 1'!X68+'ADY 1'!X68</f>
        <v>6000000</v>
      </c>
      <c r="AC67" s="303">
        <f>'AND 1'!Z68+'ADY 1'!Z68</f>
        <v>6000000</v>
      </c>
      <c r="AD67" s="304">
        <f>AC67+AB67+AA67+Z67+Y67+X67+W67+V67+U67+L67+H67+D67</f>
        <v>72000000</v>
      </c>
      <c r="AE67" s="303">
        <f t="shared" ref="AE67:AG71" si="46">AD67*1.1</f>
        <v>79200000</v>
      </c>
      <c r="AF67" s="303">
        <f t="shared" si="46"/>
        <v>87120000</v>
      </c>
      <c r="AG67" s="303">
        <f t="shared" si="46"/>
        <v>95832000.000000015</v>
      </c>
    </row>
    <row r="68" spans="1:33" ht="16.899999999999999" customHeight="1" x14ac:dyDescent="0.2">
      <c r="A68" s="246"/>
      <c r="B68" s="247"/>
      <c r="C68" s="316" t="s">
        <v>116</v>
      </c>
      <c r="D68" s="303">
        <f>'AND 1'!V69+'ADY 1'!V69</f>
        <v>0</v>
      </c>
      <c r="E68" s="303">
        <f>'AND 1'!W69+'ADY 1'!W69</f>
        <v>0</v>
      </c>
      <c r="F68" s="296">
        <f t="shared" si="25"/>
        <v>0</v>
      </c>
      <c r="G68" s="406" t="e">
        <f t="shared" si="26"/>
        <v>#DIV/0!</v>
      </c>
      <c r="H68" s="303">
        <f>'AND 1'!X69+'ADY 1'!X69</f>
        <v>0</v>
      </c>
      <c r="I68" s="303">
        <f>'AND 1'!Y69+'ADY 1'!Y69</f>
        <v>0</v>
      </c>
      <c r="J68" s="296">
        <f t="shared" si="27"/>
        <v>0</v>
      </c>
      <c r="K68" s="406" t="e">
        <f t="shared" si="28"/>
        <v>#DIV/0!</v>
      </c>
      <c r="L68" s="303">
        <f>'AND 1'!Z69+'ADY 1'!Z69</f>
        <v>0</v>
      </c>
      <c r="M68" s="303">
        <f>'AND 1'!AA69+'ADY 1'!AA69</f>
        <v>0</v>
      </c>
      <c r="N68" s="296">
        <f t="shared" si="29"/>
        <v>0</v>
      </c>
      <c r="O68" s="406" t="e">
        <f t="shared" si="30"/>
        <v>#DIV/0!</v>
      </c>
      <c r="P68" s="296">
        <f t="shared" si="45"/>
        <v>0</v>
      </c>
      <c r="Q68" s="296">
        <f t="shared" si="45"/>
        <v>0</v>
      </c>
      <c r="R68" s="296">
        <f t="shared" si="31"/>
        <v>0</v>
      </c>
      <c r="S68" s="406" t="e">
        <f t="shared" si="32"/>
        <v>#DIV/0!</v>
      </c>
      <c r="T68" s="618">
        <f>'AND 1'!AC69+'ADY 1'!AF69</f>
        <v>0</v>
      </c>
      <c r="U68" s="296">
        <f>'AND 1'!J69+'ADY 1'!J69</f>
        <v>0</v>
      </c>
      <c r="V68" s="296">
        <f>'AND 1'!L69+'ADY 1'!L69</f>
        <v>0</v>
      </c>
      <c r="W68" s="296">
        <f>'AND 1'!N69+'ADY 1'!N69</f>
        <v>0</v>
      </c>
      <c r="X68" s="296">
        <f>'AND 1'!P69+'ADY 1'!P69</f>
        <v>0</v>
      </c>
      <c r="Y68" s="296">
        <f>'AND 1'!R69+'ADY 1'!R69</f>
        <v>0</v>
      </c>
      <c r="Z68" s="296">
        <f>'AND 1'!T69+'ADY 1'!T69</f>
        <v>0</v>
      </c>
      <c r="AA68" s="296">
        <f>'AND 1'!V69+'ADY 1'!V69</f>
        <v>0</v>
      </c>
      <c r="AB68" s="296">
        <f>'AND 1'!X69+'ADY 1'!X69</f>
        <v>0</v>
      </c>
      <c r="AC68" s="296">
        <f>'AND 1'!Z69+'ADY 1'!Z69</f>
        <v>0</v>
      </c>
      <c r="AD68" s="297">
        <f>AC68+AB68+AA68+Z68+Y68+X68+W68+V68+U68+L68+H68+D68</f>
        <v>0</v>
      </c>
      <c r="AE68" s="296">
        <f t="shared" si="46"/>
        <v>0</v>
      </c>
      <c r="AF68" s="296">
        <f t="shared" si="46"/>
        <v>0</v>
      </c>
      <c r="AG68" s="296">
        <f t="shared" si="46"/>
        <v>0</v>
      </c>
    </row>
    <row r="69" spans="1:33" ht="16.899999999999999" customHeight="1" x14ac:dyDescent="0.2">
      <c r="A69" s="246"/>
      <c r="B69" s="247"/>
      <c r="C69" s="305" t="s">
        <v>117</v>
      </c>
      <c r="D69" s="303">
        <f>'AND 1'!V70+'ADY 1'!V70</f>
        <v>0</v>
      </c>
      <c r="E69" s="303">
        <f>'AND 1'!W70+'ADY 1'!W70</f>
        <v>0</v>
      </c>
      <c r="F69" s="296">
        <f t="shared" si="25"/>
        <v>0</v>
      </c>
      <c r="G69" s="406" t="e">
        <f t="shared" si="26"/>
        <v>#DIV/0!</v>
      </c>
      <c r="H69" s="303">
        <f>'AND 1'!X70+'ADY 1'!X70</f>
        <v>0</v>
      </c>
      <c r="I69" s="303">
        <f>'AND 1'!Y70+'ADY 1'!Y70</f>
        <v>0</v>
      </c>
      <c r="J69" s="296">
        <f t="shared" si="27"/>
        <v>0</v>
      </c>
      <c r="K69" s="406" t="e">
        <f t="shared" si="28"/>
        <v>#DIV/0!</v>
      </c>
      <c r="L69" s="303">
        <f>'AND 1'!Z70+'ADY 1'!Z70</f>
        <v>0</v>
      </c>
      <c r="M69" s="303">
        <f>'AND 1'!AA70+'ADY 1'!AA70</f>
        <v>0</v>
      </c>
      <c r="N69" s="296">
        <f t="shared" si="29"/>
        <v>0</v>
      </c>
      <c r="O69" s="406" t="e">
        <f t="shared" si="30"/>
        <v>#DIV/0!</v>
      </c>
      <c r="P69" s="296">
        <f t="shared" si="45"/>
        <v>0</v>
      </c>
      <c r="Q69" s="296">
        <f t="shared" si="45"/>
        <v>0</v>
      </c>
      <c r="R69" s="296">
        <f t="shared" si="31"/>
        <v>0</v>
      </c>
      <c r="S69" s="406" t="e">
        <f t="shared" si="32"/>
        <v>#DIV/0!</v>
      </c>
      <c r="T69" s="618">
        <f>'AND 1'!AC70+'ADY 1'!AF70</f>
        <v>0</v>
      </c>
      <c r="U69" s="296">
        <f>'AND 1'!J70+'ADY 1'!J70</f>
        <v>0</v>
      </c>
      <c r="V69" s="296">
        <f>'AND 1'!L70+'ADY 1'!L70</f>
        <v>150000000</v>
      </c>
      <c r="W69" s="296">
        <f>'AND 1'!N70+'ADY 1'!N70</f>
        <v>0</v>
      </c>
      <c r="X69" s="296">
        <f>'AND 1'!P70+'ADY 1'!P70</f>
        <v>0</v>
      </c>
      <c r="Y69" s="296">
        <f>'AND 1'!R70+'ADY 1'!R70</f>
        <v>0</v>
      </c>
      <c r="Z69" s="296">
        <f>'AND 1'!T70+'ADY 1'!T70</f>
        <v>0</v>
      </c>
      <c r="AA69" s="296">
        <f>'AND 1'!V70+'ADY 1'!V70</f>
        <v>0</v>
      </c>
      <c r="AB69" s="296">
        <f>'AND 1'!X70+'ADY 1'!X70</f>
        <v>0</v>
      </c>
      <c r="AC69" s="296">
        <f>'AND 1'!Z70+'ADY 1'!Z70</f>
        <v>0</v>
      </c>
      <c r="AD69" s="297">
        <f>AC69+AB69+AA69+Z69+Y69+X69+W69+V69+U69+L69+H69+D69</f>
        <v>150000000</v>
      </c>
      <c r="AE69" s="296">
        <f t="shared" si="46"/>
        <v>165000000</v>
      </c>
      <c r="AF69" s="296">
        <f t="shared" si="46"/>
        <v>181500000</v>
      </c>
      <c r="AG69" s="296">
        <f t="shared" si="46"/>
        <v>199650000.00000003</v>
      </c>
    </row>
    <row r="70" spans="1:33" ht="16.899999999999999" customHeight="1" x14ac:dyDescent="0.2">
      <c r="A70" s="246"/>
      <c r="B70" s="247"/>
      <c r="C70" s="305" t="s">
        <v>118</v>
      </c>
      <c r="D70" s="303">
        <f>'AND 1'!V71+'ADY 1'!V71</f>
        <v>0</v>
      </c>
      <c r="E70" s="303">
        <f>'AND 1'!W71+'ADY 1'!W71</f>
        <v>0</v>
      </c>
      <c r="F70" s="296">
        <f t="shared" ref="F70:F101" si="47">D70-E70</f>
        <v>0</v>
      </c>
      <c r="G70" s="406" t="e">
        <f t="shared" ref="G70:G101" si="48">E70/D70</f>
        <v>#DIV/0!</v>
      </c>
      <c r="H70" s="303">
        <f>'AND 1'!X71+'ADY 1'!X71</f>
        <v>0</v>
      </c>
      <c r="I70" s="303">
        <f>'AND 1'!Y71+'ADY 1'!Y71</f>
        <v>0</v>
      </c>
      <c r="J70" s="296">
        <f t="shared" ref="J70:J101" si="49">H70-I70</f>
        <v>0</v>
      </c>
      <c r="K70" s="406" t="e">
        <f t="shared" ref="K70:K101" si="50">I70/H70</f>
        <v>#DIV/0!</v>
      </c>
      <c r="L70" s="303">
        <f>'AND 1'!Z71+'ADY 1'!Z71</f>
        <v>0</v>
      </c>
      <c r="M70" s="303">
        <f>'AND 1'!AA71+'ADY 1'!AA71</f>
        <v>0</v>
      </c>
      <c r="N70" s="296">
        <f t="shared" ref="N70:N101" si="51">L70-M70</f>
        <v>0</v>
      </c>
      <c r="O70" s="406" t="e">
        <f t="shared" ref="O70:O101" si="52">M70/L70</f>
        <v>#DIV/0!</v>
      </c>
      <c r="P70" s="296">
        <f t="shared" si="45"/>
        <v>0</v>
      </c>
      <c r="Q70" s="296">
        <f t="shared" si="45"/>
        <v>0</v>
      </c>
      <c r="R70" s="296">
        <f t="shared" ref="R70:R101" si="53">P70-Q70</f>
        <v>0</v>
      </c>
      <c r="S70" s="406" t="e">
        <f t="shared" ref="S70:S101" si="54">Q70/P70</f>
        <v>#DIV/0!</v>
      </c>
      <c r="T70" s="618">
        <f>'AND 1'!AC71+'ADY 1'!AF71</f>
        <v>0</v>
      </c>
      <c r="U70" s="296">
        <f>'AND 1'!J71+'ADY 1'!J71</f>
        <v>0</v>
      </c>
      <c r="V70" s="296">
        <f>'AND 1'!L71+'ADY 1'!L71</f>
        <v>0</v>
      </c>
      <c r="W70" s="296">
        <f>'AND 1'!N71+'ADY 1'!N71</f>
        <v>0</v>
      </c>
      <c r="X70" s="296">
        <f>'AND 1'!P71+'ADY 1'!P71</f>
        <v>0</v>
      </c>
      <c r="Y70" s="296">
        <f>'AND 1'!R71+'ADY 1'!R71</f>
        <v>0</v>
      </c>
      <c r="Z70" s="296">
        <f>'AND 1'!T71+'ADY 1'!T71</f>
        <v>0</v>
      </c>
      <c r="AA70" s="296">
        <f>'AND 1'!V71+'ADY 1'!V71</f>
        <v>0</v>
      </c>
      <c r="AB70" s="296">
        <f>'AND 1'!X71+'ADY 1'!X71</f>
        <v>0</v>
      </c>
      <c r="AC70" s="296">
        <f>'AND 1'!Z71+'ADY 1'!Z71</f>
        <v>0</v>
      </c>
      <c r="AD70" s="297">
        <f>AC70+AB70+AA70+Z70+Y70+X70+W70+V70+U70+L70+H70+D70</f>
        <v>0</v>
      </c>
      <c r="AE70" s="296">
        <f t="shared" si="46"/>
        <v>0</v>
      </c>
      <c r="AF70" s="296">
        <f t="shared" si="46"/>
        <v>0</v>
      </c>
      <c r="AG70" s="296">
        <f t="shared" si="46"/>
        <v>0</v>
      </c>
    </row>
    <row r="71" spans="1:33" ht="16.899999999999999" customHeight="1" x14ac:dyDescent="0.2">
      <c r="A71" s="246"/>
      <c r="B71" s="247"/>
      <c r="C71" s="315" t="s">
        <v>119</v>
      </c>
      <c r="D71" s="303">
        <f>'AND 1'!V72+'ADY 1'!V72</f>
        <v>2000000</v>
      </c>
      <c r="E71" s="303">
        <f>'AND 1'!W72+'ADY 1'!W72</f>
        <v>0</v>
      </c>
      <c r="F71" s="296">
        <f t="shared" si="47"/>
        <v>2000000</v>
      </c>
      <c r="G71" s="406">
        <f t="shared" si="48"/>
        <v>0</v>
      </c>
      <c r="H71" s="303">
        <f>'AND 1'!X72+'ADY 1'!X72</f>
        <v>2000000</v>
      </c>
      <c r="I71" s="303">
        <f>'AND 1'!Y72+'ADY 1'!Y72</f>
        <v>0</v>
      </c>
      <c r="J71" s="296">
        <f t="shared" si="49"/>
        <v>2000000</v>
      </c>
      <c r="K71" s="406">
        <f t="shared" si="50"/>
        <v>0</v>
      </c>
      <c r="L71" s="303">
        <f>'AND 1'!Z72+'ADY 1'!Z72</f>
        <v>2000000</v>
      </c>
      <c r="M71" s="303">
        <f>'AND 1'!AA72+'ADY 1'!AA72</f>
        <v>0</v>
      </c>
      <c r="N71" s="296">
        <f t="shared" si="51"/>
        <v>2000000</v>
      </c>
      <c r="O71" s="406">
        <f t="shared" si="52"/>
        <v>0</v>
      </c>
      <c r="P71" s="296">
        <f t="shared" si="45"/>
        <v>6000000</v>
      </c>
      <c r="Q71" s="296">
        <f t="shared" si="45"/>
        <v>0</v>
      </c>
      <c r="R71" s="296">
        <f t="shared" si="53"/>
        <v>6000000</v>
      </c>
      <c r="S71" s="406">
        <f t="shared" si="54"/>
        <v>0</v>
      </c>
      <c r="T71" s="618">
        <f>'AND 1'!AC72+'ADY 1'!AF72</f>
        <v>0</v>
      </c>
      <c r="U71" s="299">
        <f>'AND 1'!J72+'ADY 1'!J72</f>
        <v>2000000</v>
      </c>
      <c r="V71" s="299">
        <f>'AND 1'!L72+'ADY 1'!L72</f>
        <v>2000000</v>
      </c>
      <c r="W71" s="299">
        <f>'AND 1'!N72+'ADY 1'!N72</f>
        <v>2000000</v>
      </c>
      <c r="X71" s="299">
        <f>'AND 1'!P72+'ADY 1'!P72</f>
        <v>2000000</v>
      </c>
      <c r="Y71" s="299">
        <f>'AND 1'!R72+'ADY 1'!R72</f>
        <v>2000000</v>
      </c>
      <c r="Z71" s="299">
        <f>'AND 1'!T72+'ADY 1'!T72</f>
        <v>2000000</v>
      </c>
      <c r="AA71" s="299">
        <f>'AND 1'!V72+'ADY 1'!V72</f>
        <v>2000000</v>
      </c>
      <c r="AB71" s="299">
        <f>'AND 1'!X72+'ADY 1'!X72</f>
        <v>2000000</v>
      </c>
      <c r="AC71" s="299">
        <f>'AND 1'!Z72+'ADY 1'!Z72</f>
        <v>2000000</v>
      </c>
      <c r="AD71" s="300">
        <f>AC71+AB71+AA71+Z71+Y71+X71+W71+V71+U71+L71+H71+D71</f>
        <v>24000000</v>
      </c>
      <c r="AE71" s="299">
        <f t="shared" si="46"/>
        <v>26400000.000000004</v>
      </c>
      <c r="AF71" s="299">
        <f t="shared" si="46"/>
        <v>29040000.000000007</v>
      </c>
      <c r="AG71" s="299">
        <f t="shared" si="46"/>
        <v>31944000.000000011</v>
      </c>
    </row>
    <row r="72" spans="1:33" s="242" customFormat="1" ht="16.899999999999999" customHeight="1" x14ac:dyDescent="0.2">
      <c r="A72" s="257"/>
      <c r="B72" s="253"/>
      <c r="C72" s="268" t="s">
        <v>333</v>
      </c>
      <c r="D72" s="267">
        <f>SUM(D67:D71)</f>
        <v>8000000</v>
      </c>
      <c r="E72" s="267">
        <f>SUM(E67:E71)</f>
        <v>41350000</v>
      </c>
      <c r="F72" s="269">
        <f t="shared" si="47"/>
        <v>-33350000</v>
      </c>
      <c r="G72" s="412">
        <f t="shared" si="48"/>
        <v>5.1687500000000002</v>
      </c>
      <c r="H72" s="267">
        <f>SUM(H67:H71)</f>
        <v>8000000</v>
      </c>
      <c r="I72" s="267">
        <f>SUM(I67:I71)</f>
        <v>0</v>
      </c>
      <c r="J72" s="269">
        <f t="shared" si="49"/>
        <v>8000000</v>
      </c>
      <c r="K72" s="412">
        <f t="shared" si="50"/>
        <v>0</v>
      </c>
      <c r="L72" s="267">
        <f>SUM(L67:L71)</f>
        <v>8000000</v>
      </c>
      <c r="M72" s="267">
        <f>SUM(M67:M71)</f>
        <v>7000000</v>
      </c>
      <c r="N72" s="269">
        <f t="shared" si="51"/>
        <v>1000000</v>
      </c>
      <c r="O72" s="412">
        <f t="shared" si="52"/>
        <v>0.875</v>
      </c>
      <c r="P72" s="267">
        <f>SUM(P67:P71)</f>
        <v>24000000</v>
      </c>
      <c r="Q72" s="267">
        <f>SUM(Q67:Q71)</f>
        <v>48350000</v>
      </c>
      <c r="R72" s="269">
        <f t="shared" si="53"/>
        <v>-24350000</v>
      </c>
      <c r="S72" s="412">
        <f t="shared" si="54"/>
        <v>2.0145833333333334</v>
      </c>
      <c r="T72" s="621">
        <f t="shared" ref="T72:AG72" si="55">SUM(T67:T71)</f>
        <v>65690000</v>
      </c>
      <c r="U72" s="267">
        <f t="shared" si="55"/>
        <v>8000000</v>
      </c>
      <c r="V72" s="267">
        <f t="shared" si="55"/>
        <v>158000000</v>
      </c>
      <c r="W72" s="267">
        <f t="shared" si="55"/>
        <v>8000000</v>
      </c>
      <c r="X72" s="267">
        <f t="shared" si="55"/>
        <v>8000000</v>
      </c>
      <c r="Y72" s="267">
        <f t="shared" si="55"/>
        <v>8000000</v>
      </c>
      <c r="Z72" s="267">
        <f t="shared" si="55"/>
        <v>8000000</v>
      </c>
      <c r="AA72" s="267">
        <f t="shared" si="55"/>
        <v>8000000</v>
      </c>
      <c r="AB72" s="267">
        <f t="shared" si="55"/>
        <v>8000000</v>
      </c>
      <c r="AC72" s="267">
        <f t="shared" si="55"/>
        <v>8000000</v>
      </c>
      <c r="AD72" s="267">
        <f t="shared" si="55"/>
        <v>246000000</v>
      </c>
      <c r="AE72" s="267">
        <f t="shared" si="55"/>
        <v>270600000</v>
      </c>
      <c r="AF72" s="267">
        <f t="shared" si="55"/>
        <v>297660000</v>
      </c>
      <c r="AG72" s="267">
        <f t="shared" si="55"/>
        <v>327426000.00000006</v>
      </c>
    </row>
    <row r="73" spans="1:33" s="260" customFormat="1" ht="16.899999999999999" customHeight="1" x14ac:dyDescent="0.2">
      <c r="A73" s="259"/>
      <c r="B73" s="247"/>
      <c r="C73" s="302" t="s">
        <v>121</v>
      </c>
      <c r="D73" s="303">
        <f>'AND 1'!V74+'ADY 1'!V74</f>
        <v>12000000</v>
      </c>
      <c r="E73" s="303">
        <f>'AND 1'!W74+'ADY 1'!W74</f>
        <v>0</v>
      </c>
      <c r="F73" s="296">
        <f t="shared" si="47"/>
        <v>12000000</v>
      </c>
      <c r="G73" s="406">
        <f t="shared" si="48"/>
        <v>0</v>
      </c>
      <c r="H73" s="303">
        <f>'AND 1'!X74+'ADY 1'!X74</f>
        <v>12000000</v>
      </c>
      <c r="I73" s="303">
        <f>'AND 1'!Y74+'ADY 1'!Y74</f>
        <v>5450000</v>
      </c>
      <c r="J73" s="296">
        <f t="shared" si="49"/>
        <v>6550000</v>
      </c>
      <c r="K73" s="406">
        <f t="shared" si="50"/>
        <v>0.45416666666666666</v>
      </c>
      <c r="L73" s="303">
        <f>'AND 1'!Z74+'ADY 1'!Z74</f>
        <v>12000000</v>
      </c>
      <c r="M73" s="303">
        <f>'AND 1'!AA74+'ADY 1'!AA74</f>
        <v>0</v>
      </c>
      <c r="N73" s="296">
        <f t="shared" si="51"/>
        <v>12000000</v>
      </c>
      <c r="O73" s="406">
        <f t="shared" si="52"/>
        <v>0</v>
      </c>
      <c r="P73" s="296">
        <f t="shared" ref="P73:Q76" si="56">D73+H73+L73</f>
        <v>36000000</v>
      </c>
      <c r="Q73" s="296">
        <f t="shared" si="56"/>
        <v>5450000</v>
      </c>
      <c r="R73" s="296">
        <f t="shared" si="53"/>
        <v>30550000</v>
      </c>
      <c r="S73" s="406">
        <f t="shared" si="54"/>
        <v>0.15138888888888888</v>
      </c>
      <c r="T73" s="618">
        <f>'AND 1'!AC74+'ADY 1'!AF74</f>
        <v>5450000</v>
      </c>
      <c r="U73" s="303">
        <f>'AND 1'!J74+'ADY 1'!J74</f>
        <v>12000000</v>
      </c>
      <c r="V73" s="303">
        <f>'AND 1'!L74+'ADY 1'!L74</f>
        <v>0</v>
      </c>
      <c r="W73" s="303">
        <f>'AND 1'!N74+'ADY 1'!N74</f>
        <v>0</v>
      </c>
      <c r="X73" s="303">
        <f>'AND 1'!P74+'ADY 1'!P74</f>
        <v>12000000</v>
      </c>
      <c r="Y73" s="303">
        <f>'AND 1'!R74+'ADY 1'!R74</f>
        <v>0</v>
      </c>
      <c r="Z73" s="303">
        <f>'AND 1'!T74+'ADY 1'!T74</f>
        <v>0</v>
      </c>
      <c r="AA73" s="303">
        <f>'AND 1'!V74+'ADY 1'!V74</f>
        <v>12000000</v>
      </c>
      <c r="AB73" s="303">
        <f>'AND 1'!X74+'ADY 1'!X74</f>
        <v>12000000</v>
      </c>
      <c r="AC73" s="303">
        <f>'AND 1'!Z74+'ADY 1'!Z74</f>
        <v>12000000</v>
      </c>
      <c r="AD73" s="304">
        <f>AC73+AB73+AA73+Z73+Y73+X73+W73+V73+U73+L73+H73+D73</f>
        <v>96000000</v>
      </c>
      <c r="AE73" s="303">
        <f t="shared" ref="AE73:AG76" si="57">AD73*1.1</f>
        <v>105600000.00000001</v>
      </c>
      <c r="AF73" s="303">
        <f t="shared" si="57"/>
        <v>116160000.00000003</v>
      </c>
      <c r="AG73" s="303">
        <f t="shared" si="57"/>
        <v>127776000.00000004</v>
      </c>
    </row>
    <row r="74" spans="1:33" s="260" customFormat="1" ht="16.899999999999999" customHeight="1" x14ac:dyDescent="0.2">
      <c r="A74" s="259"/>
      <c r="B74" s="247"/>
      <c r="C74" s="308" t="s">
        <v>122</v>
      </c>
      <c r="D74" s="303">
        <f>'AND 1'!V75+'ADY 1'!V75</f>
        <v>0</v>
      </c>
      <c r="E74" s="303">
        <f>'AND 1'!W75+'ADY 1'!W75</f>
        <v>0</v>
      </c>
      <c r="F74" s="296">
        <f t="shared" si="47"/>
        <v>0</v>
      </c>
      <c r="G74" s="406" t="e">
        <f t="shared" si="48"/>
        <v>#DIV/0!</v>
      </c>
      <c r="H74" s="303">
        <f>'AND 1'!X75+'ADY 1'!X75</f>
        <v>0</v>
      </c>
      <c r="I74" s="303">
        <f>'AND 1'!Y75+'ADY 1'!Y75</f>
        <v>0</v>
      </c>
      <c r="J74" s="296">
        <f t="shared" si="49"/>
        <v>0</v>
      </c>
      <c r="K74" s="406" t="e">
        <f t="shared" si="50"/>
        <v>#DIV/0!</v>
      </c>
      <c r="L74" s="303">
        <f>'AND 1'!Z75+'ADY 1'!Z75</f>
        <v>0</v>
      </c>
      <c r="M74" s="303">
        <f>'AND 1'!AA75+'ADY 1'!AA75</f>
        <v>0</v>
      </c>
      <c r="N74" s="296">
        <f t="shared" si="51"/>
        <v>0</v>
      </c>
      <c r="O74" s="406" t="e">
        <f t="shared" si="52"/>
        <v>#DIV/0!</v>
      </c>
      <c r="P74" s="296">
        <f t="shared" si="56"/>
        <v>0</v>
      </c>
      <c r="Q74" s="296">
        <f t="shared" si="56"/>
        <v>0</v>
      </c>
      <c r="R74" s="296">
        <f t="shared" si="53"/>
        <v>0</v>
      </c>
      <c r="S74" s="406" t="e">
        <f t="shared" si="54"/>
        <v>#DIV/0!</v>
      </c>
      <c r="T74" s="618">
        <f>'AND 1'!AC75+'ADY 1'!AF75</f>
        <v>0</v>
      </c>
      <c r="U74" s="296">
        <f>'AND 1'!J75+'ADY 1'!J75</f>
        <v>25000000</v>
      </c>
      <c r="V74" s="296">
        <f>'AND 1'!L75+'ADY 1'!L75</f>
        <v>0</v>
      </c>
      <c r="W74" s="296">
        <f>'AND 1'!N75+'ADY 1'!N75</f>
        <v>0</v>
      </c>
      <c r="X74" s="296">
        <f>'AND 1'!P75+'ADY 1'!P75</f>
        <v>0</v>
      </c>
      <c r="Y74" s="296">
        <f>'AND 1'!R75+'ADY 1'!R75</f>
        <v>0</v>
      </c>
      <c r="Z74" s="296">
        <f>'AND 1'!T75+'ADY 1'!T75</f>
        <v>0</v>
      </c>
      <c r="AA74" s="296">
        <f>'AND 1'!V75+'ADY 1'!V75</f>
        <v>0</v>
      </c>
      <c r="AB74" s="296">
        <f>'AND 1'!X75+'ADY 1'!X75</f>
        <v>0</v>
      </c>
      <c r="AC74" s="296">
        <f>'AND 1'!Z75+'ADY 1'!Z75</f>
        <v>0</v>
      </c>
      <c r="AD74" s="297">
        <f>AC74+AB74+AA74+Z74+Y74+X74+W74+V74+U74+L74+H74+D74</f>
        <v>25000000</v>
      </c>
      <c r="AE74" s="296">
        <f t="shared" si="57"/>
        <v>27500000.000000004</v>
      </c>
      <c r="AF74" s="296">
        <f t="shared" si="57"/>
        <v>30250000.000000007</v>
      </c>
      <c r="AG74" s="296">
        <f t="shared" si="57"/>
        <v>33275000.000000011</v>
      </c>
    </row>
    <row r="75" spans="1:33" s="260" customFormat="1" ht="16.899999999999999" customHeight="1" x14ac:dyDescent="0.2">
      <c r="A75" s="259"/>
      <c r="B75" s="247"/>
      <c r="C75" s="308" t="s">
        <v>123</v>
      </c>
      <c r="D75" s="303">
        <f>'AND 1'!V76+'ADY 1'!V76</f>
        <v>2000000</v>
      </c>
      <c r="E75" s="303">
        <f>'AND 1'!W76+'ADY 1'!W76</f>
        <v>0</v>
      </c>
      <c r="F75" s="296">
        <f t="shared" si="47"/>
        <v>2000000</v>
      </c>
      <c r="G75" s="406">
        <f t="shared" si="48"/>
        <v>0</v>
      </c>
      <c r="H75" s="303">
        <f>'AND 1'!X76+'ADY 1'!X76</f>
        <v>2000000</v>
      </c>
      <c r="I75" s="303">
        <f>'AND 1'!Y76+'ADY 1'!Y76</f>
        <v>0</v>
      </c>
      <c r="J75" s="296">
        <f t="shared" si="49"/>
        <v>2000000</v>
      </c>
      <c r="K75" s="406">
        <f t="shared" si="50"/>
        <v>0</v>
      </c>
      <c r="L75" s="303">
        <f>'AND 1'!Z76+'ADY 1'!Z76</f>
        <v>2000000</v>
      </c>
      <c r="M75" s="303">
        <f>'AND 1'!AA76+'ADY 1'!AA76</f>
        <v>0</v>
      </c>
      <c r="N75" s="296">
        <f t="shared" si="51"/>
        <v>2000000</v>
      </c>
      <c r="O75" s="406">
        <f t="shared" si="52"/>
        <v>0</v>
      </c>
      <c r="P75" s="296">
        <f t="shared" si="56"/>
        <v>6000000</v>
      </c>
      <c r="Q75" s="296">
        <f t="shared" si="56"/>
        <v>0</v>
      </c>
      <c r="R75" s="296">
        <f t="shared" si="53"/>
        <v>6000000</v>
      </c>
      <c r="S75" s="406">
        <f t="shared" si="54"/>
        <v>0</v>
      </c>
      <c r="T75" s="618">
        <f>'AND 1'!AC76+'ADY 1'!AF76</f>
        <v>0</v>
      </c>
      <c r="U75" s="296">
        <f>'AND 1'!J76+'ADY 1'!J76</f>
        <v>2000000</v>
      </c>
      <c r="V75" s="296">
        <f>'AND 1'!L76+'ADY 1'!L76</f>
        <v>2000000</v>
      </c>
      <c r="W75" s="296">
        <f>'AND 1'!N76+'ADY 1'!N76</f>
        <v>2000000</v>
      </c>
      <c r="X75" s="296">
        <f>'AND 1'!P76+'ADY 1'!P76</f>
        <v>2000000</v>
      </c>
      <c r="Y75" s="296">
        <f>'AND 1'!R76+'ADY 1'!R76</f>
        <v>2000000</v>
      </c>
      <c r="Z75" s="296">
        <f>'AND 1'!T76+'ADY 1'!T76</f>
        <v>2000000</v>
      </c>
      <c r="AA75" s="296">
        <f>'AND 1'!V76+'ADY 1'!V76</f>
        <v>2000000</v>
      </c>
      <c r="AB75" s="296">
        <f>'AND 1'!X76+'ADY 1'!X76</f>
        <v>2000000</v>
      </c>
      <c r="AC75" s="296">
        <f>'AND 1'!Z76+'ADY 1'!Z76</f>
        <v>2000000</v>
      </c>
      <c r="AD75" s="297">
        <f>AC75+AB75+AA75+Z75+Y75+X75+W75+V75+U75+L75+H75+D75</f>
        <v>24000000</v>
      </c>
      <c r="AE75" s="296">
        <f t="shared" si="57"/>
        <v>26400000.000000004</v>
      </c>
      <c r="AF75" s="296">
        <f t="shared" si="57"/>
        <v>29040000.000000007</v>
      </c>
      <c r="AG75" s="296">
        <f t="shared" si="57"/>
        <v>31944000.000000011</v>
      </c>
    </row>
    <row r="76" spans="1:33" s="260" customFormat="1" ht="16.899999999999999" customHeight="1" x14ac:dyDescent="0.2">
      <c r="A76" s="259"/>
      <c r="B76" s="247"/>
      <c r="C76" s="309" t="s">
        <v>125</v>
      </c>
      <c r="D76" s="303">
        <f>'AND 1'!V77+'ADY 1'!V77</f>
        <v>1000000</v>
      </c>
      <c r="E76" s="303">
        <f>'AND 1'!W77+'ADY 1'!W77</f>
        <v>0</v>
      </c>
      <c r="F76" s="296">
        <f t="shared" si="47"/>
        <v>1000000</v>
      </c>
      <c r="G76" s="406">
        <f t="shared" si="48"/>
        <v>0</v>
      </c>
      <c r="H76" s="303">
        <f>'AND 1'!X77+'ADY 1'!X77</f>
        <v>1000000</v>
      </c>
      <c r="I76" s="303">
        <f>'AND 1'!Y77+'ADY 1'!Y77</f>
        <v>0</v>
      </c>
      <c r="J76" s="296">
        <f t="shared" si="49"/>
        <v>1000000</v>
      </c>
      <c r="K76" s="406">
        <f t="shared" si="50"/>
        <v>0</v>
      </c>
      <c r="L76" s="303">
        <f>'AND 1'!Z77+'ADY 1'!Z77</f>
        <v>1000000</v>
      </c>
      <c r="M76" s="303">
        <f>'AND 1'!AA77+'ADY 1'!AA77</f>
        <v>0</v>
      </c>
      <c r="N76" s="296">
        <f t="shared" si="51"/>
        <v>1000000</v>
      </c>
      <c r="O76" s="406">
        <f t="shared" si="52"/>
        <v>0</v>
      </c>
      <c r="P76" s="296">
        <f t="shared" si="56"/>
        <v>3000000</v>
      </c>
      <c r="Q76" s="296">
        <f t="shared" si="56"/>
        <v>0</v>
      </c>
      <c r="R76" s="296">
        <f t="shared" si="53"/>
        <v>3000000</v>
      </c>
      <c r="S76" s="406">
        <f t="shared" si="54"/>
        <v>0</v>
      </c>
      <c r="T76" s="618">
        <f>'AND 1'!AC77+'ADY 1'!AF77</f>
        <v>0</v>
      </c>
      <c r="U76" s="299">
        <f>'AND 1'!J77+'ADY 1'!J77</f>
        <v>1000000</v>
      </c>
      <c r="V76" s="299">
        <f>'AND 1'!L77+'ADY 1'!L77</f>
        <v>1000000</v>
      </c>
      <c r="W76" s="299">
        <f>'AND 1'!N77+'ADY 1'!N77</f>
        <v>1000000</v>
      </c>
      <c r="X76" s="299">
        <f>'AND 1'!P77+'ADY 1'!P77</f>
        <v>1000000</v>
      </c>
      <c r="Y76" s="299">
        <f>'AND 1'!R77+'ADY 1'!R77</f>
        <v>1000000</v>
      </c>
      <c r="Z76" s="299">
        <f>'AND 1'!T77+'ADY 1'!T77</f>
        <v>1000000</v>
      </c>
      <c r="AA76" s="299">
        <f>'AND 1'!V77+'ADY 1'!V77</f>
        <v>1000000</v>
      </c>
      <c r="AB76" s="299">
        <f>'AND 1'!X77+'ADY 1'!X77</f>
        <v>1000000</v>
      </c>
      <c r="AC76" s="299">
        <f>'AND 1'!Z77+'ADY 1'!Z77</f>
        <v>1000000</v>
      </c>
      <c r="AD76" s="300">
        <f>AC76+AB76+AA76+Z76+Y76+X76+W76+V76+U76+L76+H76+D76</f>
        <v>12000000</v>
      </c>
      <c r="AE76" s="299">
        <f t="shared" si="57"/>
        <v>13200000.000000002</v>
      </c>
      <c r="AF76" s="299">
        <f t="shared" si="57"/>
        <v>14520000.000000004</v>
      </c>
      <c r="AG76" s="299">
        <f t="shared" si="57"/>
        <v>15972000.000000006</v>
      </c>
    </row>
    <row r="77" spans="1:33" s="242" customFormat="1" ht="16.899999999999999" customHeight="1" x14ac:dyDescent="0.2">
      <c r="A77" s="257"/>
      <c r="B77" s="247"/>
      <c r="C77" s="268" t="s">
        <v>334</v>
      </c>
      <c r="D77" s="267">
        <f>SUM(D73:D76)</f>
        <v>15000000</v>
      </c>
      <c r="E77" s="267">
        <f>SUM(E73:E76)</f>
        <v>0</v>
      </c>
      <c r="F77" s="269">
        <f t="shared" si="47"/>
        <v>15000000</v>
      </c>
      <c r="G77" s="412">
        <f t="shared" si="48"/>
        <v>0</v>
      </c>
      <c r="H77" s="267">
        <f>SUM(H73:H76)</f>
        <v>15000000</v>
      </c>
      <c r="I77" s="267">
        <f>SUM(I73:I76)</f>
        <v>5450000</v>
      </c>
      <c r="J77" s="269">
        <f t="shared" si="49"/>
        <v>9550000</v>
      </c>
      <c r="K77" s="412">
        <f t="shared" si="50"/>
        <v>0.36333333333333334</v>
      </c>
      <c r="L77" s="267">
        <f>SUM(L73:L76)</f>
        <v>15000000</v>
      </c>
      <c r="M77" s="267">
        <f>SUM(M73:M76)</f>
        <v>0</v>
      </c>
      <c r="N77" s="269">
        <f t="shared" si="51"/>
        <v>15000000</v>
      </c>
      <c r="O77" s="412">
        <f t="shared" si="52"/>
        <v>0</v>
      </c>
      <c r="P77" s="267">
        <f>SUM(P73:P76)</f>
        <v>45000000</v>
      </c>
      <c r="Q77" s="267">
        <f>SUM(Q73:Q76)</f>
        <v>5450000</v>
      </c>
      <c r="R77" s="269">
        <f t="shared" si="53"/>
        <v>39550000</v>
      </c>
      <c r="S77" s="412">
        <f t="shared" si="54"/>
        <v>0.12111111111111111</v>
      </c>
      <c r="T77" s="621">
        <f t="shared" ref="T77:AG77" si="58">SUM(T73:T76)</f>
        <v>5450000</v>
      </c>
      <c r="U77" s="267">
        <f t="shared" si="58"/>
        <v>40000000</v>
      </c>
      <c r="V77" s="267">
        <f t="shared" si="58"/>
        <v>3000000</v>
      </c>
      <c r="W77" s="267">
        <f t="shared" si="58"/>
        <v>3000000</v>
      </c>
      <c r="X77" s="267">
        <f t="shared" si="58"/>
        <v>15000000</v>
      </c>
      <c r="Y77" s="267">
        <f t="shared" si="58"/>
        <v>3000000</v>
      </c>
      <c r="Z77" s="267">
        <f t="shared" si="58"/>
        <v>3000000</v>
      </c>
      <c r="AA77" s="267">
        <f t="shared" si="58"/>
        <v>15000000</v>
      </c>
      <c r="AB77" s="267">
        <f t="shared" si="58"/>
        <v>15000000</v>
      </c>
      <c r="AC77" s="267">
        <f t="shared" si="58"/>
        <v>15000000</v>
      </c>
      <c r="AD77" s="267">
        <f t="shared" si="58"/>
        <v>157000000</v>
      </c>
      <c r="AE77" s="267">
        <f t="shared" si="58"/>
        <v>172700000.00000003</v>
      </c>
      <c r="AF77" s="267">
        <f t="shared" si="58"/>
        <v>189970000.00000003</v>
      </c>
      <c r="AG77" s="267">
        <f t="shared" si="58"/>
        <v>208967000.00000006</v>
      </c>
    </row>
    <row r="78" spans="1:33" s="242" customFormat="1" ht="16.899999999999999" customHeight="1" x14ac:dyDescent="0.2">
      <c r="A78" s="263"/>
      <c r="B78" s="320"/>
      <c r="C78" s="266" t="s">
        <v>328</v>
      </c>
      <c r="D78" s="267">
        <f>D77+D72+D66+D63+D56+D44+D32+D23+D22+D11</f>
        <v>1618470538.8000002</v>
      </c>
      <c r="E78" s="267">
        <f>E77+E72+E66+E63+E56+E44+E32+E23+E22+E11</f>
        <v>1918238146.4200001</v>
      </c>
      <c r="F78" s="269">
        <f t="shared" si="47"/>
        <v>-299767607.61999989</v>
      </c>
      <c r="G78" s="412">
        <f t="shared" si="48"/>
        <v>1.1852165982843652</v>
      </c>
      <c r="H78" s="267">
        <f>H77+H72+H66+H63+H56+H44+H32+H23+H22+H11</f>
        <v>1511570538.8000002</v>
      </c>
      <c r="I78" s="267">
        <f>I77+I72+I66+I63+I56+I44+I32+I23+I22+I11</f>
        <v>1885608418.3200002</v>
      </c>
      <c r="J78" s="269">
        <f t="shared" si="49"/>
        <v>-374037879.51999998</v>
      </c>
      <c r="K78" s="412">
        <f t="shared" si="50"/>
        <v>1.2474498344066296</v>
      </c>
      <c r="L78" s="267">
        <f>L77+L72+L66+L63+L56+L44+L32+L23+L22+L11</f>
        <v>1507820538.8000002</v>
      </c>
      <c r="M78" s="267">
        <f>M77+M72+M66+M63+M56+M44+M32+M23+M22+M11</f>
        <v>1912003168.54</v>
      </c>
      <c r="N78" s="269">
        <f t="shared" si="51"/>
        <v>-404182629.73999977</v>
      </c>
      <c r="O78" s="412">
        <f t="shared" si="52"/>
        <v>1.2680575170183508</v>
      </c>
      <c r="P78" s="267">
        <f>P77+P72+P66+P63+P56+P44+P32+P23+P22+P11</f>
        <v>4637861616.4000006</v>
      </c>
      <c r="Q78" s="267">
        <f>Q77+Q72+Q66+Q63+Q56+Q44+Q32+Q23+Q22+Q11</f>
        <v>5715849733.2799997</v>
      </c>
      <c r="R78" s="269">
        <f t="shared" si="53"/>
        <v>-1077988116.8799992</v>
      </c>
      <c r="S78" s="412">
        <f t="shared" si="54"/>
        <v>1.2324321435266874</v>
      </c>
      <c r="T78" s="621">
        <f>T77+T72+T66+T63+T56+T44+T32+T23+T22+T11</f>
        <v>18676541310.049999</v>
      </c>
      <c r="U78" s="267">
        <f t="shared" ref="U78:AG78" si="59">U77+U72+U66+U63+U56+U44+U32+U23+U22+U11</f>
        <v>1754419943.5999999</v>
      </c>
      <c r="V78" s="267">
        <f t="shared" si="59"/>
        <v>1630584538.8000002</v>
      </c>
      <c r="W78" s="267">
        <f t="shared" si="59"/>
        <v>1617670538.8000002</v>
      </c>
      <c r="X78" s="267">
        <f t="shared" si="59"/>
        <v>1497220538.8000002</v>
      </c>
      <c r="Y78" s="267">
        <f t="shared" si="59"/>
        <v>3216984549.4000001</v>
      </c>
      <c r="Z78" s="267">
        <f t="shared" si="59"/>
        <v>1460570538.8000002</v>
      </c>
      <c r="AA78" s="267">
        <f t="shared" si="59"/>
        <v>1618470538.8000002</v>
      </c>
      <c r="AB78" s="267">
        <f t="shared" si="59"/>
        <v>1511570538.8000002</v>
      </c>
      <c r="AC78" s="267">
        <f t="shared" si="59"/>
        <v>1507820538.8000002</v>
      </c>
      <c r="AD78" s="267">
        <f t="shared" si="59"/>
        <v>20453173881.000004</v>
      </c>
      <c r="AE78" s="267">
        <f t="shared" si="59"/>
        <v>22498491269.100006</v>
      </c>
      <c r="AF78" s="267">
        <f t="shared" si="59"/>
        <v>24748340396.010006</v>
      </c>
      <c r="AG78" s="267">
        <f t="shared" si="59"/>
        <v>27223174435.611008</v>
      </c>
    </row>
    <row r="79" spans="1:33" ht="16.899999999999999" customHeight="1" x14ac:dyDescent="0.2">
      <c r="A79" s="277" t="s">
        <v>345</v>
      </c>
      <c r="B79" s="245"/>
      <c r="C79" s="305" t="s">
        <v>127</v>
      </c>
      <c r="D79" s="303">
        <f>'AND 1'!V79+'ADY 1'!V79</f>
        <v>3000000</v>
      </c>
      <c r="E79" s="303">
        <f>'AND 1'!W79+'ADY 1'!W79</f>
        <v>0</v>
      </c>
      <c r="F79" s="296">
        <f t="shared" si="47"/>
        <v>3000000</v>
      </c>
      <c r="G79" s="406">
        <f t="shared" si="48"/>
        <v>0</v>
      </c>
      <c r="H79" s="296">
        <f>'AND 1'!X79+'ADY 1'!X79</f>
        <v>3000000</v>
      </c>
      <c r="I79" s="296">
        <f>'AND 1'!Y79+'ADY 1'!Y79</f>
        <v>0</v>
      </c>
      <c r="J79" s="296">
        <f t="shared" si="49"/>
        <v>3000000</v>
      </c>
      <c r="K79" s="406">
        <f t="shared" si="50"/>
        <v>0</v>
      </c>
      <c r="L79" s="296">
        <f>'AND 1'!Z79+'ADY 1'!Z79</f>
        <v>3000000</v>
      </c>
      <c r="M79" s="296">
        <f>'AND 1'!AA79+'ADY 1'!AA79</f>
        <v>0</v>
      </c>
      <c r="N79" s="296">
        <f t="shared" si="51"/>
        <v>3000000</v>
      </c>
      <c r="O79" s="406">
        <f t="shared" si="52"/>
        <v>0</v>
      </c>
      <c r="P79" s="296">
        <f t="shared" ref="P79:Q85" si="60">D79+H79+L79</f>
        <v>9000000</v>
      </c>
      <c r="Q79" s="296">
        <f t="shared" si="60"/>
        <v>0</v>
      </c>
      <c r="R79" s="296">
        <f t="shared" si="53"/>
        <v>9000000</v>
      </c>
      <c r="S79" s="406">
        <f t="shared" si="54"/>
        <v>0</v>
      </c>
      <c r="T79" s="618">
        <f>'AND 1'!AC79+'ADY 1'!AF79</f>
        <v>119763008</v>
      </c>
      <c r="U79" s="296">
        <f>'AND 1'!J79+'ADY 1'!J79</f>
        <v>3000000</v>
      </c>
      <c r="V79" s="296">
        <f>'AND 1'!L79+'ADY 1'!L79</f>
        <v>3000000</v>
      </c>
      <c r="W79" s="296">
        <f>'AND 1'!N79+'ADY 1'!N79</f>
        <v>3000000</v>
      </c>
      <c r="X79" s="296">
        <f>'AND 1'!P79+'ADY 1'!P79</f>
        <v>3000000</v>
      </c>
      <c r="Y79" s="296">
        <f>'AND 1'!R79+'ADY 1'!R79</f>
        <v>3000000</v>
      </c>
      <c r="Z79" s="296">
        <f>'AND 1'!T79+'ADY 1'!T79</f>
        <v>3000000</v>
      </c>
      <c r="AA79" s="296">
        <f>'AND 1'!V79+'ADY 1'!V79</f>
        <v>3000000</v>
      </c>
      <c r="AB79" s="296">
        <f>'AND 1'!X79+'ADY 1'!X79</f>
        <v>3000000</v>
      </c>
      <c r="AC79" s="296">
        <f>'AND 1'!Z79+'ADY 1'!Z79</f>
        <v>3000000</v>
      </c>
      <c r="AD79" s="297">
        <f t="shared" ref="AD79:AD85" si="61">AC79+AB79+AA79+Z79+Y79+X79+W79+V79+U79+L79+H79+D79</f>
        <v>36000000</v>
      </c>
      <c r="AE79" s="296">
        <f t="shared" ref="AE79:AG85" si="62">AD79*1.1</f>
        <v>39600000</v>
      </c>
      <c r="AF79" s="296">
        <f t="shared" si="62"/>
        <v>43560000</v>
      </c>
      <c r="AG79" s="296">
        <f t="shared" si="62"/>
        <v>47916000.000000007</v>
      </c>
    </row>
    <row r="80" spans="1:33" ht="16.899999999999999" customHeight="1" x14ac:dyDescent="0.2">
      <c r="A80" s="257" t="s">
        <v>346</v>
      </c>
      <c r="B80" s="247"/>
      <c r="C80" s="305" t="s">
        <v>128</v>
      </c>
      <c r="D80" s="303">
        <f>'AND 1'!V80+'ADY 1'!V80</f>
        <v>15000000</v>
      </c>
      <c r="E80" s="303">
        <f>'AND 1'!W80+'ADY 1'!W80</f>
        <v>2430000</v>
      </c>
      <c r="F80" s="296">
        <f t="shared" si="47"/>
        <v>12570000</v>
      </c>
      <c r="G80" s="406">
        <f t="shared" si="48"/>
        <v>0.16200000000000001</v>
      </c>
      <c r="H80" s="296">
        <f>'AND 1'!X80+'ADY 1'!X80</f>
        <v>15000000</v>
      </c>
      <c r="I80" s="296">
        <f>'AND 1'!Y80+'ADY 1'!Y80</f>
        <v>22100300</v>
      </c>
      <c r="J80" s="296">
        <f t="shared" si="49"/>
        <v>-7100300</v>
      </c>
      <c r="K80" s="406">
        <f t="shared" si="50"/>
        <v>1.4733533333333333</v>
      </c>
      <c r="L80" s="296">
        <f>'AND 1'!Z80+'ADY 1'!Z80</f>
        <v>15000000</v>
      </c>
      <c r="M80" s="296">
        <f>'AND 1'!AA80+'ADY 1'!AA80</f>
        <v>24750000</v>
      </c>
      <c r="N80" s="296">
        <f t="shared" si="51"/>
        <v>-9750000</v>
      </c>
      <c r="O80" s="406">
        <f t="shared" si="52"/>
        <v>1.65</v>
      </c>
      <c r="P80" s="296">
        <f t="shared" si="60"/>
        <v>45000000</v>
      </c>
      <c r="Q80" s="296">
        <f t="shared" si="60"/>
        <v>49280300</v>
      </c>
      <c r="R80" s="296">
        <f t="shared" si="53"/>
        <v>-4280300</v>
      </c>
      <c r="S80" s="406">
        <f t="shared" si="54"/>
        <v>1.0951177777777779</v>
      </c>
      <c r="T80" s="618">
        <f>'AND 1'!AC80+'ADY 1'!AF80</f>
        <v>79020300</v>
      </c>
      <c r="U80" s="296">
        <f>'AND 1'!J80+'ADY 1'!J80</f>
        <v>15000000</v>
      </c>
      <c r="V80" s="296">
        <f>'AND 1'!L80+'ADY 1'!L80</f>
        <v>15000000</v>
      </c>
      <c r="W80" s="296">
        <f>'AND 1'!N80+'ADY 1'!N80</f>
        <v>15000000</v>
      </c>
      <c r="X80" s="296">
        <f>'AND 1'!P80+'ADY 1'!P80</f>
        <v>15000000</v>
      </c>
      <c r="Y80" s="296">
        <f>'AND 1'!R80+'ADY 1'!R80</f>
        <v>15000000</v>
      </c>
      <c r="Z80" s="296">
        <f>'AND 1'!T80+'ADY 1'!T80</f>
        <v>15000000</v>
      </c>
      <c r="AA80" s="296">
        <f>'AND 1'!V80+'ADY 1'!V80</f>
        <v>15000000</v>
      </c>
      <c r="AB80" s="296">
        <f>'AND 1'!X80+'ADY 1'!X80</f>
        <v>15000000</v>
      </c>
      <c r="AC80" s="296">
        <f>'AND 1'!Z80+'ADY 1'!Z80</f>
        <v>15000000</v>
      </c>
      <c r="AD80" s="297">
        <f t="shared" si="61"/>
        <v>180000000</v>
      </c>
      <c r="AE80" s="296">
        <f t="shared" si="62"/>
        <v>198000000.00000003</v>
      </c>
      <c r="AF80" s="296">
        <f t="shared" si="62"/>
        <v>217800000.00000006</v>
      </c>
      <c r="AG80" s="296">
        <f t="shared" si="62"/>
        <v>239580000.00000009</v>
      </c>
    </row>
    <row r="81" spans="1:33" ht="16.899999999999999" customHeight="1" x14ac:dyDescent="0.2">
      <c r="A81" s="246"/>
      <c r="B81" s="247"/>
      <c r="C81" s="305" t="s">
        <v>111</v>
      </c>
      <c r="D81" s="303">
        <f>'AND 1'!V81+'ADY 1'!V81</f>
        <v>5000000</v>
      </c>
      <c r="E81" s="303">
        <f>'AND 1'!W81+'ADY 1'!W81</f>
        <v>0</v>
      </c>
      <c r="F81" s="296">
        <f t="shared" si="47"/>
        <v>5000000</v>
      </c>
      <c r="G81" s="406">
        <f t="shared" si="48"/>
        <v>0</v>
      </c>
      <c r="H81" s="296">
        <f>'AND 1'!X81+'ADY 1'!X81</f>
        <v>5000000</v>
      </c>
      <c r="I81" s="296">
        <f>'AND 1'!Y81+'ADY 1'!Y81</f>
        <v>0</v>
      </c>
      <c r="J81" s="296">
        <f t="shared" si="49"/>
        <v>5000000</v>
      </c>
      <c r="K81" s="406">
        <f t="shared" si="50"/>
        <v>0</v>
      </c>
      <c r="L81" s="296">
        <f>'AND 1'!Z81+'ADY 1'!Z81</f>
        <v>5000000</v>
      </c>
      <c r="M81" s="296">
        <f>'AND 1'!AA81+'ADY 1'!AA81</f>
        <v>0</v>
      </c>
      <c r="N81" s="296">
        <f t="shared" si="51"/>
        <v>5000000</v>
      </c>
      <c r="O81" s="406">
        <f t="shared" si="52"/>
        <v>0</v>
      </c>
      <c r="P81" s="296">
        <f t="shared" si="60"/>
        <v>15000000</v>
      </c>
      <c r="Q81" s="296">
        <f t="shared" si="60"/>
        <v>0</v>
      </c>
      <c r="R81" s="296">
        <f t="shared" si="53"/>
        <v>15000000</v>
      </c>
      <c r="S81" s="406">
        <f t="shared" si="54"/>
        <v>0</v>
      </c>
      <c r="T81" s="618">
        <f>'AND 1'!AC81+'ADY 1'!AF81</f>
        <v>0</v>
      </c>
      <c r="U81" s="296">
        <f>'AND 1'!J81+'ADY 1'!J81</f>
        <v>5000000</v>
      </c>
      <c r="V81" s="296">
        <f>'AND 1'!L81+'ADY 1'!L81</f>
        <v>7500000</v>
      </c>
      <c r="W81" s="296">
        <f>'AND 1'!N81+'ADY 1'!N81</f>
        <v>7500000</v>
      </c>
      <c r="X81" s="296">
        <f>'AND 1'!P81+'ADY 1'!P81</f>
        <v>7500000</v>
      </c>
      <c r="Y81" s="296">
        <f>'AND 1'!R81+'ADY 1'!R81</f>
        <v>7500000</v>
      </c>
      <c r="Z81" s="296">
        <f>'AND 1'!T81+'ADY 1'!T81</f>
        <v>5000000</v>
      </c>
      <c r="AA81" s="296">
        <f>'AND 1'!V81+'ADY 1'!V81</f>
        <v>5000000</v>
      </c>
      <c r="AB81" s="296">
        <f>'AND 1'!X81+'ADY 1'!X81</f>
        <v>5000000</v>
      </c>
      <c r="AC81" s="296">
        <f>'AND 1'!Z81+'ADY 1'!Z81</f>
        <v>5000000</v>
      </c>
      <c r="AD81" s="297">
        <f t="shared" si="61"/>
        <v>70000000</v>
      </c>
      <c r="AE81" s="296">
        <f t="shared" si="62"/>
        <v>77000000</v>
      </c>
      <c r="AF81" s="296">
        <f t="shared" si="62"/>
        <v>84700000</v>
      </c>
      <c r="AG81" s="296">
        <f t="shared" si="62"/>
        <v>93170000.000000015</v>
      </c>
    </row>
    <row r="82" spans="1:33" ht="16.899999999999999" customHeight="1" x14ac:dyDescent="0.2">
      <c r="A82" s="246"/>
      <c r="B82" s="247"/>
      <c r="C82" s="305" t="s">
        <v>130</v>
      </c>
      <c r="D82" s="303">
        <f>'AND 1'!V82+'ADY 1'!V82</f>
        <v>2000000</v>
      </c>
      <c r="E82" s="303">
        <f>'AND 1'!W82+'ADY 1'!W82</f>
        <v>0</v>
      </c>
      <c r="F82" s="296">
        <f t="shared" si="47"/>
        <v>2000000</v>
      </c>
      <c r="G82" s="406">
        <f t="shared" si="48"/>
        <v>0</v>
      </c>
      <c r="H82" s="296">
        <f>'AND 1'!X82+'ADY 1'!X82</f>
        <v>2000000</v>
      </c>
      <c r="I82" s="296">
        <f>'AND 1'!Y82+'ADY 1'!Y82</f>
        <v>0</v>
      </c>
      <c r="J82" s="296">
        <f t="shared" si="49"/>
        <v>2000000</v>
      </c>
      <c r="K82" s="406">
        <f t="shared" si="50"/>
        <v>0</v>
      </c>
      <c r="L82" s="296">
        <f>'AND 1'!Z82+'ADY 1'!Z82</f>
        <v>2000000</v>
      </c>
      <c r="M82" s="296">
        <f>'AND 1'!AA82+'ADY 1'!AA82</f>
        <v>0</v>
      </c>
      <c r="N82" s="296">
        <f t="shared" si="51"/>
        <v>2000000</v>
      </c>
      <c r="O82" s="406">
        <f t="shared" si="52"/>
        <v>0</v>
      </c>
      <c r="P82" s="296">
        <f t="shared" si="60"/>
        <v>6000000</v>
      </c>
      <c r="Q82" s="296">
        <f t="shared" si="60"/>
        <v>0</v>
      </c>
      <c r="R82" s="296">
        <f t="shared" si="53"/>
        <v>6000000</v>
      </c>
      <c r="S82" s="406">
        <f t="shared" si="54"/>
        <v>0</v>
      </c>
      <c r="T82" s="618">
        <f>'AND 1'!AC82+'ADY 1'!AF82</f>
        <v>26522600</v>
      </c>
      <c r="U82" s="296">
        <f>'AND 1'!J82+'ADY 1'!J82</f>
        <v>2000000</v>
      </c>
      <c r="V82" s="296">
        <f>'AND 1'!L82+'ADY 1'!L82</f>
        <v>2000000</v>
      </c>
      <c r="W82" s="296">
        <f>'AND 1'!N82+'ADY 1'!N82</f>
        <v>2000000</v>
      </c>
      <c r="X82" s="296">
        <f>'AND 1'!P82+'ADY 1'!P82</f>
        <v>2000000</v>
      </c>
      <c r="Y82" s="296">
        <f>'AND 1'!R82+'ADY 1'!R82</f>
        <v>2000000</v>
      </c>
      <c r="Z82" s="296">
        <f>'AND 1'!T82+'ADY 1'!T82</f>
        <v>2000000</v>
      </c>
      <c r="AA82" s="296">
        <f>'AND 1'!V82+'ADY 1'!V82</f>
        <v>2000000</v>
      </c>
      <c r="AB82" s="296">
        <f>'AND 1'!X82+'ADY 1'!X82</f>
        <v>2000000</v>
      </c>
      <c r="AC82" s="296">
        <f>'AND 1'!Z82+'ADY 1'!Z82</f>
        <v>2000000</v>
      </c>
      <c r="AD82" s="297">
        <f t="shared" si="61"/>
        <v>24000000</v>
      </c>
      <c r="AE82" s="296">
        <f t="shared" si="62"/>
        <v>26400000.000000004</v>
      </c>
      <c r="AF82" s="296">
        <f t="shared" si="62"/>
        <v>29040000.000000007</v>
      </c>
      <c r="AG82" s="296">
        <f t="shared" si="62"/>
        <v>31944000.000000011</v>
      </c>
    </row>
    <row r="83" spans="1:33" ht="16.899999999999999" customHeight="1" x14ac:dyDescent="0.2">
      <c r="A83" s="246"/>
      <c r="B83" s="247"/>
      <c r="C83" s="305" t="s">
        <v>131</v>
      </c>
      <c r="D83" s="303">
        <f>'AND 1'!V83+'ADY 1'!V83</f>
        <v>5000000</v>
      </c>
      <c r="E83" s="303">
        <f>'AND 1'!W83+'ADY 1'!W83</f>
        <v>0</v>
      </c>
      <c r="F83" s="296">
        <f t="shared" si="47"/>
        <v>5000000</v>
      </c>
      <c r="G83" s="406">
        <f t="shared" si="48"/>
        <v>0</v>
      </c>
      <c r="H83" s="296">
        <f>'AND 1'!X83+'ADY 1'!X83</f>
        <v>5000000</v>
      </c>
      <c r="I83" s="296">
        <f>'AND 1'!Y83+'ADY 1'!Y83</f>
        <v>0</v>
      </c>
      <c r="J83" s="296">
        <f t="shared" si="49"/>
        <v>5000000</v>
      </c>
      <c r="K83" s="406">
        <f t="shared" si="50"/>
        <v>0</v>
      </c>
      <c r="L83" s="296">
        <f>'AND 1'!Z83+'ADY 1'!Z83</f>
        <v>5000000</v>
      </c>
      <c r="M83" s="296">
        <f>'AND 1'!AA83+'ADY 1'!AA83</f>
        <v>0</v>
      </c>
      <c r="N83" s="296">
        <f t="shared" si="51"/>
        <v>5000000</v>
      </c>
      <c r="O83" s="406">
        <f t="shared" si="52"/>
        <v>0</v>
      </c>
      <c r="P83" s="296">
        <f t="shared" si="60"/>
        <v>15000000</v>
      </c>
      <c r="Q83" s="296">
        <f t="shared" si="60"/>
        <v>0</v>
      </c>
      <c r="R83" s="296">
        <f t="shared" si="53"/>
        <v>15000000</v>
      </c>
      <c r="S83" s="406">
        <f t="shared" si="54"/>
        <v>0</v>
      </c>
      <c r="T83" s="618">
        <f>'AND 1'!AC83+'ADY 1'!AF83</f>
        <v>0</v>
      </c>
      <c r="U83" s="296">
        <f>'AND 1'!J83+'ADY 1'!J83</f>
        <v>5000000</v>
      </c>
      <c r="V83" s="296">
        <f>'AND 1'!L83+'ADY 1'!L83</f>
        <v>5000000</v>
      </c>
      <c r="W83" s="296">
        <f>'AND 1'!N83+'ADY 1'!N83</f>
        <v>5000000</v>
      </c>
      <c r="X83" s="296">
        <f>'AND 1'!P83+'ADY 1'!P83</f>
        <v>5000000</v>
      </c>
      <c r="Y83" s="296">
        <f>'AND 1'!R83+'ADY 1'!R83</f>
        <v>5000000</v>
      </c>
      <c r="Z83" s="296">
        <f>'AND 1'!T83+'ADY 1'!T83</f>
        <v>5000000</v>
      </c>
      <c r="AA83" s="296">
        <f>'AND 1'!V83+'ADY 1'!V83</f>
        <v>5000000</v>
      </c>
      <c r="AB83" s="296">
        <f>'AND 1'!X83+'ADY 1'!X83</f>
        <v>5000000</v>
      </c>
      <c r="AC83" s="296">
        <f>'AND 1'!Z83+'ADY 1'!Z83</f>
        <v>5000000</v>
      </c>
      <c r="AD83" s="297">
        <f t="shared" si="61"/>
        <v>60000000</v>
      </c>
      <c r="AE83" s="296">
        <f t="shared" si="62"/>
        <v>66000000.000000007</v>
      </c>
      <c r="AF83" s="296">
        <f t="shared" si="62"/>
        <v>72600000.000000015</v>
      </c>
      <c r="AG83" s="296">
        <f t="shared" si="62"/>
        <v>79860000.00000003</v>
      </c>
    </row>
    <row r="84" spans="1:33" ht="16.5" customHeight="1" x14ac:dyDescent="0.2">
      <c r="A84" s="246"/>
      <c r="B84" s="247"/>
      <c r="C84" s="305" t="s">
        <v>132</v>
      </c>
      <c r="D84" s="303">
        <f>'AND 1'!V84+'ADY 1'!V84</f>
        <v>0</v>
      </c>
      <c r="E84" s="303">
        <f>'AND 1'!W84+'ADY 1'!W84</f>
        <v>0</v>
      </c>
      <c r="F84" s="296">
        <f t="shared" si="47"/>
        <v>0</v>
      </c>
      <c r="G84" s="406" t="e">
        <f t="shared" si="48"/>
        <v>#DIV/0!</v>
      </c>
      <c r="H84" s="296">
        <f>'AND 1'!X84+'ADY 1'!X84</f>
        <v>0</v>
      </c>
      <c r="I84" s="296">
        <f>'AND 1'!Y84+'ADY 1'!Y84</f>
        <v>0</v>
      </c>
      <c r="J84" s="296">
        <f t="shared" si="49"/>
        <v>0</v>
      </c>
      <c r="K84" s="406" t="e">
        <f t="shared" si="50"/>
        <v>#DIV/0!</v>
      </c>
      <c r="L84" s="296">
        <f>'AND 1'!Z84+'ADY 1'!Z84</f>
        <v>0</v>
      </c>
      <c r="M84" s="296">
        <f>'AND 1'!AA84+'ADY 1'!AA84</f>
        <v>0</v>
      </c>
      <c r="N84" s="296">
        <f t="shared" si="51"/>
        <v>0</v>
      </c>
      <c r="O84" s="406" t="e">
        <f t="shared" si="52"/>
        <v>#DIV/0!</v>
      </c>
      <c r="P84" s="296">
        <f t="shared" si="60"/>
        <v>0</v>
      </c>
      <c r="Q84" s="296">
        <f t="shared" si="60"/>
        <v>0</v>
      </c>
      <c r="R84" s="296">
        <f t="shared" si="53"/>
        <v>0</v>
      </c>
      <c r="S84" s="406" t="e">
        <f t="shared" si="54"/>
        <v>#DIV/0!</v>
      </c>
      <c r="T84" s="618">
        <f>'AND 1'!AC84+'ADY 1'!AF84</f>
        <v>4974500</v>
      </c>
      <c r="U84" s="296">
        <f>'AND 1'!J84+'ADY 1'!J84</f>
        <v>0</v>
      </c>
      <c r="V84" s="296">
        <f>'AND 1'!L84+'ADY 1'!L84</f>
        <v>0</v>
      </c>
      <c r="W84" s="296">
        <f>'AND 1'!N84+'ADY 1'!N84</f>
        <v>0</v>
      </c>
      <c r="X84" s="296">
        <f>'AND 1'!P84+'ADY 1'!P84</f>
        <v>0</v>
      </c>
      <c r="Y84" s="296">
        <f>'AND 1'!R84+'ADY 1'!R84</f>
        <v>0</v>
      </c>
      <c r="Z84" s="296">
        <f>'AND 1'!T84+'ADY 1'!T84</f>
        <v>0</v>
      </c>
      <c r="AA84" s="296">
        <f>'AND 1'!V84+'ADY 1'!V84</f>
        <v>0</v>
      </c>
      <c r="AB84" s="296">
        <f>'AND 1'!X84+'ADY 1'!X84</f>
        <v>0</v>
      </c>
      <c r="AC84" s="296">
        <f>'AND 1'!Z84+'ADY 1'!Z84</f>
        <v>0</v>
      </c>
      <c r="AD84" s="297">
        <f t="shared" si="61"/>
        <v>0</v>
      </c>
      <c r="AE84" s="296">
        <f t="shared" si="62"/>
        <v>0</v>
      </c>
      <c r="AF84" s="296">
        <f t="shared" si="62"/>
        <v>0</v>
      </c>
      <c r="AG84" s="296">
        <f t="shared" si="62"/>
        <v>0</v>
      </c>
    </row>
    <row r="85" spans="1:33" ht="16.899999999999999" customHeight="1" x14ac:dyDescent="0.2">
      <c r="A85" s="246"/>
      <c r="B85" s="247"/>
      <c r="C85" s="315" t="s">
        <v>112</v>
      </c>
      <c r="D85" s="303">
        <f>'AND 1'!V85+'ADY 1'!V85</f>
        <v>0</v>
      </c>
      <c r="E85" s="303">
        <f>'AND 1'!W85+'ADY 1'!W85</f>
        <v>0</v>
      </c>
      <c r="F85" s="296">
        <f t="shared" si="47"/>
        <v>0</v>
      </c>
      <c r="G85" s="406" t="e">
        <f t="shared" si="48"/>
        <v>#DIV/0!</v>
      </c>
      <c r="H85" s="296">
        <f>'AND 1'!X85+'ADY 1'!X85</f>
        <v>0</v>
      </c>
      <c r="I85" s="296">
        <f>'AND 1'!Y85+'ADY 1'!Y85</f>
        <v>0</v>
      </c>
      <c r="J85" s="296">
        <f t="shared" si="49"/>
        <v>0</v>
      </c>
      <c r="K85" s="406" t="e">
        <f t="shared" si="50"/>
        <v>#DIV/0!</v>
      </c>
      <c r="L85" s="296">
        <f>'AND 1'!Z85+'ADY 1'!Z85</f>
        <v>0</v>
      </c>
      <c r="M85" s="296">
        <f>'AND 1'!AA85+'ADY 1'!AA85</f>
        <v>0</v>
      </c>
      <c r="N85" s="296">
        <f t="shared" si="51"/>
        <v>0</v>
      </c>
      <c r="O85" s="406" t="e">
        <f t="shared" si="52"/>
        <v>#DIV/0!</v>
      </c>
      <c r="P85" s="296">
        <f t="shared" si="60"/>
        <v>0</v>
      </c>
      <c r="Q85" s="296">
        <f t="shared" si="60"/>
        <v>0</v>
      </c>
      <c r="R85" s="296">
        <f t="shared" si="53"/>
        <v>0</v>
      </c>
      <c r="S85" s="406" t="e">
        <f t="shared" si="54"/>
        <v>#DIV/0!</v>
      </c>
      <c r="T85" s="618">
        <f>'AND 1'!AC85+'ADY 1'!AF85</f>
        <v>0</v>
      </c>
      <c r="U85" s="299">
        <f>'AND 1'!J85+'ADY 1'!J85</f>
        <v>0</v>
      </c>
      <c r="V85" s="299">
        <f>'AND 1'!L85+'ADY 1'!L85</f>
        <v>0</v>
      </c>
      <c r="W85" s="299">
        <f>'AND 1'!N85+'ADY 1'!N85</f>
        <v>0</v>
      </c>
      <c r="X85" s="299">
        <f>'AND 1'!P85+'ADY 1'!P85</f>
        <v>0</v>
      </c>
      <c r="Y85" s="299">
        <f>'AND 1'!R85+'ADY 1'!R85</f>
        <v>0</v>
      </c>
      <c r="Z85" s="299">
        <f>'AND 1'!T85+'ADY 1'!T85</f>
        <v>0</v>
      </c>
      <c r="AA85" s="299">
        <f>'AND 1'!V85+'ADY 1'!V85</f>
        <v>0</v>
      </c>
      <c r="AB85" s="299">
        <f>'AND 1'!X85+'ADY 1'!X85</f>
        <v>0</v>
      </c>
      <c r="AC85" s="299">
        <f>'AND 1'!Z85+'ADY 1'!Z85</f>
        <v>0</v>
      </c>
      <c r="AD85" s="300">
        <f t="shared" si="61"/>
        <v>0</v>
      </c>
      <c r="AE85" s="299">
        <f t="shared" si="62"/>
        <v>0</v>
      </c>
      <c r="AF85" s="299">
        <f t="shared" si="62"/>
        <v>0</v>
      </c>
      <c r="AG85" s="299">
        <f t="shared" si="62"/>
        <v>0</v>
      </c>
    </row>
    <row r="86" spans="1:33" s="242" customFormat="1" ht="16.899999999999999" customHeight="1" x14ac:dyDescent="0.2">
      <c r="A86" s="257"/>
      <c r="B86" s="247"/>
      <c r="C86" s="268" t="s">
        <v>335</v>
      </c>
      <c r="D86" s="270">
        <f>SUM(D79:D85)</f>
        <v>30000000</v>
      </c>
      <c r="E86" s="270">
        <f>SUM(E79:E85)</f>
        <v>2430000</v>
      </c>
      <c r="F86" s="269">
        <f t="shared" si="47"/>
        <v>27570000</v>
      </c>
      <c r="G86" s="412">
        <f t="shared" si="48"/>
        <v>8.1000000000000003E-2</v>
      </c>
      <c r="H86" s="270">
        <f>SUM(H79:H85)</f>
        <v>30000000</v>
      </c>
      <c r="I86" s="270">
        <f>SUM(I79:I85)</f>
        <v>22100300</v>
      </c>
      <c r="J86" s="269">
        <f t="shared" si="49"/>
        <v>7899700</v>
      </c>
      <c r="K86" s="412">
        <f t="shared" si="50"/>
        <v>0.73667666666666665</v>
      </c>
      <c r="L86" s="270">
        <f>SUM(L79:L85)</f>
        <v>30000000</v>
      </c>
      <c r="M86" s="270">
        <f>SUM(M79:M85)</f>
        <v>24750000</v>
      </c>
      <c r="N86" s="269">
        <f t="shared" si="51"/>
        <v>5250000</v>
      </c>
      <c r="O86" s="412">
        <f t="shared" si="52"/>
        <v>0.82499999999999996</v>
      </c>
      <c r="P86" s="270">
        <f>SUM(P79:P85)</f>
        <v>90000000</v>
      </c>
      <c r="Q86" s="270">
        <f>SUM(Q79:Q85)</f>
        <v>49280300</v>
      </c>
      <c r="R86" s="269">
        <f t="shared" si="53"/>
        <v>40719700</v>
      </c>
      <c r="S86" s="412">
        <f t="shared" si="54"/>
        <v>0.54755888888888893</v>
      </c>
      <c r="T86" s="619">
        <f>SUM(T79:T85)</f>
        <v>230280408</v>
      </c>
      <c r="U86" s="270">
        <f t="shared" ref="U86:AG86" si="63">SUM(U79:U85)</f>
        <v>30000000</v>
      </c>
      <c r="V86" s="270">
        <f t="shared" si="63"/>
        <v>32500000</v>
      </c>
      <c r="W86" s="270">
        <f t="shared" si="63"/>
        <v>32500000</v>
      </c>
      <c r="X86" s="270">
        <f t="shared" si="63"/>
        <v>32500000</v>
      </c>
      <c r="Y86" s="270">
        <f t="shared" si="63"/>
        <v>32500000</v>
      </c>
      <c r="Z86" s="270">
        <f t="shared" si="63"/>
        <v>30000000</v>
      </c>
      <c r="AA86" s="270">
        <f t="shared" si="63"/>
        <v>30000000</v>
      </c>
      <c r="AB86" s="270">
        <f t="shared" si="63"/>
        <v>30000000</v>
      </c>
      <c r="AC86" s="270">
        <f t="shared" si="63"/>
        <v>30000000</v>
      </c>
      <c r="AD86" s="270">
        <f t="shared" si="63"/>
        <v>370000000</v>
      </c>
      <c r="AE86" s="270">
        <f t="shared" si="63"/>
        <v>407000000</v>
      </c>
      <c r="AF86" s="270">
        <f t="shared" si="63"/>
        <v>447700000.00000006</v>
      </c>
      <c r="AG86" s="270">
        <f t="shared" si="63"/>
        <v>492470000.00000012</v>
      </c>
    </row>
    <row r="87" spans="1:33" s="242" customFormat="1" ht="16.899999999999999" customHeight="1" x14ac:dyDescent="0.2">
      <c r="A87" s="277" t="s">
        <v>345</v>
      </c>
      <c r="B87" s="245"/>
      <c r="C87" s="310" t="s">
        <v>111</v>
      </c>
      <c r="D87" s="303">
        <f>'AND 1'!V87+'ADY 1'!V87</f>
        <v>0</v>
      </c>
      <c r="E87" s="303">
        <f>'AND 1'!W87+'ADY 1'!W87</f>
        <v>0</v>
      </c>
      <c r="F87" s="296">
        <f t="shared" si="47"/>
        <v>0</v>
      </c>
      <c r="G87" s="406" t="e">
        <f t="shared" si="48"/>
        <v>#DIV/0!</v>
      </c>
      <c r="H87" s="303">
        <f>'AND 1'!X87+'ADY 1'!X87</f>
        <v>0</v>
      </c>
      <c r="I87" s="303">
        <f>'AND 1'!Y87+'ADY 1'!Y87</f>
        <v>0</v>
      </c>
      <c r="J87" s="296">
        <f t="shared" si="49"/>
        <v>0</v>
      </c>
      <c r="K87" s="406" t="e">
        <f t="shared" si="50"/>
        <v>#DIV/0!</v>
      </c>
      <c r="L87" s="303">
        <f>'AND 1'!Z87+'ADY 1'!Z87</f>
        <v>0</v>
      </c>
      <c r="M87" s="303">
        <f>'AND 1'!AA87+'ADY 1'!AA87</f>
        <v>0</v>
      </c>
      <c r="N87" s="296">
        <f t="shared" si="51"/>
        <v>0</v>
      </c>
      <c r="O87" s="406" t="e">
        <f t="shared" si="52"/>
        <v>#DIV/0!</v>
      </c>
      <c r="P87" s="296">
        <f t="shared" ref="P87:Q92" si="64">D87+H87+L87</f>
        <v>0</v>
      </c>
      <c r="Q87" s="296">
        <f t="shared" si="64"/>
        <v>0</v>
      </c>
      <c r="R87" s="296">
        <f t="shared" si="53"/>
        <v>0</v>
      </c>
      <c r="S87" s="406" t="e">
        <f t="shared" si="54"/>
        <v>#DIV/0!</v>
      </c>
      <c r="T87" s="618">
        <f>'AND 1'!AC87+'ADY 1'!AF87</f>
        <v>0</v>
      </c>
      <c r="U87" s="303">
        <f>'AND 1'!J87+'ADY 1'!J87</f>
        <v>0</v>
      </c>
      <c r="V87" s="303">
        <f>'AND 1'!L87+'ADY 1'!L87</f>
        <v>16000000</v>
      </c>
      <c r="W87" s="303">
        <f>'AND 1'!N87+'ADY 1'!N87</f>
        <v>0</v>
      </c>
      <c r="X87" s="303">
        <f>'AND 1'!P87+'ADY 1'!P87</f>
        <v>0</v>
      </c>
      <c r="Y87" s="303">
        <f>'AND 1'!R87+'ADY 1'!R87</f>
        <v>17000000</v>
      </c>
      <c r="Z87" s="303">
        <f>'AND 1'!T87+'ADY 1'!T87</f>
        <v>0</v>
      </c>
      <c r="AA87" s="303">
        <f>'AND 1'!V87+'ADY 1'!V87</f>
        <v>0</v>
      </c>
      <c r="AB87" s="303">
        <f>'AND 1'!X87+'ADY 1'!X87</f>
        <v>0</v>
      </c>
      <c r="AC87" s="303">
        <f>'AND 1'!Z87+'ADY 1'!Z87</f>
        <v>0</v>
      </c>
      <c r="AD87" s="304">
        <f t="shared" ref="AD87:AD92" si="65">AC87+AB87+AA87+Z87+Y87+X87+W87+V87+U87+L87+H87+D87</f>
        <v>33000000</v>
      </c>
      <c r="AE87" s="303">
        <f t="shared" ref="AE87:AG92" si="66">AD87*1.1</f>
        <v>36300000</v>
      </c>
      <c r="AF87" s="303">
        <f t="shared" si="66"/>
        <v>39930000</v>
      </c>
      <c r="AG87" s="303">
        <f t="shared" si="66"/>
        <v>43923000</v>
      </c>
    </row>
    <row r="88" spans="1:33" s="242" customFormat="1" ht="16.899999999999999" customHeight="1" x14ac:dyDescent="0.2">
      <c r="A88" s="257" t="s">
        <v>347</v>
      </c>
      <c r="B88" s="247"/>
      <c r="C88" s="305" t="s">
        <v>112</v>
      </c>
      <c r="D88" s="303">
        <f>'AND 1'!V88+'ADY 1'!V88</f>
        <v>0</v>
      </c>
      <c r="E88" s="303">
        <f>'AND 1'!W88+'ADY 1'!W88</f>
        <v>0</v>
      </c>
      <c r="F88" s="296">
        <f t="shared" si="47"/>
        <v>0</v>
      </c>
      <c r="G88" s="406" t="e">
        <f t="shared" si="48"/>
        <v>#DIV/0!</v>
      </c>
      <c r="H88" s="303">
        <f>'AND 1'!X88+'ADY 1'!X88</f>
        <v>0</v>
      </c>
      <c r="I88" s="303">
        <f>'AND 1'!Y88+'ADY 1'!Y88</f>
        <v>0</v>
      </c>
      <c r="J88" s="296">
        <f t="shared" si="49"/>
        <v>0</v>
      </c>
      <c r="K88" s="406" t="e">
        <f t="shared" si="50"/>
        <v>#DIV/0!</v>
      </c>
      <c r="L88" s="303">
        <f>'AND 1'!Z88+'ADY 1'!Z88</f>
        <v>0</v>
      </c>
      <c r="M88" s="303">
        <f>'AND 1'!AA88+'ADY 1'!AA88</f>
        <v>0</v>
      </c>
      <c r="N88" s="296">
        <f t="shared" si="51"/>
        <v>0</v>
      </c>
      <c r="O88" s="406" t="e">
        <f t="shared" si="52"/>
        <v>#DIV/0!</v>
      </c>
      <c r="P88" s="296">
        <f t="shared" si="64"/>
        <v>0</v>
      </c>
      <c r="Q88" s="296">
        <f t="shared" si="64"/>
        <v>0</v>
      </c>
      <c r="R88" s="296">
        <f t="shared" si="53"/>
        <v>0</v>
      </c>
      <c r="S88" s="406" t="e">
        <f t="shared" si="54"/>
        <v>#DIV/0!</v>
      </c>
      <c r="T88" s="618">
        <f>'AND 1'!AC88+'ADY 1'!AF88</f>
        <v>0</v>
      </c>
      <c r="U88" s="296">
        <f>'AND 1'!J88+'ADY 1'!J88</f>
        <v>0</v>
      </c>
      <c r="V88" s="296">
        <f>'AND 1'!L88+'ADY 1'!L88</f>
        <v>0</v>
      </c>
      <c r="W88" s="296">
        <f>'AND 1'!N88+'ADY 1'!N88</f>
        <v>11691000</v>
      </c>
      <c r="X88" s="296">
        <f>'AND 1'!P88+'ADY 1'!P88</f>
        <v>0</v>
      </c>
      <c r="Y88" s="296">
        <f>'AND 1'!R88+'ADY 1'!R88</f>
        <v>1110000</v>
      </c>
      <c r="Z88" s="296">
        <f>'AND 1'!T88+'ADY 1'!T88</f>
        <v>0</v>
      </c>
      <c r="AA88" s="296">
        <f>'AND 1'!V88+'ADY 1'!V88</f>
        <v>0</v>
      </c>
      <c r="AB88" s="296">
        <f>'AND 1'!X88+'ADY 1'!X88</f>
        <v>0</v>
      </c>
      <c r="AC88" s="296">
        <f>'AND 1'!Z88+'ADY 1'!Z88</f>
        <v>0</v>
      </c>
      <c r="AD88" s="297">
        <f t="shared" si="65"/>
        <v>12801000</v>
      </c>
      <c r="AE88" s="296">
        <f t="shared" si="66"/>
        <v>14081100.000000002</v>
      </c>
      <c r="AF88" s="296">
        <f t="shared" si="66"/>
        <v>15489210.000000004</v>
      </c>
      <c r="AG88" s="296">
        <f t="shared" si="66"/>
        <v>17038131.000000004</v>
      </c>
    </row>
    <row r="89" spans="1:33" s="242" customFormat="1" ht="16.899999999999999" customHeight="1" x14ac:dyDescent="0.2">
      <c r="A89" s="246"/>
      <c r="B89" s="247"/>
      <c r="C89" s="305" t="s">
        <v>134</v>
      </c>
      <c r="D89" s="303">
        <f>'AND 1'!V89+'ADY 1'!V89</f>
        <v>4000000</v>
      </c>
      <c r="E89" s="303">
        <f>'AND 1'!W89+'ADY 1'!W89</f>
        <v>0</v>
      </c>
      <c r="F89" s="296">
        <f t="shared" si="47"/>
        <v>4000000</v>
      </c>
      <c r="G89" s="406">
        <f t="shared" si="48"/>
        <v>0</v>
      </c>
      <c r="H89" s="303">
        <f>'AND 1'!X89+'ADY 1'!X89</f>
        <v>4000000</v>
      </c>
      <c r="I89" s="303">
        <f>'AND 1'!Y89+'ADY 1'!Y89</f>
        <v>0</v>
      </c>
      <c r="J89" s="296">
        <f t="shared" si="49"/>
        <v>4000000</v>
      </c>
      <c r="K89" s="406">
        <f t="shared" si="50"/>
        <v>0</v>
      </c>
      <c r="L89" s="303">
        <f>'AND 1'!Z89+'ADY 1'!Z89</f>
        <v>4000000</v>
      </c>
      <c r="M89" s="303">
        <f>'AND 1'!AA89+'ADY 1'!AA89</f>
        <v>0</v>
      </c>
      <c r="N89" s="296">
        <f t="shared" si="51"/>
        <v>4000000</v>
      </c>
      <c r="O89" s="406">
        <f t="shared" si="52"/>
        <v>0</v>
      </c>
      <c r="P89" s="296">
        <f t="shared" si="64"/>
        <v>12000000</v>
      </c>
      <c r="Q89" s="296">
        <f t="shared" si="64"/>
        <v>0</v>
      </c>
      <c r="R89" s="296">
        <f t="shared" si="53"/>
        <v>12000000</v>
      </c>
      <c r="S89" s="406">
        <f t="shared" si="54"/>
        <v>0</v>
      </c>
      <c r="T89" s="618">
        <f>'AND 1'!AC89+'ADY 1'!AF89</f>
        <v>0</v>
      </c>
      <c r="U89" s="296">
        <f>'AND 1'!J89+'ADY 1'!J89</f>
        <v>4000000</v>
      </c>
      <c r="V89" s="296">
        <f>'AND 1'!L89+'ADY 1'!L89</f>
        <v>4000000</v>
      </c>
      <c r="W89" s="296">
        <f>'AND 1'!N89+'ADY 1'!N89</f>
        <v>4000000</v>
      </c>
      <c r="X89" s="296">
        <f>'AND 1'!P89+'ADY 1'!P89</f>
        <v>4000000</v>
      </c>
      <c r="Y89" s="296">
        <f>'AND 1'!R89+'ADY 1'!R89</f>
        <v>4000000</v>
      </c>
      <c r="Z89" s="296">
        <f>'AND 1'!T89+'ADY 1'!T89</f>
        <v>4000000</v>
      </c>
      <c r="AA89" s="296">
        <f>'AND 1'!V89+'ADY 1'!V89</f>
        <v>4000000</v>
      </c>
      <c r="AB89" s="296">
        <f>'AND 1'!X89+'ADY 1'!X89</f>
        <v>4000000</v>
      </c>
      <c r="AC89" s="296">
        <f>'AND 1'!Z89+'ADY 1'!Z89</f>
        <v>4000000</v>
      </c>
      <c r="AD89" s="297">
        <f t="shared" si="65"/>
        <v>48000000</v>
      </c>
      <c r="AE89" s="296">
        <f t="shared" si="66"/>
        <v>52800000.000000007</v>
      </c>
      <c r="AF89" s="296">
        <f t="shared" si="66"/>
        <v>58080000.000000015</v>
      </c>
      <c r="AG89" s="296">
        <f t="shared" si="66"/>
        <v>63888000.000000022</v>
      </c>
    </row>
    <row r="90" spans="1:33" s="242" customFormat="1" ht="16.899999999999999" customHeight="1" x14ac:dyDescent="0.2">
      <c r="A90" s="246"/>
      <c r="B90" s="247"/>
      <c r="C90" s="305" t="s">
        <v>135</v>
      </c>
      <c r="D90" s="303">
        <f>'AND 1'!V90+'ADY 1'!V90</f>
        <v>107987600</v>
      </c>
      <c r="E90" s="303">
        <f>'AND 1'!W90+'ADY 1'!W90</f>
        <v>0</v>
      </c>
      <c r="F90" s="296">
        <f t="shared" si="47"/>
        <v>107987600</v>
      </c>
      <c r="G90" s="406">
        <f t="shared" si="48"/>
        <v>0</v>
      </c>
      <c r="H90" s="303">
        <f>'AND 1'!X90+'ADY 1'!X90</f>
        <v>0</v>
      </c>
      <c r="I90" s="303">
        <f>'AND 1'!Y90+'ADY 1'!Y90</f>
        <v>0</v>
      </c>
      <c r="J90" s="296">
        <f t="shared" si="49"/>
        <v>0</v>
      </c>
      <c r="K90" s="406" t="e">
        <f t="shared" si="50"/>
        <v>#DIV/0!</v>
      </c>
      <c r="L90" s="303">
        <f>'AND 1'!Z90+'ADY 1'!Z90</f>
        <v>0</v>
      </c>
      <c r="M90" s="303">
        <f>'AND 1'!AA90+'ADY 1'!AA90</f>
        <v>0</v>
      </c>
      <c r="N90" s="296">
        <f t="shared" si="51"/>
        <v>0</v>
      </c>
      <c r="O90" s="406" t="e">
        <f t="shared" si="52"/>
        <v>#DIV/0!</v>
      </c>
      <c r="P90" s="296">
        <f t="shared" si="64"/>
        <v>107987600</v>
      </c>
      <c r="Q90" s="296">
        <f t="shared" si="64"/>
        <v>0</v>
      </c>
      <c r="R90" s="296">
        <f t="shared" si="53"/>
        <v>107987600</v>
      </c>
      <c r="S90" s="406">
        <f t="shared" si="54"/>
        <v>0</v>
      </c>
      <c r="T90" s="618">
        <f>'AND 1'!AC90+'ADY 1'!AF90</f>
        <v>0</v>
      </c>
      <c r="U90" s="296">
        <f>'AND 1'!J90+'ADY 1'!J90</f>
        <v>0</v>
      </c>
      <c r="V90" s="296">
        <f>'AND 1'!L90+'ADY 1'!L90</f>
        <v>0</v>
      </c>
      <c r="W90" s="296">
        <f>'AND 1'!N90+'ADY 1'!N90</f>
        <v>0</v>
      </c>
      <c r="X90" s="296">
        <f>'AND 1'!P90+'ADY 1'!P90</f>
        <v>0</v>
      </c>
      <c r="Y90" s="296">
        <f>'AND 1'!R90+'ADY 1'!R90</f>
        <v>0</v>
      </c>
      <c r="Z90" s="296">
        <f>'AND 1'!T90+'ADY 1'!T90</f>
        <v>0</v>
      </c>
      <c r="AA90" s="296">
        <f>'AND 1'!V90+'ADY 1'!V90</f>
        <v>107987600</v>
      </c>
      <c r="AB90" s="296">
        <f>'AND 1'!X90+'ADY 1'!X90</f>
        <v>0</v>
      </c>
      <c r="AC90" s="296">
        <f>'AND 1'!Z90+'ADY 1'!Z90</f>
        <v>0</v>
      </c>
      <c r="AD90" s="297">
        <f t="shared" si="65"/>
        <v>215975200</v>
      </c>
      <c r="AE90" s="296">
        <f t="shared" si="66"/>
        <v>237572720.00000003</v>
      </c>
      <c r="AF90" s="296">
        <f t="shared" si="66"/>
        <v>261329992.00000006</v>
      </c>
      <c r="AG90" s="296">
        <f t="shared" si="66"/>
        <v>287462991.20000011</v>
      </c>
    </row>
    <row r="91" spans="1:33" s="258" customFormat="1" ht="16.899999999999999" customHeight="1" x14ac:dyDescent="0.2">
      <c r="A91" s="246"/>
      <c r="B91" s="247"/>
      <c r="C91" s="305" t="s">
        <v>137</v>
      </c>
      <c r="D91" s="303">
        <f>'AND 1'!V91+'ADY 1'!V91</f>
        <v>4000000</v>
      </c>
      <c r="E91" s="303">
        <f>'AND 1'!W91+'ADY 1'!W91</f>
        <v>0</v>
      </c>
      <c r="F91" s="296">
        <f t="shared" si="47"/>
        <v>4000000</v>
      </c>
      <c r="G91" s="406">
        <f t="shared" si="48"/>
        <v>0</v>
      </c>
      <c r="H91" s="303">
        <f>'AND 1'!X91+'ADY 1'!X91</f>
        <v>4000000</v>
      </c>
      <c r="I91" s="303">
        <f>'AND 1'!Y91+'ADY 1'!Y91</f>
        <v>0</v>
      </c>
      <c r="J91" s="296">
        <f t="shared" si="49"/>
        <v>4000000</v>
      </c>
      <c r="K91" s="406">
        <f t="shared" si="50"/>
        <v>0</v>
      </c>
      <c r="L91" s="303">
        <f>'AND 1'!Z91+'ADY 1'!Z91</f>
        <v>4000000</v>
      </c>
      <c r="M91" s="303">
        <f>'AND 1'!AA91+'ADY 1'!AA91</f>
        <v>0</v>
      </c>
      <c r="N91" s="296">
        <f t="shared" si="51"/>
        <v>4000000</v>
      </c>
      <c r="O91" s="406">
        <f t="shared" si="52"/>
        <v>0</v>
      </c>
      <c r="P91" s="296">
        <f t="shared" si="64"/>
        <v>12000000</v>
      </c>
      <c r="Q91" s="296">
        <f t="shared" si="64"/>
        <v>0</v>
      </c>
      <c r="R91" s="296">
        <f t="shared" si="53"/>
        <v>12000000</v>
      </c>
      <c r="S91" s="406">
        <f t="shared" si="54"/>
        <v>0</v>
      </c>
      <c r="T91" s="618">
        <f>'AND 1'!AC91+'ADY 1'!AF91</f>
        <v>10450239</v>
      </c>
      <c r="U91" s="296">
        <f>'AND 1'!J91+'ADY 1'!J91</f>
        <v>4000000</v>
      </c>
      <c r="V91" s="296">
        <f>'AND 1'!L91+'ADY 1'!L91</f>
        <v>4000000</v>
      </c>
      <c r="W91" s="296">
        <f>'AND 1'!N91+'ADY 1'!N91</f>
        <v>4000000</v>
      </c>
      <c r="X91" s="296">
        <f>'AND 1'!P91+'ADY 1'!P91</f>
        <v>4000000</v>
      </c>
      <c r="Y91" s="296">
        <f>'AND 1'!R91+'ADY 1'!R91</f>
        <v>4000000</v>
      </c>
      <c r="Z91" s="296">
        <f>'AND 1'!T91+'ADY 1'!T91</f>
        <v>4000000</v>
      </c>
      <c r="AA91" s="296">
        <f>'AND 1'!V91+'ADY 1'!V91</f>
        <v>4000000</v>
      </c>
      <c r="AB91" s="296">
        <f>'AND 1'!X91+'ADY 1'!X91</f>
        <v>4000000</v>
      </c>
      <c r="AC91" s="296">
        <f>'AND 1'!Z91+'ADY 1'!Z91</f>
        <v>4000000</v>
      </c>
      <c r="AD91" s="297">
        <f t="shared" si="65"/>
        <v>48000000</v>
      </c>
      <c r="AE91" s="296">
        <f t="shared" si="66"/>
        <v>52800000.000000007</v>
      </c>
      <c r="AF91" s="296">
        <f t="shared" si="66"/>
        <v>58080000.000000015</v>
      </c>
      <c r="AG91" s="296">
        <f t="shared" si="66"/>
        <v>63888000.000000022</v>
      </c>
    </row>
    <row r="92" spans="1:33" s="258" customFormat="1" ht="16.899999999999999" customHeight="1" x14ac:dyDescent="0.2">
      <c r="A92" s="246"/>
      <c r="B92" s="247"/>
      <c r="C92" s="315" t="s">
        <v>139</v>
      </c>
      <c r="D92" s="303">
        <f>'AND 1'!V92+'ADY 1'!V92</f>
        <v>1000000</v>
      </c>
      <c r="E92" s="303">
        <f>'AND 1'!W92+'ADY 1'!W92</f>
        <v>0</v>
      </c>
      <c r="F92" s="296">
        <f t="shared" si="47"/>
        <v>1000000</v>
      </c>
      <c r="G92" s="406">
        <f t="shared" si="48"/>
        <v>0</v>
      </c>
      <c r="H92" s="303">
        <f>'AND 1'!X92+'ADY 1'!X92</f>
        <v>1000000</v>
      </c>
      <c r="I92" s="303">
        <f>'AND 1'!Y92+'ADY 1'!Y92</f>
        <v>0</v>
      </c>
      <c r="J92" s="296">
        <f t="shared" si="49"/>
        <v>1000000</v>
      </c>
      <c r="K92" s="406">
        <f t="shared" si="50"/>
        <v>0</v>
      </c>
      <c r="L92" s="303">
        <f>'AND 1'!Z92+'ADY 1'!Z92</f>
        <v>1000000</v>
      </c>
      <c r="M92" s="303">
        <f>'AND 1'!AA92+'ADY 1'!AA92</f>
        <v>0</v>
      </c>
      <c r="N92" s="296">
        <f t="shared" si="51"/>
        <v>1000000</v>
      </c>
      <c r="O92" s="406">
        <f t="shared" si="52"/>
        <v>0</v>
      </c>
      <c r="P92" s="296">
        <f t="shared" si="64"/>
        <v>3000000</v>
      </c>
      <c r="Q92" s="296">
        <f t="shared" si="64"/>
        <v>0</v>
      </c>
      <c r="R92" s="296">
        <f t="shared" si="53"/>
        <v>3000000</v>
      </c>
      <c r="S92" s="406">
        <f t="shared" si="54"/>
        <v>0</v>
      </c>
      <c r="T92" s="618">
        <f>'AND 1'!AC92+'ADY 1'!AF92</f>
        <v>0</v>
      </c>
      <c r="U92" s="299">
        <f>'AND 1'!J92+'ADY 1'!J92</f>
        <v>1000000</v>
      </c>
      <c r="V92" s="299">
        <f>'AND 1'!L92+'ADY 1'!L92</f>
        <v>1000000</v>
      </c>
      <c r="W92" s="299">
        <f>'AND 1'!N92+'ADY 1'!N92</f>
        <v>1000000</v>
      </c>
      <c r="X92" s="299">
        <f>'AND 1'!P92+'ADY 1'!P92</f>
        <v>1000000</v>
      </c>
      <c r="Y92" s="299">
        <f>'AND 1'!R92+'ADY 1'!R92</f>
        <v>1000000</v>
      </c>
      <c r="Z92" s="299">
        <f>'AND 1'!T92+'ADY 1'!T92</f>
        <v>1000000</v>
      </c>
      <c r="AA92" s="299">
        <f>'AND 1'!V92+'ADY 1'!V92</f>
        <v>1000000</v>
      </c>
      <c r="AB92" s="299">
        <f>'AND 1'!X92+'ADY 1'!X92</f>
        <v>1000000</v>
      </c>
      <c r="AC92" s="299">
        <f>'AND 1'!Z92+'ADY 1'!Z92</f>
        <v>1000000</v>
      </c>
      <c r="AD92" s="300">
        <f t="shared" si="65"/>
        <v>12000000</v>
      </c>
      <c r="AE92" s="299">
        <f t="shared" si="66"/>
        <v>13200000.000000002</v>
      </c>
      <c r="AF92" s="299">
        <f t="shared" si="66"/>
        <v>14520000.000000004</v>
      </c>
      <c r="AG92" s="299">
        <f t="shared" si="66"/>
        <v>15972000.000000006</v>
      </c>
    </row>
    <row r="93" spans="1:33" s="242" customFormat="1" ht="16.899999999999999" customHeight="1" x14ac:dyDescent="0.2">
      <c r="A93" s="257"/>
      <c r="B93" s="247"/>
      <c r="C93" s="268" t="s">
        <v>336</v>
      </c>
      <c r="D93" s="270">
        <f>SUM(D87:D92)</f>
        <v>116987600</v>
      </c>
      <c r="E93" s="270">
        <f>SUM(E87:E92)</f>
        <v>0</v>
      </c>
      <c r="F93" s="269">
        <f t="shared" si="47"/>
        <v>116987600</v>
      </c>
      <c r="G93" s="412">
        <f t="shared" si="48"/>
        <v>0</v>
      </c>
      <c r="H93" s="270">
        <f>SUM(H87:H92)</f>
        <v>9000000</v>
      </c>
      <c r="I93" s="270">
        <f>SUM(I87:I92)</f>
        <v>0</v>
      </c>
      <c r="J93" s="269">
        <f t="shared" si="49"/>
        <v>9000000</v>
      </c>
      <c r="K93" s="412">
        <f t="shared" si="50"/>
        <v>0</v>
      </c>
      <c r="L93" s="270">
        <f>SUM(L87:L92)</f>
        <v>9000000</v>
      </c>
      <c r="M93" s="270">
        <f>SUM(M87:M92)</f>
        <v>0</v>
      </c>
      <c r="N93" s="269">
        <f t="shared" si="51"/>
        <v>9000000</v>
      </c>
      <c r="O93" s="412">
        <f t="shared" si="52"/>
        <v>0</v>
      </c>
      <c r="P93" s="270">
        <f>SUM(P87:P92)</f>
        <v>134987600</v>
      </c>
      <c r="Q93" s="270">
        <f>SUM(Q87:Q92)</f>
        <v>0</v>
      </c>
      <c r="R93" s="269">
        <f t="shared" si="53"/>
        <v>134987600</v>
      </c>
      <c r="S93" s="412">
        <f t="shared" si="54"/>
        <v>0</v>
      </c>
      <c r="T93" s="619">
        <f t="shared" ref="T93:AG93" si="67">SUM(T87:T92)</f>
        <v>10450239</v>
      </c>
      <c r="U93" s="270">
        <f t="shared" si="67"/>
        <v>9000000</v>
      </c>
      <c r="V93" s="270">
        <f t="shared" si="67"/>
        <v>25000000</v>
      </c>
      <c r="W93" s="270">
        <f t="shared" si="67"/>
        <v>20691000</v>
      </c>
      <c r="X93" s="270">
        <f t="shared" si="67"/>
        <v>9000000</v>
      </c>
      <c r="Y93" s="270">
        <f t="shared" si="67"/>
        <v>27110000</v>
      </c>
      <c r="Z93" s="270">
        <f t="shared" si="67"/>
        <v>9000000</v>
      </c>
      <c r="AA93" s="270">
        <f t="shared" si="67"/>
        <v>116987600</v>
      </c>
      <c r="AB93" s="270">
        <f t="shared" si="67"/>
        <v>9000000</v>
      </c>
      <c r="AC93" s="270">
        <f t="shared" si="67"/>
        <v>9000000</v>
      </c>
      <c r="AD93" s="270">
        <f t="shared" si="67"/>
        <v>369776200</v>
      </c>
      <c r="AE93" s="270">
        <f t="shared" si="67"/>
        <v>406753820</v>
      </c>
      <c r="AF93" s="270">
        <f t="shared" si="67"/>
        <v>447429202.00000006</v>
      </c>
      <c r="AG93" s="270">
        <f t="shared" si="67"/>
        <v>492172122.20000017</v>
      </c>
    </row>
    <row r="94" spans="1:33" s="260" customFormat="1" ht="16.899999999999999" customHeight="1" x14ac:dyDescent="0.2">
      <c r="A94" s="276" t="s">
        <v>348</v>
      </c>
      <c r="B94" s="245"/>
      <c r="C94" s="302" t="s">
        <v>141</v>
      </c>
      <c r="D94" s="303">
        <f>'AND 1'!V94+'ADY 1'!V94</f>
        <v>9332000</v>
      </c>
      <c r="E94" s="303">
        <f>'AND 1'!W94+'ADY 1'!W94</f>
        <v>0</v>
      </c>
      <c r="F94" s="296">
        <f t="shared" si="47"/>
        <v>9332000</v>
      </c>
      <c r="G94" s="406">
        <f t="shared" si="48"/>
        <v>0</v>
      </c>
      <c r="H94" s="303">
        <f>'AND 1'!X94+'ADY 1'!X94</f>
        <v>9332000</v>
      </c>
      <c r="I94" s="303">
        <f>'AND 1'!Y94+'ADY 1'!Y94</f>
        <v>0</v>
      </c>
      <c r="J94" s="296">
        <f t="shared" si="49"/>
        <v>9332000</v>
      </c>
      <c r="K94" s="406">
        <f t="shared" si="50"/>
        <v>0</v>
      </c>
      <c r="L94" s="303">
        <f>'AND 1'!Z94+'ADY 1'!Z94</f>
        <v>9332000</v>
      </c>
      <c r="M94" s="303">
        <f>'AND 1'!AA94+'ADY 1'!AA94</f>
        <v>0</v>
      </c>
      <c r="N94" s="296">
        <f t="shared" si="51"/>
        <v>9332000</v>
      </c>
      <c r="O94" s="406">
        <f t="shared" si="52"/>
        <v>0</v>
      </c>
      <c r="P94" s="296">
        <f>D94+H94+L94</f>
        <v>27996000</v>
      </c>
      <c r="Q94" s="296">
        <f>E94+I94+M94</f>
        <v>0</v>
      </c>
      <c r="R94" s="296">
        <f t="shared" si="53"/>
        <v>27996000</v>
      </c>
      <c r="S94" s="406">
        <f t="shared" si="54"/>
        <v>0</v>
      </c>
      <c r="T94" s="618">
        <f>'AND 1'!AC94+'ADY 1'!AF94</f>
        <v>0</v>
      </c>
      <c r="U94" s="303">
        <f>'AND 1'!J94+'ADY 1'!J94</f>
        <v>9332000</v>
      </c>
      <c r="V94" s="303">
        <f>'AND 1'!L94+'ADY 1'!L94</f>
        <v>9332000</v>
      </c>
      <c r="W94" s="303">
        <f>'AND 1'!N94+'ADY 1'!N94</f>
        <v>9332000</v>
      </c>
      <c r="X94" s="303">
        <f>'AND 1'!P94+'ADY 1'!P94</f>
        <v>9332000</v>
      </c>
      <c r="Y94" s="303">
        <f>'AND 1'!R94+'ADY 1'!R94</f>
        <v>9332000</v>
      </c>
      <c r="Z94" s="303">
        <f>'AND 1'!T94+'ADY 1'!T94</f>
        <v>9332000</v>
      </c>
      <c r="AA94" s="303">
        <f>'AND 1'!V94+'ADY 1'!V94</f>
        <v>9332000</v>
      </c>
      <c r="AB94" s="303">
        <f>'AND 1'!X94+'ADY 1'!X94</f>
        <v>9332000</v>
      </c>
      <c r="AC94" s="303">
        <f>'AND 1'!Z94+'ADY 1'!Z94</f>
        <v>9332000</v>
      </c>
      <c r="AD94" s="304">
        <f>AC94+AB94+AA94+Z94+Y94+X94+W94+V94+U94+L94+H94+D94</f>
        <v>111984000</v>
      </c>
      <c r="AE94" s="303">
        <f t="shared" ref="AE94:AG95" si="68">AD94*1.1</f>
        <v>123182400.00000001</v>
      </c>
      <c r="AF94" s="303">
        <f t="shared" si="68"/>
        <v>135500640.00000003</v>
      </c>
      <c r="AG94" s="303">
        <f t="shared" si="68"/>
        <v>149050704.00000006</v>
      </c>
    </row>
    <row r="95" spans="1:33" s="260" customFormat="1" ht="16.899999999999999" customHeight="1" x14ac:dyDescent="0.2">
      <c r="A95" s="261"/>
      <c r="B95" s="247"/>
      <c r="C95" s="315" t="s">
        <v>111</v>
      </c>
      <c r="D95" s="303">
        <f>'AND 1'!V95+'ADY 1'!V95</f>
        <v>0</v>
      </c>
      <c r="E95" s="303">
        <f>'AND 1'!W95+'ADY 1'!W95</f>
        <v>0</v>
      </c>
      <c r="F95" s="296">
        <f t="shared" si="47"/>
        <v>0</v>
      </c>
      <c r="G95" s="406" t="e">
        <f t="shared" si="48"/>
        <v>#DIV/0!</v>
      </c>
      <c r="H95" s="303">
        <f>'AND 1'!X95+'ADY 1'!X95</f>
        <v>2000000</v>
      </c>
      <c r="I95" s="303">
        <f>'AND 1'!Y95+'ADY 1'!Y95</f>
        <v>0</v>
      </c>
      <c r="J95" s="296">
        <f t="shared" si="49"/>
        <v>2000000</v>
      </c>
      <c r="K95" s="406">
        <f t="shared" si="50"/>
        <v>0</v>
      </c>
      <c r="L95" s="303">
        <f>'AND 1'!Z95+'ADY 1'!Z95</f>
        <v>0</v>
      </c>
      <c r="M95" s="303">
        <f>'AND 1'!AA95+'ADY 1'!AA95</f>
        <v>0</v>
      </c>
      <c r="N95" s="296">
        <f t="shared" si="51"/>
        <v>0</v>
      </c>
      <c r="O95" s="406" t="e">
        <f t="shared" si="52"/>
        <v>#DIV/0!</v>
      </c>
      <c r="P95" s="296">
        <f>D95+H95+L95</f>
        <v>2000000</v>
      </c>
      <c r="Q95" s="296">
        <f>E95+I95+M95</f>
        <v>0</v>
      </c>
      <c r="R95" s="296">
        <f t="shared" si="53"/>
        <v>2000000</v>
      </c>
      <c r="S95" s="406">
        <f t="shared" si="54"/>
        <v>0</v>
      </c>
      <c r="T95" s="618">
        <f>'AND 1'!AC95+'ADY 1'!AF95</f>
        <v>0</v>
      </c>
      <c r="U95" s="299">
        <f>'AND 1'!J95+'ADY 1'!J95</f>
        <v>17500000</v>
      </c>
      <c r="V95" s="299">
        <f>'AND 1'!L95+'ADY 1'!L95</f>
        <v>7000000</v>
      </c>
      <c r="W95" s="299">
        <f>'AND 1'!N95+'ADY 1'!N95</f>
        <v>0</v>
      </c>
      <c r="X95" s="299">
        <f>'AND 1'!P95+'ADY 1'!P95</f>
        <v>1000000</v>
      </c>
      <c r="Y95" s="299">
        <f>'AND 1'!R95+'ADY 1'!R95</f>
        <v>12000000</v>
      </c>
      <c r="Z95" s="299">
        <f>'AND 1'!T95+'ADY 1'!T95</f>
        <v>2000000</v>
      </c>
      <c r="AA95" s="299">
        <f>'AND 1'!V95+'ADY 1'!V95</f>
        <v>0</v>
      </c>
      <c r="AB95" s="299">
        <f>'AND 1'!X95+'ADY 1'!X95</f>
        <v>2000000</v>
      </c>
      <c r="AC95" s="299">
        <f>'AND 1'!Z95+'ADY 1'!Z95</f>
        <v>0</v>
      </c>
      <c r="AD95" s="300">
        <f>AC95+AB95+AA95+Z95+Y95+X95+W95+V95+U95+L95+H95+D95</f>
        <v>43500000</v>
      </c>
      <c r="AE95" s="299">
        <f t="shared" si="68"/>
        <v>47850000.000000007</v>
      </c>
      <c r="AF95" s="299">
        <f t="shared" si="68"/>
        <v>52635000.000000015</v>
      </c>
      <c r="AG95" s="299">
        <f t="shared" si="68"/>
        <v>57898500.000000022</v>
      </c>
    </row>
    <row r="96" spans="1:33" s="242" customFormat="1" ht="16.899999999999999" customHeight="1" x14ac:dyDescent="0.2">
      <c r="A96" s="257"/>
      <c r="B96" s="247"/>
      <c r="C96" s="268" t="s">
        <v>337</v>
      </c>
      <c r="D96" s="267">
        <f>SUM(D94:D95)</f>
        <v>9332000</v>
      </c>
      <c r="E96" s="267">
        <f>SUM(E94:E95)</f>
        <v>0</v>
      </c>
      <c r="F96" s="269">
        <f t="shared" si="47"/>
        <v>9332000</v>
      </c>
      <c r="G96" s="412">
        <f t="shared" si="48"/>
        <v>0</v>
      </c>
      <c r="H96" s="267">
        <f>SUM(H94:H95)</f>
        <v>11332000</v>
      </c>
      <c r="I96" s="267">
        <f>SUM(I94:I95)</f>
        <v>0</v>
      </c>
      <c r="J96" s="269">
        <f t="shared" si="49"/>
        <v>11332000</v>
      </c>
      <c r="K96" s="412">
        <f t="shared" si="50"/>
        <v>0</v>
      </c>
      <c r="L96" s="267">
        <f>SUM(L94:L95)</f>
        <v>9332000</v>
      </c>
      <c r="M96" s="267">
        <f>SUM(M94:M95)</f>
        <v>0</v>
      </c>
      <c r="N96" s="269">
        <f t="shared" si="51"/>
        <v>9332000</v>
      </c>
      <c r="O96" s="412">
        <f t="shared" si="52"/>
        <v>0</v>
      </c>
      <c r="P96" s="267">
        <f>SUM(P94:P95)</f>
        <v>29996000</v>
      </c>
      <c r="Q96" s="267">
        <f>SUM(Q94:Q95)</f>
        <v>0</v>
      </c>
      <c r="R96" s="269">
        <f t="shared" si="53"/>
        <v>29996000</v>
      </c>
      <c r="S96" s="412">
        <f t="shared" si="54"/>
        <v>0</v>
      </c>
      <c r="T96" s="621">
        <f t="shared" ref="T96:AG96" si="69">SUM(T94:T95)</f>
        <v>0</v>
      </c>
      <c r="U96" s="267">
        <f t="shared" si="69"/>
        <v>26832000</v>
      </c>
      <c r="V96" s="267">
        <f t="shared" si="69"/>
        <v>16332000</v>
      </c>
      <c r="W96" s="267">
        <f t="shared" si="69"/>
        <v>9332000</v>
      </c>
      <c r="X96" s="267">
        <f t="shared" si="69"/>
        <v>10332000</v>
      </c>
      <c r="Y96" s="267">
        <f t="shared" si="69"/>
        <v>21332000</v>
      </c>
      <c r="Z96" s="267">
        <f t="shared" si="69"/>
        <v>11332000</v>
      </c>
      <c r="AA96" s="267">
        <f t="shared" si="69"/>
        <v>9332000</v>
      </c>
      <c r="AB96" s="267">
        <f t="shared" si="69"/>
        <v>11332000</v>
      </c>
      <c r="AC96" s="267">
        <f t="shared" si="69"/>
        <v>9332000</v>
      </c>
      <c r="AD96" s="267">
        <f t="shared" si="69"/>
        <v>155484000</v>
      </c>
      <c r="AE96" s="267">
        <f t="shared" si="69"/>
        <v>171032400.00000003</v>
      </c>
      <c r="AF96" s="267">
        <f t="shared" si="69"/>
        <v>188135640.00000006</v>
      </c>
      <c r="AG96" s="267">
        <f t="shared" si="69"/>
        <v>206949204.00000009</v>
      </c>
    </row>
    <row r="97" spans="1:33" s="260" customFormat="1" ht="16.899999999999999" customHeight="1" x14ac:dyDescent="0.2">
      <c r="A97" s="276" t="s">
        <v>237</v>
      </c>
      <c r="B97" s="245"/>
      <c r="C97" s="302" t="s">
        <v>141</v>
      </c>
      <c r="D97" s="304">
        <f>'AND 1'!V97+'ADY 1'!V97</f>
        <v>6590000</v>
      </c>
      <c r="E97" s="304">
        <f>'AND 1'!W97+'ADY 1'!W97</f>
        <v>0</v>
      </c>
      <c r="F97" s="296">
        <f t="shared" si="47"/>
        <v>6590000</v>
      </c>
      <c r="G97" s="406">
        <f t="shared" si="48"/>
        <v>0</v>
      </c>
      <c r="H97" s="304">
        <f>'AND 1'!X97+'ADY 1'!X97</f>
        <v>19000000</v>
      </c>
      <c r="I97" s="304">
        <f>'AND 1'!Y97+'ADY 1'!Y97</f>
        <v>0</v>
      </c>
      <c r="J97" s="296">
        <f t="shared" si="49"/>
        <v>19000000</v>
      </c>
      <c r="K97" s="406">
        <f t="shared" si="50"/>
        <v>0</v>
      </c>
      <c r="L97" s="304">
        <f>'AND 1'!Z97+'ADY 1'!Z97</f>
        <v>0</v>
      </c>
      <c r="M97" s="304">
        <f>'AND 1'!AA97+'ADY 1'!AA97</f>
        <v>0</v>
      </c>
      <c r="N97" s="296">
        <f t="shared" si="51"/>
        <v>0</v>
      </c>
      <c r="O97" s="406" t="e">
        <f t="shared" si="52"/>
        <v>#DIV/0!</v>
      </c>
      <c r="P97" s="296">
        <f t="shared" ref="P97:Q100" si="70">D97+H97+L97</f>
        <v>25590000</v>
      </c>
      <c r="Q97" s="296">
        <f t="shared" si="70"/>
        <v>0</v>
      </c>
      <c r="R97" s="296">
        <f t="shared" si="53"/>
        <v>25590000</v>
      </c>
      <c r="S97" s="406">
        <f t="shared" si="54"/>
        <v>0</v>
      </c>
      <c r="T97" s="618">
        <f>'AND 1'!AC97+'ADY 1'!AF97</f>
        <v>0</v>
      </c>
      <c r="U97" s="304">
        <f>'AND 1'!J97+'ADY 1'!J97</f>
        <v>0</v>
      </c>
      <c r="V97" s="304">
        <f>'AND 1'!L97+'ADY 1'!L97</f>
        <v>0</v>
      </c>
      <c r="W97" s="304">
        <f>'AND 1'!N97+'ADY 1'!N97</f>
        <v>75000000</v>
      </c>
      <c r="X97" s="304">
        <f>'AND 1'!P97+'ADY 1'!P97</f>
        <v>0</v>
      </c>
      <c r="Y97" s="304">
        <f>'AND 1'!R97+'ADY 1'!R97</f>
        <v>0</v>
      </c>
      <c r="Z97" s="304">
        <f>'AND 1'!T97+'ADY 1'!T97</f>
        <v>1300000</v>
      </c>
      <c r="AA97" s="304">
        <f>'AND 1'!V97+'ADY 1'!V97</f>
        <v>6590000</v>
      </c>
      <c r="AB97" s="304">
        <f>'AND 1'!X97+'ADY 1'!X97</f>
        <v>19000000</v>
      </c>
      <c r="AC97" s="304">
        <f>'AND 1'!Z97+'ADY 1'!Z97</f>
        <v>0</v>
      </c>
      <c r="AD97" s="304">
        <f>AC97+AB97+AA97+Z97+Y97+X97+W97+V97+U97+L97+H97+D97</f>
        <v>127480000</v>
      </c>
      <c r="AE97" s="303">
        <f t="shared" ref="AE97:AG100" si="71">AD97*1.1</f>
        <v>140228000</v>
      </c>
      <c r="AF97" s="303">
        <f t="shared" si="71"/>
        <v>154250800</v>
      </c>
      <c r="AG97" s="303">
        <f t="shared" si="71"/>
        <v>169675880</v>
      </c>
    </row>
    <row r="98" spans="1:33" s="260" customFormat="1" ht="16.899999999999999" customHeight="1" x14ac:dyDescent="0.2">
      <c r="A98" s="261"/>
      <c r="B98" s="247"/>
      <c r="C98" s="308" t="s">
        <v>146</v>
      </c>
      <c r="D98" s="304">
        <f>'AND 1'!V98+'ADY 1'!V98</f>
        <v>0</v>
      </c>
      <c r="E98" s="304">
        <f>'AND 1'!W98+'ADY 1'!W98</f>
        <v>0</v>
      </c>
      <c r="F98" s="296">
        <f t="shared" si="47"/>
        <v>0</v>
      </c>
      <c r="G98" s="406" t="e">
        <f t="shared" si="48"/>
        <v>#DIV/0!</v>
      </c>
      <c r="H98" s="304">
        <f>'AND 1'!X98+'ADY 1'!X98</f>
        <v>0</v>
      </c>
      <c r="I98" s="304">
        <f>'AND 1'!Y98+'ADY 1'!Y98</f>
        <v>0</v>
      </c>
      <c r="J98" s="296">
        <f t="shared" si="49"/>
        <v>0</v>
      </c>
      <c r="K98" s="406" t="e">
        <f t="shared" si="50"/>
        <v>#DIV/0!</v>
      </c>
      <c r="L98" s="304">
        <f>'AND 1'!Z98+'ADY 1'!Z98</f>
        <v>0</v>
      </c>
      <c r="M98" s="304">
        <f>'AND 1'!AA98+'ADY 1'!AA98</f>
        <v>0</v>
      </c>
      <c r="N98" s="296">
        <f t="shared" si="51"/>
        <v>0</v>
      </c>
      <c r="O98" s="406" t="e">
        <f t="shared" si="52"/>
        <v>#DIV/0!</v>
      </c>
      <c r="P98" s="296">
        <f t="shared" si="70"/>
        <v>0</v>
      </c>
      <c r="Q98" s="296">
        <f t="shared" si="70"/>
        <v>0</v>
      </c>
      <c r="R98" s="296">
        <f t="shared" si="53"/>
        <v>0</v>
      </c>
      <c r="S98" s="406" t="e">
        <f t="shared" si="54"/>
        <v>#DIV/0!</v>
      </c>
      <c r="T98" s="618">
        <f>'AND 1'!AC98+'ADY 1'!AF98</f>
        <v>91700000</v>
      </c>
      <c r="U98" s="297">
        <f>'AND 1'!J98+'ADY 1'!J98</f>
        <v>0</v>
      </c>
      <c r="V98" s="297">
        <f>'AND 1'!L98+'ADY 1'!L98</f>
        <v>0</v>
      </c>
      <c r="W98" s="297">
        <f>'AND 1'!N98+'ADY 1'!N98</f>
        <v>0</v>
      </c>
      <c r="X98" s="297">
        <f>'AND 1'!P98+'ADY 1'!P98</f>
        <v>0</v>
      </c>
      <c r="Y98" s="297">
        <f>'AND 1'!R98+'ADY 1'!R98</f>
        <v>0</v>
      </c>
      <c r="Z98" s="297">
        <f>'AND 1'!T98+'ADY 1'!T98</f>
        <v>0</v>
      </c>
      <c r="AA98" s="297">
        <f>'AND 1'!V98+'ADY 1'!V98</f>
        <v>0</v>
      </c>
      <c r="AB98" s="297">
        <f>'AND 1'!X98+'ADY 1'!X98</f>
        <v>0</v>
      </c>
      <c r="AC98" s="297">
        <f>'AND 1'!Z98+'ADY 1'!Z98</f>
        <v>0</v>
      </c>
      <c r="AD98" s="317">
        <f>AC98+AB98+AA98+Z98+Y98+X98+W98+V98+U98+L98+H98+D98</f>
        <v>0</v>
      </c>
      <c r="AE98" s="296">
        <f t="shared" si="71"/>
        <v>0</v>
      </c>
      <c r="AF98" s="296">
        <f t="shared" si="71"/>
        <v>0</v>
      </c>
      <c r="AG98" s="296">
        <f t="shared" si="71"/>
        <v>0</v>
      </c>
    </row>
    <row r="99" spans="1:33" s="260" customFormat="1" ht="16.899999999999999" customHeight="1" x14ac:dyDescent="0.2">
      <c r="A99" s="261"/>
      <c r="B99" s="247"/>
      <c r="C99" s="308" t="s">
        <v>189</v>
      </c>
      <c r="D99" s="304">
        <f>'AND 1'!V99+'ADY 1'!V99</f>
        <v>0</v>
      </c>
      <c r="E99" s="304">
        <f>'AND 1'!W99+'ADY 1'!W99</f>
        <v>0</v>
      </c>
      <c r="F99" s="296">
        <f t="shared" si="47"/>
        <v>0</v>
      </c>
      <c r="G99" s="406" t="e">
        <f t="shared" si="48"/>
        <v>#DIV/0!</v>
      </c>
      <c r="H99" s="304">
        <f>'AND 1'!X99+'ADY 1'!X99</f>
        <v>0</v>
      </c>
      <c r="I99" s="304">
        <f>'AND 1'!Y99+'ADY 1'!Y99</f>
        <v>0</v>
      </c>
      <c r="J99" s="296">
        <f t="shared" si="49"/>
        <v>0</v>
      </c>
      <c r="K99" s="406" t="e">
        <f t="shared" si="50"/>
        <v>#DIV/0!</v>
      </c>
      <c r="L99" s="304">
        <f>'AND 1'!Z99+'ADY 1'!Z99</f>
        <v>0</v>
      </c>
      <c r="M99" s="304">
        <f>'AND 1'!AA99+'ADY 1'!AA99</f>
        <v>0</v>
      </c>
      <c r="N99" s="296">
        <f t="shared" si="51"/>
        <v>0</v>
      </c>
      <c r="O99" s="406" t="e">
        <f t="shared" si="52"/>
        <v>#DIV/0!</v>
      </c>
      <c r="P99" s="296">
        <f t="shared" si="70"/>
        <v>0</v>
      </c>
      <c r="Q99" s="296">
        <f t="shared" si="70"/>
        <v>0</v>
      </c>
      <c r="R99" s="296">
        <f t="shared" si="53"/>
        <v>0</v>
      </c>
      <c r="S99" s="406" t="e">
        <f t="shared" si="54"/>
        <v>#DIV/0!</v>
      </c>
      <c r="T99" s="618">
        <f>'AND 1'!AC99+'ADY 1'!AF99</f>
        <v>0</v>
      </c>
      <c r="U99" s="297">
        <f>'AND 1'!J99+'ADY 1'!J99</f>
        <v>0</v>
      </c>
      <c r="V99" s="297">
        <f>'AND 1'!L99+'ADY 1'!L99</f>
        <v>0</v>
      </c>
      <c r="W99" s="297">
        <f>'AND 1'!N99+'ADY 1'!N99</f>
        <v>0</v>
      </c>
      <c r="X99" s="297">
        <f>'AND 1'!P99+'ADY 1'!P99</f>
        <v>0</v>
      </c>
      <c r="Y99" s="297">
        <f>'AND 1'!R99+'ADY 1'!R99</f>
        <v>0</v>
      </c>
      <c r="Z99" s="297">
        <f>'AND 1'!T99+'ADY 1'!T99</f>
        <v>0</v>
      </c>
      <c r="AA99" s="297">
        <f>'AND 1'!V99+'ADY 1'!V99</f>
        <v>0</v>
      </c>
      <c r="AB99" s="297">
        <f>'AND 1'!X99+'ADY 1'!X99</f>
        <v>0</v>
      </c>
      <c r="AC99" s="297">
        <f>'AND 1'!Z99+'ADY 1'!Z99</f>
        <v>0</v>
      </c>
      <c r="AD99" s="317">
        <f>AC99+AB99+AA99+Z99+Y99+X99+W99+V99+U99+L99+H99+D99</f>
        <v>0</v>
      </c>
      <c r="AE99" s="296">
        <f t="shared" si="71"/>
        <v>0</v>
      </c>
      <c r="AF99" s="296">
        <f t="shared" si="71"/>
        <v>0</v>
      </c>
      <c r="AG99" s="296">
        <f t="shared" si="71"/>
        <v>0</v>
      </c>
    </row>
    <row r="100" spans="1:33" s="260" customFormat="1" ht="16.899999999999999" customHeight="1" x14ac:dyDescent="0.2">
      <c r="A100" s="261"/>
      <c r="B100" s="247"/>
      <c r="C100" s="315" t="s">
        <v>111</v>
      </c>
      <c r="D100" s="304">
        <f>'AND 1'!V100+'ADY 1'!V100</f>
        <v>0</v>
      </c>
      <c r="E100" s="304">
        <f>'AND 1'!W100+'ADY 1'!W100</f>
        <v>0</v>
      </c>
      <c r="F100" s="296">
        <f t="shared" si="47"/>
        <v>0</v>
      </c>
      <c r="G100" s="406" t="e">
        <f t="shared" si="48"/>
        <v>#DIV/0!</v>
      </c>
      <c r="H100" s="304">
        <f>'AND 1'!X100+'ADY 1'!X100</f>
        <v>2000000</v>
      </c>
      <c r="I100" s="304">
        <f>'AND 1'!Y105+'ADY 1'!Y105</f>
        <v>1800000</v>
      </c>
      <c r="J100" s="296">
        <f t="shared" si="49"/>
        <v>200000</v>
      </c>
      <c r="K100" s="406">
        <f t="shared" si="50"/>
        <v>0.9</v>
      </c>
      <c r="L100" s="304">
        <f>'AND 1'!Z100+'ADY 1'!Z100</f>
        <v>0</v>
      </c>
      <c r="M100" s="304">
        <f>'AND 1'!AA100+'ADY 1'!AA100</f>
        <v>0</v>
      </c>
      <c r="N100" s="296">
        <f t="shared" si="51"/>
        <v>0</v>
      </c>
      <c r="O100" s="406" t="e">
        <f t="shared" si="52"/>
        <v>#DIV/0!</v>
      </c>
      <c r="P100" s="296">
        <f t="shared" si="70"/>
        <v>2000000</v>
      </c>
      <c r="Q100" s="296">
        <f t="shared" si="70"/>
        <v>1800000</v>
      </c>
      <c r="R100" s="296">
        <f t="shared" si="53"/>
        <v>200000</v>
      </c>
      <c r="S100" s="406">
        <f t="shared" si="54"/>
        <v>0.9</v>
      </c>
      <c r="T100" s="618">
        <f>'AND 1'!AC100+'ADY 1'!AF100</f>
        <v>16750000</v>
      </c>
      <c r="U100" s="300">
        <f>'AND 1'!J100+'ADY 1'!J100</f>
        <v>17500000</v>
      </c>
      <c r="V100" s="300">
        <f>'AND 1'!L100+'ADY 1'!L100</f>
        <v>7000000</v>
      </c>
      <c r="W100" s="300">
        <f>'AND 1'!N100+'ADY 1'!N100</f>
        <v>0</v>
      </c>
      <c r="X100" s="300">
        <f>'AND 1'!P100+'ADY 1'!P100</f>
        <v>1000000</v>
      </c>
      <c r="Y100" s="300">
        <f>'AND 1'!R100+'ADY 1'!R100</f>
        <v>12000000</v>
      </c>
      <c r="Z100" s="300">
        <f>'AND 1'!T100+'ADY 1'!T100</f>
        <v>2000000</v>
      </c>
      <c r="AA100" s="300">
        <f>'AND 1'!V100+'ADY 1'!V100</f>
        <v>0</v>
      </c>
      <c r="AB100" s="300">
        <f>'AND 1'!X100+'ADY 1'!X100</f>
        <v>2000000</v>
      </c>
      <c r="AC100" s="300">
        <f>'AND 1'!Z100+'ADY 1'!Z100</f>
        <v>0</v>
      </c>
      <c r="AD100" s="300">
        <f>AC100+AB100+AA100+Z100+Y100+X100+W100+V100+U100+L100+H100+D100</f>
        <v>43500000</v>
      </c>
      <c r="AE100" s="299">
        <f t="shared" si="71"/>
        <v>47850000.000000007</v>
      </c>
      <c r="AF100" s="299">
        <f t="shared" si="71"/>
        <v>52635000.000000015</v>
      </c>
      <c r="AG100" s="299">
        <f t="shared" si="71"/>
        <v>57898500.000000022</v>
      </c>
    </row>
    <row r="101" spans="1:33" s="242" customFormat="1" ht="15.75" customHeight="1" x14ac:dyDescent="0.2">
      <c r="A101" s="257"/>
      <c r="B101" s="247"/>
      <c r="C101" s="268" t="s">
        <v>338</v>
      </c>
      <c r="D101" s="267">
        <f>SUM(D97:D100)</f>
        <v>6590000</v>
      </c>
      <c r="E101" s="267">
        <f>SUM(E97:E100)</f>
        <v>0</v>
      </c>
      <c r="F101" s="269">
        <f t="shared" si="47"/>
        <v>6590000</v>
      </c>
      <c r="G101" s="412">
        <f t="shared" si="48"/>
        <v>0</v>
      </c>
      <c r="H101" s="267">
        <f>SUM(H97:H100)</f>
        <v>21000000</v>
      </c>
      <c r="I101" s="267">
        <f>SUM(I97:I100)</f>
        <v>1800000</v>
      </c>
      <c r="J101" s="269">
        <f t="shared" si="49"/>
        <v>19200000</v>
      </c>
      <c r="K101" s="412">
        <f t="shared" si="50"/>
        <v>8.5714285714285715E-2</v>
      </c>
      <c r="L101" s="267">
        <f>SUM(L97:L100)</f>
        <v>0</v>
      </c>
      <c r="M101" s="267">
        <f>SUM(M97:M100)</f>
        <v>0</v>
      </c>
      <c r="N101" s="269">
        <f t="shared" si="51"/>
        <v>0</v>
      </c>
      <c r="O101" s="412" t="e">
        <f t="shared" si="52"/>
        <v>#DIV/0!</v>
      </c>
      <c r="P101" s="267">
        <f>SUM(P97:P100)</f>
        <v>27590000</v>
      </c>
      <c r="Q101" s="267">
        <f>SUM(Q97:Q100)</f>
        <v>1800000</v>
      </c>
      <c r="R101" s="269">
        <f t="shared" si="53"/>
        <v>25790000</v>
      </c>
      <c r="S101" s="412">
        <f t="shared" si="54"/>
        <v>6.5241029358463209E-2</v>
      </c>
      <c r="T101" s="621">
        <f t="shared" ref="T101:AG101" si="72">SUM(T97:T100)</f>
        <v>108450000</v>
      </c>
      <c r="U101" s="267">
        <f t="shared" si="72"/>
        <v>17500000</v>
      </c>
      <c r="V101" s="267">
        <f t="shared" si="72"/>
        <v>7000000</v>
      </c>
      <c r="W101" s="267">
        <f t="shared" si="72"/>
        <v>75000000</v>
      </c>
      <c r="X101" s="267">
        <f t="shared" si="72"/>
        <v>1000000</v>
      </c>
      <c r="Y101" s="267">
        <f t="shared" si="72"/>
        <v>12000000</v>
      </c>
      <c r="Z101" s="267">
        <f t="shared" si="72"/>
        <v>3300000</v>
      </c>
      <c r="AA101" s="267">
        <f t="shared" si="72"/>
        <v>6590000</v>
      </c>
      <c r="AB101" s="267">
        <f t="shared" si="72"/>
        <v>21000000</v>
      </c>
      <c r="AC101" s="267">
        <f t="shared" si="72"/>
        <v>0</v>
      </c>
      <c r="AD101" s="267">
        <f t="shared" si="72"/>
        <v>170980000</v>
      </c>
      <c r="AE101" s="267">
        <f t="shared" si="72"/>
        <v>188078000</v>
      </c>
      <c r="AF101" s="267">
        <f t="shared" si="72"/>
        <v>206885800</v>
      </c>
      <c r="AG101" s="267">
        <f t="shared" si="72"/>
        <v>227574380.00000003</v>
      </c>
    </row>
    <row r="102" spans="1:33" s="258" customFormat="1" ht="16.899999999999999" customHeight="1" x14ac:dyDescent="0.2">
      <c r="A102" s="277" t="s">
        <v>349</v>
      </c>
      <c r="B102" s="245"/>
      <c r="C102" s="310" t="s">
        <v>84</v>
      </c>
      <c r="D102" s="303">
        <f>'AND 1'!V102+'ADY 1'!V102</f>
        <v>1900000</v>
      </c>
      <c r="E102" s="303">
        <f>'AND 1'!W102+'ADY 1'!W102</f>
        <v>0</v>
      </c>
      <c r="F102" s="296">
        <f t="shared" ref="F102:F128" si="73">D102-E102</f>
        <v>1900000</v>
      </c>
      <c r="G102" s="406">
        <f t="shared" ref="G102:G128" si="74">E102/D102</f>
        <v>0</v>
      </c>
      <c r="H102" s="303">
        <f>'AND 1'!X102+'ADY 1'!X102</f>
        <v>1900000</v>
      </c>
      <c r="I102" s="303">
        <f>'AND 1'!Y102+'ADY 1'!Y102</f>
        <v>0</v>
      </c>
      <c r="J102" s="296">
        <f t="shared" ref="J102:J128" si="75">H102-I102</f>
        <v>1900000</v>
      </c>
      <c r="K102" s="406">
        <f t="shared" ref="K102:K128" si="76">I102/H102</f>
        <v>0</v>
      </c>
      <c r="L102" s="303">
        <f>'AND 1'!Z102+'ADY 1'!Z102</f>
        <v>1900000</v>
      </c>
      <c r="M102" s="303">
        <f>'AND 1'!AA102+'ADY 1'!AA102</f>
        <v>0</v>
      </c>
      <c r="N102" s="296">
        <f t="shared" ref="N102:N128" si="77">L102-M102</f>
        <v>1900000</v>
      </c>
      <c r="O102" s="406">
        <f t="shared" ref="O102:O128" si="78">M102/L102</f>
        <v>0</v>
      </c>
      <c r="P102" s="296">
        <f t="shared" ref="P102:Q107" si="79">D102+H102+L102</f>
        <v>5700000</v>
      </c>
      <c r="Q102" s="296">
        <f t="shared" si="79"/>
        <v>0</v>
      </c>
      <c r="R102" s="296">
        <f t="shared" ref="R102:R128" si="80">P102-Q102</f>
        <v>5700000</v>
      </c>
      <c r="S102" s="406">
        <f t="shared" ref="S102:S128" si="81">Q102/P102</f>
        <v>0</v>
      </c>
      <c r="T102" s="618">
        <f>'AND 1'!AC102+'ADY 1'!AF102</f>
        <v>0</v>
      </c>
      <c r="U102" s="303">
        <f>'AND 1'!J102+'ADY 1'!J102</f>
        <v>1900000</v>
      </c>
      <c r="V102" s="303">
        <f>'AND 1'!L102+'ADY 1'!L102</f>
        <v>1900000</v>
      </c>
      <c r="W102" s="303">
        <f>'AND 1'!N102+'ADY 1'!N102</f>
        <v>1900000</v>
      </c>
      <c r="X102" s="303">
        <f>'AND 1'!P102+'ADY 1'!P102</f>
        <v>1900000</v>
      </c>
      <c r="Y102" s="303">
        <f>'AND 1'!R102+'ADY 1'!R102</f>
        <v>1900000</v>
      </c>
      <c r="Z102" s="303">
        <f>'AND 1'!T102+'ADY 1'!T102</f>
        <v>1900000</v>
      </c>
      <c r="AA102" s="303">
        <f>'AND 1'!V102+'ADY 1'!V102</f>
        <v>1900000</v>
      </c>
      <c r="AB102" s="303">
        <f>'AND 1'!X102+'ADY 1'!X102</f>
        <v>1900000</v>
      </c>
      <c r="AC102" s="303">
        <f>'AND 1'!Z102+'ADY 1'!Z102</f>
        <v>1900000</v>
      </c>
      <c r="AD102" s="304">
        <f t="shared" ref="AD102:AD107" si="82">AC102+AB102+AA102+Z102+Y102+X102+W102+V102+U102+L102+H102+D102</f>
        <v>22800000</v>
      </c>
      <c r="AE102" s="303">
        <f t="shared" ref="AE102:AG107" si="83">AD102*1.1</f>
        <v>25080000.000000004</v>
      </c>
      <c r="AF102" s="303">
        <f t="shared" si="83"/>
        <v>27588000.000000007</v>
      </c>
      <c r="AG102" s="303">
        <f t="shared" si="83"/>
        <v>30346800.000000011</v>
      </c>
    </row>
    <row r="103" spans="1:33" s="258" customFormat="1" ht="16.899999999999999" customHeight="1" x14ac:dyDescent="0.2">
      <c r="A103" s="246"/>
      <c r="B103" s="247"/>
      <c r="C103" s="308" t="s">
        <v>145</v>
      </c>
      <c r="D103" s="303">
        <f>'AND 1'!V103+'ADY 1'!V103</f>
        <v>19500000</v>
      </c>
      <c r="E103" s="303">
        <f>'AND 1'!W103+'ADY 1'!W103</f>
        <v>12700000</v>
      </c>
      <c r="F103" s="296">
        <f t="shared" si="73"/>
        <v>6800000</v>
      </c>
      <c r="G103" s="406">
        <f t="shared" si="74"/>
        <v>0.6512820512820513</v>
      </c>
      <c r="H103" s="303">
        <f>'AND 1'!X103+'ADY 1'!X103</f>
        <v>19500000</v>
      </c>
      <c r="I103" s="303">
        <f>'AND 1'!Y103+'ADY 1'!Y103</f>
        <v>15110300</v>
      </c>
      <c r="J103" s="296">
        <f t="shared" si="75"/>
        <v>4389700</v>
      </c>
      <c r="K103" s="406">
        <f t="shared" si="76"/>
        <v>0.77488717948717944</v>
      </c>
      <c r="L103" s="303">
        <f>'AND 1'!Z103+'ADY 1'!Z103</f>
        <v>19500000</v>
      </c>
      <c r="M103" s="303">
        <f>'AND 1'!AA103+'ADY 1'!AA103</f>
        <v>14050700</v>
      </c>
      <c r="N103" s="296">
        <f t="shared" si="77"/>
        <v>5449300</v>
      </c>
      <c r="O103" s="406">
        <f t="shared" si="78"/>
        <v>0.720548717948718</v>
      </c>
      <c r="P103" s="296">
        <f t="shared" si="79"/>
        <v>58500000</v>
      </c>
      <c r="Q103" s="296">
        <f t="shared" si="79"/>
        <v>41861000</v>
      </c>
      <c r="R103" s="296">
        <f t="shared" si="80"/>
        <v>16639000</v>
      </c>
      <c r="S103" s="406">
        <f t="shared" si="81"/>
        <v>0.71557264957264954</v>
      </c>
      <c r="T103" s="618">
        <f>'AND 1'!AC103+'ADY 1'!AF103</f>
        <v>502889890.11000001</v>
      </c>
      <c r="U103" s="296">
        <f>'AND 1'!J103+'ADY 1'!J103</f>
        <v>19500000</v>
      </c>
      <c r="V103" s="296">
        <f>'AND 1'!L103+'ADY 1'!L103</f>
        <v>19500000</v>
      </c>
      <c r="W103" s="296">
        <f>'AND 1'!N103+'ADY 1'!N103</f>
        <v>19500000</v>
      </c>
      <c r="X103" s="296">
        <f>'AND 1'!P103+'ADY 1'!P103</f>
        <v>19500000</v>
      </c>
      <c r="Y103" s="296">
        <f>'AND 1'!R103+'ADY 1'!R103</f>
        <v>19500000</v>
      </c>
      <c r="Z103" s="296">
        <f>'AND 1'!T103+'ADY 1'!T103</f>
        <v>19500000</v>
      </c>
      <c r="AA103" s="296">
        <f>'AND 1'!V103+'ADY 1'!V103</f>
        <v>19500000</v>
      </c>
      <c r="AB103" s="296">
        <f>'AND 1'!X103+'ADY 1'!X103</f>
        <v>19500000</v>
      </c>
      <c r="AC103" s="296">
        <f>'AND 1'!Z103+'ADY 1'!Z103</f>
        <v>19500000</v>
      </c>
      <c r="AD103" s="297">
        <f t="shared" si="82"/>
        <v>234000000</v>
      </c>
      <c r="AE103" s="296">
        <f t="shared" si="83"/>
        <v>257400000.00000003</v>
      </c>
      <c r="AF103" s="296">
        <f t="shared" si="83"/>
        <v>283140000.00000006</v>
      </c>
      <c r="AG103" s="296">
        <f t="shared" si="83"/>
        <v>311454000.00000012</v>
      </c>
    </row>
    <row r="104" spans="1:33" s="258" customFormat="1" ht="16.899999999999999" customHeight="1" x14ac:dyDescent="0.2">
      <c r="A104" s="246"/>
      <c r="B104" s="247"/>
      <c r="C104" s="305" t="s">
        <v>74</v>
      </c>
      <c r="D104" s="303">
        <f>'AND 1'!V104+'ADY 1'!V104</f>
        <v>0</v>
      </c>
      <c r="E104" s="303">
        <f>'AND 1'!W104+'ADY 1'!W104</f>
        <v>0</v>
      </c>
      <c r="F104" s="296">
        <f t="shared" si="73"/>
        <v>0</v>
      </c>
      <c r="G104" s="406" t="e">
        <f t="shared" si="74"/>
        <v>#DIV/0!</v>
      </c>
      <c r="H104" s="303">
        <f>'AND 1'!X104+'ADY 1'!X104</f>
        <v>0</v>
      </c>
      <c r="I104" s="303">
        <f>'AND 1'!Y104+'ADY 1'!Y104</f>
        <v>0</v>
      </c>
      <c r="J104" s="296">
        <f t="shared" si="75"/>
        <v>0</v>
      </c>
      <c r="K104" s="406" t="e">
        <f t="shared" si="76"/>
        <v>#DIV/0!</v>
      </c>
      <c r="L104" s="303">
        <f>'AND 1'!Z104+'ADY 1'!Z104</f>
        <v>0</v>
      </c>
      <c r="M104" s="303">
        <f>'AND 1'!AA104+'ADY 1'!AA104</f>
        <v>0</v>
      </c>
      <c r="N104" s="296">
        <f t="shared" si="77"/>
        <v>0</v>
      </c>
      <c r="O104" s="406" t="e">
        <f t="shared" si="78"/>
        <v>#DIV/0!</v>
      </c>
      <c r="P104" s="296">
        <f t="shared" si="79"/>
        <v>0</v>
      </c>
      <c r="Q104" s="296">
        <f t="shared" si="79"/>
        <v>0</v>
      </c>
      <c r="R104" s="296">
        <f t="shared" si="80"/>
        <v>0</v>
      </c>
      <c r="S104" s="406" t="e">
        <f t="shared" si="81"/>
        <v>#DIV/0!</v>
      </c>
      <c r="T104" s="618">
        <f>'AND 1'!AC104+'ADY 1'!AF104</f>
        <v>0</v>
      </c>
      <c r="U104" s="296">
        <f>'AND 1'!J104+'ADY 1'!J104</f>
        <v>0</v>
      </c>
      <c r="V104" s="296">
        <f>'AND 1'!L104+'ADY 1'!L104</f>
        <v>0</v>
      </c>
      <c r="W104" s="296">
        <f>'AND 1'!N104+'ADY 1'!N104</f>
        <v>0</v>
      </c>
      <c r="X104" s="296">
        <f>'AND 1'!P104+'ADY 1'!P104</f>
        <v>0</v>
      </c>
      <c r="Y104" s="296">
        <f>'AND 1'!R104+'ADY 1'!R104</f>
        <v>0</v>
      </c>
      <c r="Z104" s="296">
        <f>'AND 1'!T104+'ADY 1'!T104</f>
        <v>0</v>
      </c>
      <c r="AA104" s="296">
        <f>'AND 1'!V104+'ADY 1'!V104</f>
        <v>0</v>
      </c>
      <c r="AB104" s="296">
        <f>'AND 1'!X104+'ADY 1'!X104</f>
        <v>0</v>
      </c>
      <c r="AC104" s="296">
        <f>'AND 1'!Z104+'ADY 1'!Z104</f>
        <v>0</v>
      </c>
      <c r="AD104" s="297">
        <f t="shared" si="82"/>
        <v>0</v>
      </c>
      <c r="AE104" s="296">
        <f t="shared" si="83"/>
        <v>0</v>
      </c>
      <c r="AF104" s="296">
        <f t="shared" si="83"/>
        <v>0</v>
      </c>
      <c r="AG104" s="296">
        <f t="shared" si="83"/>
        <v>0</v>
      </c>
    </row>
    <row r="105" spans="1:33" s="260" customFormat="1" ht="16.899999999999999" customHeight="1" x14ac:dyDescent="0.2">
      <c r="A105" s="246"/>
      <c r="B105" s="247"/>
      <c r="C105" s="305" t="s">
        <v>111</v>
      </c>
      <c r="D105" s="303">
        <f>'AND 1'!V105+'ADY 1'!V105</f>
        <v>3000000</v>
      </c>
      <c r="E105" s="303">
        <f>'AND 1'!W105+'ADY 1'!W105</f>
        <v>0</v>
      </c>
      <c r="F105" s="296">
        <f t="shared" si="73"/>
        <v>3000000</v>
      </c>
      <c r="G105" s="406">
        <f t="shared" si="74"/>
        <v>0</v>
      </c>
      <c r="H105" s="303">
        <f>'AND 1'!X105+'ADY 1'!X105</f>
        <v>3000000</v>
      </c>
      <c r="I105" s="303">
        <f>'AND 1'!Y105+'ADY 1'!Y105</f>
        <v>1800000</v>
      </c>
      <c r="J105" s="296">
        <f t="shared" si="75"/>
        <v>1200000</v>
      </c>
      <c r="K105" s="406">
        <f t="shared" si="76"/>
        <v>0.6</v>
      </c>
      <c r="L105" s="303">
        <f>'AND 1'!Z105+'ADY 1'!Z105</f>
        <v>3000000</v>
      </c>
      <c r="M105" s="303">
        <f>'AND 1'!AA105+'ADY 1'!AA105</f>
        <v>0</v>
      </c>
      <c r="N105" s="296">
        <f t="shared" si="77"/>
        <v>3000000</v>
      </c>
      <c r="O105" s="406">
        <f t="shared" si="78"/>
        <v>0</v>
      </c>
      <c r="P105" s="296">
        <f t="shared" si="79"/>
        <v>9000000</v>
      </c>
      <c r="Q105" s="296">
        <f t="shared" si="79"/>
        <v>1800000</v>
      </c>
      <c r="R105" s="296">
        <f t="shared" si="80"/>
        <v>7200000</v>
      </c>
      <c r="S105" s="406">
        <f t="shared" si="81"/>
        <v>0.2</v>
      </c>
      <c r="T105" s="618">
        <f>'AND 1'!AC105+'ADY 1'!AF105</f>
        <v>1800000</v>
      </c>
      <c r="U105" s="296">
        <f>'AND 1'!J105+'ADY 1'!J105</f>
        <v>3000000</v>
      </c>
      <c r="V105" s="296">
        <f>'AND 1'!L105+'ADY 1'!L105</f>
        <v>3000000</v>
      </c>
      <c r="W105" s="296">
        <f>'AND 1'!N105+'ADY 1'!N105</f>
        <v>3000000</v>
      </c>
      <c r="X105" s="296">
        <f>'AND 1'!P105+'ADY 1'!P105</f>
        <v>3000000</v>
      </c>
      <c r="Y105" s="296">
        <f>'AND 1'!R105+'ADY 1'!R105</f>
        <v>3000000</v>
      </c>
      <c r="Z105" s="296">
        <f>'AND 1'!T105+'ADY 1'!T105</f>
        <v>3000000</v>
      </c>
      <c r="AA105" s="296">
        <f>'AND 1'!V105+'ADY 1'!V105</f>
        <v>3000000</v>
      </c>
      <c r="AB105" s="296">
        <f>'AND 1'!X105+'ADY 1'!X105</f>
        <v>3000000</v>
      </c>
      <c r="AC105" s="296">
        <f>'AND 1'!Z105+'ADY 1'!Z105</f>
        <v>3000000</v>
      </c>
      <c r="AD105" s="297">
        <f t="shared" si="82"/>
        <v>36000000</v>
      </c>
      <c r="AE105" s="296">
        <f t="shared" si="83"/>
        <v>39600000</v>
      </c>
      <c r="AF105" s="296">
        <f t="shared" si="83"/>
        <v>43560000</v>
      </c>
      <c r="AG105" s="296">
        <f t="shared" si="83"/>
        <v>47916000.000000007</v>
      </c>
    </row>
    <row r="106" spans="1:33" s="258" customFormat="1" ht="16.899999999999999" customHeight="1" x14ac:dyDescent="0.2">
      <c r="A106" s="246"/>
      <c r="B106" s="247"/>
      <c r="C106" s="308" t="s">
        <v>146</v>
      </c>
      <c r="D106" s="303">
        <f>'AND 1'!V106+'ADY 1'!V106</f>
        <v>0</v>
      </c>
      <c r="E106" s="303">
        <f>'AND 1'!W106+'ADY 1'!W106</f>
        <v>0</v>
      </c>
      <c r="F106" s="296">
        <f t="shared" si="73"/>
        <v>0</v>
      </c>
      <c r="G106" s="406" t="e">
        <f t="shared" si="74"/>
        <v>#DIV/0!</v>
      </c>
      <c r="H106" s="303">
        <f>'AND 1'!X106+'ADY 1'!X106</f>
        <v>0</v>
      </c>
      <c r="I106" s="303">
        <f>'AND 1'!Y106+'ADY 1'!Y106</f>
        <v>0</v>
      </c>
      <c r="J106" s="296">
        <f t="shared" si="75"/>
        <v>0</v>
      </c>
      <c r="K106" s="406" t="e">
        <f t="shared" si="76"/>
        <v>#DIV/0!</v>
      </c>
      <c r="L106" s="303">
        <f>'AND 1'!Z106+'ADY 1'!Z106</f>
        <v>0</v>
      </c>
      <c r="M106" s="303">
        <f>'AND 1'!AA106+'ADY 1'!AA106</f>
        <v>0</v>
      </c>
      <c r="N106" s="296">
        <f t="shared" si="77"/>
        <v>0</v>
      </c>
      <c r="O106" s="406" t="e">
        <f t="shared" si="78"/>
        <v>#DIV/0!</v>
      </c>
      <c r="P106" s="296">
        <f t="shared" si="79"/>
        <v>0</v>
      </c>
      <c r="Q106" s="296">
        <f t="shared" si="79"/>
        <v>0</v>
      </c>
      <c r="R106" s="296">
        <f t="shared" si="80"/>
        <v>0</v>
      </c>
      <c r="S106" s="406" t="e">
        <f t="shared" si="81"/>
        <v>#DIV/0!</v>
      </c>
      <c r="T106" s="618">
        <f>'AND 1'!AC106+'ADY 1'!AF106</f>
        <v>89984631</v>
      </c>
      <c r="U106" s="296">
        <f>'AND 1'!J106+'ADY 1'!J106</f>
        <v>0</v>
      </c>
      <c r="V106" s="296">
        <f>'AND 1'!L106+'ADY 1'!L106</f>
        <v>0</v>
      </c>
      <c r="W106" s="296">
        <f>'AND 1'!N106+'ADY 1'!N106</f>
        <v>0</v>
      </c>
      <c r="X106" s="296">
        <f>'AND 1'!P106+'ADY 1'!P106</f>
        <v>55000000</v>
      </c>
      <c r="Y106" s="296">
        <f>'AND 1'!R106+'ADY 1'!R106</f>
        <v>0</v>
      </c>
      <c r="Z106" s="296">
        <f>'AND 1'!T106+'ADY 1'!T106</f>
        <v>0</v>
      </c>
      <c r="AA106" s="296">
        <f>'AND 1'!V106+'ADY 1'!V106</f>
        <v>0</v>
      </c>
      <c r="AB106" s="296">
        <f>'AND 1'!X106+'ADY 1'!X106</f>
        <v>0</v>
      </c>
      <c r="AC106" s="296">
        <f>'AND 1'!Z106+'ADY 1'!Z106</f>
        <v>0</v>
      </c>
      <c r="AD106" s="297">
        <f t="shared" si="82"/>
        <v>55000000</v>
      </c>
      <c r="AE106" s="296">
        <f t="shared" si="83"/>
        <v>60500000.000000007</v>
      </c>
      <c r="AF106" s="296">
        <f t="shared" si="83"/>
        <v>66550000.000000015</v>
      </c>
      <c r="AG106" s="296">
        <f t="shared" si="83"/>
        <v>73205000.000000015</v>
      </c>
    </row>
    <row r="107" spans="1:33" s="258" customFormat="1" ht="16.899999999999999" customHeight="1" x14ac:dyDescent="0.2">
      <c r="A107" s="246"/>
      <c r="B107" s="247"/>
      <c r="C107" s="315" t="s">
        <v>148</v>
      </c>
      <c r="D107" s="303">
        <f>'AND 1'!V107+'ADY 1'!V107</f>
        <v>0</v>
      </c>
      <c r="E107" s="303">
        <f>'AND 1'!W107+'ADY 1'!W107</f>
        <v>0</v>
      </c>
      <c r="F107" s="296">
        <f t="shared" si="73"/>
        <v>0</v>
      </c>
      <c r="G107" s="406" t="e">
        <f t="shared" si="74"/>
        <v>#DIV/0!</v>
      </c>
      <c r="H107" s="303">
        <f>'AND 1'!X107+'ADY 1'!X107</f>
        <v>0</v>
      </c>
      <c r="I107" s="303">
        <f>'AND 1'!Y107+'ADY 1'!Y107</f>
        <v>0</v>
      </c>
      <c r="J107" s="296">
        <f t="shared" si="75"/>
        <v>0</v>
      </c>
      <c r="K107" s="406" t="e">
        <f t="shared" si="76"/>
        <v>#DIV/0!</v>
      </c>
      <c r="L107" s="303">
        <f>'AND 1'!Z107+'ADY 1'!Z107</f>
        <v>0</v>
      </c>
      <c r="M107" s="303">
        <f>'AND 1'!AA107+'ADY 1'!AA107</f>
        <v>0</v>
      </c>
      <c r="N107" s="296">
        <f t="shared" si="77"/>
        <v>0</v>
      </c>
      <c r="O107" s="406" t="e">
        <f t="shared" si="78"/>
        <v>#DIV/0!</v>
      </c>
      <c r="P107" s="296">
        <f t="shared" si="79"/>
        <v>0</v>
      </c>
      <c r="Q107" s="296">
        <f t="shared" si="79"/>
        <v>0</v>
      </c>
      <c r="R107" s="296">
        <f t="shared" si="80"/>
        <v>0</v>
      </c>
      <c r="S107" s="406" t="e">
        <f t="shared" si="81"/>
        <v>#DIV/0!</v>
      </c>
      <c r="T107" s="618">
        <f>'AND 1'!AC107+'ADY 1'!AF107</f>
        <v>0</v>
      </c>
      <c r="U107" s="299">
        <f>'AND 1'!J107+'ADY 1'!J107</f>
        <v>0</v>
      </c>
      <c r="V107" s="299">
        <f>'AND 1'!L107+'ADY 1'!L107</f>
        <v>0</v>
      </c>
      <c r="W107" s="299">
        <f>'AND 1'!N107+'ADY 1'!N107</f>
        <v>0</v>
      </c>
      <c r="X107" s="299">
        <f>'AND 1'!P107+'ADY 1'!P107</f>
        <v>0</v>
      </c>
      <c r="Y107" s="299">
        <f>'AND 1'!R107+'ADY 1'!R107</f>
        <v>0</v>
      </c>
      <c r="Z107" s="299">
        <f>'AND 1'!T107+'ADY 1'!T107</f>
        <v>0</v>
      </c>
      <c r="AA107" s="299">
        <f>'AND 1'!V107+'ADY 1'!V107</f>
        <v>0</v>
      </c>
      <c r="AB107" s="299">
        <f>'AND 1'!X107+'ADY 1'!X107</f>
        <v>0</v>
      </c>
      <c r="AC107" s="299">
        <f>'AND 1'!Z107+'ADY 1'!Z107</f>
        <v>0</v>
      </c>
      <c r="AD107" s="300">
        <f t="shared" si="82"/>
        <v>0</v>
      </c>
      <c r="AE107" s="299">
        <f t="shared" si="83"/>
        <v>0</v>
      </c>
      <c r="AF107" s="299">
        <f t="shared" si="83"/>
        <v>0</v>
      </c>
      <c r="AG107" s="299">
        <f t="shared" si="83"/>
        <v>0</v>
      </c>
    </row>
    <row r="108" spans="1:33" s="242" customFormat="1" ht="16.899999999999999" customHeight="1" x14ac:dyDescent="0.2">
      <c r="A108" s="257"/>
      <c r="B108" s="253"/>
      <c r="C108" s="268" t="s">
        <v>339</v>
      </c>
      <c r="D108" s="270">
        <f>SUM(D102:D107)</f>
        <v>24400000</v>
      </c>
      <c r="E108" s="270">
        <f>SUM(E102:E107)</f>
        <v>12700000</v>
      </c>
      <c r="F108" s="269">
        <f t="shared" si="73"/>
        <v>11700000</v>
      </c>
      <c r="G108" s="412">
        <f t="shared" si="74"/>
        <v>0.52049180327868849</v>
      </c>
      <c r="H108" s="270">
        <f>SUM(H102:H107)</f>
        <v>24400000</v>
      </c>
      <c r="I108" s="270">
        <f>SUM(I102:I107)</f>
        <v>16910300</v>
      </c>
      <c r="J108" s="269">
        <f t="shared" si="75"/>
        <v>7489700</v>
      </c>
      <c r="K108" s="412">
        <f t="shared" si="76"/>
        <v>0.69304508196721315</v>
      </c>
      <c r="L108" s="270">
        <f>SUM(L102:L107)</f>
        <v>24400000</v>
      </c>
      <c r="M108" s="270">
        <f>SUM(M102:M107)</f>
        <v>14050700</v>
      </c>
      <c r="N108" s="269">
        <f t="shared" si="77"/>
        <v>10349300</v>
      </c>
      <c r="O108" s="412">
        <f t="shared" si="78"/>
        <v>0.57584836065573775</v>
      </c>
      <c r="P108" s="270">
        <f>SUM(P102:P107)</f>
        <v>73200000</v>
      </c>
      <c r="Q108" s="270">
        <f>SUM(Q102:Q107)</f>
        <v>43661000</v>
      </c>
      <c r="R108" s="269">
        <f t="shared" si="80"/>
        <v>29539000</v>
      </c>
      <c r="S108" s="412">
        <f t="shared" si="81"/>
        <v>0.5964617486338798</v>
      </c>
      <c r="T108" s="619">
        <f t="shared" ref="T108:AG108" si="84">SUM(T102:T107)</f>
        <v>594674521.11000001</v>
      </c>
      <c r="U108" s="270">
        <f t="shared" si="84"/>
        <v>24400000</v>
      </c>
      <c r="V108" s="270">
        <f t="shared" si="84"/>
        <v>24400000</v>
      </c>
      <c r="W108" s="270">
        <f t="shared" si="84"/>
        <v>24400000</v>
      </c>
      <c r="X108" s="270">
        <f t="shared" si="84"/>
        <v>79400000</v>
      </c>
      <c r="Y108" s="270">
        <f t="shared" si="84"/>
        <v>24400000</v>
      </c>
      <c r="Z108" s="270">
        <f t="shared" si="84"/>
        <v>24400000</v>
      </c>
      <c r="AA108" s="270">
        <f t="shared" si="84"/>
        <v>24400000</v>
      </c>
      <c r="AB108" s="270">
        <f t="shared" si="84"/>
        <v>24400000</v>
      </c>
      <c r="AC108" s="270">
        <f t="shared" si="84"/>
        <v>24400000</v>
      </c>
      <c r="AD108" s="270">
        <f t="shared" si="84"/>
        <v>347800000</v>
      </c>
      <c r="AE108" s="270">
        <f t="shared" si="84"/>
        <v>382580000.00000006</v>
      </c>
      <c r="AF108" s="270">
        <f t="shared" si="84"/>
        <v>420838000.00000006</v>
      </c>
      <c r="AG108" s="270">
        <f t="shared" si="84"/>
        <v>462921800.00000012</v>
      </c>
    </row>
    <row r="109" spans="1:33" ht="16.899999999999999" customHeight="1" x14ac:dyDescent="0.2">
      <c r="A109" s="277" t="s">
        <v>350</v>
      </c>
      <c r="B109" s="245"/>
      <c r="C109" s="310" t="s">
        <v>150</v>
      </c>
      <c r="D109" s="303">
        <f>'AND 1'!V109+'ADY 1'!V109+IBP!V6+ASI!V6</f>
        <v>335342333</v>
      </c>
      <c r="E109" s="303">
        <f>'AND 1'!W109+'ADY 1'!W109+IBP!W6+ASI!W6</f>
        <v>69595863</v>
      </c>
      <c r="F109" s="296">
        <f t="shared" si="73"/>
        <v>265746470</v>
      </c>
      <c r="G109" s="406">
        <f t="shared" si="74"/>
        <v>0.2075367651241336</v>
      </c>
      <c r="H109" s="303">
        <f>'AND 1'!X109+'ADY 1'!X109+IBP!X6+ASI!X6</f>
        <v>335342333</v>
      </c>
      <c r="I109" s="303">
        <f>'AND 1'!Y109+'ADY 1'!Y109+IBP!Y6+ASI!Y6</f>
        <v>69595863</v>
      </c>
      <c r="J109" s="296">
        <f t="shared" si="75"/>
        <v>265746470</v>
      </c>
      <c r="K109" s="406">
        <f t="shared" si="76"/>
        <v>0.2075367651241336</v>
      </c>
      <c r="L109" s="303">
        <f>'AND 1'!Z109+'ADY 1'!Z109+IBP!Z6+ASI!Z6</f>
        <v>595684666</v>
      </c>
      <c r="M109" s="303">
        <f>'AND 1'!AA109+'ADY 1'!AA109+IBP!AA6+ASI!AA6</f>
        <v>69595863</v>
      </c>
      <c r="N109" s="296">
        <f t="shared" si="77"/>
        <v>526088803</v>
      </c>
      <c r="O109" s="406">
        <f t="shared" si="78"/>
        <v>0.11683339688317577</v>
      </c>
      <c r="P109" s="296">
        <f t="shared" ref="P109:P118" si="85">D109+H109+L109</f>
        <v>1266369332</v>
      </c>
      <c r="Q109" s="296">
        <f t="shared" ref="Q109:Q118" si="86">E109+I109+M109</f>
        <v>208787589</v>
      </c>
      <c r="R109" s="296">
        <f t="shared" si="80"/>
        <v>1057581743</v>
      </c>
      <c r="S109" s="406">
        <f t="shared" si="81"/>
        <v>0.16487100857872006</v>
      </c>
      <c r="T109" s="618">
        <f>IBP!AC10+ASI!AC10</f>
        <v>835150356</v>
      </c>
      <c r="U109" s="303">
        <f>'AND 1'!J109+'ADY 1'!J109+IBP!J6+ASI!J6</f>
        <v>335342333</v>
      </c>
      <c r="V109" s="303">
        <f>'AND 1'!L109+'ADY 1'!L109+IBP!L6+ASI!L6</f>
        <v>335342333</v>
      </c>
      <c r="W109" s="303">
        <f>'AND 1'!N109+'ADY 1'!N109+IBP!N6+ASI!N6</f>
        <v>335342333</v>
      </c>
      <c r="X109" s="303">
        <f>'AND 1'!P109+'ADY 1'!P109+IBP!P6+ASI!P6</f>
        <v>335342333</v>
      </c>
      <c r="Y109" s="303">
        <f>'AND 1'!R109+'ADY 1'!R109+IBP!R6+ASI!R6</f>
        <v>763355832.5</v>
      </c>
      <c r="Z109" s="303">
        <f>'AND 1'!T109+'ADY 1'!T109+IBP!T6+ASI!T6</f>
        <v>335342333</v>
      </c>
      <c r="AA109" s="303">
        <f>'AND 1'!V109+'ADY 1'!V109+IBP!V6+ASI!V6</f>
        <v>335342333</v>
      </c>
      <c r="AB109" s="303">
        <f>'AND 1'!X109+'ADY 1'!X109+IBP!X6+ASI!X6</f>
        <v>335342333</v>
      </c>
      <c r="AC109" s="303">
        <f>'AND 1'!Z109+'ADY 1'!Z109+IBP!Z6+ASI!Z6</f>
        <v>595684666</v>
      </c>
      <c r="AD109" s="304">
        <f t="shared" ref="AD109:AD118" si="87">AC109+AB109+AA109+Z109+Y109+X109+W109+V109+U109+L109+H109+D109</f>
        <v>4972806161.5</v>
      </c>
      <c r="AE109" s="303">
        <f t="shared" ref="AE109:AG118" si="88">AD109*1.1</f>
        <v>5470086777.6500006</v>
      </c>
      <c r="AF109" s="303">
        <f t="shared" si="88"/>
        <v>6017095455.4150009</v>
      </c>
      <c r="AG109" s="303">
        <f t="shared" si="88"/>
        <v>6618805000.956502</v>
      </c>
    </row>
    <row r="110" spans="1:33" ht="16.899999999999999" customHeight="1" x14ac:dyDescent="0.2">
      <c r="A110" s="246"/>
      <c r="B110" s="253"/>
      <c r="C110" s="305" t="s">
        <v>151</v>
      </c>
      <c r="D110" s="303">
        <f>'AND 1'!V110+'ADY 1'!V110+IBP!V7+ASI!V7</f>
        <v>101798501</v>
      </c>
      <c r="E110" s="303">
        <f>'AND 1'!W110+'ADY 1'!W110+IBP!W7+ASI!W7</f>
        <v>69595863</v>
      </c>
      <c r="F110" s="296">
        <f t="shared" si="73"/>
        <v>32202638</v>
      </c>
      <c r="G110" s="406">
        <f t="shared" si="74"/>
        <v>0.68366294509582215</v>
      </c>
      <c r="H110" s="303">
        <f>'AND 1'!X110+'ADY 1'!X110+IBP!X7+ASI!X7</f>
        <v>101798501</v>
      </c>
      <c r="I110" s="303">
        <f>'AND 1'!Y110+'ADY 1'!Y110+IBP!Y7+ASI!Y7</f>
        <v>69595863</v>
      </c>
      <c r="J110" s="296">
        <f t="shared" si="75"/>
        <v>32202638</v>
      </c>
      <c r="K110" s="406">
        <f t="shared" si="76"/>
        <v>0.68366294509582215</v>
      </c>
      <c r="L110" s="303">
        <f>'AND 1'!Z110+'ADY 1'!Z110+IBP!Z7+ASI!Z7</f>
        <v>101798501</v>
      </c>
      <c r="M110" s="303">
        <f>'AND 1'!AA110+'ADY 1'!AA110+IBP!AA7+ASI!AA7</f>
        <v>69595863</v>
      </c>
      <c r="N110" s="296">
        <f t="shared" si="77"/>
        <v>32202638</v>
      </c>
      <c r="O110" s="406">
        <f t="shared" si="78"/>
        <v>0.68366294509582215</v>
      </c>
      <c r="P110" s="296">
        <f t="shared" si="85"/>
        <v>305395503</v>
      </c>
      <c r="Q110" s="296">
        <f t="shared" si="86"/>
        <v>208787589</v>
      </c>
      <c r="R110" s="296">
        <f t="shared" si="80"/>
        <v>96607914</v>
      </c>
      <c r="S110" s="406">
        <f t="shared" si="81"/>
        <v>0.68366294509582215</v>
      </c>
      <c r="T110" s="618">
        <f>'AND 1'!AC110+'ADY 1'!AF110</f>
        <v>252088672.25</v>
      </c>
      <c r="U110" s="296">
        <f>'AND 1'!J110+'ADY 1'!J110</f>
        <v>26798501</v>
      </c>
      <c r="V110" s="296">
        <f>'AND 1'!L110+'ADY 1'!L110</f>
        <v>26798501</v>
      </c>
      <c r="W110" s="296">
        <f>'AND 1'!N110+'ADY 1'!N110</f>
        <v>26798501</v>
      </c>
      <c r="X110" s="296">
        <f>'AND 1'!P110+'ADY 1'!P110</f>
        <v>26798501</v>
      </c>
      <c r="Y110" s="296">
        <f>'AND 1'!R110+'ADY 1'!R110</f>
        <v>26798501</v>
      </c>
      <c r="Z110" s="296">
        <f>'AND 1'!T110+'ADY 1'!T110</f>
        <v>26798501</v>
      </c>
      <c r="AA110" s="296">
        <f>'AND 1'!V110+'ADY 1'!V110</f>
        <v>26798501</v>
      </c>
      <c r="AB110" s="296">
        <f>'AND 1'!X110+'ADY 1'!X110</f>
        <v>26798501</v>
      </c>
      <c r="AC110" s="296">
        <f>'AND 1'!Z110+'ADY 1'!Z110</f>
        <v>26798501</v>
      </c>
      <c r="AD110" s="297">
        <f t="shared" si="87"/>
        <v>546582012</v>
      </c>
      <c r="AE110" s="296">
        <f t="shared" si="88"/>
        <v>601240213.20000005</v>
      </c>
      <c r="AF110" s="296">
        <f t="shared" si="88"/>
        <v>661364234.5200001</v>
      </c>
      <c r="AG110" s="296">
        <f t="shared" si="88"/>
        <v>727500657.97200012</v>
      </c>
    </row>
    <row r="111" spans="1:33" ht="16.899999999999999" customHeight="1" x14ac:dyDescent="0.2">
      <c r="A111" s="246"/>
      <c r="B111" s="247"/>
      <c r="C111" s="305" t="s">
        <v>84</v>
      </c>
      <c r="D111" s="303">
        <f>'AND 1'!V111+'ADY 1'!V111+IBP!V8+ASI!V8</f>
        <v>10000000</v>
      </c>
      <c r="E111" s="303">
        <f>'AND 1'!W111+'ADY 1'!W111+IBP!W8+ASI!W8</f>
        <v>97860000</v>
      </c>
      <c r="F111" s="296">
        <f t="shared" si="73"/>
        <v>-87860000</v>
      </c>
      <c r="G111" s="406">
        <f t="shared" si="74"/>
        <v>9.7859999999999996</v>
      </c>
      <c r="H111" s="303">
        <f>'AND 1'!X111+'ADY 1'!X111+IBP!X8+ASI!X8</f>
        <v>10000000</v>
      </c>
      <c r="I111" s="303">
        <f>'AND 1'!Y111+'ADY 1'!Y111+IBP!Y8+ASI!Y8</f>
        <v>54780000</v>
      </c>
      <c r="J111" s="296">
        <f t="shared" si="75"/>
        <v>-44780000</v>
      </c>
      <c r="K111" s="406">
        <f t="shared" si="76"/>
        <v>5.4779999999999998</v>
      </c>
      <c r="L111" s="303">
        <f>'AND 1'!Z111+'ADY 1'!Z111+IBP!Z8+ASI!Z8</f>
        <v>10000000</v>
      </c>
      <c r="M111" s="303">
        <f>'AND 1'!AA111+'ADY 1'!AA111+IBP!AA8+ASI!AA8</f>
        <v>94500000</v>
      </c>
      <c r="N111" s="296">
        <f t="shared" si="77"/>
        <v>-84500000</v>
      </c>
      <c r="O111" s="406">
        <f t="shared" si="78"/>
        <v>9.4499999999999993</v>
      </c>
      <c r="P111" s="296">
        <f t="shared" si="85"/>
        <v>30000000</v>
      </c>
      <c r="Q111" s="296">
        <f t="shared" si="86"/>
        <v>247140000</v>
      </c>
      <c r="R111" s="296">
        <f t="shared" si="80"/>
        <v>-217140000</v>
      </c>
      <c r="S111" s="406">
        <f t="shared" si="81"/>
        <v>8.2379999999999995</v>
      </c>
      <c r="T111" s="618">
        <f>'AND 1'!AC111+'ADY 1'!AF111</f>
        <v>250282100</v>
      </c>
      <c r="U111" s="296">
        <f>'AND 1'!J111+'ADY 1'!J111</f>
        <v>10000000</v>
      </c>
      <c r="V111" s="296">
        <f>'AND 1'!L111+'ADY 1'!L111</f>
        <v>10000000</v>
      </c>
      <c r="W111" s="296">
        <f>'AND 1'!N111+'ADY 1'!N111</f>
        <v>10000000</v>
      </c>
      <c r="X111" s="296">
        <f>'AND 1'!P111+'ADY 1'!P111</f>
        <v>10000000</v>
      </c>
      <c r="Y111" s="296">
        <f>'AND 1'!R111+'ADY 1'!R111</f>
        <v>10000000</v>
      </c>
      <c r="Z111" s="296">
        <f>'AND 1'!T111+'ADY 1'!T111</f>
        <v>10000000</v>
      </c>
      <c r="AA111" s="296">
        <f>'AND 1'!V111+'ADY 1'!V111</f>
        <v>10000000</v>
      </c>
      <c r="AB111" s="296">
        <f>'AND 1'!X111+'ADY 1'!X111</f>
        <v>10000000</v>
      </c>
      <c r="AC111" s="296">
        <f>'AND 1'!Z111+'ADY 1'!Z111</f>
        <v>10000000</v>
      </c>
      <c r="AD111" s="297">
        <f t="shared" si="87"/>
        <v>120000000</v>
      </c>
      <c r="AE111" s="296">
        <f t="shared" si="88"/>
        <v>132000000.00000001</v>
      </c>
      <c r="AF111" s="296">
        <f t="shared" si="88"/>
        <v>145200000.00000003</v>
      </c>
      <c r="AG111" s="296">
        <f t="shared" si="88"/>
        <v>159720000.00000006</v>
      </c>
    </row>
    <row r="112" spans="1:33" ht="16.899999999999999" customHeight="1" x14ac:dyDescent="0.2">
      <c r="A112" s="246"/>
      <c r="B112" s="254"/>
      <c r="C112" s="305" t="s">
        <v>86</v>
      </c>
      <c r="D112" s="303">
        <f>'AND 1'!V112+'ADY 1'!V112+IBP!V9+ASI!V9</f>
        <v>33500000</v>
      </c>
      <c r="E112" s="303">
        <f>'AND 1'!W112+'ADY 1'!W112+IBP!W9+ASI!W9</f>
        <v>42170880</v>
      </c>
      <c r="F112" s="296">
        <f t="shared" si="73"/>
        <v>-8670880</v>
      </c>
      <c r="G112" s="406">
        <f t="shared" si="74"/>
        <v>1.2588322388059701</v>
      </c>
      <c r="H112" s="303">
        <f>'AND 1'!X112+'ADY 1'!X112+IBP!X9+ASI!X9</f>
        <v>33500000</v>
      </c>
      <c r="I112" s="303">
        <f>'AND 1'!Y112+'ADY 1'!Y112+IBP!Y9+ASI!Y9</f>
        <v>67890000</v>
      </c>
      <c r="J112" s="296">
        <f t="shared" si="75"/>
        <v>-34390000</v>
      </c>
      <c r="K112" s="406">
        <f t="shared" si="76"/>
        <v>2.0265671641791045</v>
      </c>
      <c r="L112" s="303">
        <f>'AND 1'!Z112+'ADY 1'!Z112+IBP!Z9+ASI!Z9</f>
        <v>33500000</v>
      </c>
      <c r="M112" s="303">
        <f>'AND 1'!AA112+'ADY 1'!AA112+IBP!AA9+ASI!AA9</f>
        <v>113570900</v>
      </c>
      <c r="N112" s="296">
        <f t="shared" si="77"/>
        <v>-80070900</v>
      </c>
      <c r="O112" s="406">
        <f t="shared" si="78"/>
        <v>3.3901761194029851</v>
      </c>
      <c r="P112" s="296">
        <f t="shared" si="85"/>
        <v>100500000</v>
      </c>
      <c r="Q112" s="296">
        <f t="shared" si="86"/>
        <v>223631780</v>
      </c>
      <c r="R112" s="296">
        <f t="shared" si="80"/>
        <v>-123131780</v>
      </c>
      <c r="S112" s="406">
        <f t="shared" si="81"/>
        <v>2.2251918407960201</v>
      </c>
      <c r="T112" s="618">
        <f>'AND 1'!AC112+'ADY 1'!AF112</f>
        <v>654791388.31999993</v>
      </c>
      <c r="U112" s="296">
        <f>'AND 1'!J112+'ADY 1'!J112</f>
        <v>33500000</v>
      </c>
      <c r="V112" s="296">
        <f>'AND 1'!L112+'ADY 1'!L112</f>
        <v>33500000</v>
      </c>
      <c r="W112" s="296">
        <f>'AND 1'!N112+'ADY 1'!N112</f>
        <v>33500000</v>
      </c>
      <c r="X112" s="296">
        <f>'AND 1'!P112+'ADY 1'!P112</f>
        <v>33500000</v>
      </c>
      <c r="Y112" s="296">
        <f>'AND 1'!R112+'ADY 1'!R112</f>
        <v>33500000</v>
      </c>
      <c r="Z112" s="296">
        <f>'AND 1'!T112+'ADY 1'!T112</f>
        <v>33500000</v>
      </c>
      <c r="AA112" s="296">
        <f>'AND 1'!V112+'ADY 1'!V112</f>
        <v>33500000</v>
      </c>
      <c r="AB112" s="296">
        <f>'AND 1'!X112+'ADY 1'!X112</f>
        <v>33500000</v>
      </c>
      <c r="AC112" s="296">
        <f>'AND 1'!Z112+'ADY 1'!Z112</f>
        <v>33500000</v>
      </c>
      <c r="AD112" s="297">
        <f t="shared" si="87"/>
        <v>402000000</v>
      </c>
      <c r="AE112" s="296">
        <f t="shared" si="88"/>
        <v>442200000.00000006</v>
      </c>
      <c r="AF112" s="296">
        <f t="shared" si="88"/>
        <v>486420000.00000012</v>
      </c>
      <c r="AG112" s="296">
        <f t="shared" si="88"/>
        <v>535062000.00000018</v>
      </c>
    </row>
    <row r="113" spans="1:33" ht="16.899999999999999" customHeight="1" x14ac:dyDescent="0.2">
      <c r="A113" s="246"/>
      <c r="B113" s="247"/>
      <c r="C113" s="305" t="s">
        <v>152</v>
      </c>
      <c r="D113" s="303">
        <f>'AND 1'!V113+'ADY 1'!V113+IBP!V10+ASI!V10</f>
        <v>80250000</v>
      </c>
      <c r="E113" s="303">
        <f>'AND 1'!W113+'ADY 1'!W113+IBP!W10+ASI!W10</f>
        <v>76781463</v>
      </c>
      <c r="F113" s="296">
        <f t="shared" si="73"/>
        <v>3468537</v>
      </c>
      <c r="G113" s="406">
        <f t="shared" si="74"/>
        <v>0.95677835514018694</v>
      </c>
      <c r="H113" s="303">
        <f>'AND 1'!X113+'ADY 1'!X113+IBP!X10+ASI!X10</f>
        <v>80250000</v>
      </c>
      <c r="I113" s="303">
        <f>'AND 1'!Y113+'ADY 1'!Y113+IBP!Y10+ASI!Y10</f>
        <v>86135863</v>
      </c>
      <c r="J113" s="296">
        <f t="shared" si="75"/>
        <v>-5885863</v>
      </c>
      <c r="K113" s="406">
        <f t="shared" si="76"/>
        <v>1.0733440872274143</v>
      </c>
      <c r="L113" s="303">
        <f>'AND 1'!Z113+'ADY 1'!Z113+IBP!Z10+ASI!Z10</f>
        <v>80250000</v>
      </c>
      <c r="M113" s="303">
        <f>'AND 1'!AA113+'ADY 1'!AA113+IBP!AA10+ASI!AA10</f>
        <v>79046463</v>
      </c>
      <c r="N113" s="296">
        <f t="shared" si="77"/>
        <v>1203537</v>
      </c>
      <c r="O113" s="406">
        <f t="shared" si="78"/>
        <v>0.98500265420560751</v>
      </c>
      <c r="P113" s="296">
        <f t="shared" si="85"/>
        <v>240750000</v>
      </c>
      <c r="Q113" s="296">
        <f t="shared" si="86"/>
        <v>241963789</v>
      </c>
      <c r="R113" s="296">
        <f t="shared" si="80"/>
        <v>-1213789</v>
      </c>
      <c r="S113" s="406">
        <f t="shared" si="81"/>
        <v>1.0050416988577362</v>
      </c>
      <c r="T113" s="618">
        <f>'AND 1'!AC113+'ADY 1'!AF113</f>
        <v>35801470</v>
      </c>
      <c r="U113" s="296">
        <f>'AND 1'!J113+'ADY 1'!J113</f>
        <v>5250000</v>
      </c>
      <c r="V113" s="296">
        <f>'AND 1'!L113+'ADY 1'!L113</f>
        <v>5250000</v>
      </c>
      <c r="W113" s="296">
        <f>'AND 1'!N113+'ADY 1'!N113</f>
        <v>5250000</v>
      </c>
      <c r="X113" s="296">
        <f>'AND 1'!P113+'ADY 1'!P113</f>
        <v>5250000</v>
      </c>
      <c r="Y113" s="296">
        <f>'AND 1'!R113+'ADY 1'!R113</f>
        <v>5250000</v>
      </c>
      <c r="Z113" s="296">
        <f>'AND 1'!T113+'ADY 1'!T113</f>
        <v>5250000</v>
      </c>
      <c r="AA113" s="296">
        <f>'AND 1'!V113+'ADY 1'!V113</f>
        <v>5250000</v>
      </c>
      <c r="AB113" s="296">
        <f>'AND 1'!X113+'ADY 1'!X113</f>
        <v>5250000</v>
      </c>
      <c r="AC113" s="296">
        <f>'AND 1'!Z113+'ADY 1'!Z113</f>
        <v>5250000</v>
      </c>
      <c r="AD113" s="297">
        <f t="shared" si="87"/>
        <v>288000000</v>
      </c>
      <c r="AE113" s="296">
        <f t="shared" si="88"/>
        <v>316800000</v>
      </c>
      <c r="AF113" s="296">
        <f t="shared" si="88"/>
        <v>348480000</v>
      </c>
      <c r="AG113" s="296">
        <f t="shared" si="88"/>
        <v>383328000.00000006</v>
      </c>
    </row>
    <row r="114" spans="1:33" ht="16.899999999999999" customHeight="1" x14ac:dyDescent="0.2">
      <c r="A114" s="246"/>
      <c r="B114" s="247"/>
      <c r="C114" s="305" t="s">
        <v>154</v>
      </c>
      <c r="D114" s="303">
        <f>'AND 1'!V114+'ADY 1'!V114+IBP!V11+ASI!V11</f>
        <v>41235137.5</v>
      </c>
      <c r="E114" s="303">
        <f>'AND 1'!W114+'ADY 1'!W114+IBP!W11+ASI!W11</f>
        <v>236700000</v>
      </c>
      <c r="F114" s="296">
        <f t="shared" si="73"/>
        <v>-195464862.5</v>
      </c>
      <c r="G114" s="406">
        <f t="shared" si="74"/>
        <v>5.74025004766869</v>
      </c>
      <c r="H114" s="303">
        <f>'AND 1'!X114+'ADY 1'!X114+IBP!X11+ASI!X11</f>
        <v>41235137.5</v>
      </c>
      <c r="I114" s="303">
        <f>'AND 1'!Y114+'ADY 1'!Y114+IBP!Y11+ASI!Y11</f>
        <v>55150500</v>
      </c>
      <c r="J114" s="296">
        <f t="shared" si="75"/>
        <v>-13915362.5</v>
      </c>
      <c r="K114" s="406">
        <f t="shared" si="76"/>
        <v>1.337463710409599</v>
      </c>
      <c r="L114" s="303">
        <f>'AND 1'!Z114+'ADY 1'!Z114+IBP!Z11+ASI!Z11</f>
        <v>41235137.5</v>
      </c>
      <c r="M114" s="303">
        <f>'AND 1'!AA114+'ADY 1'!AA114+IBP!AA11+ASI!AA11</f>
        <v>49030000</v>
      </c>
      <c r="N114" s="296">
        <f t="shared" si="77"/>
        <v>-7794862.5</v>
      </c>
      <c r="O114" s="406">
        <f t="shared" si="78"/>
        <v>1.1890344733299361</v>
      </c>
      <c r="P114" s="296">
        <f t="shared" si="85"/>
        <v>123705412.5</v>
      </c>
      <c r="Q114" s="296">
        <f t="shared" si="86"/>
        <v>340880500</v>
      </c>
      <c r="R114" s="296">
        <f t="shared" si="80"/>
        <v>-217175087.5</v>
      </c>
      <c r="S114" s="406">
        <f t="shared" si="81"/>
        <v>2.755582743802742</v>
      </c>
      <c r="T114" s="618">
        <f>'AND 1'!AC114+'ADY 1'!AF114</f>
        <v>1722849700</v>
      </c>
      <c r="U114" s="296">
        <f>'AND 1'!J114+'ADY 1'!J114</f>
        <v>41235137.5</v>
      </c>
      <c r="V114" s="296">
        <f>'AND 1'!L114+'ADY 1'!L114</f>
        <v>41235137.5</v>
      </c>
      <c r="W114" s="296">
        <f>'AND 1'!N114+'ADY 1'!N114</f>
        <v>41235137.5</v>
      </c>
      <c r="X114" s="296">
        <f>'AND 1'!P114+'ADY 1'!P114</f>
        <v>41235137.5</v>
      </c>
      <c r="Y114" s="296">
        <f>'AND 1'!R114+'ADY 1'!R114</f>
        <v>41235137.5</v>
      </c>
      <c r="Z114" s="296">
        <f>'AND 1'!T114+'ADY 1'!T114</f>
        <v>41235137.5</v>
      </c>
      <c r="AA114" s="296">
        <f>'AND 1'!V114+'ADY 1'!V114</f>
        <v>41235137.5</v>
      </c>
      <c r="AB114" s="296">
        <f>'AND 1'!X114+'ADY 1'!X114</f>
        <v>41235137.5</v>
      </c>
      <c r="AC114" s="296">
        <f>'AND 1'!Z114+'ADY 1'!Z114</f>
        <v>41235137.5</v>
      </c>
      <c r="AD114" s="297">
        <f t="shared" si="87"/>
        <v>494821650</v>
      </c>
      <c r="AE114" s="296">
        <f t="shared" si="88"/>
        <v>544303815</v>
      </c>
      <c r="AF114" s="296">
        <f t="shared" si="88"/>
        <v>598734196.5</v>
      </c>
      <c r="AG114" s="296">
        <f t="shared" si="88"/>
        <v>658607616.1500001</v>
      </c>
    </row>
    <row r="115" spans="1:33" ht="16.899999999999999" customHeight="1" x14ac:dyDescent="0.2">
      <c r="A115" s="246"/>
      <c r="B115" s="247"/>
      <c r="C115" s="305" t="s">
        <v>156</v>
      </c>
      <c r="D115" s="303">
        <f>'AND 1'!V115+'ADY 1'!V115+IBP!V12+ASI!V12</f>
        <v>26156475.333333336</v>
      </c>
      <c r="E115" s="303">
        <f>'AND 1'!W115+'ADY 1'!W115+IBP!W12+ASI!W12</f>
        <v>22535300</v>
      </c>
      <c r="F115" s="296">
        <f t="shared" si="73"/>
        <v>3621175.3333333358</v>
      </c>
      <c r="G115" s="406">
        <f t="shared" si="74"/>
        <v>0.86155721337887692</v>
      </c>
      <c r="H115" s="303">
        <f>'AND 1'!X115+'ADY 1'!X115+IBP!X12+ASI!X12</f>
        <v>26156475.333333336</v>
      </c>
      <c r="I115" s="303">
        <f>'AND 1'!Y115+'ADY 1'!Y115+IBP!Y12+ASI!Y12</f>
        <v>31341100</v>
      </c>
      <c r="J115" s="296">
        <f t="shared" si="75"/>
        <v>-5184624.6666666642</v>
      </c>
      <c r="K115" s="406">
        <f t="shared" si="76"/>
        <v>1.1982157228982406</v>
      </c>
      <c r="L115" s="303">
        <f>'AND 1'!Z115+'ADY 1'!Z115+IBP!Z12+ASI!Z12</f>
        <v>26156475.333333336</v>
      </c>
      <c r="M115" s="303">
        <f>'AND 1'!AA115+'ADY 1'!AA115+IBP!AA12+ASI!AA12</f>
        <v>32210370</v>
      </c>
      <c r="N115" s="296">
        <f t="shared" si="77"/>
        <v>-6053894.6666666642</v>
      </c>
      <c r="O115" s="406">
        <f t="shared" si="78"/>
        <v>1.2314491761415458</v>
      </c>
      <c r="P115" s="296">
        <f t="shared" si="85"/>
        <v>78469426</v>
      </c>
      <c r="Q115" s="296">
        <f t="shared" si="86"/>
        <v>86086770</v>
      </c>
      <c r="R115" s="296">
        <f t="shared" si="80"/>
        <v>-7617344</v>
      </c>
      <c r="S115" s="406">
        <f t="shared" si="81"/>
        <v>1.0970740374728878</v>
      </c>
      <c r="T115" s="618">
        <f>'AND 1'!AC115+'ADY 1'!AF115</f>
        <v>312245752.86000001</v>
      </c>
      <c r="U115" s="296">
        <f>'AND 1'!J115+'ADY 1'!J115</f>
        <v>26156475.333333336</v>
      </c>
      <c r="V115" s="296">
        <f>'AND 1'!L115+'ADY 1'!L115</f>
        <v>26156475.333333336</v>
      </c>
      <c r="W115" s="296">
        <f>'AND 1'!N115+'ADY 1'!N115</f>
        <v>26156475.333333336</v>
      </c>
      <c r="X115" s="296">
        <f>'AND 1'!P115+'ADY 1'!P115</f>
        <v>26156475.333333336</v>
      </c>
      <c r="Y115" s="296">
        <f>'AND 1'!R115+'ADY 1'!R115</f>
        <v>26156475.333333336</v>
      </c>
      <c r="Z115" s="296">
        <f>'AND 1'!T115+'ADY 1'!T115</f>
        <v>26156475.333333336</v>
      </c>
      <c r="AA115" s="296">
        <f>'AND 1'!V115+'ADY 1'!V115</f>
        <v>26156475.333333336</v>
      </c>
      <c r="AB115" s="296">
        <f>'AND 1'!X115+'ADY 1'!X115</f>
        <v>26156475.333333336</v>
      </c>
      <c r="AC115" s="296">
        <f>'AND 1'!Z115+'ADY 1'!Z115</f>
        <v>26156475.333333336</v>
      </c>
      <c r="AD115" s="297">
        <f t="shared" si="87"/>
        <v>313877704.00000006</v>
      </c>
      <c r="AE115" s="296">
        <f t="shared" si="88"/>
        <v>345265474.4000001</v>
      </c>
      <c r="AF115" s="296">
        <f t="shared" si="88"/>
        <v>379792021.84000015</v>
      </c>
      <c r="AG115" s="296">
        <f t="shared" si="88"/>
        <v>417771224.02400023</v>
      </c>
    </row>
    <row r="116" spans="1:33" ht="16.899999999999999" customHeight="1" x14ac:dyDescent="0.2">
      <c r="A116" s="246"/>
      <c r="B116" s="247"/>
      <c r="C116" s="305" t="s">
        <v>111</v>
      </c>
      <c r="D116" s="303">
        <f>'AND 1'!V116+'ADY 1'!V116+IBP!V13+ASI!V13</f>
        <v>3000000</v>
      </c>
      <c r="E116" s="303">
        <f>'AND 1'!W116+'ADY 1'!W116+IBP!W13+ASI!W13</f>
        <v>0</v>
      </c>
      <c r="F116" s="296">
        <f t="shared" si="73"/>
        <v>3000000</v>
      </c>
      <c r="G116" s="406">
        <f t="shared" si="74"/>
        <v>0</v>
      </c>
      <c r="H116" s="303">
        <f>'AND 1'!X116+'ADY 1'!X116+IBP!X13+ASI!X13</f>
        <v>3000000</v>
      </c>
      <c r="I116" s="303">
        <f>'AND 1'!Y116+'ADY 1'!Y116+IBP!Y13+ASI!Y13</f>
        <v>0</v>
      </c>
      <c r="J116" s="296">
        <f t="shared" si="75"/>
        <v>3000000</v>
      </c>
      <c r="K116" s="406">
        <f t="shared" si="76"/>
        <v>0</v>
      </c>
      <c r="L116" s="303">
        <f>'AND 1'!Z116+'ADY 1'!Z116+IBP!Z13+ASI!Z13</f>
        <v>3000000</v>
      </c>
      <c r="M116" s="303">
        <f>'AND 1'!AA116+'ADY 1'!AA116+IBP!AA13+ASI!AA13</f>
        <v>0</v>
      </c>
      <c r="N116" s="296">
        <f t="shared" si="77"/>
        <v>3000000</v>
      </c>
      <c r="O116" s="406">
        <f t="shared" si="78"/>
        <v>0</v>
      </c>
      <c r="P116" s="296">
        <f t="shared" si="85"/>
        <v>9000000</v>
      </c>
      <c r="Q116" s="296">
        <f t="shared" si="86"/>
        <v>0</v>
      </c>
      <c r="R116" s="296">
        <f t="shared" si="80"/>
        <v>9000000</v>
      </c>
      <c r="S116" s="406">
        <f t="shared" si="81"/>
        <v>0</v>
      </c>
      <c r="T116" s="618">
        <f>'AND 1'!AC116+'ADY 1'!AF116</f>
        <v>0</v>
      </c>
      <c r="U116" s="296">
        <f>'AND 1'!J116+'ADY 1'!J116</f>
        <v>3000000</v>
      </c>
      <c r="V116" s="296">
        <f>'AND 1'!L116+'ADY 1'!L116</f>
        <v>3000000</v>
      </c>
      <c r="W116" s="296">
        <f>'AND 1'!N116+'ADY 1'!N116</f>
        <v>3000000</v>
      </c>
      <c r="X116" s="296">
        <f>'AND 1'!P116+'ADY 1'!P116</f>
        <v>3000000</v>
      </c>
      <c r="Y116" s="296">
        <f>'AND 1'!R116+'ADY 1'!R116</f>
        <v>3000000</v>
      </c>
      <c r="Z116" s="296">
        <f>'AND 1'!T116+'ADY 1'!T116</f>
        <v>3000000</v>
      </c>
      <c r="AA116" s="296">
        <f>'AND 1'!V116+'ADY 1'!V116</f>
        <v>3000000</v>
      </c>
      <c r="AB116" s="296">
        <f>'AND 1'!X116+'ADY 1'!X116</f>
        <v>3000000</v>
      </c>
      <c r="AC116" s="296">
        <f>'AND 1'!Z116+'ADY 1'!Z116</f>
        <v>3000000</v>
      </c>
      <c r="AD116" s="297">
        <f t="shared" si="87"/>
        <v>36000000</v>
      </c>
      <c r="AE116" s="296">
        <f t="shared" si="88"/>
        <v>39600000</v>
      </c>
      <c r="AF116" s="296">
        <f t="shared" si="88"/>
        <v>43560000</v>
      </c>
      <c r="AG116" s="296">
        <f t="shared" si="88"/>
        <v>47916000.000000007</v>
      </c>
    </row>
    <row r="117" spans="1:33" ht="16.899999999999999" customHeight="1" x14ac:dyDescent="0.2">
      <c r="A117" s="246"/>
      <c r="B117" s="247"/>
      <c r="C117" s="305" t="s">
        <v>157</v>
      </c>
      <c r="D117" s="303">
        <f>'AND 1'!V117+'ADY 1'!V117+IBP!V14+ASI!V14</f>
        <v>12500000</v>
      </c>
      <c r="E117" s="303">
        <f>'AND 1'!W117+'ADY 1'!W117+IBP!W14+ASI!W14</f>
        <v>0</v>
      </c>
      <c r="F117" s="296">
        <f t="shared" si="73"/>
        <v>12500000</v>
      </c>
      <c r="G117" s="406">
        <f t="shared" si="74"/>
        <v>0</v>
      </c>
      <c r="H117" s="303">
        <f>'AND 1'!X117+'ADY 1'!X117+IBP!X14+ASI!X14</f>
        <v>12500000</v>
      </c>
      <c r="I117" s="303">
        <f>'AND 1'!Y117+'ADY 1'!Y117+IBP!Y14+ASI!Y14</f>
        <v>0</v>
      </c>
      <c r="J117" s="296">
        <f t="shared" si="75"/>
        <v>12500000</v>
      </c>
      <c r="K117" s="406">
        <f t="shared" si="76"/>
        <v>0</v>
      </c>
      <c r="L117" s="303">
        <f>'AND 1'!Z117+'ADY 1'!Z117+IBP!Z14+ASI!Z14</f>
        <v>12500000</v>
      </c>
      <c r="M117" s="303">
        <f>'AND 1'!AA117+'ADY 1'!AA117+IBP!AA14+ASI!AA14</f>
        <v>0</v>
      </c>
      <c r="N117" s="296">
        <f t="shared" si="77"/>
        <v>12500000</v>
      </c>
      <c r="O117" s="406">
        <f t="shared" si="78"/>
        <v>0</v>
      </c>
      <c r="P117" s="296">
        <f t="shared" si="85"/>
        <v>37500000</v>
      </c>
      <c r="Q117" s="296">
        <f t="shared" si="86"/>
        <v>0</v>
      </c>
      <c r="R117" s="296">
        <f t="shared" si="80"/>
        <v>37500000</v>
      </c>
      <c r="S117" s="406">
        <f t="shared" si="81"/>
        <v>0</v>
      </c>
      <c r="T117" s="618">
        <f>'AND 1'!AC117+'ADY 1'!AF117</f>
        <v>302654233</v>
      </c>
      <c r="U117" s="296">
        <f>'AND 1'!J117+'ADY 1'!J117</f>
        <v>12500000</v>
      </c>
      <c r="V117" s="296">
        <f>'AND 1'!L117+'ADY 1'!L117</f>
        <v>12500000</v>
      </c>
      <c r="W117" s="296">
        <f>'AND 1'!N117+'ADY 1'!N117</f>
        <v>12500000</v>
      </c>
      <c r="X117" s="296">
        <f>'AND 1'!P117+'ADY 1'!P117</f>
        <v>12500000</v>
      </c>
      <c r="Y117" s="296">
        <f>'AND 1'!R117+'ADY 1'!R117</f>
        <v>12500000</v>
      </c>
      <c r="Z117" s="296">
        <f>'AND 1'!T117+'ADY 1'!T117</f>
        <v>12500000</v>
      </c>
      <c r="AA117" s="296">
        <f>'AND 1'!V117+'ADY 1'!V117</f>
        <v>12500000</v>
      </c>
      <c r="AB117" s="296">
        <f>'AND 1'!X117+'ADY 1'!X117</f>
        <v>12500000</v>
      </c>
      <c r="AC117" s="296">
        <f>'AND 1'!Z117+'ADY 1'!Z117</f>
        <v>12500000</v>
      </c>
      <c r="AD117" s="297">
        <f t="shared" si="87"/>
        <v>150000000</v>
      </c>
      <c r="AE117" s="296">
        <f t="shared" si="88"/>
        <v>165000000</v>
      </c>
      <c r="AF117" s="296">
        <f t="shared" si="88"/>
        <v>181500000</v>
      </c>
      <c r="AG117" s="296">
        <f t="shared" si="88"/>
        <v>199650000.00000003</v>
      </c>
    </row>
    <row r="118" spans="1:33" ht="16.899999999999999" customHeight="1" x14ac:dyDescent="0.2">
      <c r="A118" s="246"/>
      <c r="B118" s="247"/>
      <c r="C118" s="315" t="s">
        <v>158</v>
      </c>
      <c r="D118" s="303">
        <f>'AND 1'!V118+'ADY 1'!V118+IBP!V15+ASI!V15</f>
        <v>250000000</v>
      </c>
      <c r="E118" s="303">
        <f>'AND 1'!W118+'ADY 1'!W118+IBP!W15+ASI!W15</f>
        <v>92340000</v>
      </c>
      <c r="F118" s="296">
        <f t="shared" si="73"/>
        <v>157660000</v>
      </c>
      <c r="G118" s="406">
        <f t="shared" si="74"/>
        <v>0.36936000000000002</v>
      </c>
      <c r="H118" s="303">
        <f>'AND 1'!X118+'ADY 1'!X118+IBP!X15+ASI!X15</f>
        <v>250000000</v>
      </c>
      <c r="I118" s="303">
        <f>'AND 1'!Y118+'ADY 1'!Y118+IBP!Y15+ASI!Y15</f>
        <v>112340700</v>
      </c>
      <c r="J118" s="296">
        <f t="shared" si="75"/>
        <v>137659300</v>
      </c>
      <c r="K118" s="406">
        <f t="shared" si="76"/>
        <v>0.44936280000000001</v>
      </c>
      <c r="L118" s="303">
        <f>'AND 1'!Z118+'ADY 1'!Z118+IBP!Z15+ASI!Z15</f>
        <v>250000000</v>
      </c>
      <c r="M118" s="303">
        <f>'AND 1'!AA118+'ADY 1'!AA118+IBP!AA15+ASI!AA15</f>
        <v>97650000</v>
      </c>
      <c r="N118" s="296">
        <f t="shared" si="77"/>
        <v>152350000</v>
      </c>
      <c r="O118" s="406">
        <f t="shared" si="78"/>
        <v>0.3906</v>
      </c>
      <c r="P118" s="296">
        <f t="shared" si="85"/>
        <v>750000000</v>
      </c>
      <c r="Q118" s="296">
        <f t="shared" si="86"/>
        <v>302330700</v>
      </c>
      <c r="R118" s="296">
        <f t="shared" si="80"/>
        <v>447669300</v>
      </c>
      <c r="S118" s="406">
        <f t="shared" si="81"/>
        <v>0.40310760000000001</v>
      </c>
      <c r="T118" s="618">
        <f>'AND 1'!AC118+'ADY 1'!AF118</f>
        <v>1688214385.24</v>
      </c>
      <c r="U118" s="299">
        <f>'AND 1'!J118+'ADY 1'!J118</f>
        <v>250000000</v>
      </c>
      <c r="V118" s="299">
        <f>'AND 1'!L118+'ADY 1'!L118</f>
        <v>250000000</v>
      </c>
      <c r="W118" s="299">
        <f>'AND 1'!N118+'ADY 1'!N118</f>
        <v>250000000</v>
      </c>
      <c r="X118" s="299">
        <f>'AND 1'!P118+'ADY 1'!P118</f>
        <v>250000000</v>
      </c>
      <c r="Y118" s="299">
        <f>'AND 1'!R118+'ADY 1'!R118</f>
        <v>250000000</v>
      </c>
      <c r="Z118" s="299">
        <f>'AND 1'!T118+'ADY 1'!T118</f>
        <v>250000000</v>
      </c>
      <c r="AA118" s="299">
        <f>'AND 1'!V118+'ADY 1'!V118</f>
        <v>250000000</v>
      </c>
      <c r="AB118" s="299">
        <f>'AND 1'!X118+'ADY 1'!X118</f>
        <v>250000000</v>
      </c>
      <c r="AC118" s="299">
        <f>'AND 1'!Z118+'ADY 1'!Z118</f>
        <v>250000000</v>
      </c>
      <c r="AD118" s="300">
        <f t="shared" si="87"/>
        <v>3000000000</v>
      </c>
      <c r="AE118" s="299">
        <f t="shared" si="88"/>
        <v>3300000000.0000005</v>
      </c>
      <c r="AF118" s="299">
        <f t="shared" si="88"/>
        <v>3630000000.000001</v>
      </c>
      <c r="AG118" s="299">
        <f t="shared" si="88"/>
        <v>3993000000.0000014</v>
      </c>
    </row>
    <row r="119" spans="1:33" s="242" customFormat="1" ht="16.899999999999999" customHeight="1" x14ac:dyDescent="0.2">
      <c r="A119" s="257"/>
      <c r="B119" s="253"/>
      <c r="C119" s="268" t="s">
        <v>340</v>
      </c>
      <c r="D119" s="270">
        <f>SUM(D109:D118)</f>
        <v>893782446.83333337</v>
      </c>
      <c r="E119" s="270">
        <f>SUM(E109:E118)</f>
        <v>707579369</v>
      </c>
      <c r="F119" s="269">
        <f t="shared" si="73"/>
        <v>186203077.83333337</v>
      </c>
      <c r="G119" s="412">
        <f t="shared" si="74"/>
        <v>0.79166845523421281</v>
      </c>
      <c r="H119" s="270">
        <f>SUM(H109:H118)</f>
        <v>893782446.83333337</v>
      </c>
      <c r="I119" s="270">
        <f>SUM(I109:I118)</f>
        <v>546829889</v>
      </c>
      <c r="J119" s="269">
        <f t="shared" si="75"/>
        <v>346952557.83333337</v>
      </c>
      <c r="K119" s="412">
        <f t="shared" si="76"/>
        <v>0.61181542660343746</v>
      </c>
      <c r="L119" s="270">
        <f>SUM(L109:L118)</f>
        <v>1154124779.8333335</v>
      </c>
      <c r="M119" s="270">
        <f>SUM(M109:M118)</f>
        <v>605199459</v>
      </c>
      <c r="N119" s="269">
        <f t="shared" si="77"/>
        <v>548925320.83333349</v>
      </c>
      <c r="O119" s="412">
        <f t="shared" si="78"/>
        <v>0.52437957279402359</v>
      </c>
      <c r="P119" s="270">
        <f>SUM(P109:P118)</f>
        <v>2941689673.5</v>
      </c>
      <c r="Q119" s="270">
        <f>SUM(Q109:Q118)</f>
        <v>1859608717</v>
      </c>
      <c r="R119" s="269">
        <f t="shared" si="80"/>
        <v>1082080956.5</v>
      </c>
      <c r="S119" s="412">
        <f t="shared" si="81"/>
        <v>0.63215665940297905</v>
      </c>
      <c r="T119" s="619">
        <f>SUM(T109:T118)</f>
        <v>6054078057.6700001</v>
      </c>
      <c r="U119" s="270">
        <f t="shared" ref="U119:AG119" si="89">SUM(U109:U118)</f>
        <v>743782446.83333325</v>
      </c>
      <c r="V119" s="270">
        <f t="shared" si="89"/>
        <v>743782446.83333325</v>
      </c>
      <c r="W119" s="270">
        <f t="shared" si="89"/>
        <v>743782446.83333325</v>
      </c>
      <c r="X119" s="270">
        <f t="shared" si="89"/>
        <v>743782446.83333325</v>
      </c>
      <c r="Y119" s="270">
        <f t="shared" si="89"/>
        <v>1171795946.3333335</v>
      </c>
      <c r="Z119" s="270">
        <f t="shared" si="89"/>
        <v>743782446.83333325</v>
      </c>
      <c r="AA119" s="270">
        <f t="shared" si="89"/>
        <v>743782446.83333325</v>
      </c>
      <c r="AB119" s="270">
        <f t="shared" si="89"/>
        <v>743782446.83333325</v>
      </c>
      <c r="AC119" s="270">
        <f t="shared" si="89"/>
        <v>1004124779.8333334</v>
      </c>
      <c r="AD119" s="270">
        <f t="shared" si="89"/>
        <v>10324087527.5</v>
      </c>
      <c r="AE119" s="270">
        <f t="shared" si="89"/>
        <v>11356496280.25</v>
      </c>
      <c r="AF119" s="270">
        <f t="shared" si="89"/>
        <v>12492145908.275002</v>
      </c>
      <c r="AG119" s="270">
        <f t="shared" si="89"/>
        <v>13741360499.102505</v>
      </c>
    </row>
    <row r="120" spans="1:33" s="242" customFormat="1" ht="16.899999999999999" customHeight="1" x14ac:dyDescent="0.2">
      <c r="A120" s="277"/>
      <c r="B120" s="278"/>
      <c r="C120" s="268" t="s">
        <v>341</v>
      </c>
      <c r="D120" s="267">
        <f>D78+D86+D93+D96+D101+D108+D119</f>
        <v>2699562585.6333337</v>
      </c>
      <c r="E120" s="267">
        <f>E78+E86+E93+E96+E101+E108+E119</f>
        <v>2640947515.4200001</v>
      </c>
      <c r="F120" s="269">
        <f t="shared" si="73"/>
        <v>58615070.213333607</v>
      </c>
      <c r="G120" s="412">
        <f t="shared" si="74"/>
        <v>0.97828719714620649</v>
      </c>
      <c r="H120" s="267">
        <f>H78+H86+H93+H96+H101+H108+H119</f>
        <v>2501084985.6333337</v>
      </c>
      <c r="I120" s="267">
        <f>I78+I86+I93+I96+I101+I108+I119</f>
        <v>2473248907.3200002</v>
      </c>
      <c r="J120" s="269">
        <f t="shared" si="75"/>
        <v>27836078.313333511</v>
      </c>
      <c r="K120" s="412">
        <f t="shared" si="76"/>
        <v>0.9888703988576043</v>
      </c>
      <c r="L120" s="267">
        <f>L78+L86+L93+L96+L101+L108+L119</f>
        <v>2734677318.6333337</v>
      </c>
      <c r="M120" s="267">
        <f>M78+M86+M93+M96+M101+M108+M119</f>
        <v>2556003327.54</v>
      </c>
      <c r="N120" s="269">
        <f t="shared" si="77"/>
        <v>178673991.09333372</v>
      </c>
      <c r="O120" s="412">
        <f t="shared" si="78"/>
        <v>0.93466359271132338</v>
      </c>
      <c r="P120" s="267">
        <f>P78+P86+P93+P96+P101+P108+P119</f>
        <v>7935324889.9000006</v>
      </c>
      <c r="Q120" s="267">
        <f>Q78+Q86+Q93+Q96+Q101+Q108+Q119</f>
        <v>7670199750.2799997</v>
      </c>
      <c r="R120" s="269">
        <f t="shared" si="80"/>
        <v>265125139.62000084</v>
      </c>
      <c r="S120" s="412">
        <f t="shared" si="81"/>
        <v>0.96658925207240731</v>
      </c>
      <c r="T120" s="621">
        <f>T78+T86+T93+T96+T101+T108+T119</f>
        <v>25674474535.830002</v>
      </c>
      <c r="U120" s="267">
        <f t="shared" ref="U120:AG120" si="90">U78+U86+U93+U96+U101+U108+U119</f>
        <v>2605934390.4333334</v>
      </c>
      <c r="V120" s="267">
        <f t="shared" si="90"/>
        <v>2479598985.6333332</v>
      </c>
      <c r="W120" s="267">
        <f t="shared" si="90"/>
        <v>2523375985.6333332</v>
      </c>
      <c r="X120" s="267">
        <f t="shared" si="90"/>
        <v>2373234985.6333332</v>
      </c>
      <c r="Y120" s="267">
        <f t="shared" si="90"/>
        <v>4506122495.7333336</v>
      </c>
      <c r="Z120" s="267">
        <f t="shared" si="90"/>
        <v>2282384985.6333332</v>
      </c>
      <c r="AA120" s="267">
        <f t="shared" si="90"/>
        <v>2549562585.6333332</v>
      </c>
      <c r="AB120" s="267">
        <f t="shared" si="90"/>
        <v>2351084985.6333332</v>
      </c>
      <c r="AC120" s="267">
        <f t="shared" si="90"/>
        <v>2584677318.6333337</v>
      </c>
      <c r="AD120" s="267">
        <f t="shared" si="90"/>
        <v>32191301608.500004</v>
      </c>
      <c r="AE120" s="267">
        <f t="shared" si="90"/>
        <v>35410431769.350006</v>
      </c>
      <c r="AF120" s="267">
        <f t="shared" si="90"/>
        <v>38951474946.285004</v>
      </c>
      <c r="AG120" s="267">
        <f t="shared" si="90"/>
        <v>42846622440.913513</v>
      </c>
    </row>
    <row r="121" spans="1:33" s="242" customFormat="1" ht="16.899999999999999" customHeight="1" x14ac:dyDescent="0.2">
      <c r="A121" s="277" t="s">
        <v>351</v>
      </c>
      <c r="B121" s="278"/>
      <c r="C121" s="309" t="s">
        <v>163</v>
      </c>
      <c r="D121" s="299">
        <f>'AND 1'!V122+'ADY 1'!V122</f>
        <v>253936751</v>
      </c>
      <c r="E121" s="299">
        <f>'AND 1'!W122+'ADY 1'!W122</f>
        <v>253936751</v>
      </c>
      <c r="F121" s="296">
        <f>D121-E121</f>
        <v>0</v>
      </c>
      <c r="G121" s="406">
        <f t="shared" si="74"/>
        <v>1</v>
      </c>
      <c r="H121" s="299">
        <f>'AND 1'!X122+'ADY 1'!X122</f>
        <v>253936751</v>
      </c>
      <c r="I121" s="299">
        <f>'AND 1'!Y122+'ADY 1'!Y122</f>
        <v>253936751</v>
      </c>
      <c r="J121" s="296">
        <f t="shared" si="75"/>
        <v>0</v>
      </c>
      <c r="K121" s="406">
        <f t="shared" si="76"/>
        <v>1</v>
      </c>
      <c r="L121" s="299">
        <f>'AND 1'!Z122+'ADY 1'!Z122</f>
        <v>253936751</v>
      </c>
      <c r="M121" s="299">
        <f>'AND 1'!AA122+'ADY 1'!AA122</f>
        <v>253936751</v>
      </c>
      <c r="N121" s="296">
        <f t="shared" si="77"/>
        <v>0</v>
      </c>
      <c r="O121" s="406">
        <f t="shared" si="78"/>
        <v>1</v>
      </c>
      <c r="P121" s="299">
        <f>D121+H121+L121</f>
        <v>761810253</v>
      </c>
      <c r="Q121" s="299">
        <f>E121+I121+M121</f>
        <v>761810253</v>
      </c>
      <c r="R121" s="296">
        <f t="shared" si="80"/>
        <v>0</v>
      </c>
      <c r="S121" s="406">
        <f t="shared" si="81"/>
        <v>1</v>
      </c>
      <c r="T121" s="618">
        <f>'AND 1'!AC124+'ADY 1'!AF124</f>
        <v>3047241012</v>
      </c>
      <c r="U121" s="299">
        <f>'AND 1'!J122+'ADY 1'!J122</f>
        <v>253936751</v>
      </c>
      <c r="V121" s="299">
        <f>'AND 1'!L122+'ADY 1'!L122</f>
        <v>253936751</v>
      </c>
      <c r="W121" s="299">
        <f>'AND 1'!N122+'ADY 1'!N122</f>
        <v>253936751</v>
      </c>
      <c r="X121" s="299">
        <f>'AND 1'!P122+'ADY 1'!P122</f>
        <v>253936751</v>
      </c>
      <c r="Y121" s="299">
        <f>'AND 1'!R122+'ADY 1'!R122</f>
        <v>253936751</v>
      </c>
      <c r="Z121" s="299">
        <f>'AND 1'!T122+'ADY 1'!T122</f>
        <v>253936751</v>
      </c>
      <c r="AA121" s="299">
        <f>'AND 1'!V122+'ADY 1'!V122</f>
        <v>253936751</v>
      </c>
      <c r="AB121" s="299">
        <f>'AND 1'!X122+'ADY 1'!X122</f>
        <v>253936751</v>
      </c>
      <c r="AC121" s="299">
        <f>'AND 1'!Z122+'ADY 1'!Z122</f>
        <v>253936751</v>
      </c>
      <c r="AD121" s="300">
        <f>AC121+AB121+AA121+Z121+Y121+X121+W121+V121+U121+L121+H121+D121</f>
        <v>3047241012</v>
      </c>
      <c r="AE121" s="299">
        <f>AD121*1.1</f>
        <v>3351965113.2000003</v>
      </c>
      <c r="AF121" s="299">
        <f>AE121*1.1</f>
        <v>3687161624.5200005</v>
      </c>
      <c r="AG121" s="299">
        <f>AF121*1.1</f>
        <v>4055877786.9720006</v>
      </c>
    </row>
    <row r="122" spans="1:33" s="242" customFormat="1" ht="16.899999999999999" customHeight="1" x14ac:dyDescent="0.2">
      <c r="A122" s="257"/>
      <c r="B122" s="247"/>
      <c r="C122" s="268" t="s">
        <v>164</v>
      </c>
      <c r="D122" s="267">
        <f>SUM(D121:D121)</f>
        <v>253936751</v>
      </c>
      <c r="E122" s="267">
        <f>SUM(E121:E121)</f>
        <v>253936751</v>
      </c>
      <c r="F122" s="269">
        <f t="shared" si="73"/>
        <v>0</v>
      </c>
      <c r="G122" s="412">
        <f t="shared" si="74"/>
        <v>1</v>
      </c>
      <c r="H122" s="267">
        <f>SUM(H121:H121)</f>
        <v>253936751</v>
      </c>
      <c r="I122" s="267">
        <f>SUM(I121:I121)</f>
        <v>253936751</v>
      </c>
      <c r="J122" s="269">
        <f t="shared" si="75"/>
        <v>0</v>
      </c>
      <c r="K122" s="412">
        <f t="shared" si="76"/>
        <v>1</v>
      </c>
      <c r="L122" s="267">
        <f>SUM(L121:L121)</f>
        <v>253936751</v>
      </c>
      <c r="M122" s="267">
        <f>SUM(M121:M121)</f>
        <v>253936751</v>
      </c>
      <c r="N122" s="269">
        <f t="shared" si="77"/>
        <v>0</v>
      </c>
      <c r="O122" s="412">
        <f t="shared" si="78"/>
        <v>1</v>
      </c>
      <c r="P122" s="267">
        <f>SUM(P121:P121)</f>
        <v>761810253</v>
      </c>
      <c r="Q122" s="267">
        <f>SUM(Q121:Q121)</f>
        <v>761810253</v>
      </c>
      <c r="R122" s="269">
        <f t="shared" si="80"/>
        <v>0</v>
      </c>
      <c r="S122" s="412">
        <f t="shared" si="81"/>
        <v>1</v>
      </c>
      <c r="T122" s="621">
        <f t="shared" ref="T122:AG122" si="91">SUM(T121:T121)</f>
        <v>3047241012</v>
      </c>
      <c r="U122" s="267">
        <f t="shared" si="91"/>
        <v>253936751</v>
      </c>
      <c r="V122" s="267">
        <f t="shared" si="91"/>
        <v>253936751</v>
      </c>
      <c r="W122" s="267">
        <f t="shared" si="91"/>
        <v>253936751</v>
      </c>
      <c r="X122" s="267">
        <f t="shared" si="91"/>
        <v>253936751</v>
      </c>
      <c r="Y122" s="267">
        <f t="shared" si="91"/>
        <v>253936751</v>
      </c>
      <c r="Z122" s="267">
        <f t="shared" si="91"/>
        <v>253936751</v>
      </c>
      <c r="AA122" s="267">
        <f t="shared" si="91"/>
        <v>253936751</v>
      </c>
      <c r="AB122" s="267">
        <f t="shared" si="91"/>
        <v>253936751</v>
      </c>
      <c r="AC122" s="267">
        <f t="shared" si="91"/>
        <v>253936751</v>
      </c>
      <c r="AD122" s="267">
        <f t="shared" si="91"/>
        <v>3047241012</v>
      </c>
      <c r="AE122" s="267">
        <f t="shared" si="91"/>
        <v>3351965113.2000003</v>
      </c>
      <c r="AF122" s="267">
        <f t="shared" si="91"/>
        <v>3687161624.5200005</v>
      </c>
      <c r="AG122" s="267">
        <f t="shared" si="91"/>
        <v>4055877786.9720006</v>
      </c>
    </row>
    <row r="123" spans="1:33" s="242" customFormat="1" ht="16.899999999999999" customHeight="1" x14ac:dyDescent="0.2">
      <c r="A123" s="277"/>
      <c r="B123" s="278"/>
      <c r="C123" s="268" t="s">
        <v>165</v>
      </c>
      <c r="D123" s="267">
        <f>D120+D122</f>
        <v>2953499336.6333337</v>
      </c>
      <c r="E123" s="267">
        <f>E120+E122</f>
        <v>2894884266.4200001</v>
      </c>
      <c r="F123" s="269">
        <f t="shared" si="73"/>
        <v>58615070.213333607</v>
      </c>
      <c r="G123" s="412">
        <f t="shared" si="74"/>
        <v>0.98015402628119486</v>
      </c>
      <c r="H123" s="267">
        <f>H120+H122</f>
        <v>2755021736.6333337</v>
      </c>
      <c r="I123" s="267">
        <f>I120+I122</f>
        <v>2727185658.3200002</v>
      </c>
      <c r="J123" s="269">
        <f t="shared" si="75"/>
        <v>27836078.313333511</v>
      </c>
      <c r="K123" s="412">
        <f t="shared" si="76"/>
        <v>0.98989624003934373</v>
      </c>
      <c r="L123" s="267">
        <f>L120+L122</f>
        <v>2988614069.6333337</v>
      </c>
      <c r="M123" s="267">
        <f>M120+M122</f>
        <v>2809940078.54</v>
      </c>
      <c r="N123" s="269">
        <f t="shared" si="77"/>
        <v>178673991.09333372</v>
      </c>
      <c r="O123" s="412">
        <f t="shared" si="78"/>
        <v>0.94021510073555437</v>
      </c>
      <c r="P123" s="267">
        <f>P120+P122</f>
        <v>8697135142.9000015</v>
      </c>
      <c r="Q123" s="267">
        <f>Q120+Q122</f>
        <v>8432010003.2799997</v>
      </c>
      <c r="R123" s="269">
        <f t="shared" si="80"/>
        <v>265125139.62000179</v>
      </c>
      <c r="S123" s="412">
        <f t="shared" si="81"/>
        <v>0.96951580776154322</v>
      </c>
      <c r="T123" s="621">
        <f>T120+T122</f>
        <v>28721715547.830002</v>
      </c>
      <c r="U123" s="267">
        <f t="shared" ref="U123:AG123" si="92">U120+U122</f>
        <v>2859871141.4333334</v>
      </c>
      <c r="V123" s="267">
        <f t="shared" si="92"/>
        <v>2733535736.6333332</v>
      </c>
      <c r="W123" s="267">
        <f t="shared" si="92"/>
        <v>2777312736.6333332</v>
      </c>
      <c r="X123" s="267">
        <f t="shared" si="92"/>
        <v>2627171736.6333332</v>
      </c>
      <c r="Y123" s="267">
        <f t="shared" si="92"/>
        <v>4760059246.7333336</v>
      </c>
      <c r="Z123" s="267">
        <f t="shared" si="92"/>
        <v>2536321736.6333332</v>
      </c>
      <c r="AA123" s="267">
        <f t="shared" si="92"/>
        <v>2803499336.6333332</v>
      </c>
      <c r="AB123" s="267">
        <f t="shared" si="92"/>
        <v>2605021736.6333332</v>
      </c>
      <c r="AC123" s="267">
        <f t="shared" si="92"/>
        <v>2838614069.6333337</v>
      </c>
      <c r="AD123" s="267">
        <f t="shared" si="92"/>
        <v>35238542620.5</v>
      </c>
      <c r="AE123" s="267">
        <f t="shared" si="92"/>
        <v>38762396882.550003</v>
      </c>
      <c r="AF123" s="267">
        <f t="shared" si="92"/>
        <v>42638636570.805008</v>
      </c>
      <c r="AG123" s="267">
        <f t="shared" si="92"/>
        <v>46902500227.885513</v>
      </c>
    </row>
    <row r="124" spans="1:33" s="258" customFormat="1" ht="16.899999999999999" customHeight="1" x14ac:dyDescent="0.2">
      <c r="A124" s="277" t="s">
        <v>212</v>
      </c>
      <c r="B124" s="245"/>
      <c r="C124" s="305" t="s">
        <v>167</v>
      </c>
      <c r="D124" s="296">
        <f>'AND 1'!V127+'ADY 1'!V127</f>
        <v>6000000</v>
      </c>
      <c r="E124" s="296">
        <f>'AND 1'!W127+'ADY 1'!W127</f>
        <v>6000000</v>
      </c>
      <c r="F124" s="296">
        <f t="shared" si="73"/>
        <v>0</v>
      </c>
      <c r="G124" s="406">
        <f t="shared" si="74"/>
        <v>1</v>
      </c>
      <c r="H124" s="296">
        <f>'AND 1'!X127+'ADY 1'!X127</f>
        <v>6000000</v>
      </c>
      <c r="I124" s="296">
        <f>'AND 1'!Y127+'ADY 1'!Y127</f>
        <v>6000000</v>
      </c>
      <c r="J124" s="296">
        <f>H124-I124</f>
        <v>0</v>
      </c>
      <c r="K124" s="406">
        <f t="shared" si="76"/>
        <v>1</v>
      </c>
      <c r="L124" s="296">
        <f>'AND 1'!Z127+'ADY 1'!Z127</f>
        <v>6000000</v>
      </c>
      <c r="M124" s="296">
        <f>'AND 1'!AA127+'ADY 1'!AA127</f>
        <v>6000000</v>
      </c>
      <c r="N124" s="296">
        <f t="shared" si="77"/>
        <v>0</v>
      </c>
      <c r="O124" s="406">
        <f t="shared" si="78"/>
        <v>1</v>
      </c>
      <c r="P124" s="296">
        <f t="shared" ref="P124:Q126" si="93">D124+H124+L124</f>
        <v>18000000</v>
      </c>
      <c r="Q124" s="296">
        <f t="shared" si="93"/>
        <v>18000000</v>
      </c>
      <c r="R124" s="296">
        <f t="shared" si="80"/>
        <v>0</v>
      </c>
      <c r="S124" s="406">
        <f t="shared" si="81"/>
        <v>1</v>
      </c>
      <c r="T124" s="618">
        <f>'AND 1'!AC127+'ADY 1'!AF127</f>
        <v>54000000</v>
      </c>
      <c r="U124" s="296">
        <f>'AND 1'!J127+'ADY 1'!J127</f>
        <v>6000000</v>
      </c>
      <c r="V124" s="296">
        <f>'AND 1'!L127+'ADY 1'!L127</f>
        <v>6000000</v>
      </c>
      <c r="W124" s="296">
        <f>'AND 1'!N127+'ADY 1'!N127</f>
        <v>6000000</v>
      </c>
      <c r="X124" s="296">
        <f>'AND 1'!P127+'ADY 1'!P127</f>
        <v>6000000</v>
      </c>
      <c r="Y124" s="296">
        <f>'AND 1'!R127+'ADY 1'!R127</f>
        <v>6000000</v>
      </c>
      <c r="Z124" s="296">
        <f>'AND 1'!T127+'ADY 1'!T127</f>
        <v>6000000</v>
      </c>
      <c r="AA124" s="296">
        <f>'AND 1'!V127+'ADY 1'!V127</f>
        <v>6000000</v>
      </c>
      <c r="AB124" s="296">
        <f>'AND 1'!X127+'ADY 1'!X127</f>
        <v>6000000</v>
      </c>
      <c r="AC124" s="296">
        <f>'AND 1'!Z127+'ADY 1'!Z127</f>
        <v>6000000</v>
      </c>
      <c r="AD124" s="318">
        <f>AC124+AB124+AA124++Z124+Y124+X124+W124+V124+U124+L124+H124+D124</f>
        <v>72000000</v>
      </c>
      <c r="AE124" s="296">
        <f t="shared" ref="AE124:AG126" si="94">AD124*1.1</f>
        <v>79200000</v>
      </c>
      <c r="AF124" s="296">
        <f t="shared" si="94"/>
        <v>87120000</v>
      </c>
      <c r="AG124" s="296">
        <f t="shared" si="94"/>
        <v>95832000.000000015</v>
      </c>
    </row>
    <row r="125" spans="1:33" s="258" customFormat="1" ht="16.899999999999999" customHeight="1" x14ac:dyDescent="0.2">
      <c r="A125" s="246"/>
      <c r="B125" s="247"/>
      <c r="C125" s="305" t="s">
        <v>168</v>
      </c>
      <c r="D125" s="296">
        <f>'AND 1'!V128+'ADY 1'!V128</f>
        <v>166312500</v>
      </c>
      <c r="E125" s="296">
        <f>'AND 1'!W128+'ADY 1'!W128</f>
        <v>166312500</v>
      </c>
      <c r="F125" s="296">
        <f t="shared" si="73"/>
        <v>0</v>
      </c>
      <c r="G125" s="406">
        <f t="shared" si="74"/>
        <v>1</v>
      </c>
      <c r="H125" s="296">
        <f>'AND 1'!X128+'ADY 1'!X128</f>
        <v>166312500</v>
      </c>
      <c r="I125" s="296">
        <f>'AND 1'!Y128+'ADY 1'!Y128</f>
        <v>166312500</v>
      </c>
      <c r="J125" s="296">
        <f t="shared" si="75"/>
        <v>0</v>
      </c>
      <c r="K125" s="406">
        <f t="shared" si="76"/>
        <v>1</v>
      </c>
      <c r="L125" s="296">
        <f>'AND 1'!Z128+'ADY 1'!Z128</f>
        <v>166312500</v>
      </c>
      <c r="M125" s="296">
        <f>'AND 1'!AA128+'ADY 1'!AA128</f>
        <v>166312500</v>
      </c>
      <c r="N125" s="296">
        <f t="shared" si="77"/>
        <v>0</v>
      </c>
      <c r="O125" s="406">
        <f t="shared" si="78"/>
        <v>1</v>
      </c>
      <c r="P125" s="296">
        <f t="shared" si="93"/>
        <v>498937500</v>
      </c>
      <c r="Q125" s="296">
        <f t="shared" si="93"/>
        <v>498937500</v>
      </c>
      <c r="R125" s="296">
        <f t="shared" si="80"/>
        <v>0</v>
      </c>
      <c r="S125" s="406">
        <f t="shared" si="81"/>
        <v>1</v>
      </c>
      <c r="T125" s="618">
        <f>'AND 1'!AC128+'ADY 1'!AF128</f>
        <v>1995750000</v>
      </c>
      <c r="U125" s="296">
        <f>'AND 1'!J128+'ADY 1'!J128</f>
        <v>166312500</v>
      </c>
      <c r="V125" s="296">
        <f>'AND 1'!L128+'ADY 1'!L128</f>
        <v>166312500</v>
      </c>
      <c r="W125" s="296">
        <f>'AND 1'!N128+'ADY 1'!N128</f>
        <v>166312500</v>
      </c>
      <c r="X125" s="296">
        <f>'AND 1'!P128+'ADY 1'!P128</f>
        <v>166312500</v>
      </c>
      <c r="Y125" s="296">
        <f>'AND 1'!R128+'ADY 1'!R128</f>
        <v>166312500</v>
      </c>
      <c r="Z125" s="296">
        <f>'AND 1'!T128+'ADY 1'!T128</f>
        <v>166312500</v>
      </c>
      <c r="AA125" s="296">
        <f>'AND 1'!V128+'ADY 1'!V128</f>
        <v>166312500</v>
      </c>
      <c r="AB125" s="296">
        <f>'AND 1'!X128+'ADY 1'!X128</f>
        <v>166312500</v>
      </c>
      <c r="AC125" s="296">
        <f>'AND 1'!Z128+'ADY 1'!Z128</f>
        <v>166312500</v>
      </c>
      <c r="AD125" s="318">
        <f>AC125+AB125+AA125++Z125+Y125+X125+W125+V125+U125+L125+H125+D125</f>
        <v>1995750000</v>
      </c>
      <c r="AE125" s="296">
        <f t="shared" si="94"/>
        <v>2195325000</v>
      </c>
      <c r="AF125" s="296">
        <f t="shared" si="94"/>
        <v>2414857500</v>
      </c>
      <c r="AG125" s="296">
        <f t="shared" si="94"/>
        <v>2656343250</v>
      </c>
    </row>
    <row r="126" spans="1:33" s="258" customFormat="1" ht="16.899999999999999" customHeight="1" x14ac:dyDescent="0.2">
      <c r="A126" s="246"/>
      <c r="B126" s="247"/>
      <c r="C126" s="309" t="s">
        <v>169</v>
      </c>
      <c r="D126" s="296">
        <f>'AND 1'!V129+'ADY 1'!V129</f>
        <v>14400000</v>
      </c>
      <c r="E126" s="296">
        <f>'AND 1'!W129+'ADY 1'!W129</f>
        <v>14400000</v>
      </c>
      <c r="F126" s="296">
        <f t="shared" si="73"/>
        <v>0</v>
      </c>
      <c r="G126" s="406">
        <f t="shared" si="74"/>
        <v>1</v>
      </c>
      <c r="H126" s="296">
        <f>'AND 1'!X129+'ADY 1'!X129</f>
        <v>14400000</v>
      </c>
      <c r="I126" s="296">
        <f>'AND 1'!Y129+'ADY 1'!Y129</f>
        <v>14400000</v>
      </c>
      <c r="J126" s="296">
        <f t="shared" si="75"/>
        <v>0</v>
      </c>
      <c r="K126" s="406">
        <f t="shared" si="76"/>
        <v>1</v>
      </c>
      <c r="L126" s="296">
        <f>'AND 1'!Z129+'ADY 1'!Z129</f>
        <v>14400000</v>
      </c>
      <c r="M126" s="296">
        <f>'AND 1'!AA129+'ADY 1'!AA129</f>
        <v>14400000</v>
      </c>
      <c r="N126" s="296">
        <f t="shared" si="77"/>
        <v>0</v>
      </c>
      <c r="O126" s="406">
        <f t="shared" si="78"/>
        <v>1</v>
      </c>
      <c r="P126" s="296">
        <f t="shared" si="93"/>
        <v>43200000</v>
      </c>
      <c r="Q126" s="296">
        <f t="shared" si="93"/>
        <v>43200000</v>
      </c>
      <c r="R126" s="296">
        <f t="shared" si="80"/>
        <v>0</v>
      </c>
      <c r="S126" s="406">
        <f t="shared" si="81"/>
        <v>1</v>
      </c>
      <c r="T126" s="618">
        <f>'AND 1'!AC129+'ADY 1'!AF129</f>
        <v>172800000</v>
      </c>
      <c r="U126" s="299">
        <f>'AND 1'!J129+'ADY 1'!J129</f>
        <v>14400000</v>
      </c>
      <c r="V126" s="299">
        <f>'AND 1'!L129+'ADY 1'!L129</f>
        <v>14400000</v>
      </c>
      <c r="W126" s="299">
        <f>'AND 1'!N129+'ADY 1'!N129</f>
        <v>14400000</v>
      </c>
      <c r="X126" s="299">
        <f>'AND 1'!P129+'ADY 1'!P129</f>
        <v>14400000</v>
      </c>
      <c r="Y126" s="299">
        <f>'AND 1'!R129+'ADY 1'!R129</f>
        <v>14400000</v>
      </c>
      <c r="Z126" s="299">
        <f>'AND 1'!T129+'ADY 1'!T129</f>
        <v>14400000</v>
      </c>
      <c r="AA126" s="299">
        <f>'AND 1'!V129+'ADY 1'!V129</f>
        <v>14400000</v>
      </c>
      <c r="AB126" s="299">
        <f>'AND 1'!X129+'ADY 1'!X129</f>
        <v>14400000</v>
      </c>
      <c r="AC126" s="299">
        <f>'AND 1'!Z129+'ADY 1'!Z129</f>
        <v>14400000</v>
      </c>
      <c r="AD126" s="312">
        <f>AC126+AB126+AA126++Z126+Y126+X126+W126+V126+U126+L126+H126+D126</f>
        <v>172800000</v>
      </c>
      <c r="AE126" s="299">
        <f t="shared" si="94"/>
        <v>190080000.00000003</v>
      </c>
      <c r="AF126" s="299">
        <f t="shared" si="94"/>
        <v>209088000.00000006</v>
      </c>
      <c r="AG126" s="299">
        <f t="shared" si="94"/>
        <v>229996800.00000009</v>
      </c>
    </row>
    <row r="127" spans="1:33" s="242" customFormat="1" ht="16.899999999999999" customHeight="1" x14ac:dyDescent="0.2">
      <c r="A127" s="257"/>
      <c r="B127" s="262"/>
      <c r="C127" s="272" t="s">
        <v>342</v>
      </c>
      <c r="D127" s="273">
        <f>SUM(D124:D126)</f>
        <v>186712500</v>
      </c>
      <c r="E127" s="273">
        <f>SUM(E124:E126)</f>
        <v>186712500</v>
      </c>
      <c r="F127" s="269">
        <f t="shared" si="73"/>
        <v>0</v>
      </c>
      <c r="G127" s="412">
        <f t="shared" si="74"/>
        <v>1</v>
      </c>
      <c r="H127" s="273">
        <f>SUM(H124:H126)</f>
        <v>186712500</v>
      </c>
      <c r="I127" s="273">
        <f>SUM(I124:I126)</f>
        <v>186712500</v>
      </c>
      <c r="J127" s="269">
        <f t="shared" si="75"/>
        <v>0</v>
      </c>
      <c r="K127" s="412">
        <f t="shared" si="76"/>
        <v>1</v>
      </c>
      <c r="L127" s="273">
        <f>SUM(L124:L126)</f>
        <v>186712500</v>
      </c>
      <c r="M127" s="273">
        <f>SUM(M124:M126)</f>
        <v>186712500</v>
      </c>
      <c r="N127" s="269">
        <f t="shared" si="77"/>
        <v>0</v>
      </c>
      <c r="O127" s="412">
        <f t="shared" si="78"/>
        <v>1</v>
      </c>
      <c r="P127" s="273">
        <f>SUM(P124:P126)</f>
        <v>560137500</v>
      </c>
      <c r="Q127" s="273">
        <f>SUM(Q124:Q126)</f>
        <v>560137500</v>
      </c>
      <c r="R127" s="269">
        <f t="shared" si="80"/>
        <v>0</v>
      </c>
      <c r="S127" s="412">
        <f t="shared" si="81"/>
        <v>1</v>
      </c>
      <c r="T127" s="621">
        <f>SUM(T124:T126)</f>
        <v>2222550000</v>
      </c>
      <c r="U127" s="273">
        <f t="shared" ref="U127:AG127" si="95">SUM(U124:U126)</f>
        <v>186712500</v>
      </c>
      <c r="V127" s="273">
        <f t="shared" si="95"/>
        <v>186712500</v>
      </c>
      <c r="W127" s="273">
        <f t="shared" si="95"/>
        <v>186712500</v>
      </c>
      <c r="X127" s="273">
        <f t="shared" si="95"/>
        <v>186712500</v>
      </c>
      <c r="Y127" s="273">
        <f t="shared" si="95"/>
        <v>186712500</v>
      </c>
      <c r="Z127" s="273">
        <f t="shared" si="95"/>
        <v>186712500</v>
      </c>
      <c r="AA127" s="273">
        <f t="shared" si="95"/>
        <v>186712500</v>
      </c>
      <c r="AB127" s="273">
        <f t="shared" si="95"/>
        <v>186712500</v>
      </c>
      <c r="AC127" s="273">
        <f t="shared" si="95"/>
        <v>186712500</v>
      </c>
      <c r="AD127" s="273">
        <f t="shared" si="95"/>
        <v>2240550000</v>
      </c>
      <c r="AE127" s="273">
        <f t="shared" si="95"/>
        <v>2464605000</v>
      </c>
      <c r="AF127" s="273">
        <f t="shared" si="95"/>
        <v>2711065500</v>
      </c>
      <c r="AG127" s="273">
        <f t="shared" si="95"/>
        <v>2982172050</v>
      </c>
    </row>
    <row r="128" spans="1:33" s="242" customFormat="1" ht="16.899999999999999" customHeight="1" x14ac:dyDescent="0.2">
      <c r="A128" s="279"/>
      <c r="B128" s="280"/>
      <c r="C128" s="274" t="s">
        <v>343</v>
      </c>
      <c r="D128" s="275">
        <f>D123-D127</f>
        <v>2766786836.6333337</v>
      </c>
      <c r="E128" s="275">
        <f>E123-E127</f>
        <v>2708171766.4200001</v>
      </c>
      <c r="F128" s="413">
        <f t="shared" si="73"/>
        <v>58615070.213333607</v>
      </c>
      <c r="G128" s="414">
        <f t="shared" si="74"/>
        <v>0.978814750223166</v>
      </c>
      <c r="H128" s="275">
        <f>H123-H127</f>
        <v>2568309236.6333337</v>
      </c>
      <c r="I128" s="275">
        <f>I123-I127</f>
        <v>2540473158.3200002</v>
      </c>
      <c r="J128" s="413">
        <f t="shared" si="75"/>
        <v>27836078.313333511</v>
      </c>
      <c r="K128" s="414">
        <f t="shared" si="76"/>
        <v>0.98916171077988158</v>
      </c>
      <c r="L128" s="275">
        <f>L123-L127</f>
        <v>2801901569.6333337</v>
      </c>
      <c r="M128" s="275">
        <f>M123-M127</f>
        <v>2623227578.54</v>
      </c>
      <c r="N128" s="413">
        <f t="shared" si="77"/>
        <v>178673991.09333372</v>
      </c>
      <c r="O128" s="414">
        <f t="shared" si="78"/>
        <v>0.9362311677791324</v>
      </c>
      <c r="P128" s="275">
        <f>P123-P127</f>
        <v>8136997642.9000015</v>
      </c>
      <c r="Q128" s="275">
        <f>Q123-Q127</f>
        <v>7871872503.2799997</v>
      </c>
      <c r="R128" s="413">
        <f t="shared" si="80"/>
        <v>265125139.62000179</v>
      </c>
      <c r="S128" s="414">
        <f t="shared" si="81"/>
        <v>0.96741732623563692</v>
      </c>
      <c r="T128" s="615">
        <f>T123-T127</f>
        <v>26499165547.830002</v>
      </c>
      <c r="U128" s="275">
        <f t="shared" ref="U128:AG128" si="96">U123-U127</f>
        <v>2673158641.4333334</v>
      </c>
      <c r="V128" s="275">
        <f t="shared" si="96"/>
        <v>2546823236.6333332</v>
      </c>
      <c r="W128" s="275">
        <f t="shared" si="96"/>
        <v>2590600236.6333332</v>
      </c>
      <c r="X128" s="275">
        <f t="shared" si="96"/>
        <v>2440459236.6333332</v>
      </c>
      <c r="Y128" s="275">
        <f t="shared" si="96"/>
        <v>4573346746.7333336</v>
      </c>
      <c r="Z128" s="275">
        <f t="shared" si="96"/>
        <v>2349609236.6333332</v>
      </c>
      <c r="AA128" s="275">
        <f t="shared" si="96"/>
        <v>2616786836.6333332</v>
      </c>
      <c r="AB128" s="275">
        <f t="shared" si="96"/>
        <v>2418309236.6333332</v>
      </c>
      <c r="AC128" s="275">
        <f t="shared" si="96"/>
        <v>2651901569.6333337</v>
      </c>
      <c r="AD128" s="275">
        <f t="shared" si="96"/>
        <v>32997992620.5</v>
      </c>
      <c r="AE128" s="275">
        <f t="shared" si="96"/>
        <v>36297791882.550003</v>
      </c>
      <c r="AF128" s="275">
        <f t="shared" si="96"/>
        <v>39927571070.805008</v>
      </c>
      <c r="AG128" s="275">
        <f t="shared" si="96"/>
        <v>43920328177.885513</v>
      </c>
    </row>
    <row r="129" spans="1:35" ht="12" customHeight="1" x14ac:dyDescent="0.2"/>
    <row r="130" spans="1:35" ht="16.899999999999999" customHeight="1" x14ac:dyDescent="0.2">
      <c r="A130" s="287"/>
      <c r="B130" s="286"/>
      <c r="C130" s="286" t="s">
        <v>172</v>
      </c>
      <c r="D130" s="285">
        <f>'AND 1'!D134+'ADY 1'!D134</f>
        <v>0</v>
      </c>
      <c r="E130" s="285"/>
      <c r="F130" s="285"/>
      <c r="G130" s="407"/>
      <c r="H130" s="285">
        <f>'AND 1'!F134+'ADY 1'!F134</f>
        <v>0</v>
      </c>
      <c r="I130" s="285"/>
      <c r="J130" s="285"/>
      <c r="K130" s="285"/>
      <c r="L130" s="285">
        <f>'AND 1'!H134+'ADY 1'!H134</f>
        <v>0</v>
      </c>
      <c r="M130" s="285"/>
      <c r="N130" s="285"/>
      <c r="O130" s="285"/>
      <c r="P130" s="285"/>
      <c r="Q130" s="285"/>
      <c r="R130" s="285"/>
      <c r="S130" s="285"/>
      <c r="T130" s="285"/>
      <c r="U130" s="285">
        <f>'AND 1'!J134+'ADY 1'!J134</f>
        <v>0</v>
      </c>
      <c r="V130" s="285">
        <f>'AND 1'!L134+'ADY 1'!L134</f>
        <v>0</v>
      </c>
      <c r="W130" s="285">
        <f>'AND 1'!N134+'ADY 1'!N134</f>
        <v>0</v>
      </c>
      <c r="X130" s="285">
        <f>'AND 1'!P134+'ADY 1'!P134</f>
        <v>0</v>
      </c>
      <c r="Y130" s="285">
        <f>'AND 1'!R134+'ADY 1'!R134</f>
        <v>0</v>
      </c>
      <c r="Z130" s="285">
        <f>'AND 1'!T134+'ADY 1'!T134</f>
        <v>0</v>
      </c>
      <c r="AA130" s="285">
        <f>'AND 1'!V134+'ADY 1'!V134</f>
        <v>0</v>
      </c>
      <c r="AB130" s="285">
        <f>'AND 1'!X134+'ADY 1'!X134</f>
        <v>0</v>
      </c>
      <c r="AC130" s="285">
        <f>'AND 1'!Z134+'ADY 1'!Z134</f>
        <v>0</v>
      </c>
      <c r="AD130" s="285">
        <f>'AND 1'!AB134+'ADY 1'!AB134</f>
        <v>0</v>
      </c>
      <c r="AE130" s="285">
        <f>AD130*1.1</f>
        <v>0</v>
      </c>
      <c r="AF130" s="285">
        <f>AE130*1.1</f>
        <v>0</v>
      </c>
      <c r="AG130" s="285">
        <f>AF130*1.1</f>
        <v>0</v>
      </c>
      <c r="AI130" s="244"/>
    </row>
    <row r="131" spans="1:35" ht="16.899999999999999" customHeight="1" x14ac:dyDescent="0.2">
      <c r="A131" s="281"/>
      <c r="B131" s="282"/>
      <c r="C131" s="282"/>
      <c r="D131" s="283"/>
      <c r="E131" s="283"/>
      <c r="F131" s="283"/>
      <c r="G131" s="408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  <c r="AD131" s="283"/>
      <c r="AE131" s="283"/>
      <c r="AF131" s="283"/>
      <c r="AG131" s="283"/>
    </row>
  </sheetData>
  <sheetProtection selectLockedCells="1" selectUnlockedCells="1"/>
  <mergeCells count="5">
    <mergeCell ref="A4:C5"/>
    <mergeCell ref="D4:G4"/>
    <mergeCell ref="H4:K4"/>
    <mergeCell ref="L4:O4"/>
    <mergeCell ref="P4:S4"/>
  </mergeCells>
  <pageMargins left="0.25" right="0" top="0.4" bottom="0.4" header="0.51180555555555596" footer="0.51180555555555596"/>
  <pageSetup paperSize="9" scale="56" firstPageNumber="0" fitToWidth="2" fitToHeight="2" orientation="landscape" r:id="rId1"/>
  <headerFooter alignWithMargins="0"/>
  <rowBreaks count="1" manualBreakCount="1">
    <brk id="78" max="18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F56"/>
  <sheetViews>
    <sheetView showGridLines="0" zoomScale="85" zoomScaleNormal="85" workbookViewId="0">
      <pane xSplit="2" ySplit="6" topLeftCell="K7" activePane="bottomRight" state="frozen"/>
      <selection pane="topRight" activeCell="C1" sqref="C1"/>
      <selection pane="bottomLeft" activeCell="A7" sqref="A7"/>
      <selection pane="bottomRight" activeCell="AC7" sqref="AC7"/>
    </sheetView>
  </sheetViews>
  <sheetFormatPr defaultRowHeight="12.75" x14ac:dyDescent="0.2"/>
  <cols>
    <col min="1" max="1" width="4.85546875" customWidth="1"/>
    <col min="2" max="2" width="46" bestFit="1" customWidth="1"/>
    <col min="3" max="3" width="13.42578125" bestFit="1" customWidth="1"/>
    <col min="4" max="4" width="15.7109375" customWidth="1"/>
    <col min="5" max="5" width="12.7109375" bestFit="1" customWidth="1"/>
    <col min="6" max="6" width="13.7109375" customWidth="1"/>
    <col min="7" max="7" width="13.42578125" bestFit="1" customWidth="1"/>
    <col min="8" max="8" width="14.85546875" customWidth="1"/>
    <col min="9" max="9" width="12.7109375" bestFit="1" customWidth="1"/>
    <col min="10" max="10" width="11.28515625" customWidth="1"/>
    <col min="11" max="11" width="13.42578125" bestFit="1" customWidth="1"/>
    <col min="12" max="12" width="13.42578125" customWidth="1"/>
    <col min="13" max="13" width="12.7109375" bestFit="1" customWidth="1"/>
    <col min="14" max="14" width="11.28515625" customWidth="1"/>
    <col min="15" max="16" width="13.42578125" bestFit="1" customWidth="1"/>
    <col min="17" max="17" width="12.7109375" bestFit="1" customWidth="1"/>
    <col min="18" max="18" width="8.42578125" bestFit="1" customWidth="1"/>
    <col min="19" max="19" width="18.7109375" hidden="1" customWidth="1"/>
    <col min="20" max="28" width="13.42578125" hidden="1" customWidth="1"/>
    <col min="29" max="29" width="17.7109375" customWidth="1"/>
    <col min="30" max="30" width="17.7109375" style="421" customWidth="1"/>
    <col min="31" max="31" width="13.85546875" bestFit="1" customWidth="1"/>
  </cols>
  <sheetData>
    <row r="2" spans="1:32" s="243" customFormat="1" ht="16.899999999999999" customHeight="1" x14ac:dyDescent="0.2">
      <c r="A2" s="327" t="str">
        <f>'SUMMARY PER DIVISI'!A1</f>
        <v>BUDGET MONITORING 2013</v>
      </c>
      <c r="B2" s="327"/>
      <c r="C2" s="283"/>
      <c r="D2" s="283"/>
      <c r="E2" s="283"/>
      <c r="F2" s="408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4"/>
      <c r="AD2" s="422"/>
      <c r="AE2" s="244"/>
      <c r="AF2" s="244"/>
    </row>
    <row r="3" spans="1:32" s="243" customFormat="1" ht="16.899999999999999" customHeight="1" x14ac:dyDescent="0.2">
      <c r="A3" s="327" t="s">
        <v>365</v>
      </c>
      <c r="B3" s="328"/>
      <c r="C3" s="283"/>
      <c r="D3" s="283"/>
      <c r="E3" s="283"/>
      <c r="F3" s="408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4"/>
      <c r="AD3" s="422"/>
      <c r="AE3" s="244"/>
      <c r="AF3" s="244"/>
    </row>
    <row r="4" spans="1:32" s="243" customFormat="1" ht="16.899999999999999" customHeight="1" x14ac:dyDescent="0.2">
      <c r="A4" s="281"/>
      <c r="B4" s="110"/>
      <c r="C4" s="283"/>
      <c r="D4" s="283"/>
      <c r="E4" s="283"/>
      <c r="F4" s="408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4"/>
      <c r="AD4" s="422"/>
      <c r="AE4" s="244"/>
      <c r="AF4" s="244"/>
    </row>
    <row r="5" spans="1:32" s="89" customFormat="1" x14ac:dyDescent="0.2">
      <c r="A5" s="635" t="s">
        <v>4</v>
      </c>
      <c r="B5" s="637"/>
      <c r="C5" s="627" t="s">
        <v>367</v>
      </c>
      <c r="D5" s="644"/>
      <c r="E5" s="644"/>
      <c r="F5" s="628"/>
      <c r="G5" s="627" t="s">
        <v>368</v>
      </c>
      <c r="H5" s="644"/>
      <c r="I5" s="644"/>
      <c r="J5" s="628"/>
      <c r="K5" s="627" t="s">
        <v>369</v>
      </c>
      <c r="L5" s="644"/>
      <c r="M5" s="644"/>
      <c r="N5" s="628"/>
      <c r="O5" s="627" t="s">
        <v>377</v>
      </c>
      <c r="P5" s="644"/>
      <c r="Q5" s="644"/>
      <c r="R5" s="628"/>
      <c r="S5" s="534" t="s">
        <v>358</v>
      </c>
      <c r="T5" s="535" t="s">
        <v>176</v>
      </c>
      <c r="U5" s="535" t="s">
        <v>177</v>
      </c>
      <c r="V5" s="535" t="s">
        <v>178</v>
      </c>
      <c r="W5" s="535" t="s">
        <v>179</v>
      </c>
      <c r="X5" s="535" t="s">
        <v>180</v>
      </c>
      <c r="Y5" s="535" t="s">
        <v>181</v>
      </c>
      <c r="Z5" s="535" t="s">
        <v>182</v>
      </c>
      <c r="AA5" s="535" t="s">
        <v>183</v>
      </c>
      <c r="AB5" s="535" t="s">
        <v>184</v>
      </c>
      <c r="AC5" s="535" t="s">
        <v>18</v>
      </c>
      <c r="AD5" s="535" t="s">
        <v>18</v>
      </c>
      <c r="AE5" s="92"/>
      <c r="AF5" s="92"/>
    </row>
    <row r="6" spans="1:32" s="243" customFormat="1" x14ac:dyDescent="0.2">
      <c r="A6" s="638"/>
      <c r="B6" s="640"/>
      <c r="C6" s="536" t="s">
        <v>20</v>
      </c>
      <c r="D6" s="536" t="s">
        <v>302</v>
      </c>
      <c r="E6" s="536" t="s">
        <v>303</v>
      </c>
      <c r="F6" s="537" t="s">
        <v>356</v>
      </c>
      <c r="G6" s="536" t="s">
        <v>20</v>
      </c>
      <c r="H6" s="536" t="s">
        <v>302</v>
      </c>
      <c r="I6" s="536" t="s">
        <v>303</v>
      </c>
      <c r="J6" s="537" t="s">
        <v>356</v>
      </c>
      <c r="K6" s="536" t="s">
        <v>20</v>
      </c>
      <c r="L6" s="536" t="s">
        <v>302</v>
      </c>
      <c r="M6" s="536" t="s">
        <v>303</v>
      </c>
      <c r="N6" s="537" t="s">
        <v>356</v>
      </c>
      <c r="O6" s="536" t="s">
        <v>20</v>
      </c>
      <c r="P6" s="536" t="s">
        <v>302</v>
      </c>
      <c r="Q6" s="536" t="s">
        <v>303</v>
      </c>
      <c r="R6" s="537" t="s">
        <v>356</v>
      </c>
      <c r="S6" s="538" t="s">
        <v>378</v>
      </c>
      <c r="T6" s="539" t="s">
        <v>8</v>
      </c>
      <c r="U6" s="539" t="s">
        <v>8</v>
      </c>
      <c r="V6" s="539" t="s">
        <v>8</v>
      </c>
      <c r="W6" s="539" t="s">
        <v>8</v>
      </c>
      <c r="X6" s="539" t="s">
        <v>8</v>
      </c>
      <c r="Y6" s="539" t="s">
        <v>8</v>
      </c>
      <c r="Z6" s="539" t="s">
        <v>8</v>
      </c>
      <c r="AA6" s="539" t="s">
        <v>8</v>
      </c>
      <c r="AB6" s="539" t="s">
        <v>8</v>
      </c>
      <c r="AC6" s="539" t="s">
        <v>241</v>
      </c>
      <c r="AD6" s="539" t="s">
        <v>382</v>
      </c>
      <c r="AE6" s="244"/>
      <c r="AF6" s="244"/>
    </row>
    <row r="7" spans="1:32" s="264" customFormat="1" ht="15.75" customHeight="1" x14ac:dyDescent="0.2">
      <c r="A7" s="540">
        <v>1</v>
      </c>
      <c r="B7" s="541" t="s">
        <v>185</v>
      </c>
      <c r="C7" s="542">
        <f>'SUMMARY PER DIVISI'!D41+'SUMMARY PER DIVISI'!D42+'SUMMARY PER DIVISI'!D43+'SUMMARY PER DIVISI'!D73+'SUMMARY PER DIVISI'!D74+'SUMMARY PER DIVISI'!D80</f>
        <v>87000000</v>
      </c>
      <c r="D7" s="542">
        <f>'SUMMARY PER DIVISI'!E41+'SUMMARY PER DIVISI'!E42+'SUMMARY PER DIVISI'!E43+'SUMMARY PER DIVISI'!E73+'SUMMARY PER DIVISI'!E74+'SUMMARY PER DIVISI'!E80</f>
        <v>2430000</v>
      </c>
      <c r="E7" s="543">
        <f>C7-D7</f>
        <v>84570000</v>
      </c>
      <c r="F7" s="544">
        <f t="shared" ref="F7:F50" si="0">D7/C7</f>
        <v>2.7931034482758622E-2</v>
      </c>
      <c r="G7" s="542">
        <f>'SUMMARY PER DIVISI'!H41+'SUMMARY PER DIVISI'!H42+'SUMMARY PER DIVISI'!H43+'SUMMARY PER DIVISI'!H73+'SUMMARY PER DIVISI'!H74+'SUMMARY PER DIVISI'!H80</f>
        <v>27000000</v>
      </c>
      <c r="H7" s="542">
        <f>'SUMMARY PER DIVISI'!I41+'SUMMARY PER DIVISI'!I42+'SUMMARY PER DIVISI'!I43+'SUMMARY PER DIVISI'!I73+'SUMMARY PER DIVISI'!I74+'SUMMARY PER DIVISI'!I80</f>
        <v>27550300</v>
      </c>
      <c r="I7" s="543">
        <f t="shared" ref="I7:I50" si="1">G7-H7</f>
        <v>-550300</v>
      </c>
      <c r="J7" s="544">
        <f>H7/G7</f>
        <v>1.0203814814814816</v>
      </c>
      <c r="K7" s="542">
        <f>'SUMMARY PER DIVISI'!L41+'SUMMARY PER DIVISI'!L42+'SUMMARY PER DIVISI'!L43+'SUMMARY PER DIVISI'!L73+'SUMMARY PER DIVISI'!L74+'SUMMARY PER DIVISI'!L80</f>
        <v>27000000</v>
      </c>
      <c r="L7" s="542">
        <f>'SUMMARY PER DIVISI'!M41+'SUMMARY PER DIVISI'!M42+'SUMMARY PER DIVISI'!M43+'SUMMARY PER DIVISI'!M73+'SUMMARY PER DIVISI'!M74+'SUMMARY PER DIVISI'!M80</f>
        <v>67450000</v>
      </c>
      <c r="M7" s="543">
        <f t="shared" ref="M7:M50" si="2">K7-L7</f>
        <v>-40450000</v>
      </c>
      <c r="N7" s="544">
        <f t="shared" ref="N7:N50" si="3">L7/K7</f>
        <v>2.498148148148148</v>
      </c>
      <c r="O7" s="542">
        <f t="shared" ref="O7:O50" si="4">C7+G7+K7</f>
        <v>141000000</v>
      </c>
      <c r="P7" s="542">
        <f t="shared" ref="P7:P50" si="5">D7+H7+L7</f>
        <v>97430300</v>
      </c>
      <c r="Q7" s="543">
        <f t="shared" ref="Q7:Q50" si="6">O7-P7</f>
        <v>43569700</v>
      </c>
      <c r="R7" s="544">
        <f t="shared" ref="R7:R50" si="7">P7/O7</f>
        <v>0.69099503546099295</v>
      </c>
      <c r="S7" s="545">
        <f>AC7-O7+P7</f>
        <v>393430300</v>
      </c>
      <c r="T7" s="542">
        <f>'SUMMARY PER DIVISI'!U41+'SUMMARY PER DIVISI'!U42+'SUMMARY PER DIVISI'!U43+'SUMMARY PER DIVISI'!U73+'SUMMARY PER DIVISI'!U74+'SUMMARY PER DIVISI'!U80</f>
        <v>52000000</v>
      </c>
      <c r="U7" s="542">
        <f>'SUMMARY PER DIVISI'!V41+'SUMMARY PER DIVISI'!V42+'SUMMARY PER DIVISI'!V43+'SUMMARY PER DIVISI'!V73+'SUMMARY PER DIVISI'!V74+'SUMMARY PER DIVISI'!V80</f>
        <v>15000000</v>
      </c>
      <c r="V7" s="542">
        <f>'SUMMARY PER DIVISI'!W41+'SUMMARY PER DIVISI'!W42+'SUMMARY PER DIVISI'!W43+'SUMMARY PER DIVISI'!W73+'SUMMARY PER DIVISI'!W74+'SUMMARY PER DIVISI'!W80</f>
        <v>31000000</v>
      </c>
      <c r="W7" s="542">
        <f>'SUMMARY PER DIVISI'!X41+'SUMMARY PER DIVISI'!X42+'SUMMARY PER DIVISI'!X43+'SUMMARY PER DIVISI'!X73+'SUMMARY PER DIVISI'!X74+'SUMMARY PER DIVISI'!X80</f>
        <v>27000000</v>
      </c>
      <c r="X7" s="542">
        <f>'SUMMARY PER DIVISI'!Y41+'SUMMARY PER DIVISI'!Y42+'SUMMARY PER DIVISI'!Y43+'SUMMARY PER DIVISI'!Y73+'SUMMARY PER DIVISI'!Y74+'SUMMARY PER DIVISI'!Y80</f>
        <v>15000000</v>
      </c>
      <c r="Y7" s="542">
        <f>'SUMMARY PER DIVISI'!Z41+'SUMMARY PER DIVISI'!Z42+'SUMMARY PER DIVISI'!Z43+'SUMMARY PER DIVISI'!Z73+'SUMMARY PER DIVISI'!Z74+'SUMMARY PER DIVISI'!Z80</f>
        <v>15000000</v>
      </c>
      <c r="Z7" s="542">
        <f>'SUMMARY PER DIVISI'!AA41+'SUMMARY PER DIVISI'!AA42+'SUMMARY PER DIVISI'!AA43+'SUMMARY PER DIVISI'!AA73+'SUMMARY PER DIVISI'!AA74+'SUMMARY PER DIVISI'!AA80</f>
        <v>87000000</v>
      </c>
      <c r="AA7" s="542">
        <f>'SUMMARY PER DIVISI'!AB41+'SUMMARY PER DIVISI'!AB42+'SUMMARY PER DIVISI'!AB43+'SUMMARY PER DIVISI'!AB73+'SUMMARY PER DIVISI'!AB74+'SUMMARY PER DIVISI'!AB80</f>
        <v>27000000</v>
      </c>
      <c r="AB7" s="542">
        <f>'SUMMARY PER DIVISI'!AC41+'SUMMARY PER DIVISI'!AC42+'SUMMARY PER DIVISI'!AC43+'SUMMARY PER DIVISI'!AC73+'SUMMARY PER DIVISI'!AC74+'SUMMARY PER DIVISI'!AC80</f>
        <v>27000000</v>
      </c>
      <c r="AC7" s="542">
        <f>AB7+AA7+Z7+Y7+X7+W7+V7+U7+T7+K7+G7+C7</f>
        <v>437000000</v>
      </c>
      <c r="AD7" s="613">
        <f>'AND 1'!AC138+'ADY 1'!AF138</f>
        <v>127170300</v>
      </c>
      <c r="AE7" s="265"/>
      <c r="AF7" s="265"/>
    </row>
    <row r="8" spans="1:32" s="264" customFormat="1" ht="15.75" customHeight="1" x14ac:dyDescent="0.2">
      <c r="A8" s="540">
        <v>2</v>
      </c>
      <c r="B8" s="541" t="s">
        <v>146</v>
      </c>
      <c r="C8" s="542">
        <f>'SUMMARY PER DIVISI'!D106+'SUMMARY PER DIVISI'!D91+'SUMMARY PER DIVISI'!D98</f>
        <v>4000000</v>
      </c>
      <c r="D8" s="542">
        <f>'SUMMARY PER DIVISI'!E106+'SUMMARY PER DIVISI'!E91+'SUMMARY PER DIVISI'!E98</f>
        <v>0</v>
      </c>
      <c r="E8" s="546">
        <f t="shared" ref="E8:E50" si="8">C8-D8</f>
        <v>4000000</v>
      </c>
      <c r="F8" s="547">
        <f t="shared" si="0"/>
        <v>0</v>
      </c>
      <c r="G8" s="542">
        <f>'SUMMARY PER DIVISI'!H106+'SUMMARY PER DIVISI'!H91+'SUMMARY PER DIVISI'!H98</f>
        <v>4000000</v>
      </c>
      <c r="H8" s="542">
        <f>'SUMMARY PER DIVISI'!I106+'SUMMARY PER DIVISI'!I91+'SUMMARY PER DIVISI'!I98</f>
        <v>0</v>
      </c>
      <c r="I8" s="546">
        <f t="shared" si="1"/>
        <v>4000000</v>
      </c>
      <c r="J8" s="547">
        <f t="shared" ref="J8:J50" si="9">H8/G8</f>
        <v>0</v>
      </c>
      <c r="K8" s="542">
        <f>'SUMMARY PER DIVISI'!L106+'SUMMARY PER DIVISI'!L91+'SUMMARY PER DIVISI'!L98</f>
        <v>4000000</v>
      </c>
      <c r="L8" s="542">
        <f>'SUMMARY PER DIVISI'!M106+'SUMMARY PER DIVISI'!M91+'SUMMARY PER DIVISI'!M98</f>
        <v>0</v>
      </c>
      <c r="M8" s="546">
        <f t="shared" si="2"/>
        <v>4000000</v>
      </c>
      <c r="N8" s="547">
        <f t="shared" si="3"/>
        <v>0</v>
      </c>
      <c r="O8" s="542">
        <f t="shared" si="4"/>
        <v>12000000</v>
      </c>
      <c r="P8" s="542">
        <f t="shared" si="5"/>
        <v>0</v>
      </c>
      <c r="Q8" s="546">
        <f t="shared" si="6"/>
        <v>12000000</v>
      </c>
      <c r="R8" s="547">
        <f t="shared" si="7"/>
        <v>0</v>
      </c>
      <c r="S8" s="545">
        <f>AC8-O8+P8</f>
        <v>91000000</v>
      </c>
      <c r="T8" s="542">
        <f>'SUMMARY PER DIVISI'!U106+'SUMMARY PER DIVISI'!U91+'SUMMARY PER DIVISI'!U98</f>
        <v>4000000</v>
      </c>
      <c r="U8" s="542">
        <f>'SUMMARY PER DIVISI'!V106+'SUMMARY PER DIVISI'!V91+'SUMMARY PER DIVISI'!V98</f>
        <v>4000000</v>
      </c>
      <c r="V8" s="542">
        <f>'SUMMARY PER DIVISI'!W106+'SUMMARY PER DIVISI'!W91+'SUMMARY PER DIVISI'!W98</f>
        <v>4000000</v>
      </c>
      <c r="W8" s="542">
        <f>'SUMMARY PER DIVISI'!X106+'SUMMARY PER DIVISI'!X91+'SUMMARY PER DIVISI'!X98</f>
        <v>59000000</v>
      </c>
      <c r="X8" s="542">
        <f>'SUMMARY PER DIVISI'!Y106+'SUMMARY PER DIVISI'!Y91+'SUMMARY PER DIVISI'!Y98</f>
        <v>4000000</v>
      </c>
      <c r="Y8" s="542">
        <f>'SUMMARY PER DIVISI'!Z106+'SUMMARY PER DIVISI'!Z91+'SUMMARY PER DIVISI'!Z98</f>
        <v>4000000</v>
      </c>
      <c r="Z8" s="542">
        <f>'SUMMARY PER DIVISI'!AA106+'SUMMARY PER DIVISI'!AA91+'SUMMARY PER DIVISI'!AA98</f>
        <v>4000000</v>
      </c>
      <c r="AA8" s="542">
        <f>'SUMMARY PER DIVISI'!AB106+'SUMMARY PER DIVISI'!AB91+'SUMMARY PER DIVISI'!AB98</f>
        <v>4000000</v>
      </c>
      <c r="AB8" s="542">
        <f>'SUMMARY PER DIVISI'!AC106+'SUMMARY PER DIVISI'!AC91+'SUMMARY PER DIVISI'!AC98</f>
        <v>4000000</v>
      </c>
      <c r="AC8" s="542">
        <f t="shared" ref="AC8:AC48" si="10">AB8+AA8+Z8+Y8+X8+W8+V8+U8+T8+K8+G8+C8</f>
        <v>103000000</v>
      </c>
      <c r="AD8" s="613">
        <f>'AND 1'!AC139+'ADY 1'!AF139</f>
        <v>192134870</v>
      </c>
      <c r="AE8" s="265"/>
      <c r="AF8" s="265"/>
    </row>
    <row r="9" spans="1:32" s="264" customFormat="1" ht="15.75" customHeight="1" x14ac:dyDescent="0.2">
      <c r="A9" s="540">
        <v>3</v>
      </c>
      <c r="B9" s="541" t="s">
        <v>145</v>
      </c>
      <c r="C9" s="542">
        <f>'SUMMARY PER DIVISI'!D103</f>
        <v>19500000</v>
      </c>
      <c r="D9" s="542">
        <f>'SUMMARY PER DIVISI'!E103</f>
        <v>12700000</v>
      </c>
      <c r="E9" s="546">
        <f>C9-D9</f>
        <v>6800000</v>
      </c>
      <c r="F9" s="547">
        <f>D9/C9</f>
        <v>0.6512820512820513</v>
      </c>
      <c r="G9" s="542">
        <f>'SUMMARY PER DIVISI'!H103</f>
        <v>19500000</v>
      </c>
      <c r="H9" s="542">
        <f>'SUMMARY PER DIVISI'!I103</f>
        <v>15110300</v>
      </c>
      <c r="I9" s="546">
        <f t="shared" si="1"/>
        <v>4389700</v>
      </c>
      <c r="J9" s="547">
        <f t="shared" si="9"/>
        <v>0.77488717948717944</v>
      </c>
      <c r="K9" s="542">
        <f>'SUMMARY PER DIVISI'!L103</f>
        <v>19500000</v>
      </c>
      <c r="L9" s="542">
        <f>'SUMMARY PER DIVISI'!M103</f>
        <v>14050700</v>
      </c>
      <c r="M9" s="546">
        <f t="shared" si="2"/>
        <v>5449300</v>
      </c>
      <c r="N9" s="547">
        <f t="shared" si="3"/>
        <v>0.720548717948718</v>
      </c>
      <c r="O9" s="542">
        <f t="shared" si="4"/>
        <v>58500000</v>
      </c>
      <c r="P9" s="542">
        <f t="shared" si="5"/>
        <v>41861000</v>
      </c>
      <c r="Q9" s="546">
        <f t="shared" si="6"/>
        <v>16639000</v>
      </c>
      <c r="R9" s="547">
        <f t="shared" si="7"/>
        <v>0.71557264957264954</v>
      </c>
      <c r="S9" s="545">
        <f t="shared" ref="S9:S50" si="11">AC9-O9+P9</f>
        <v>217361000</v>
      </c>
      <c r="T9" s="542">
        <f>'SUMMARY PER DIVISI'!U103</f>
        <v>19500000</v>
      </c>
      <c r="U9" s="542">
        <f>'SUMMARY PER DIVISI'!V103</f>
        <v>19500000</v>
      </c>
      <c r="V9" s="542">
        <f>'SUMMARY PER DIVISI'!W103</f>
        <v>19500000</v>
      </c>
      <c r="W9" s="542">
        <f>'SUMMARY PER DIVISI'!X103</f>
        <v>19500000</v>
      </c>
      <c r="X9" s="542">
        <f>'SUMMARY PER DIVISI'!Y103</f>
        <v>19500000</v>
      </c>
      <c r="Y9" s="542">
        <f>'SUMMARY PER DIVISI'!Z103</f>
        <v>19500000</v>
      </c>
      <c r="Z9" s="542">
        <f>'SUMMARY PER DIVISI'!AA103</f>
        <v>19500000</v>
      </c>
      <c r="AA9" s="542">
        <f>'SUMMARY PER DIVISI'!AB103</f>
        <v>19500000</v>
      </c>
      <c r="AB9" s="542">
        <f>'SUMMARY PER DIVISI'!AC103</f>
        <v>19500000</v>
      </c>
      <c r="AC9" s="542">
        <f t="shared" si="10"/>
        <v>234000000</v>
      </c>
      <c r="AD9" s="613">
        <f>'AND 1'!AC140+'ADY 1'!AF140</f>
        <v>502889890.11000001</v>
      </c>
      <c r="AE9" s="265"/>
      <c r="AF9" s="265"/>
    </row>
    <row r="10" spans="1:32" s="264" customFormat="1" ht="15.75" customHeight="1" x14ac:dyDescent="0.2">
      <c r="A10" s="540">
        <v>4</v>
      </c>
      <c r="B10" s="541" t="s">
        <v>186</v>
      </c>
      <c r="C10" s="542">
        <f>'SUMMARY PER DIVISI'!D58</f>
        <v>1349000</v>
      </c>
      <c r="D10" s="542">
        <f>'SUMMARY PER DIVISI'!E58</f>
        <v>0</v>
      </c>
      <c r="E10" s="546">
        <f t="shared" si="8"/>
        <v>1349000</v>
      </c>
      <c r="F10" s="547">
        <f t="shared" si="0"/>
        <v>0</v>
      </c>
      <c r="G10" s="542">
        <f>'SUMMARY PER DIVISI'!H58</f>
        <v>1349000</v>
      </c>
      <c r="H10" s="542">
        <f>'SUMMARY PER DIVISI'!I58</f>
        <v>0</v>
      </c>
      <c r="I10" s="546">
        <f t="shared" si="1"/>
        <v>1349000</v>
      </c>
      <c r="J10" s="547">
        <f t="shared" si="9"/>
        <v>0</v>
      </c>
      <c r="K10" s="542">
        <f>'SUMMARY PER DIVISI'!L58</f>
        <v>1349000</v>
      </c>
      <c r="L10" s="542">
        <f>'SUMMARY PER DIVISI'!M58</f>
        <v>0</v>
      </c>
      <c r="M10" s="546">
        <f t="shared" si="2"/>
        <v>1349000</v>
      </c>
      <c r="N10" s="547">
        <f t="shared" si="3"/>
        <v>0</v>
      </c>
      <c r="O10" s="542">
        <f t="shared" si="4"/>
        <v>4047000</v>
      </c>
      <c r="P10" s="542">
        <f t="shared" si="5"/>
        <v>0</v>
      </c>
      <c r="Q10" s="546">
        <f t="shared" si="6"/>
        <v>4047000</v>
      </c>
      <c r="R10" s="547">
        <f t="shared" si="7"/>
        <v>0</v>
      </c>
      <c r="S10" s="545">
        <f t="shared" si="11"/>
        <v>12141000</v>
      </c>
      <c r="T10" s="542">
        <f>'SUMMARY PER DIVISI'!U58</f>
        <v>1349000</v>
      </c>
      <c r="U10" s="542">
        <f>'SUMMARY PER DIVISI'!V58</f>
        <v>1349000</v>
      </c>
      <c r="V10" s="542">
        <f>'SUMMARY PER DIVISI'!W58</f>
        <v>1349000</v>
      </c>
      <c r="W10" s="542">
        <f>'SUMMARY PER DIVISI'!X58</f>
        <v>1349000</v>
      </c>
      <c r="X10" s="542">
        <f>'SUMMARY PER DIVISI'!Y58</f>
        <v>1349000</v>
      </c>
      <c r="Y10" s="542">
        <f>'SUMMARY PER DIVISI'!Z58</f>
        <v>1349000</v>
      </c>
      <c r="Z10" s="542">
        <f>'SUMMARY PER DIVISI'!AA58</f>
        <v>1349000</v>
      </c>
      <c r="AA10" s="542">
        <f>'SUMMARY PER DIVISI'!AB58</f>
        <v>1349000</v>
      </c>
      <c r="AB10" s="542">
        <f>'SUMMARY PER DIVISI'!AC58</f>
        <v>1349000</v>
      </c>
      <c r="AC10" s="542">
        <f t="shared" si="10"/>
        <v>16188000</v>
      </c>
      <c r="AD10" s="613">
        <f>'AND 1'!AC141+'ADY 1'!AF141</f>
        <v>690000</v>
      </c>
      <c r="AE10" s="265"/>
      <c r="AF10" s="265"/>
    </row>
    <row r="11" spans="1:32" s="264" customFormat="1" ht="15.75" customHeight="1" x14ac:dyDescent="0.2">
      <c r="A11" s="540">
        <v>5</v>
      </c>
      <c r="B11" s="541" t="s">
        <v>106</v>
      </c>
      <c r="C11" s="542">
        <f>'SUMMARY PER DIVISI'!D57</f>
        <v>0</v>
      </c>
      <c r="D11" s="542">
        <f>'SUMMARY PER DIVISI'!E57</f>
        <v>2450000</v>
      </c>
      <c r="E11" s="546">
        <f t="shared" si="8"/>
        <v>-2450000</v>
      </c>
      <c r="F11" s="547" t="e">
        <f t="shared" si="0"/>
        <v>#DIV/0!</v>
      </c>
      <c r="G11" s="542">
        <f>'SUMMARY PER DIVISI'!H57</f>
        <v>0</v>
      </c>
      <c r="H11" s="542">
        <f>'SUMMARY PER DIVISI'!I57</f>
        <v>2670000</v>
      </c>
      <c r="I11" s="546">
        <f t="shared" si="1"/>
        <v>-2670000</v>
      </c>
      <c r="J11" s="547" t="e">
        <f t="shared" si="9"/>
        <v>#DIV/0!</v>
      </c>
      <c r="K11" s="542">
        <f>'SUMMARY PER DIVISI'!L57</f>
        <v>0</v>
      </c>
      <c r="L11" s="542">
        <f>'SUMMARY PER DIVISI'!M57</f>
        <v>0</v>
      </c>
      <c r="M11" s="546">
        <f t="shared" si="2"/>
        <v>0</v>
      </c>
      <c r="N11" s="547" t="e">
        <f t="shared" si="3"/>
        <v>#DIV/0!</v>
      </c>
      <c r="O11" s="542">
        <f t="shared" si="4"/>
        <v>0</v>
      </c>
      <c r="P11" s="542">
        <f t="shared" si="5"/>
        <v>5120000</v>
      </c>
      <c r="Q11" s="546">
        <f t="shared" si="6"/>
        <v>-5120000</v>
      </c>
      <c r="R11" s="547" t="e">
        <f t="shared" si="7"/>
        <v>#DIV/0!</v>
      </c>
      <c r="S11" s="545">
        <f t="shared" si="11"/>
        <v>7970000</v>
      </c>
      <c r="T11" s="542">
        <f>'SUMMARY PER DIVISI'!U57</f>
        <v>0</v>
      </c>
      <c r="U11" s="542">
        <f>'SUMMARY PER DIVISI'!V57</f>
        <v>0</v>
      </c>
      <c r="V11" s="542">
        <f>'SUMMARY PER DIVISI'!W57</f>
        <v>2850000</v>
      </c>
      <c r="W11" s="542">
        <f>'SUMMARY PER DIVISI'!X57</f>
        <v>0</v>
      </c>
      <c r="X11" s="542">
        <f>'SUMMARY PER DIVISI'!Y57</f>
        <v>0</v>
      </c>
      <c r="Y11" s="542">
        <f>'SUMMARY PER DIVISI'!Z57</f>
        <v>0</v>
      </c>
      <c r="Z11" s="542">
        <f>'SUMMARY PER DIVISI'!AA57</f>
        <v>0</v>
      </c>
      <c r="AA11" s="542">
        <f>'SUMMARY PER DIVISI'!AB57</f>
        <v>0</v>
      </c>
      <c r="AB11" s="542">
        <f>'SUMMARY PER DIVISI'!AC57</f>
        <v>0</v>
      </c>
      <c r="AC11" s="542">
        <f t="shared" si="10"/>
        <v>2850000</v>
      </c>
      <c r="AD11" s="613">
        <f>'AND 1'!AC142+'ADY 1'!AF142</f>
        <v>17738000</v>
      </c>
      <c r="AE11" s="265"/>
      <c r="AF11" s="265"/>
    </row>
    <row r="12" spans="1:32" s="264" customFormat="1" ht="15.75" customHeight="1" x14ac:dyDescent="0.2">
      <c r="A12" s="540">
        <v>6</v>
      </c>
      <c r="B12" s="541" t="s">
        <v>187</v>
      </c>
      <c r="C12" s="542">
        <f>'SUMMARY PER DIVISI'!D21+'SUMMARY PER DIVISI'!D60+'SUMMARY PER DIVISI'!D67+'SUMMARY PER DIVISI'!D68+'SUMMARY PER DIVISI'!D70+'SUMMARY PER DIVISI'!D71+'SUMMARY PER DIVISI'!D64+'SUMMARY PER DIVISI'!D81+'SUMMARY PER DIVISI'!D87+'SUMMARY PER DIVISI'!D95+'SUMMARY PER DIVISI'!D105+'SUMMARY PER DIVISI'!D116+'SUMMARY PER DIVISI'!D100</f>
        <v>25650000</v>
      </c>
      <c r="D12" s="542">
        <f>'SUMMARY PER DIVISI'!E21+'SUMMARY PER DIVISI'!E60+'SUMMARY PER DIVISI'!E67+'SUMMARY PER DIVISI'!E68+'SUMMARY PER DIVISI'!E70+'SUMMARY PER DIVISI'!E71+'SUMMARY PER DIVISI'!E64+'SUMMARY PER DIVISI'!E81+'SUMMARY PER DIVISI'!E87+'SUMMARY PER DIVISI'!E95+'SUMMARY PER DIVISI'!E105+'SUMMARY PER DIVISI'!E116+'SUMMARY PER DIVISI'!E100</f>
        <v>41350000</v>
      </c>
      <c r="E12" s="546">
        <f t="shared" si="8"/>
        <v>-15700000</v>
      </c>
      <c r="F12" s="547">
        <f t="shared" si="0"/>
        <v>1.6120857699805069</v>
      </c>
      <c r="G12" s="542">
        <f>'SUMMARY PER DIVISI'!H21+'SUMMARY PER DIVISI'!H60+'SUMMARY PER DIVISI'!H67+'SUMMARY PER DIVISI'!H68+'SUMMARY PER DIVISI'!H70+'SUMMARY PER DIVISI'!H71+'SUMMARY PER DIVISI'!H64+'SUMMARY PER DIVISI'!H81+'SUMMARY PER DIVISI'!H87+'SUMMARY PER DIVISI'!H95+'SUMMARY PER DIVISI'!H105+'SUMMARY PER DIVISI'!H116+'SUMMARY PER DIVISI'!H100</f>
        <v>23000000</v>
      </c>
      <c r="H12" s="542">
        <f>'SUMMARY PER DIVISI'!I21+'SUMMARY PER DIVISI'!I60+'SUMMARY PER DIVISI'!I67+'SUMMARY PER DIVISI'!I68+'SUMMARY PER DIVISI'!I70+'SUMMARY PER DIVISI'!I71+'SUMMARY PER DIVISI'!I64+'SUMMARY PER DIVISI'!I81+'SUMMARY PER DIVISI'!I87+'SUMMARY PER DIVISI'!I95+'SUMMARY PER DIVISI'!I105+'SUMMARY PER DIVISI'!I116+'SUMMARY PER DIVISI'!I100</f>
        <v>3600000</v>
      </c>
      <c r="I12" s="546">
        <f t="shared" si="1"/>
        <v>19400000</v>
      </c>
      <c r="J12" s="547">
        <f t="shared" si="9"/>
        <v>0.15652173913043479</v>
      </c>
      <c r="K12" s="542">
        <f>'SUMMARY PER DIVISI'!L21+'SUMMARY PER DIVISI'!L60+'SUMMARY PER DIVISI'!L67+'SUMMARY PER DIVISI'!L68+'SUMMARY PER DIVISI'!L70+'SUMMARY PER DIVISI'!L71+'SUMMARY PER DIVISI'!L64+'SUMMARY PER DIVISI'!L81+'SUMMARY PER DIVISI'!L87+'SUMMARY PER DIVISI'!L95+'SUMMARY PER DIVISI'!L105+'SUMMARY PER DIVISI'!L116+'SUMMARY PER DIVISI'!L100</f>
        <v>19000000</v>
      </c>
      <c r="L12" s="542">
        <f>'SUMMARY PER DIVISI'!M21+'SUMMARY PER DIVISI'!M60+'SUMMARY PER DIVISI'!M67+'SUMMARY PER DIVISI'!M68+'SUMMARY PER DIVISI'!M70+'SUMMARY PER DIVISI'!M71+'SUMMARY PER DIVISI'!M64+'SUMMARY PER DIVISI'!M81+'SUMMARY PER DIVISI'!M87+'SUMMARY PER DIVISI'!M95+'SUMMARY PER DIVISI'!M105+'SUMMARY PER DIVISI'!M116+'SUMMARY PER DIVISI'!M100</f>
        <v>14000000</v>
      </c>
      <c r="M12" s="546">
        <f t="shared" si="2"/>
        <v>5000000</v>
      </c>
      <c r="N12" s="547">
        <f t="shared" si="3"/>
        <v>0.73684210526315785</v>
      </c>
      <c r="O12" s="542">
        <f t="shared" si="4"/>
        <v>67650000</v>
      </c>
      <c r="P12" s="542">
        <f t="shared" si="5"/>
        <v>58950000</v>
      </c>
      <c r="Q12" s="546">
        <f t="shared" si="6"/>
        <v>8700000</v>
      </c>
      <c r="R12" s="547">
        <f t="shared" si="7"/>
        <v>0.87139689578713964</v>
      </c>
      <c r="S12" s="545">
        <f t="shared" si="11"/>
        <v>375900000</v>
      </c>
      <c r="T12" s="542">
        <f>'SUMMARY PER DIVISI'!U21+'SUMMARY PER DIVISI'!U60+'SUMMARY PER DIVISI'!U67+'SUMMARY PER DIVISI'!U68+'SUMMARY PER DIVISI'!U70+'SUMMARY PER DIVISI'!U71+'SUMMARY PER DIVISI'!U64+'SUMMARY PER DIVISI'!U81+'SUMMARY PER DIVISI'!U87+'SUMMARY PER DIVISI'!U95+'SUMMARY PER DIVISI'!U105+'SUMMARY PER DIVISI'!U116+'SUMMARY PER DIVISI'!U100</f>
        <v>60650000</v>
      </c>
      <c r="U12" s="542">
        <f>'SUMMARY PER DIVISI'!V21+'SUMMARY PER DIVISI'!V60+'SUMMARY PER DIVISI'!V67+'SUMMARY PER DIVISI'!V68+'SUMMARY PER DIVISI'!V70+'SUMMARY PER DIVISI'!V71+'SUMMARY PER DIVISI'!V64+'SUMMARY PER DIVISI'!V81+'SUMMARY PER DIVISI'!V87+'SUMMARY PER DIVISI'!V95+'SUMMARY PER DIVISI'!V105+'SUMMARY PER DIVISI'!V116+'SUMMARY PER DIVISI'!V100</f>
        <v>51500000</v>
      </c>
      <c r="V12" s="542">
        <f>'SUMMARY PER DIVISI'!W21+'SUMMARY PER DIVISI'!W60+'SUMMARY PER DIVISI'!W67+'SUMMARY PER DIVISI'!W68+'SUMMARY PER DIVISI'!W70+'SUMMARY PER DIVISI'!W71+'SUMMARY PER DIVISI'!W64+'SUMMARY PER DIVISI'!W81+'SUMMARY PER DIVISI'!W87+'SUMMARY PER DIVISI'!W95+'SUMMARY PER DIVISI'!W105+'SUMMARY PER DIVISI'!W116+'SUMMARY PER DIVISI'!W100</f>
        <v>21500000</v>
      </c>
      <c r="W12" s="542">
        <f>'SUMMARY PER DIVISI'!X21+'SUMMARY PER DIVISI'!X60+'SUMMARY PER DIVISI'!X67+'SUMMARY PER DIVISI'!X68+'SUMMARY PER DIVISI'!X70+'SUMMARY PER DIVISI'!X71+'SUMMARY PER DIVISI'!X64+'SUMMARY PER DIVISI'!X81+'SUMMARY PER DIVISI'!X87+'SUMMARY PER DIVISI'!X95+'SUMMARY PER DIVISI'!X105+'SUMMARY PER DIVISI'!X116+'SUMMARY PER DIVISI'!X100</f>
        <v>30150000</v>
      </c>
      <c r="X12" s="542">
        <f>'SUMMARY PER DIVISI'!Y21+'SUMMARY PER DIVISI'!Y60+'SUMMARY PER DIVISI'!Y67+'SUMMARY PER DIVISI'!Y68+'SUMMARY PER DIVISI'!Y70+'SUMMARY PER DIVISI'!Y71+'SUMMARY PER DIVISI'!Y64+'SUMMARY PER DIVISI'!Y81+'SUMMARY PER DIVISI'!Y87+'SUMMARY PER DIVISI'!Y95+'SUMMARY PER DIVISI'!Y105+'SUMMARY PER DIVISI'!Y116+'SUMMARY PER DIVISI'!Y100</f>
        <v>62500000</v>
      </c>
      <c r="Y12" s="542">
        <f>'SUMMARY PER DIVISI'!Z21+'SUMMARY PER DIVISI'!Z60+'SUMMARY PER DIVISI'!Z67+'SUMMARY PER DIVISI'!Z68+'SUMMARY PER DIVISI'!Z70+'SUMMARY PER DIVISI'!Z71+'SUMMARY PER DIVISI'!Z64+'SUMMARY PER DIVISI'!Z81+'SUMMARY PER DIVISI'!Z87+'SUMMARY PER DIVISI'!Z95+'SUMMARY PER DIVISI'!Z105+'SUMMARY PER DIVISI'!Z116+'SUMMARY PER DIVISI'!Z100</f>
        <v>23000000</v>
      </c>
      <c r="Z12" s="542">
        <f>'SUMMARY PER DIVISI'!AA21+'SUMMARY PER DIVISI'!AA60+'SUMMARY PER DIVISI'!AA67+'SUMMARY PER DIVISI'!AA68+'SUMMARY PER DIVISI'!AA70+'SUMMARY PER DIVISI'!AA71+'SUMMARY PER DIVISI'!AA64+'SUMMARY PER DIVISI'!AA81+'SUMMARY PER DIVISI'!AA87+'SUMMARY PER DIVISI'!AA95+'SUMMARY PER DIVISI'!AA105+'SUMMARY PER DIVISI'!AA116+'SUMMARY PER DIVISI'!AA100</f>
        <v>25650000</v>
      </c>
      <c r="AA12" s="542">
        <f>'SUMMARY PER DIVISI'!AB21+'SUMMARY PER DIVISI'!AB60+'SUMMARY PER DIVISI'!AB67+'SUMMARY PER DIVISI'!AB68+'SUMMARY PER DIVISI'!AB70+'SUMMARY PER DIVISI'!AB71+'SUMMARY PER DIVISI'!AB64+'SUMMARY PER DIVISI'!AB81+'SUMMARY PER DIVISI'!AB87+'SUMMARY PER DIVISI'!AB95+'SUMMARY PER DIVISI'!AB105+'SUMMARY PER DIVISI'!AB116+'SUMMARY PER DIVISI'!AB100</f>
        <v>23000000</v>
      </c>
      <c r="AB12" s="542">
        <f>'SUMMARY PER DIVISI'!AC21+'SUMMARY PER DIVISI'!AC60+'SUMMARY PER DIVISI'!AC67+'SUMMARY PER DIVISI'!AC68+'SUMMARY PER DIVISI'!AC70+'SUMMARY PER DIVISI'!AC71+'SUMMARY PER DIVISI'!AC64+'SUMMARY PER DIVISI'!AC81+'SUMMARY PER DIVISI'!AC87+'SUMMARY PER DIVISI'!AC95+'SUMMARY PER DIVISI'!AC105+'SUMMARY PER DIVISI'!AC116+'SUMMARY PER DIVISI'!AC100</f>
        <v>19000000</v>
      </c>
      <c r="AC12" s="542">
        <f t="shared" si="10"/>
        <v>384600000</v>
      </c>
      <c r="AD12" s="613">
        <f>'AND 1'!AC143+'ADY 1'!AF143</f>
        <v>84240000</v>
      </c>
      <c r="AE12" s="265"/>
      <c r="AF12" s="265"/>
    </row>
    <row r="13" spans="1:32" s="264" customFormat="1" ht="15.75" customHeight="1" x14ac:dyDescent="0.2">
      <c r="A13" s="540">
        <v>7</v>
      </c>
      <c r="B13" s="541" t="s">
        <v>188</v>
      </c>
      <c r="C13" s="542">
        <f>'SUMMARY PER DIVISI'!D48</f>
        <v>13000000</v>
      </c>
      <c r="D13" s="542">
        <f>'SUMMARY PER DIVISI'!E48</f>
        <v>17984245.210000001</v>
      </c>
      <c r="E13" s="546">
        <f t="shared" si="8"/>
        <v>-4984245.2100000009</v>
      </c>
      <c r="F13" s="547">
        <f t="shared" si="0"/>
        <v>1.3834034776923079</v>
      </c>
      <c r="G13" s="542">
        <f>'SUMMARY PER DIVISI'!H48</f>
        <v>13000000</v>
      </c>
      <c r="H13" s="542">
        <f>'SUMMARY PER DIVISI'!I48</f>
        <v>9463353.0399999991</v>
      </c>
      <c r="I13" s="546">
        <f t="shared" si="1"/>
        <v>3536646.9600000009</v>
      </c>
      <c r="J13" s="547">
        <f t="shared" si="9"/>
        <v>0.72795023384615376</v>
      </c>
      <c r="K13" s="542">
        <f>'SUMMARY PER DIVISI'!L48</f>
        <v>13000000</v>
      </c>
      <c r="L13" s="542">
        <f>'SUMMARY PER DIVISI'!M48</f>
        <v>15658319.440000001</v>
      </c>
      <c r="M13" s="546">
        <f t="shared" si="2"/>
        <v>-2658319.4400000013</v>
      </c>
      <c r="N13" s="547">
        <f t="shared" si="3"/>
        <v>1.2044861107692308</v>
      </c>
      <c r="O13" s="542">
        <f t="shared" si="4"/>
        <v>39000000</v>
      </c>
      <c r="P13" s="542">
        <f t="shared" si="5"/>
        <v>43105917.689999998</v>
      </c>
      <c r="Q13" s="546">
        <f t="shared" si="6"/>
        <v>-4105917.6899999976</v>
      </c>
      <c r="R13" s="547">
        <f t="shared" si="7"/>
        <v>1.1052799407692306</v>
      </c>
      <c r="S13" s="545">
        <f t="shared" si="11"/>
        <v>160105917.69</v>
      </c>
      <c r="T13" s="542">
        <f>'SUMMARY PER DIVISI'!U48</f>
        <v>13000000</v>
      </c>
      <c r="U13" s="542">
        <f>'SUMMARY PER DIVISI'!V48</f>
        <v>13000000</v>
      </c>
      <c r="V13" s="542">
        <f>'SUMMARY PER DIVISI'!W48</f>
        <v>13000000</v>
      </c>
      <c r="W13" s="542">
        <f>'SUMMARY PER DIVISI'!X48</f>
        <v>13000000</v>
      </c>
      <c r="X13" s="542">
        <f>'SUMMARY PER DIVISI'!Y48</f>
        <v>13000000</v>
      </c>
      <c r="Y13" s="542">
        <f>'SUMMARY PER DIVISI'!Z48</f>
        <v>13000000</v>
      </c>
      <c r="Z13" s="542">
        <f>'SUMMARY PER DIVISI'!AA48</f>
        <v>13000000</v>
      </c>
      <c r="AA13" s="542">
        <f>'SUMMARY PER DIVISI'!AB48</f>
        <v>13000000</v>
      </c>
      <c r="AB13" s="542">
        <f>'SUMMARY PER DIVISI'!AC48</f>
        <v>13000000</v>
      </c>
      <c r="AC13" s="542">
        <f t="shared" si="10"/>
        <v>156000000</v>
      </c>
      <c r="AD13" s="613">
        <f>'AND 1'!AC144+'ADY 1'!AF144</f>
        <v>114064085.77</v>
      </c>
      <c r="AE13" s="265"/>
      <c r="AF13" s="265"/>
    </row>
    <row r="14" spans="1:32" s="264" customFormat="1" ht="15.75" customHeight="1" x14ac:dyDescent="0.2">
      <c r="A14" s="540">
        <v>8</v>
      </c>
      <c r="B14" s="541" t="s">
        <v>189</v>
      </c>
      <c r="C14" s="542">
        <f>'SUMMARY PER DIVISI'!D14+'SUMMARY PER DIVISI'!D15+'SUMMARY PER DIVISI'!D17+'SUMMARY PER DIVISI'!D18+'SUMMARY PER DIVISI'!D30+'SUMMARY PER DIVISI'!D31+'SUMMARY PER DIVISI'!D69+'SUMMARY PER DIVISI'!D83+'SUMMARY PER DIVISI'!D89+'SUMMARY PER DIVISI'!D90+'SUMMARY PER DIVISI'!D118+'SUMMARY PER DIVISI'!D62+'SUMMARY PER DIVISI'!D99</f>
        <v>373987600</v>
      </c>
      <c r="D14" s="542">
        <f>'SUMMARY PER DIVISI'!E14+'SUMMARY PER DIVISI'!E15+'SUMMARY PER DIVISI'!E17+'SUMMARY PER DIVISI'!E18+'SUMMARY PER DIVISI'!E30+'SUMMARY PER DIVISI'!E31+'SUMMARY PER DIVISI'!E69+'SUMMARY PER DIVISI'!E83+'SUMMARY PER DIVISI'!E89+'SUMMARY PER DIVISI'!E90+'SUMMARY PER DIVISI'!E118+'SUMMARY PER DIVISI'!E62+'SUMMARY PER DIVISI'!E99</f>
        <v>98990000</v>
      </c>
      <c r="E14" s="546">
        <f t="shared" si="8"/>
        <v>274997600</v>
      </c>
      <c r="F14" s="547">
        <f t="shared" si="0"/>
        <v>0.26468792013425047</v>
      </c>
      <c r="G14" s="542">
        <f>'SUMMARY PER DIVISI'!H14+'SUMMARY PER DIVISI'!H15+'SUMMARY PER DIVISI'!H17+'SUMMARY PER DIVISI'!H18+'SUMMARY PER DIVISI'!H30+'SUMMARY PER DIVISI'!H31+'SUMMARY PER DIVISI'!H69+'SUMMARY PER DIVISI'!H83+'SUMMARY PER DIVISI'!H89+'SUMMARY PER DIVISI'!H90+'SUMMARY PER DIVISI'!H118+'SUMMARY PER DIVISI'!H62+'SUMMARY PER DIVISI'!H99</f>
        <v>266000000</v>
      </c>
      <c r="H14" s="542">
        <f>'SUMMARY PER DIVISI'!I14+'SUMMARY PER DIVISI'!I15+'SUMMARY PER DIVISI'!I17+'SUMMARY PER DIVISI'!I18+'SUMMARY PER DIVISI'!I30+'SUMMARY PER DIVISI'!I31+'SUMMARY PER DIVISI'!I69+'SUMMARY PER DIVISI'!I83+'SUMMARY PER DIVISI'!I89+'SUMMARY PER DIVISI'!I90+'SUMMARY PER DIVISI'!I118+'SUMMARY PER DIVISI'!I62+'SUMMARY PER DIVISI'!I99</f>
        <v>116543700</v>
      </c>
      <c r="I14" s="546">
        <f t="shared" si="1"/>
        <v>149456300</v>
      </c>
      <c r="J14" s="547">
        <f t="shared" si="9"/>
        <v>0.43813421052631579</v>
      </c>
      <c r="K14" s="542">
        <f>'SUMMARY PER DIVISI'!L14+'SUMMARY PER DIVISI'!L15+'SUMMARY PER DIVISI'!L17+'SUMMARY PER DIVISI'!L18+'SUMMARY PER DIVISI'!L30+'SUMMARY PER DIVISI'!L31+'SUMMARY PER DIVISI'!L69+'SUMMARY PER DIVISI'!L83+'SUMMARY PER DIVISI'!L89+'SUMMARY PER DIVISI'!L90+'SUMMARY PER DIVISI'!L118+'SUMMARY PER DIVISI'!L62+'SUMMARY PER DIVISI'!L99</f>
        <v>266000000</v>
      </c>
      <c r="L14" s="542">
        <f>'SUMMARY PER DIVISI'!M14+'SUMMARY PER DIVISI'!M15+'SUMMARY PER DIVISI'!M17+'SUMMARY PER DIVISI'!M18+'SUMMARY PER DIVISI'!M30+'SUMMARY PER DIVISI'!M31+'SUMMARY PER DIVISI'!M69+'SUMMARY PER DIVISI'!M83+'SUMMARY PER DIVISI'!M89+'SUMMARY PER DIVISI'!M90+'SUMMARY PER DIVISI'!M118+'SUMMARY PER DIVISI'!M62+'SUMMARY PER DIVISI'!M99</f>
        <v>106400500</v>
      </c>
      <c r="M14" s="546">
        <f t="shared" si="2"/>
        <v>159599500</v>
      </c>
      <c r="N14" s="547">
        <f t="shared" si="3"/>
        <v>0.40000187969924811</v>
      </c>
      <c r="O14" s="542">
        <f t="shared" si="4"/>
        <v>905987600</v>
      </c>
      <c r="P14" s="542">
        <f t="shared" si="5"/>
        <v>321934200</v>
      </c>
      <c r="Q14" s="546">
        <f t="shared" si="6"/>
        <v>584053400</v>
      </c>
      <c r="R14" s="547">
        <f t="shared" si="7"/>
        <v>0.35534062497102609</v>
      </c>
      <c r="S14" s="545">
        <f t="shared" si="11"/>
        <v>3070985800</v>
      </c>
      <c r="T14" s="542">
        <f>'SUMMARY PER DIVISI'!U14+'SUMMARY PER DIVISI'!U15+'SUMMARY PER DIVISI'!U17+'SUMMARY PER DIVISI'!U18+'SUMMARY PER DIVISI'!U30+'SUMMARY PER DIVISI'!U31+'SUMMARY PER DIVISI'!U69+'SUMMARY PER DIVISI'!U83+'SUMMARY PER DIVISI'!U89+'SUMMARY PER DIVISI'!U90+'SUMMARY PER DIVISI'!U118+'SUMMARY PER DIVISI'!U62+'SUMMARY PER DIVISI'!U99</f>
        <v>266000000</v>
      </c>
      <c r="U14" s="542">
        <f>'SUMMARY PER DIVISI'!V14+'SUMMARY PER DIVISI'!V15+'SUMMARY PER DIVISI'!V17+'SUMMARY PER DIVISI'!V18+'SUMMARY PER DIVISI'!V30+'SUMMARY PER DIVISI'!V31+'SUMMARY PER DIVISI'!V69+'SUMMARY PER DIVISI'!V83+'SUMMARY PER DIVISI'!V89+'SUMMARY PER DIVISI'!V90+'SUMMARY PER DIVISI'!V118+'SUMMARY PER DIVISI'!V62+'SUMMARY PER DIVISI'!V99</f>
        <v>417064000</v>
      </c>
      <c r="V14" s="542">
        <f>'SUMMARY PER DIVISI'!W14+'SUMMARY PER DIVISI'!W15+'SUMMARY PER DIVISI'!W17+'SUMMARY PER DIVISI'!W18+'SUMMARY PER DIVISI'!W30+'SUMMARY PER DIVISI'!W31+'SUMMARY PER DIVISI'!W69+'SUMMARY PER DIVISI'!W83+'SUMMARY PER DIVISI'!W89+'SUMMARY PER DIVISI'!W90+'SUMMARY PER DIVISI'!W118+'SUMMARY PER DIVISI'!W62+'SUMMARY PER DIVISI'!W99</f>
        <v>269000000</v>
      </c>
      <c r="W14" s="542">
        <f>'SUMMARY PER DIVISI'!X14+'SUMMARY PER DIVISI'!X15+'SUMMARY PER DIVISI'!X17+'SUMMARY PER DIVISI'!X18+'SUMMARY PER DIVISI'!X30+'SUMMARY PER DIVISI'!X31+'SUMMARY PER DIVISI'!X69+'SUMMARY PER DIVISI'!X83+'SUMMARY PER DIVISI'!X89+'SUMMARY PER DIVISI'!X90+'SUMMARY PER DIVISI'!X118+'SUMMARY PER DIVISI'!X62+'SUMMARY PER DIVISI'!X99</f>
        <v>266000000</v>
      </c>
      <c r="X14" s="542">
        <f>'SUMMARY PER DIVISI'!Y14+'SUMMARY PER DIVISI'!Y15+'SUMMARY PER DIVISI'!Y17+'SUMMARY PER DIVISI'!Y18+'SUMMARY PER DIVISI'!Y30+'SUMMARY PER DIVISI'!Y31+'SUMMARY PER DIVISI'!Y69+'SUMMARY PER DIVISI'!Y83+'SUMMARY PER DIVISI'!Y89+'SUMMARY PER DIVISI'!Y90+'SUMMARY PER DIVISI'!Y118+'SUMMARY PER DIVISI'!Y62+'SUMMARY PER DIVISI'!Y99</f>
        <v>359000000</v>
      </c>
      <c r="Y14" s="542">
        <f>'SUMMARY PER DIVISI'!Z14+'SUMMARY PER DIVISI'!Z15+'SUMMARY PER DIVISI'!Z17+'SUMMARY PER DIVISI'!Z18+'SUMMARY PER DIVISI'!Z30+'SUMMARY PER DIVISI'!Z31+'SUMMARY PER DIVISI'!Z69+'SUMMARY PER DIVISI'!Z83+'SUMMARY PER DIVISI'!Z89+'SUMMARY PER DIVISI'!Z90+'SUMMARY PER DIVISI'!Z118+'SUMMARY PER DIVISI'!Z62+'SUMMARY PER DIVISI'!Z99</f>
        <v>266000000</v>
      </c>
      <c r="Z14" s="542">
        <f>'SUMMARY PER DIVISI'!AA14+'SUMMARY PER DIVISI'!AA15+'SUMMARY PER DIVISI'!AA17+'SUMMARY PER DIVISI'!AA18+'SUMMARY PER DIVISI'!AA30+'SUMMARY PER DIVISI'!AA31+'SUMMARY PER DIVISI'!AA69+'SUMMARY PER DIVISI'!AA83+'SUMMARY PER DIVISI'!AA89+'SUMMARY PER DIVISI'!AA90+'SUMMARY PER DIVISI'!AA118+'SUMMARY PER DIVISI'!AA62+'SUMMARY PER DIVISI'!AA99</f>
        <v>373987600</v>
      </c>
      <c r="AA14" s="542">
        <f>'SUMMARY PER DIVISI'!AB14+'SUMMARY PER DIVISI'!AB15+'SUMMARY PER DIVISI'!AB17+'SUMMARY PER DIVISI'!AB18+'SUMMARY PER DIVISI'!AB30+'SUMMARY PER DIVISI'!AB31+'SUMMARY PER DIVISI'!AB69+'SUMMARY PER DIVISI'!AB83+'SUMMARY PER DIVISI'!AB89+'SUMMARY PER DIVISI'!AB90+'SUMMARY PER DIVISI'!AB118+'SUMMARY PER DIVISI'!AB62+'SUMMARY PER DIVISI'!AB99</f>
        <v>266000000</v>
      </c>
      <c r="AB14" s="542">
        <f>'SUMMARY PER DIVISI'!AC14+'SUMMARY PER DIVISI'!AC15+'SUMMARY PER DIVISI'!AC17+'SUMMARY PER DIVISI'!AC18+'SUMMARY PER DIVISI'!AC30+'SUMMARY PER DIVISI'!AC31+'SUMMARY PER DIVISI'!AC69+'SUMMARY PER DIVISI'!AC83+'SUMMARY PER DIVISI'!AC89+'SUMMARY PER DIVISI'!AC90+'SUMMARY PER DIVISI'!AC118+'SUMMARY PER DIVISI'!AC62+'SUMMARY PER DIVISI'!AC99</f>
        <v>266000000</v>
      </c>
      <c r="AC14" s="542">
        <f t="shared" si="10"/>
        <v>3655039200</v>
      </c>
      <c r="AD14" s="613">
        <f>'AND 1'!AC145+'ADY 1'!AF145</f>
        <v>1725217885.24</v>
      </c>
      <c r="AE14" s="265"/>
      <c r="AF14" s="265"/>
    </row>
    <row r="15" spans="1:32" s="264" customFormat="1" ht="15.75" customHeight="1" x14ac:dyDescent="0.2">
      <c r="A15" s="540">
        <v>9</v>
      </c>
      <c r="B15" s="541" t="s">
        <v>190</v>
      </c>
      <c r="C15" s="542">
        <f>'SUMMARY PER DIVISI'!D26+'SUMMARY PER DIVISI'!D35</f>
        <v>12000000</v>
      </c>
      <c r="D15" s="542">
        <f>'SUMMARY PER DIVISI'!E26+'SUMMARY PER DIVISI'!E35</f>
        <v>3282750</v>
      </c>
      <c r="E15" s="546">
        <f t="shared" si="8"/>
        <v>8717250</v>
      </c>
      <c r="F15" s="547">
        <f t="shared" si="0"/>
        <v>0.27356249999999999</v>
      </c>
      <c r="G15" s="542">
        <f>'SUMMARY PER DIVISI'!H26+'SUMMARY PER DIVISI'!H35</f>
        <v>2000000</v>
      </c>
      <c r="H15" s="542">
        <f>'SUMMARY PER DIVISI'!I26+'SUMMARY PER DIVISI'!I35</f>
        <v>4500440</v>
      </c>
      <c r="I15" s="546">
        <f t="shared" si="1"/>
        <v>-2500440</v>
      </c>
      <c r="J15" s="547">
        <f t="shared" si="9"/>
        <v>2.2502200000000001</v>
      </c>
      <c r="K15" s="542">
        <f>'SUMMARY PER DIVISI'!L26+'SUMMARY PER DIVISI'!L35</f>
        <v>2000000</v>
      </c>
      <c r="L15" s="542">
        <f>'SUMMARY PER DIVISI'!M26+'SUMMARY PER DIVISI'!M35</f>
        <v>4402540</v>
      </c>
      <c r="M15" s="546">
        <f t="shared" si="2"/>
        <v>-2402540</v>
      </c>
      <c r="N15" s="547">
        <f t="shared" si="3"/>
        <v>2.2012700000000001</v>
      </c>
      <c r="O15" s="542">
        <f t="shared" si="4"/>
        <v>16000000</v>
      </c>
      <c r="P15" s="542">
        <f t="shared" si="5"/>
        <v>12185730</v>
      </c>
      <c r="Q15" s="546">
        <f t="shared" si="6"/>
        <v>3814270</v>
      </c>
      <c r="R15" s="547">
        <f t="shared" si="7"/>
        <v>0.76160812499999997</v>
      </c>
      <c r="S15" s="545">
        <f t="shared" si="11"/>
        <v>40185730</v>
      </c>
      <c r="T15" s="542">
        <f>'SUMMARY PER DIVISI'!U26+'SUMMARY PER DIVISI'!U35</f>
        <v>2000000</v>
      </c>
      <c r="U15" s="542">
        <f>'SUMMARY PER DIVISI'!V26+'SUMMARY PER DIVISI'!V35</f>
        <v>2000000</v>
      </c>
      <c r="V15" s="542">
        <f>'SUMMARY PER DIVISI'!W26+'SUMMARY PER DIVISI'!W35</f>
        <v>2000000</v>
      </c>
      <c r="W15" s="542">
        <f>'SUMMARY PER DIVISI'!X26+'SUMMARY PER DIVISI'!X35</f>
        <v>2000000</v>
      </c>
      <c r="X15" s="542">
        <f>'SUMMARY PER DIVISI'!Y26+'SUMMARY PER DIVISI'!Y35</f>
        <v>2000000</v>
      </c>
      <c r="Y15" s="542">
        <f>'SUMMARY PER DIVISI'!Z26+'SUMMARY PER DIVISI'!Z35</f>
        <v>2000000</v>
      </c>
      <c r="Z15" s="542">
        <f>'SUMMARY PER DIVISI'!AA26+'SUMMARY PER DIVISI'!AA35</f>
        <v>12000000</v>
      </c>
      <c r="AA15" s="542">
        <f>'SUMMARY PER DIVISI'!AB26+'SUMMARY PER DIVISI'!AB35</f>
        <v>2000000</v>
      </c>
      <c r="AB15" s="542">
        <f>'SUMMARY PER DIVISI'!AC26+'SUMMARY PER DIVISI'!AC35</f>
        <v>2000000</v>
      </c>
      <c r="AC15" s="542">
        <f t="shared" si="10"/>
        <v>44000000</v>
      </c>
      <c r="AD15" s="613">
        <f>'AND 1'!AC146+'ADY 1'!AF146</f>
        <v>57402440</v>
      </c>
      <c r="AE15" s="265"/>
      <c r="AF15" s="265"/>
    </row>
    <row r="16" spans="1:32" s="264" customFormat="1" ht="15.75" customHeight="1" x14ac:dyDescent="0.2">
      <c r="A16" s="540">
        <v>10</v>
      </c>
      <c r="B16" s="541" t="s">
        <v>154</v>
      </c>
      <c r="C16" s="542">
        <f>'SUMMARY PER DIVISI'!D114</f>
        <v>41235137.5</v>
      </c>
      <c r="D16" s="542">
        <f>'SUMMARY PER DIVISI'!E114</f>
        <v>236700000</v>
      </c>
      <c r="E16" s="546">
        <f t="shared" si="8"/>
        <v>-195464862.5</v>
      </c>
      <c r="F16" s="547">
        <f t="shared" si="0"/>
        <v>5.74025004766869</v>
      </c>
      <c r="G16" s="542">
        <f>'SUMMARY PER DIVISI'!H114</f>
        <v>41235137.5</v>
      </c>
      <c r="H16" s="542">
        <f>'SUMMARY PER DIVISI'!I114</f>
        <v>55150500</v>
      </c>
      <c r="I16" s="546">
        <f t="shared" si="1"/>
        <v>-13915362.5</v>
      </c>
      <c r="J16" s="547">
        <f t="shared" si="9"/>
        <v>1.337463710409599</v>
      </c>
      <c r="K16" s="542">
        <f>'SUMMARY PER DIVISI'!L114</f>
        <v>41235137.5</v>
      </c>
      <c r="L16" s="542">
        <f>'SUMMARY PER DIVISI'!M114</f>
        <v>49030000</v>
      </c>
      <c r="M16" s="546">
        <f t="shared" si="2"/>
        <v>-7794862.5</v>
      </c>
      <c r="N16" s="547">
        <f t="shared" si="3"/>
        <v>1.1890344733299361</v>
      </c>
      <c r="O16" s="542">
        <f t="shared" si="4"/>
        <v>123705412.5</v>
      </c>
      <c r="P16" s="542">
        <f t="shared" si="5"/>
        <v>340880500</v>
      </c>
      <c r="Q16" s="546">
        <f t="shared" si="6"/>
        <v>-217175087.5</v>
      </c>
      <c r="R16" s="547">
        <f t="shared" si="7"/>
        <v>2.755582743802742</v>
      </c>
      <c r="S16" s="545">
        <f t="shared" si="11"/>
        <v>711996737.5</v>
      </c>
      <c r="T16" s="542">
        <f>'SUMMARY PER DIVISI'!U114</f>
        <v>41235137.5</v>
      </c>
      <c r="U16" s="542">
        <f>'SUMMARY PER DIVISI'!V114</f>
        <v>41235137.5</v>
      </c>
      <c r="V16" s="542">
        <f>'SUMMARY PER DIVISI'!W114</f>
        <v>41235137.5</v>
      </c>
      <c r="W16" s="542">
        <f>'SUMMARY PER DIVISI'!X114</f>
        <v>41235137.5</v>
      </c>
      <c r="X16" s="542">
        <f>'SUMMARY PER DIVISI'!Y114</f>
        <v>41235137.5</v>
      </c>
      <c r="Y16" s="542">
        <f>'SUMMARY PER DIVISI'!Z114</f>
        <v>41235137.5</v>
      </c>
      <c r="Z16" s="542">
        <f>'SUMMARY PER DIVISI'!AA114</f>
        <v>41235137.5</v>
      </c>
      <c r="AA16" s="542">
        <f>'SUMMARY PER DIVISI'!AB114</f>
        <v>41235137.5</v>
      </c>
      <c r="AB16" s="542">
        <f>'SUMMARY PER DIVISI'!AC114</f>
        <v>41235137.5</v>
      </c>
      <c r="AC16" s="542">
        <f t="shared" si="10"/>
        <v>494821650</v>
      </c>
      <c r="AD16" s="613">
        <f>'AND 1'!AC147+'ADY 1'!AF147</f>
        <v>1722849700</v>
      </c>
      <c r="AE16" s="265"/>
      <c r="AF16" s="265"/>
    </row>
    <row r="17" spans="1:32" s="264" customFormat="1" ht="15.75" customHeight="1" x14ac:dyDescent="0.2">
      <c r="A17" s="540">
        <v>11</v>
      </c>
      <c r="B17" s="541" t="s">
        <v>129</v>
      </c>
      <c r="C17" s="542">
        <f>'SUMMARY PER DIVISI'!D82+'SUMMARY PER DIVISI'!D113</f>
        <v>82250000</v>
      </c>
      <c r="D17" s="542">
        <f>'SUMMARY PER DIVISI'!E82+'SUMMARY PER DIVISI'!E113</f>
        <v>76781463</v>
      </c>
      <c r="E17" s="546">
        <f t="shared" si="8"/>
        <v>5468537</v>
      </c>
      <c r="F17" s="547">
        <f t="shared" si="0"/>
        <v>0.93351322796352587</v>
      </c>
      <c r="G17" s="542">
        <f>'SUMMARY PER DIVISI'!H82+'SUMMARY PER DIVISI'!H113</f>
        <v>82250000</v>
      </c>
      <c r="H17" s="542">
        <f>'SUMMARY PER DIVISI'!I82+'SUMMARY PER DIVISI'!I113</f>
        <v>86135863</v>
      </c>
      <c r="I17" s="546">
        <f t="shared" si="1"/>
        <v>-3885863</v>
      </c>
      <c r="J17" s="547">
        <f t="shared" si="9"/>
        <v>1.0472445349544073</v>
      </c>
      <c r="K17" s="542">
        <f>'SUMMARY PER DIVISI'!L82+'SUMMARY PER DIVISI'!L113</f>
        <v>82250000</v>
      </c>
      <c r="L17" s="542">
        <f>'SUMMARY PER DIVISI'!M82+'SUMMARY PER DIVISI'!M113</f>
        <v>79046463</v>
      </c>
      <c r="M17" s="546">
        <f t="shared" si="2"/>
        <v>3203537</v>
      </c>
      <c r="N17" s="547">
        <f t="shared" si="3"/>
        <v>0.96105122188449843</v>
      </c>
      <c r="O17" s="542">
        <f t="shared" si="4"/>
        <v>246750000</v>
      </c>
      <c r="P17" s="542">
        <f t="shared" si="5"/>
        <v>241963789</v>
      </c>
      <c r="Q17" s="546">
        <f t="shared" si="6"/>
        <v>4786211</v>
      </c>
      <c r="R17" s="547">
        <f t="shared" si="7"/>
        <v>0.98060299493414382</v>
      </c>
      <c r="S17" s="545">
        <f t="shared" si="11"/>
        <v>307213789</v>
      </c>
      <c r="T17" s="542">
        <f>'SUMMARY PER DIVISI'!U82+'SUMMARY PER DIVISI'!U113</f>
        <v>7250000</v>
      </c>
      <c r="U17" s="542">
        <f>'SUMMARY PER DIVISI'!V82+'SUMMARY PER DIVISI'!V113</f>
        <v>7250000</v>
      </c>
      <c r="V17" s="542">
        <f>'SUMMARY PER DIVISI'!W82+'SUMMARY PER DIVISI'!W113</f>
        <v>7250000</v>
      </c>
      <c r="W17" s="542">
        <f>'SUMMARY PER DIVISI'!X82+'SUMMARY PER DIVISI'!X113</f>
        <v>7250000</v>
      </c>
      <c r="X17" s="542">
        <f>'SUMMARY PER DIVISI'!Y82+'SUMMARY PER DIVISI'!Y113</f>
        <v>7250000</v>
      </c>
      <c r="Y17" s="542">
        <f>'SUMMARY PER DIVISI'!Z82+'SUMMARY PER DIVISI'!Z113</f>
        <v>7250000</v>
      </c>
      <c r="Z17" s="542">
        <f>'SUMMARY PER DIVISI'!AA82+'SUMMARY PER DIVISI'!AA113</f>
        <v>7250000</v>
      </c>
      <c r="AA17" s="542">
        <f>'SUMMARY PER DIVISI'!AB82+'SUMMARY PER DIVISI'!AB113</f>
        <v>7250000</v>
      </c>
      <c r="AB17" s="542">
        <f>'SUMMARY PER DIVISI'!AC82+'SUMMARY PER DIVISI'!AC113</f>
        <v>7250000</v>
      </c>
      <c r="AC17" s="542">
        <f t="shared" si="10"/>
        <v>312000000</v>
      </c>
      <c r="AD17" s="613">
        <f>'AND 1'!AC148+'ADY 1'!AF148</f>
        <v>62324070</v>
      </c>
      <c r="AE17" s="265"/>
      <c r="AF17" s="265"/>
    </row>
    <row r="18" spans="1:32" s="264" customFormat="1" ht="15.75" customHeight="1" x14ac:dyDescent="0.2">
      <c r="A18" s="540">
        <v>13</v>
      </c>
      <c r="B18" s="541" t="s">
        <v>191</v>
      </c>
      <c r="C18" s="542">
        <f>'SUMMARY PER DIVISI'!D8</f>
        <v>1000000</v>
      </c>
      <c r="D18" s="542">
        <f>'SUMMARY PER DIVISI'!E8</f>
        <v>0</v>
      </c>
      <c r="E18" s="546">
        <f t="shared" si="8"/>
        <v>1000000</v>
      </c>
      <c r="F18" s="547">
        <f t="shared" si="0"/>
        <v>0</v>
      </c>
      <c r="G18" s="542">
        <f>'SUMMARY PER DIVISI'!H8</f>
        <v>1000000</v>
      </c>
      <c r="H18" s="542">
        <f>'SUMMARY PER DIVISI'!I8</f>
        <v>0</v>
      </c>
      <c r="I18" s="546">
        <f t="shared" si="1"/>
        <v>1000000</v>
      </c>
      <c r="J18" s="547">
        <f t="shared" si="9"/>
        <v>0</v>
      </c>
      <c r="K18" s="542">
        <f>'SUMMARY PER DIVISI'!L8</f>
        <v>1000000</v>
      </c>
      <c r="L18" s="542">
        <f>'SUMMARY PER DIVISI'!M8</f>
        <v>0</v>
      </c>
      <c r="M18" s="546">
        <f t="shared" si="2"/>
        <v>1000000</v>
      </c>
      <c r="N18" s="547">
        <f t="shared" si="3"/>
        <v>0</v>
      </c>
      <c r="O18" s="542">
        <f t="shared" si="4"/>
        <v>3000000</v>
      </c>
      <c r="P18" s="542">
        <f t="shared" si="5"/>
        <v>0</v>
      </c>
      <c r="Q18" s="546">
        <f t="shared" si="6"/>
        <v>3000000</v>
      </c>
      <c r="R18" s="547">
        <f t="shared" si="7"/>
        <v>0</v>
      </c>
      <c r="S18" s="545">
        <f t="shared" si="11"/>
        <v>9000000</v>
      </c>
      <c r="T18" s="542">
        <f>'SUMMARY PER DIVISI'!U8</f>
        <v>1000000</v>
      </c>
      <c r="U18" s="542">
        <f>'SUMMARY PER DIVISI'!V8</f>
        <v>1000000</v>
      </c>
      <c r="V18" s="542">
        <f>'SUMMARY PER DIVISI'!W8</f>
        <v>1000000</v>
      </c>
      <c r="W18" s="542">
        <f>'SUMMARY PER DIVISI'!X8</f>
        <v>1000000</v>
      </c>
      <c r="X18" s="542">
        <f>'SUMMARY PER DIVISI'!Y8</f>
        <v>1000000</v>
      </c>
      <c r="Y18" s="542">
        <f>'SUMMARY PER DIVISI'!Z8</f>
        <v>1000000</v>
      </c>
      <c r="Z18" s="542">
        <f>'SUMMARY PER DIVISI'!AA8</f>
        <v>1000000</v>
      </c>
      <c r="AA18" s="542">
        <f>'SUMMARY PER DIVISI'!AB8</f>
        <v>1000000</v>
      </c>
      <c r="AB18" s="542">
        <f>'SUMMARY PER DIVISI'!AC8</f>
        <v>1000000</v>
      </c>
      <c r="AC18" s="542">
        <f t="shared" si="10"/>
        <v>12000000</v>
      </c>
      <c r="AD18" s="613">
        <f>'AND 1'!AC149+'ADY 1'!AF149</f>
        <v>0</v>
      </c>
      <c r="AE18" s="265"/>
      <c r="AF18" s="265"/>
    </row>
    <row r="19" spans="1:32" s="264" customFormat="1" ht="15.75" customHeight="1" x14ac:dyDescent="0.2">
      <c r="A19" s="540">
        <v>14</v>
      </c>
      <c r="B19" s="541" t="s">
        <v>27</v>
      </c>
      <c r="C19" s="542">
        <f>'SUMMARY PER DIVISI'!D7</f>
        <v>1500000</v>
      </c>
      <c r="D19" s="542">
        <f>'SUMMARY PER DIVISI'!E7</f>
        <v>1368800</v>
      </c>
      <c r="E19" s="546">
        <f t="shared" si="8"/>
        <v>131200</v>
      </c>
      <c r="F19" s="547">
        <f t="shared" si="0"/>
        <v>0.91253333333333331</v>
      </c>
      <c r="G19" s="542">
        <f>'SUMMARY PER DIVISI'!H7</f>
        <v>1500000</v>
      </c>
      <c r="H19" s="542">
        <f>'SUMMARY PER DIVISI'!I7</f>
        <v>1360756</v>
      </c>
      <c r="I19" s="546">
        <f t="shared" si="1"/>
        <v>139244</v>
      </c>
      <c r="J19" s="547">
        <f t="shared" si="9"/>
        <v>0.90717066666666668</v>
      </c>
      <c r="K19" s="542">
        <f>'SUMMARY PER DIVISI'!L7</f>
        <v>1500000</v>
      </c>
      <c r="L19" s="542">
        <f>'SUMMARY PER DIVISI'!M7</f>
        <v>1360756</v>
      </c>
      <c r="M19" s="546">
        <f t="shared" si="2"/>
        <v>139244</v>
      </c>
      <c r="N19" s="547">
        <f t="shared" si="3"/>
        <v>0.90717066666666668</v>
      </c>
      <c r="O19" s="542">
        <f t="shared" si="4"/>
        <v>4500000</v>
      </c>
      <c r="P19" s="542">
        <f t="shared" si="5"/>
        <v>4090312</v>
      </c>
      <c r="Q19" s="546">
        <f t="shared" si="6"/>
        <v>409688</v>
      </c>
      <c r="R19" s="547">
        <f t="shared" si="7"/>
        <v>0.90895822222222222</v>
      </c>
      <c r="S19" s="545">
        <f t="shared" si="11"/>
        <v>17590312</v>
      </c>
      <c r="T19" s="542">
        <f>'SUMMARY PER DIVISI'!U7</f>
        <v>1500000</v>
      </c>
      <c r="U19" s="542">
        <f>'SUMMARY PER DIVISI'!V7</f>
        <v>1500000</v>
      </c>
      <c r="V19" s="542">
        <f>'SUMMARY PER DIVISI'!W7</f>
        <v>1500000</v>
      </c>
      <c r="W19" s="542">
        <f>'SUMMARY PER DIVISI'!X7</f>
        <v>1500000</v>
      </c>
      <c r="X19" s="542">
        <f>'SUMMARY PER DIVISI'!Y7</f>
        <v>1500000</v>
      </c>
      <c r="Y19" s="542">
        <f>'SUMMARY PER DIVISI'!Z7</f>
        <v>1500000</v>
      </c>
      <c r="Z19" s="542">
        <f>'SUMMARY PER DIVISI'!AA7</f>
        <v>1500000</v>
      </c>
      <c r="AA19" s="542">
        <f>'SUMMARY PER DIVISI'!AB7</f>
        <v>1500000</v>
      </c>
      <c r="AB19" s="542">
        <f>'SUMMARY PER DIVISI'!AC7</f>
        <v>1500000</v>
      </c>
      <c r="AC19" s="542">
        <f t="shared" si="10"/>
        <v>18000000</v>
      </c>
      <c r="AD19" s="613">
        <f>'AND 1'!AC150+'ADY 1'!AF150</f>
        <v>16200597</v>
      </c>
      <c r="AE19" s="265"/>
      <c r="AF19" s="265"/>
    </row>
    <row r="20" spans="1:32" s="264" customFormat="1" ht="15.75" customHeight="1" x14ac:dyDescent="0.2">
      <c r="A20" s="540">
        <v>15</v>
      </c>
      <c r="B20" s="541" t="s">
        <v>192</v>
      </c>
      <c r="C20" s="542">
        <f>'SUMMARY PER DIVISI'!D27+'SUMMARY PER DIVISI'!D29+'SUMMARY PER DIVISI'!D79+'SUMMARY PER DIVISI'!D28</f>
        <v>3200000</v>
      </c>
      <c r="D20" s="542">
        <f>'SUMMARY PER DIVISI'!E27+'SUMMARY PER DIVISI'!E29+'SUMMARY PER DIVISI'!E79+'SUMMARY PER DIVISI'!E28</f>
        <v>0</v>
      </c>
      <c r="E20" s="546">
        <f t="shared" si="8"/>
        <v>3200000</v>
      </c>
      <c r="F20" s="547">
        <f t="shared" si="0"/>
        <v>0</v>
      </c>
      <c r="G20" s="542">
        <f>'SUMMARY PER DIVISI'!H27+'SUMMARY PER DIVISI'!H29+'SUMMARY PER DIVISI'!H79+'SUMMARY PER DIVISI'!H28</f>
        <v>3200000</v>
      </c>
      <c r="H20" s="542">
        <f>'SUMMARY PER DIVISI'!I27+'SUMMARY PER DIVISI'!I29+'SUMMARY PER DIVISI'!I79+'SUMMARY PER DIVISI'!I28</f>
        <v>0</v>
      </c>
      <c r="I20" s="546">
        <f t="shared" si="1"/>
        <v>3200000</v>
      </c>
      <c r="J20" s="547">
        <f t="shared" si="9"/>
        <v>0</v>
      </c>
      <c r="K20" s="542">
        <f>'SUMMARY PER DIVISI'!L27+'SUMMARY PER DIVISI'!L29+'SUMMARY PER DIVISI'!L79+'SUMMARY PER DIVISI'!L28</f>
        <v>4200000</v>
      </c>
      <c r="L20" s="542">
        <f>'SUMMARY PER DIVISI'!M27+'SUMMARY PER DIVISI'!M29+'SUMMARY PER DIVISI'!M79+'SUMMARY PER DIVISI'!M28</f>
        <v>0</v>
      </c>
      <c r="M20" s="546">
        <f t="shared" si="2"/>
        <v>4200000</v>
      </c>
      <c r="N20" s="547">
        <f t="shared" si="3"/>
        <v>0</v>
      </c>
      <c r="O20" s="542">
        <f t="shared" si="4"/>
        <v>10600000</v>
      </c>
      <c r="P20" s="542">
        <f t="shared" si="5"/>
        <v>0</v>
      </c>
      <c r="Q20" s="546">
        <f t="shared" si="6"/>
        <v>10600000</v>
      </c>
      <c r="R20" s="547">
        <f t="shared" si="7"/>
        <v>0</v>
      </c>
      <c r="S20" s="545">
        <f t="shared" si="11"/>
        <v>31800000</v>
      </c>
      <c r="T20" s="542">
        <f>'SUMMARY PER DIVISI'!U27+'SUMMARY PER DIVISI'!U29+'SUMMARY PER DIVISI'!U79+'SUMMARY PER DIVISI'!U28</f>
        <v>3200000</v>
      </c>
      <c r="U20" s="542">
        <f>'SUMMARY PER DIVISI'!V27+'SUMMARY PER DIVISI'!V29+'SUMMARY PER DIVISI'!V79+'SUMMARY PER DIVISI'!V28</f>
        <v>3200000</v>
      </c>
      <c r="V20" s="542">
        <f>'SUMMARY PER DIVISI'!W27+'SUMMARY PER DIVISI'!W29+'SUMMARY PER DIVISI'!W79+'SUMMARY PER DIVISI'!W28</f>
        <v>4200000</v>
      </c>
      <c r="W20" s="542">
        <f>'SUMMARY PER DIVISI'!X27+'SUMMARY PER DIVISI'!X29+'SUMMARY PER DIVISI'!X79+'SUMMARY PER DIVISI'!X28</f>
        <v>3200000</v>
      </c>
      <c r="X20" s="542">
        <f>'SUMMARY PER DIVISI'!Y27+'SUMMARY PER DIVISI'!Y29+'SUMMARY PER DIVISI'!Y79+'SUMMARY PER DIVISI'!Y28</f>
        <v>3200000</v>
      </c>
      <c r="Y20" s="542">
        <f>'SUMMARY PER DIVISI'!Z27+'SUMMARY PER DIVISI'!Z29+'SUMMARY PER DIVISI'!Z79+'SUMMARY PER DIVISI'!Z28</f>
        <v>4200000</v>
      </c>
      <c r="Z20" s="542">
        <f>'SUMMARY PER DIVISI'!AA27+'SUMMARY PER DIVISI'!AA29+'SUMMARY PER DIVISI'!AA79+'SUMMARY PER DIVISI'!AA28</f>
        <v>3200000</v>
      </c>
      <c r="AA20" s="542">
        <f>'SUMMARY PER DIVISI'!AB27+'SUMMARY PER DIVISI'!AB29+'SUMMARY PER DIVISI'!AB79+'SUMMARY PER DIVISI'!AB28</f>
        <v>3200000</v>
      </c>
      <c r="AB20" s="542">
        <f>'SUMMARY PER DIVISI'!AC27+'SUMMARY PER DIVISI'!AC29+'SUMMARY PER DIVISI'!AC79+'SUMMARY PER DIVISI'!AC28</f>
        <v>4200000</v>
      </c>
      <c r="AC20" s="542">
        <f t="shared" si="10"/>
        <v>42400000</v>
      </c>
      <c r="AD20" s="613">
        <f>'AND 1'!AC151+'ADY 1'!AF151</f>
        <v>120763008</v>
      </c>
      <c r="AE20" s="265"/>
      <c r="AF20" s="265"/>
    </row>
    <row r="21" spans="1:32" s="264" customFormat="1" ht="15.75" customHeight="1" x14ac:dyDescent="0.2">
      <c r="A21" s="540">
        <v>16</v>
      </c>
      <c r="B21" s="541" t="s">
        <v>100</v>
      </c>
      <c r="C21" s="542">
        <f>'SUMMARY PER DIVISI'!D53</f>
        <v>20000000</v>
      </c>
      <c r="D21" s="542">
        <f>'SUMMARY PER DIVISI'!E53</f>
        <v>43230900</v>
      </c>
      <c r="E21" s="546">
        <f t="shared" si="8"/>
        <v>-23230900</v>
      </c>
      <c r="F21" s="547">
        <f t="shared" si="0"/>
        <v>2.1615449999999998</v>
      </c>
      <c r="G21" s="542">
        <f>'SUMMARY PER DIVISI'!H53</f>
        <v>20000000</v>
      </c>
      <c r="H21" s="542">
        <f>'SUMMARY PER DIVISI'!I53</f>
        <v>34541100</v>
      </c>
      <c r="I21" s="546">
        <f t="shared" si="1"/>
        <v>-14541100</v>
      </c>
      <c r="J21" s="547">
        <f t="shared" si="9"/>
        <v>1.727055</v>
      </c>
      <c r="K21" s="542">
        <f>'SUMMARY PER DIVISI'!L53</f>
        <v>20000000</v>
      </c>
      <c r="L21" s="542">
        <f>'SUMMARY PER DIVISI'!M53</f>
        <v>42062100</v>
      </c>
      <c r="M21" s="546">
        <f t="shared" si="2"/>
        <v>-22062100</v>
      </c>
      <c r="N21" s="547">
        <f t="shared" si="3"/>
        <v>2.1031049999999998</v>
      </c>
      <c r="O21" s="542">
        <f t="shared" si="4"/>
        <v>60000000</v>
      </c>
      <c r="P21" s="542">
        <f t="shared" si="5"/>
        <v>119834100</v>
      </c>
      <c r="Q21" s="546">
        <f t="shared" si="6"/>
        <v>-59834100</v>
      </c>
      <c r="R21" s="547">
        <f t="shared" si="7"/>
        <v>1.9972350000000001</v>
      </c>
      <c r="S21" s="545">
        <f t="shared" si="11"/>
        <v>299834100</v>
      </c>
      <c r="T21" s="542">
        <f>'SUMMARY PER DIVISI'!U53</f>
        <v>20000000</v>
      </c>
      <c r="U21" s="542">
        <f>'SUMMARY PER DIVISI'!V53</f>
        <v>20000000</v>
      </c>
      <c r="V21" s="542">
        <f>'SUMMARY PER DIVISI'!W53</f>
        <v>20000000</v>
      </c>
      <c r="W21" s="542">
        <f>'SUMMARY PER DIVISI'!X53</f>
        <v>20000000</v>
      </c>
      <c r="X21" s="542">
        <f>'SUMMARY PER DIVISI'!Y53</f>
        <v>20000000</v>
      </c>
      <c r="Y21" s="542">
        <f>'SUMMARY PER DIVISI'!Z53</f>
        <v>20000000</v>
      </c>
      <c r="Z21" s="542">
        <f>'SUMMARY PER DIVISI'!AA53</f>
        <v>20000000</v>
      </c>
      <c r="AA21" s="542">
        <f>'SUMMARY PER DIVISI'!AB53</f>
        <v>20000000</v>
      </c>
      <c r="AB21" s="542">
        <f>'SUMMARY PER DIVISI'!AC53</f>
        <v>20000000</v>
      </c>
      <c r="AC21" s="542">
        <f t="shared" si="10"/>
        <v>240000000</v>
      </c>
      <c r="AD21" s="613">
        <f>'AND 1'!AC152+'ADY 1'!AF152</f>
        <v>291020247.69999999</v>
      </c>
      <c r="AE21" s="265"/>
      <c r="AF21" s="265"/>
    </row>
    <row r="22" spans="1:32" s="264" customFormat="1" ht="15.75" customHeight="1" x14ac:dyDescent="0.2">
      <c r="A22" s="540">
        <v>17</v>
      </c>
      <c r="B22" s="541" t="s">
        <v>84</v>
      </c>
      <c r="C22" s="542">
        <f>'SUMMARY PER DIVISI'!D25+'SUMMARY PER DIVISI'!D45+'SUMMARY PER DIVISI'!D61+'SUMMARY PER DIVISI'!D65+'SUMMARY PER DIVISI'!D88+'SUMMARY PER DIVISI'!D94+'SUMMARY PER DIVISI'!D102+'SUMMARY PER DIVISI'!D111+'SUMMARY PER DIVISI'!D97+'SUMMARY PER DIVISI'!D85</f>
        <v>57822000</v>
      </c>
      <c r="D22" s="542">
        <f>'SUMMARY PER DIVISI'!E25+'SUMMARY PER DIVISI'!E45+'SUMMARY PER DIVISI'!E61+'SUMMARY PER DIVISI'!E65+'SUMMARY PER DIVISI'!E88+'SUMMARY PER DIVISI'!E94+'SUMMARY PER DIVISI'!E102+'SUMMARY PER DIVISI'!E111+'SUMMARY PER DIVISI'!E97+'SUMMARY PER DIVISI'!E85</f>
        <v>249761200</v>
      </c>
      <c r="E22" s="546">
        <f t="shared" si="8"/>
        <v>-191939200</v>
      </c>
      <c r="F22" s="547">
        <f t="shared" si="0"/>
        <v>4.3194839334509361</v>
      </c>
      <c r="G22" s="542">
        <f>'SUMMARY PER DIVISI'!H25+'SUMMARY PER DIVISI'!H45+'SUMMARY PER DIVISI'!H61+'SUMMARY PER DIVISI'!H65+'SUMMARY PER DIVISI'!H88+'SUMMARY PER DIVISI'!H94+'SUMMARY PER DIVISI'!H102+'SUMMARY PER DIVISI'!H111+'SUMMARY PER DIVISI'!H97+'SUMMARY PER DIVISI'!H85</f>
        <v>114982000</v>
      </c>
      <c r="H22" s="542">
        <f>'SUMMARY PER DIVISI'!I25+'SUMMARY PER DIVISI'!I45+'SUMMARY PER DIVISI'!I61+'SUMMARY PER DIVISI'!I65+'SUMMARY PER DIVISI'!I88+'SUMMARY PER DIVISI'!I94+'SUMMARY PER DIVISI'!I102+'SUMMARY PER DIVISI'!I111+'SUMMARY PER DIVISI'!I97+'SUMMARY PER DIVISI'!I85</f>
        <v>201425200</v>
      </c>
      <c r="I22" s="546">
        <f t="shared" si="1"/>
        <v>-86443200</v>
      </c>
      <c r="J22" s="547">
        <f t="shared" si="9"/>
        <v>1.7517976726792019</v>
      </c>
      <c r="K22" s="542">
        <f>'SUMMARY PER DIVISI'!L25+'SUMMARY PER DIVISI'!L45+'SUMMARY PER DIVISI'!L61+'SUMMARY PER DIVISI'!L65+'SUMMARY PER DIVISI'!L88+'SUMMARY PER DIVISI'!L94+'SUMMARY PER DIVISI'!L102+'SUMMARY PER DIVISI'!L111+'SUMMARY PER DIVISI'!L97+'SUMMARY PER DIVISI'!L85</f>
        <v>91232000</v>
      </c>
      <c r="L22" s="542">
        <f>'SUMMARY PER DIVISI'!M25+'SUMMARY PER DIVISI'!M45+'SUMMARY PER DIVISI'!M61+'SUMMARY PER DIVISI'!M65+'SUMMARY PER DIVISI'!M88+'SUMMARY PER DIVISI'!M94+'SUMMARY PER DIVISI'!M102+'SUMMARY PER DIVISI'!M111+'SUMMARY PER DIVISI'!M97+'SUMMARY PER DIVISI'!M85</f>
        <v>300822550</v>
      </c>
      <c r="M22" s="546">
        <f t="shared" si="2"/>
        <v>-209590550</v>
      </c>
      <c r="N22" s="547">
        <f t="shared" si="3"/>
        <v>3.297335912837601</v>
      </c>
      <c r="O22" s="542">
        <f t="shared" si="4"/>
        <v>264036000</v>
      </c>
      <c r="P22" s="542">
        <f t="shared" si="5"/>
        <v>752008950</v>
      </c>
      <c r="Q22" s="546">
        <f t="shared" si="6"/>
        <v>-487972950</v>
      </c>
      <c r="R22" s="547">
        <f t="shared" si="7"/>
        <v>2.8481303685861019</v>
      </c>
      <c r="S22" s="545">
        <f t="shared" si="11"/>
        <v>1426787950</v>
      </c>
      <c r="T22" s="542">
        <f>'SUMMARY PER DIVISI'!U25+'SUMMARY PER DIVISI'!U45+'SUMMARY PER DIVISI'!U61+'SUMMARY PER DIVISI'!U65+'SUMMARY PER DIVISI'!U88+'SUMMARY PER DIVISI'!U94+'SUMMARY PER DIVISI'!U102+'SUMMARY PER DIVISI'!U111+'SUMMARY PER DIVISI'!U97+'SUMMARY PER DIVISI'!U85</f>
        <v>51232000</v>
      </c>
      <c r="U22" s="542">
        <f>'SUMMARY PER DIVISI'!V25+'SUMMARY PER DIVISI'!V45+'SUMMARY PER DIVISI'!V61+'SUMMARY PER DIVISI'!V65+'SUMMARY PER DIVISI'!V88+'SUMMARY PER DIVISI'!V94+'SUMMARY PER DIVISI'!V102+'SUMMARY PER DIVISI'!V111+'SUMMARY PER DIVISI'!V97+'SUMMARY PER DIVISI'!V85</f>
        <v>55982000</v>
      </c>
      <c r="V22" s="542">
        <f>'SUMMARY PER DIVISI'!W25+'SUMMARY PER DIVISI'!W45+'SUMMARY PER DIVISI'!W61+'SUMMARY PER DIVISI'!W65+'SUMMARY PER DIVISI'!W88+'SUMMARY PER DIVISI'!W94+'SUMMARY PER DIVISI'!W102+'SUMMARY PER DIVISI'!W111+'SUMMARY PER DIVISI'!W97+'SUMMARY PER DIVISI'!W85</f>
        <v>137923000</v>
      </c>
      <c r="W22" s="542">
        <f>'SUMMARY PER DIVISI'!X25+'SUMMARY PER DIVISI'!X45+'SUMMARY PER DIVISI'!X61+'SUMMARY PER DIVISI'!X65+'SUMMARY PER DIVISI'!X88+'SUMMARY PER DIVISI'!X94+'SUMMARY PER DIVISI'!X102+'SUMMARY PER DIVISI'!X111+'SUMMARY PER DIVISI'!X97+'SUMMARY PER DIVISI'!X85</f>
        <v>55982000</v>
      </c>
      <c r="X22" s="542">
        <f>'SUMMARY PER DIVISI'!Y25+'SUMMARY PER DIVISI'!Y45+'SUMMARY PER DIVISI'!Y61+'SUMMARY PER DIVISI'!Y65+'SUMMARY PER DIVISI'!Y88+'SUMMARY PER DIVISI'!Y94+'SUMMARY PER DIVISI'!Y102+'SUMMARY PER DIVISI'!Y111+'SUMMARY PER DIVISI'!Y97+'SUMMARY PER DIVISI'!Y85</f>
        <v>52342000</v>
      </c>
      <c r="Y22" s="542">
        <f>'SUMMARY PER DIVISI'!Z25+'SUMMARY PER DIVISI'!Z45+'SUMMARY PER DIVISI'!Z61+'SUMMARY PER DIVISI'!Z65+'SUMMARY PER DIVISI'!Z88+'SUMMARY PER DIVISI'!Z94+'SUMMARY PER DIVISI'!Z102+'SUMMARY PER DIVISI'!Z111+'SUMMARY PER DIVISI'!Z97+'SUMMARY PER DIVISI'!Z85</f>
        <v>57282000</v>
      </c>
      <c r="Z22" s="542">
        <f>'SUMMARY PER DIVISI'!AA25+'SUMMARY PER DIVISI'!AA45+'SUMMARY PER DIVISI'!AA61+'SUMMARY PER DIVISI'!AA65+'SUMMARY PER DIVISI'!AA88+'SUMMARY PER DIVISI'!AA94+'SUMMARY PER DIVISI'!AA102+'SUMMARY PER DIVISI'!AA111+'SUMMARY PER DIVISI'!AA97+'SUMMARY PER DIVISI'!AA85</f>
        <v>57822000</v>
      </c>
      <c r="AA22" s="542">
        <f>'SUMMARY PER DIVISI'!AB25+'SUMMARY PER DIVISI'!AB45+'SUMMARY PER DIVISI'!AB61+'SUMMARY PER DIVISI'!AB65+'SUMMARY PER DIVISI'!AB88+'SUMMARY PER DIVISI'!AB94+'SUMMARY PER DIVISI'!AB102+'SUMMARY PER DIVISI'!AB111+'SUMMARY PER DIVISI'!AB97+'SUMMARY PER DIVISI'!AB85</f>
        <v>114982000</v>
      </c>
      <c r="AB22" s="542">
        <f>'SUMMARY PER DIVISI'!AC25+'SUMMARY PER DIVISI'!AC45+'SUMMARY PER DIVISI'!AC61+'SUMMARY PER DIVISI'!AC65+'SUMMARY PER DIVISI'!AC88+'SUMMARY PER DIVISI'!AC94+'SUMMARY PER DIVISI'!AC102+'SUMMARY PER DIVISI'!AC111+'SUMMARY PER DIVISI'!AC97+'SUMMARY PER DIVISI'!AC85</f>
        <v>91232000</v>
      </c>
      <c r="AC22" s="542">
        <f t="shared" si="10"/>
        <v>938815000</v>
      </c>
      <c r="AD22" s="613">
        <f>'AND 1'!AC153+'ADY 1'!AF153</f>
        <v>1153937581</v>
      </c>
      <c r="AE22" s="265"/>
      <c r="AF22" s="265"/>
    </row>
    <row r="23" spans="1:32" s="264" customFormat="1" ht="15.75" customHeight="1" x14ac:dyDescent="0.2">
      <c r="A23" s="540">
        <v>18</v>
      </c>
      <c r="B23" s="541" t="s">
        <v>72</v>
      </c>
      <c r="C23" s="542">
        <f>'SUMMARY PER DIVISI'!D37</f>
        <v>9000000</v>
      </c>
      <c r="D23" s="542">
        <f>'SUMMARY PER DIVISI'!E37</f>
        <v>12209100</v>
      </c>
      <c r="E23" s="546">
        <f t="shared" si="8"/>
        <v>-3209100</v>
      </c>
      <c r="F23" s="547">
        <f t="shared" si="0"/>
        <v>1.3565666666666667</v>
      </c>
      <c r="G23" s="542">
        <f>'SUMMARY PER DIVISI'!H37</f>
        <v>9000000</v>
      </c>
      <c r="H23" s="542">
        <f>'SUMMARY PER DIVISI'!I37</f>
        <v>9829800</v>
      </c>
      <c r="I23" s="546">
        <f t="shared" si="1"/>
        <v>-829800</v>
      </c>
      <c r="J23" s="547">
        <f t="shared" si="9"/>
        <v>1.0922000000000001</v>
      </c>
      <c r="K23" s="542">
        <f>'SUMMARY PER DIVISI'!L37</f>
        <v>9000000</v>
      </c>
      <c r="L23" s="542">
        <f>'SUMMARY PER DIVISI'!M37</f>
        <v>9726010</v>
      </c>
      <c r="M23" s="546">
        <f t="shared" si="2"/>
        <v>-726010</v>
      </c>
      <c r="N23" s="547">
        <f t="shared" si="3"/>
        <v>1.0806677777777778</v>
      </c>
      <c r="O23" s="542">
        <f t="shared" si="4"/>
        <v>27000000</v>
      </c>
      <c r="P23" s="542">
        <f t="shared" si="5"/>
        <v>31764910</v>
      </c>
      <c r="Q23" s="546">
        <f t="shared" si="6"/>
        <v>-4764910</v>
      </c>
      <c r="R23" s="547">
        <f t="shared" si="7"/>
        <v>1.1764781481481481</v>
      </c>
      <c r="S23" s="545">
        <f t="shared" si="11"/>
        <v>112764910</v>
      </c>
      <c r="T23" s="542">
        <f>'SUMMARY PER DIVISI'!U37</f>
        <v>9000000</v>
      </c>
      <c r="U23" s="542">
        <f>'SUMMARY PER DIVISI'!V37</f>
        <v>9000000</v>
      </c>
      <c r="V23" s="542">
        <f>'SUMMARY PER DIVISI'!W37</f>
        <v>9000000</v>
      </c>
      <c r="W23" s="542">
        <f>'SUMMARY PER DIVISI'!X37</f>
        <v>9000000</v>
      </c>
      <c r="X23" s="542">
        <f>'SUMMARY PER DIVISI'!Y37</f>
        <v>9000000</v>
      </c>
      <c r="Y23" s="542">
        <f>'SUMMARY PER DIVISI'!Z37</f>
        <v>9000000</v>
      </c>
      <c r="Z23" s="542">
        <f>'SUMMARY PER DIVISI'!AA37</f>
        <v>9000000</v>
      </c>
      <c r="AA23" s="542">
        <f>'SUMMARY PER DIVISI'!AB37</f>
        <v>9000000</v>
      </c>
      <c r="AB23" s="542">
        <f>'SUMMARY PER DIVISI'!AC37</f>
        <v>9000000</v>
      </c>
      <c r="AC23" s="542">
        <f t="shared" si="10"/>
        <v>108000000</v>
      </c>
      <c r="AD23" s="613">
        <f>'AND 1'!AC154+'ADY 1'!AF154</f>
        <v>120015456.75999999</v>
      </c>
      <c r="AE23" s="265"/>
      <c r="AF23" s="265"/>
    </row>
    <row r="24" spans="1:32" s="264" customFormat="1" ht="15.75" customHeight="1" x14ac:dyDescent="0.2">
      <c r="A24" s="540">
        <v>19</v>
      </c>
      <c r="B24" s="541" t="s">
        <v>193</v>
      </c>
      <c r="C24" s="542">
        <f>'SUMMARY PER DIVISI'!D12+'SUMMARY PER DIVISI'!D13+'SUMMARY PER DIVISI'!D110+'SUMMARY PER DIVISI'!D75</f>
        <v>149209176.59999999</v>
      </c>
      <c r="D24" s="542">
        <f>'SUMMARY PER DIVISI'!E12+'SUMMARY PER DIVISI'!E13+'SUMMARY PER DIVISI'!E110+'SUMMARY PER DIVISI'!E75</f>
        <v>148551913</v>
      </c>
      <c r="E24" s="546">
        <f t="shared" si="8"/>
        <v>657263.59999999404</v>
      </c>
      <c r="F24" s="547">
        <f t="shared" si="0"/>
        <v>0.99559501891923186</v>
      </c>
      <c r="G24" s="542">
        <f>'SUMMARY PER DIVISI'!H12+'SUMMARY PER DIVISI'!H13+'SUMMARY PER DIVISI'!H110+'SUMMARY PER DIVISI'!H75</f>
        <v>149209176.59999999</v>
      </c>
      <c r="H24" s="542">
        <f>'SUMMARY PER DIVISI'!I12+'SUMMARY PER DIVISI'!I13+'SUMMARY PER DIVISI'!I110+'SUMMARY PER DIVISI'!I75</f>
        <v>146672191</v>
      </c>
      <c r="I24" s="546">
        <f t="shared" si="1"/>
        <v>2536985.599999994</v>
      </c>
      <c r="J24" s="547">
        <f t="shared" si="9"/>
        <v>0.98299712083526103</v>
      </c>
      <c r="K24" s="542">
        <f>'SUMMARY PER DIVISI'!L12+'SUMMARY PER DIVISI'!L13+'SUMMARY PER DIVISI'!L110+'SUMMARY PER DIVISI'!L75</f>
        <v>149209176.59999999</v>
      </c>
      <c r="L24" s="542">
        <f>'SUMMARY PER DIVISI'!M12+'SUMMARY PER DIVISI'!M13+'SUMMARY PER DIVISI'!M110+'SUMMARY PER DIVISI'!M75</f>
        <v>107907353</v>
      </c>
      <c r="M24" s="546">
        <f t="shared" si="2"/>
        <v>41301823.599999994</v>
      </c>
      <c r="N24" s="547">
        <f t="shared" si="3"/>
        <v>0.72319515098778453</v>
      </c>
      <c r="O24" s="542">
        <f t="shared" si="4"/>
        <v>447627529.79999995</v>
      </c>
      <c r="P24" s="542">
        <f t="shared" si="5"/>
        <v>403131457</v>
      </c>
      <c r="Q24" s="546">
        <f t="shared" si="6"/>
        <v>44496072.799999952</v>
      </c>
      <c r="R24" s="547">
        <f t="shared" si="7"/>
        <v>0.90059576358075921</v>
      </c>
      <c r="S24" s="545">
        <f t="shared" si="11"/>
        <v>1151014046.4000001</v>
      </c>
      <c r="T24" s="542">
        <f>'SUMMARY PER DIVISI'!U12+'SUMMARY PER DIVISI'!U13+'SUMMARY PER DIVISI'!U110+'SUMMARY PER DIVISI'!U75</f>
        <v>74209176.599999994</v>
      </c>
      <c r="U24" s="542">
        <f>'SUMMARY PER DIVISI'!V12+'SUMMARY PER DIVISI'!V13+'SUMMARY PER DIVISI'!V110+'SUMMARY PER DIVISI'!V75</f>
        <v>74209176.599999994</v>
      </c>
      <c r="V24" s="542">
        <f>'SUMMARY PER DIVISI'!W12+'SUMMARY PER DIVISI'!W13+'SUMMARY PER DIVISI'!W110+'SUMMARY PER DIVISI'!W75</f>
        <v>154209176.59999999</v>
      </c>
      <c r="W24" s="542">
        <f>'SUMMARY PER DIVISI'!X12+'SUMMARY PER DIVISI'!X13+'SUMMARY PER DIVISI'!X110+'SUMMARY PER DIVISI'!X75</f>
        <v>74209176.599999994</v>
      </c>
      <c r="X24" s="542">
        <f>'SUMMARY PER DIVISI'!Y12+'SUMMARY PER DIVISI'!Y13+'SUMMARY PER DIVISI'!Y110+'SUMMARY PER DIVISI'!Y75</f>
        <v>74209176.599999994</v>
      </c>
      <c r="Y24" s="542">
        <f>'SUMMARY PER DIVISI'!Z12+'SUMMARY PER DIVISI'!Z13+'SUMMARY PER DIVISI'!Z110+'SUMMARY PER DIVISI'!Z75</f>
        <v>74209176.599999994</v>
      </c>
      <c r="Z24" s="542">
        <f>'SUMMARY PER DIVISI'!AA12+'SUMMARY PER DIVISI'!AA13+'SUMMARY PER DIVISI'!AA110+'SUMMARY PER DIVISI'!AA75</f>
        <v>74209176.599999994</v>
      </c>
      <c r="AA24" s="542">
        <f>'SUMMARY PER DIVISI'!AB12+'SUMMARY PER DIVISI'!AB13+'SUMMARY PER DIVISI'!AB110+'SUMMARY PER DIVISI'!AB75</f>
        <v>74209176.599999994</v>
      </c>
      <c r="AB24" s="542">
        <f>'SUMMARY PER DIVISI'!AC12+'SUMMARY PER DIVISI'!AC13+'SUMMARY PER DIVISI'!AC110+'SUMMARY PER DIVISI'!AC75</f>
        <v>74209176.599999994</v>
      </c>
      <c r="AC24" s="542">
        <f t="shared" si="10"/>
        <v>1195510119.2</v>
      </c>
      <c r="AD24" s="613">
        <f>'AND 1'!AC155+'ADY 1'!AF155</f>
        <v>736559739.25</v>
      </c>
      <c r="AE24" s="265"/>
      <c r="AF24" s="265"/>
    </row>
    <row r="25" spans="1:32" s="264" customFormat="1" ht="15.75" customHeight="1" x14ac:dyDescent="0.2">
      <c r="A25" s="540">
        <v>20</v>
      </c>
      <c r="B25" s="541" t="s">
        <v>194</v>
      </c>
      <c r="C25" s="542">
        <f>'SUMMARY PER DIVISI'!D92</f>
        <v>1000000</v>
      </c>
      <c r="D25" s="542">
        <f>'SUMMARY PER DIVISI'!E92</f>
        <v>0</v>
      </c>
      <c r="E25" s="546">
        <f t="shared" si="8"/>
        <v>1000000</v>
      </c>
      <c r="F25" s="547">
        <f t="shared" si="0"/>
        <v>0</v>
      </c>
      <c r="G25" s="542">
        <f>'SUMMARY PER DIVISI'!H92</f>
        <v>1000000</v>
      </c>
      <c r="H25" s="542">
        <f>'SUMMARY PER DIVISI'!I92</f>
        <v>0</v>
      </c>
      <c r="I25" s="546">
        <f t="shared" si="1"/>
        <v>1000000</v>
      </c>
      <c r="J25" s="547">
        <f t="shared" si="9"/>
        <v>0</v>
      </c>
      <c r="K25" s="542">
        <f>'SUMMARY PER DIVISI'!L92</f>
        <v>1000000</v>
      </c>
      <c r="L25" s="542">
        <f>'SUMMARY PER DIVISI'!M92</f>
        <v>0</v>
      </c>
      <c r="M25" s="546">
        <f t="shared" si="2"/>
        <v>1000000</v>
      </c>
      <c r="N25" s="547">
        <f t="shared" si="3"/>
        <v>0</v>
      </c>
      <c r="O25" s="542">
        <f t="shared" si="4"/>
        <v>3000000</v>
      </c>
      <c r="P25" s="542">
        <f t="shared" si="5"/>
        <v>0</v>
      </c>
      <c r="Q25" s="546">
        <f t="shared" si="6"/>
        <v>3000000</v>
      </c>
      <c r="R25" s="547">
        <f t="shared" si="7"/>
        <v>0</v>
      </c>
      <c r="S25" s="545">
        <f t="shared" si="11"/>
        <v>9000000</v>
      </c>
      <c r="T25" s="542">
        <f>'SUMMARY PER DIVISI'!U92</f>
        <v>1000000</v>
      </c>
      <c r="U25" s="542">
        <f>'SUMMARY PER DIVISI'!V92</f>
        <v>1000000</v>
      </c>
      <c r="V25" s="542">
        <f>'SUMMARY PER DIVISI'!W92</f>
        <v>1000000</v>
      </c>
      <c r="W25" s="542">
        <f>'SUMMARY PER DIVISI'!X92</f>
        <v>1000000</v>
      </c>
      <c r="X25" s="542">
        <f>'SUMMARY PER DIVISI'!Y92</f>
        <v>1000000</v>
      </c>
      <c r="Y25" s="542">
        <f>'SUMMARY PER DIVISI'!Z92</f>
        <v>1000000</v>
      </c>
      <c r="Z25" s="542">
        <f>'SUMMARY PER DIVISI'!AA92</f>
        <v>1000000</v>
      </c>
      <c r="AA25" s="542">
        <f>'SUMMARY PER DIVISI'!AB92</f>
        <v>1000000</v>
      </c>
      <c r="AB25" s="542">
        <f>'SUMMARY PER DIVISI'!AC92</f>
        <v>1000000</v>
      </c>
      <c r="AC25" s="542">
        <f t="shared" si="10"/>
        <v>12000000</v>
      </c>
      <c r="AD25" s="613">
        <f>'AND 1'!AC156+'ADY 1'!AF156</f>
        <v>0</v>
      </c>
      <c r="AE25" s="265"/>
      <c r="AF25" s="265"/>
    </row>
    <row r="26" spans="1:32" s="264" customFormat="1" ht="15.75" customHeight="1" x14ac:dyDescent="0.2">
      <c r="A26" s="540">
        <v>21</v>
      </c>
      <c r="B26" s="541" t="s">
        <v>195</v>
      </c>
      <c r="C26" s="542">
        <f>'SUMMARY PER DIVISI'!D38+'SUMMARY PER DIVISI'!D104</f>
        <v>2000000</v>
      </c>
      <c r="D26" s="542">
        <f>'SUMMARY PER DIVISI'!E38+'SUMMARY PER DIVISI'!E104</f>
        <v>6073400</v>
      </c>
      <c r="E26" s="546">
        <f t="shared" si="8"/>
        <v>-4073400</v>
      </c>
      <c r="F26" s="547">
        <f t="shared" si="0"/>
        <v>3.0367000000000002</v>
      </c>
      <c r="G26" s="542">
        <f>'SUMMARY PER DIVISI'!H38+'SUMMARY PER DIVISI'!H104</f>
        <v>2000000</v>
      </c>
      <c r="H26" s="542">
        <f>'SUMMARY PER DIVISI'!I38+'SUMMARY PER DIVISI'!I104</f>
        <v>4728900</v>
      </c>
      <c r="I26" s="546">
        <f t="shared" si="1"/>
        <v>-2728900</v>
      </c>
      <c r="J26" s="547">
        <f t="shared" si="9"/>
        <v>2.3644500000000002</v>
      </c>
      <c r="K26" s="542">
        <f>'SUMMARY PER DIVISI'!L38+'SUMMARY PER DIVISI'!L104</f>
        <v>2000000</v>
      </c>
      <c r="L26" s="542">
        <f>'SUMMARY PER DIVISI'!M38+'SUMMARY PER DIVISI'!M104</f>
        <v>9509000</v>
      </c>
      <c r="M26" s="546">
        <f t="shared" si="2"/>
        <v>-7509000</v>
      </c>
      <c r="N26" s="547">
        <f t="shared" si="3"/>
        <v>4.7545000000000002</v>
      </c>
      <c r="O26" s="542">
        <f t="shared" si="4"/>
        <v>6000000</v>
      </c>
      <c r="P26" s="542">
        <f t="shared" si="5"/>
        <v>20311300</v>
      </c>
      <c r="Q26" s="546">
        <f t="shared" si="6"/>
        <v>-14311300</v>
      </c>
      <c r="R26" s="547">
        <f t="shared" si="7"/>
        <v>3.3852166666666665</v>
      </c>
      <c r="S26" s="545">
        <f t="shared" si="11"/>
        <v>38311300</v>
      </c>
      <c r="T26" s="542">
        <f>'SUMMARY PER DIVISI'!U38+'SUMMARY PER DIVISI'!U104</f>
        <v>2000000</v>
      </c>
      <c r="U26" s="542">
        <f>'SUMMARY PER DIVISI'!V38+'SUMMARY PER DIVISI'!V104</f>
        <v>2000000</v>
      </c>
      <c r="V26" s="542">
        <f>'SUMMARY PER DIVISI'!W38+'SUMMARY PER DIVISI'!W104</f>
        <v>2000000</v>
      </c>
      <c r="W26" s="542">
        <f>'SUMMARY PER DIVISI'!X38+'SUMMARY PER DIVISI'!X104</f>
        <v>2000000</v>
      </c>
      <c r="X26" s="542">
        <f>'SUMMARY PER DIVISI'!Y38+'SUMMARY PER DIVISI'!Y104</f>
        <v>2000000</v>
      </c>
      <c r="Y26" s="542">
        <f>'SUMMARY PER DIVISI'!Z38+'SUMMARY PER DIVISI'!Z104</f>
        <v>2000000</v>
      </c>
      <c r="Z26" s="542">
        <f>'SUMMARY PER DIVISI'!AA38+'SUMMARY PER DIVISI'!AA104</f>
        <v>2000000</v>
      </c>
      <c r="AA26" s="542">
        <f>'SUMMARY PER DIVISI'!AB38+'SUMMARY PER DIVISI'!AB104</f>
        <v>2000000</v>
      </c>
      <c r="AB26" s="542">
        <f>'SUMMARY PER DIVISI'!AC38+'SUMMARY PER DIVISI'!AC104</f>
        <v>2000000</v>
      </c>
      <c r="AC26" s="542">
        <f t="shared" si="10"/>
        <v>24000000</v>
      </c>
      <c r="AD26" s="613">
        <f>'AND 1'!AC157+'ADY 1'!AF157</f>
        <v>44120877.43</v>
      </c>
      <c r="AE26" s="265"/>
      <c r="AF26" s="265"/>
    </row>
    <row r="27" spans="1:32" s="264" customFormat="1" ht="15.75" customHeight="1" x14ac:dyDescent="0.2">
      <c r="A27" s="540">
        <v>22</v>
      </c>
      <c r="B27" s="541" t="s">
        <v>76</v>
      </c>
      <c r="C27" s="542">
        <f>'SUMMARY PER DIVISI'!D39</f>
        <v>12000000</v>
      </c>
      <c r="D27" s="542">
        <f>'SUMMARY PER DIVISI'!E39</f>
        <v>1292300</v>
      </c>
      <c r="E27" s="546">
        <f t="shared" si="8"/>
        <v>10707700</v>
      </c>
      <c r="F27" s="547">
        <f t="shared" si="0"/>
        <v>0.10769166666666667</v>
      </c>
      <c r="G27" s="542">
        <f>'SUMMARY PER DIVISI'!H39</f>
        <v>12000000</v>
      </c>
      <c r="H27" s="542">
        <f>'SUMMARY PER DIVISI'!I39</f>
        <v>1503900</v>
      </c>
      <c r="I27" s="546">
        <f t="shared" si="1"/>
        <v>10496100</v>
      </c>
      <c r="J27" s="547">
        <f t="shared" si="9"/>
        <v>0.12532499999999999</v>
      </c>
      <c r="K27" s="542">
        <f>'SUMMARY PER DIVISI'!L39</f>
        <v>12000000</v>
      </c>
      <c r="L27" s="542">
        <f>'SUMMARY PER DIVISI'!M39</f>
        <v>1518400</v>
      </c>
      <c r="M27" s="546">
        <f t="shared" si="2"/>
        <v>10481600</v>
      </c>
      <c r="N27" s="547">
        <f t="shared" si="3"/>
        <v>0.12653333333333333</v>
      </c>
      <c r="O27" s="542">
        <f t="shared" si="4"/>
        <v>36000000</v>
      </c>
      <c r="P27" s="542">
        <f t="shared" si="5"/>
        <v>4314600</v>
      </c>
      <c r="Q27" s="546">
        <f t="shared" si="6"/>
        <v>31685400</v>
      </c>
      <c r="R27" s="547">
        <f t="shared" si="7"/>
        <v>0.11985</v>
      </c>
      <c r="S27" s="545">
        <f>AC27-O27+P27</f>
        <v>112314600</v>
      </c>
      <c r="T27" s="542">
        <f>'SUMMARY PER DIVISI'!U39</f>
        <v>12000000</v>
      </c>
      <c r="U27" s="542">
        <f>'SUMMARY PER DIVISI'!V39</f>
        <v>12000000</v>
      </c>
      <c r="V27" s="542">
        <f>'SUMMARY PER DIVISI'!W39</f>
        <v>12000000</v>
      </c>
      <c r="W27" s="542">
        <f>'SUMMARY PER DIVISI'!X39</f>
        <v>12000000</v>
      </c>
      <c r="X27" s="542">
        <f>'SUMMARY PER DIVISI'!Y39</f>
        <v>12000000</v>
      </c>
      <c r="Y27" s="542">
        <f>'SUMMARY PER DIVISI'!Z39</f>
        <v>12000000</v>
      </c>
      <c r="Z27" s="542">
        <f>'SUMMARY PER DIVISI'!AA39</f>
        <v>12000000</v>
      </c>
      <c r="AA27" s="542">
        <f>'SUMMARY PER DIVISI'!AB39</f>
        <v>12000000</v>
      </c>
      <c r="AB27" s="542">
        <f>'SUMMARY PER DIVISI'!AC39</f>
        <v>12000000</v>
      </c>
      <c r="AC27" s="542">
        <f t="shared" si="10"/>
        <v>144000000</v>
      </c>
      <c r="AD27" s="613">
        <f>'AND 1'!AC158+'ADY 1'!AF158</f>
        <v>57082865</v>
      </c>
      <c r="AE27" s="265"/>
      <c r="AF27" s="265"/>
    </row>
    <row r="28" spans="1:32" s="264" customFormat="1" ht="15.75" customHeight="1" x14ac:dyDescent="0.2">
      <c r="A28" s="540">
        <v>23</v>
      </c>
      <c r="B28" s="541" t="s">
        <v>196</v>
      </c>
      <c r="C28" s="542">
        <f>'SUMMARY PER DIVISI'!D47</f>
        <v>131000000</v>
      </c>
      <c r="D28" s="542">
        <f>'SUMMARY PER DIVISI'!E47</f>
        <v>158512000</v>
      </c>
      <c r="E28" s="546">
        <f t="shared" si="8"/>
        <v>-27512000</v>
      </c>
      <c r="F28" s="547">
        <f t="shared" si="0"/>
        <v>1.2100152671755726</v>
      </c>
      <c r="G28" s="542">
        <f>'SUMMARY PER DIVISI'!H47</f>
        <v>131000000</v>
      </c>
      <c r="H28" s="542">
        <f>'SUMMARY PER DIVISI'!I47</f>
        <v>158512000</v>
      </c>
      <c r="I28" s="546">
        <f t="shared" si="1"/>
        <v>-27512000</v>
      </c>
      <c r="J28" s="547">
        <f t="shared" si="9"/>
        <v>1.2100152671755726</v>
      </c>
      <c r="K28" s="542">
        <f>'SUMMARY PER DIVISI'!L47</f>
        <v>131000000</v>
      </c>
      <c r="L28" s="542">
        <f>'SUMMARY PER DIVISI'!M47</f>
        <v>158512000</v>
      </c>
      <c r="M28" s="546">
        <f t="shared" si="2"/>
        <v>-27512000</v>
      </c>
      <c r="N28" s="547">
        <f t="shared" si="3"/>
        <v>1.2100152671755726</v>
      </c>
      <c r="O28" s="542">
        <f t="shared" si="4"/>
        <v>393000000</v>
      </c>
      <c r="P28" s="542">
        <f t="shared" si="5"/>
        <v>475536000</v>
      </c>
      <c r="Q28" s="546">
        <f t="shared" si="6"/>
        <v>-82536000</v>
      </c>
      <c r="R28" s="547">
        <f t="shared" si="7"/>
        <v>1.2100152671755726</v>
      </c>
      <c r="S28" s="545">
        <f t="shared" si="11"/>
        <v>1654536000</v>
      </c>
      <c r="T28" s="542">
        <f>'SUMMARY PER DIVISI'!U47</f>
        <v>131000000</v>
      </c>
      <c r="U28" s="542">
        <f>'SUMMARY PER DIVISI'!V47</f>
        <v>131000000</v>
      </c>
      <c r="V28" s="542">
        <f>'SUMMARY PER DIVISI'!W47</f>
        <v>131000000</v>
      </c>
      <c r="W28" s="542">
        <f>'SUMMARY PER DIVISI'!X47</f>
        <v>131000000</v>
      </c>
      <c r="X28" s="542">
        <f>'SUMMARY PER DIVISI'!Y47</f>
        <v>131000000</v>
      </c>
      <c r="Y28" s="542">
        <f>'SUMMARY PER DIVISI'!Z47</f>
        <v>131000000</v>
      </c>
      <c r="Z28" s="542">
        <f>'SUMMARY PER DIVISI'!AA47</f>
        <v>131000000</v>
      </c>
      <c r="AA28" s="542">
        <f>'SUMMARY PER DIVISI'!AB47</f>
        <v>131000000</v>
      </c>
      <c r="AB28" s="542">
        <f>'SUMMARY PER DIVISI'!AC47</f>
        <v>131000000</v>
      </c>
      <c r="AC28" s="542">
        <f t="shared" si="10"/>
        <v>1572000000</v>
      </c>
      <c r="AD28" s="613">
        <f>'AND 1'!AC159+'ADY 1'!AF159</f>
        <v>1909674000</v>
      </c>
      <c r="AE28" s="265"/>
      <c r="AF28" s="265"/>
    </row>
    <row r="29" spans="1:32" s="264" customFormat="1" ht="15.75" customHeight="1" x14ac:dyDescent="0.2">
      <c r="A29" s="540">
        <v>24</v>
      </c>
      <c r="B29" s="541" t="s">
        <v>83</v>
      </c>
      <c r="C29" s="542">
        <f>'SUMMARY PER DIVISI'!D34</f>
        <v>2000000</v>
      </c>
      <c r="D29" s="542">
        <f>'SUMMARY PER DIVISI'!E34</f>
        <v>672000</v>
      </c>
      <c r="E29" s="546">
        <f t="shared" si="8"/>
        <v>1328000</v>
      </c>
      <c r="F29" s="547">
        <f t="shared" si="0"/>
        <v>0.33600000000000002</v>
      </c>
      <c r="G29" s="542">
        <f>'SUMMARY PER DIVISI'!H34</f>
        <v>2000000</v>
      </c>
      <c r="H29" s="542">
        <f>'SUMMARY PER DIVISI'!I34</f>
        <v>781500</v>
      </c>
      <c r="I29" s="546">
        <f t="shared" si="1"/>
        <v>1218500</v>
      </c>
      <c r="J29" s="547">
        <f t="shared" si="9"/>
        <v>0.39074999999999999</v>
      </c>
      <c r="K29" s="542">
        <f>'SUMMARY PER DIVISI'!L34</f>
        <v>2000000</v>
      </c>
      <c r="L29" s="542">
        <f>'SUMMARY PER DIVISI'!M34</f>
        <v>546300</v>
      </c>
      <c r="M29" s="546">
        <f t="shared" si="2"/>
        <v>1453700</v>
      </c>
      <c r="N29" s="547">
        <f t="shared" si="3"/>
        <v>0.27315</v>
      </c>
      <c r="O29" s="542">
        <f t="shared" si="4"/>
        <v>6000000</v>
      </c>
      <c r="P29" s="542">
        <f t="shared" si="5"/>
        <v>1999800</v>
      </c>
      <c r="Q29" s="546">
        <f t="shared" si="6"/>
        <v>4000200</v>
      </c>
      <c r="R29" s="547">
        <f t="shared" si="7"/>
        <v>0.33329999999999999</v>
      </c>
      <c r="S29" s="545">
        <f t="shared" si="11"/>
        <v>19999800</v>
      </c>
      <c r="T29" s="542">
        <f>'SUMMARY PER DIVISI'!U34</f>
        <v>2000000</v>
      </c>
      <c r="U29" s="542">
        <f>'SUMMARY PER DIVISI'!V34</f>
        <v>2000000</v>
      </c>
      <c r="V29" s="542">
        <f>'SUMMARY PER DIVISI'!W34</f>
        <v>2000000</v>
      </c>
      <c r="W29" s="542">
        <f>'SUMMARY PER DIVISI'!X34</f>
        <v>2000000</v>
      </c>
      <c r="X29" s="542">
        <f>'SUMMARY PER DIVISI'!Y34</f>
        <v>2000000</v>
      </c>
      <c r="Y29" s="542">
        <f>'SUMMARY PER DIVISI'!Z34</f>
        <v>2000000</v>
      </c>
      <c r="Z29" s="542">
        <f>'SUMMARY PER DIVISI'!AA34</f>
        <v>2000000</v>
      </c>
      <c r="AA29" s="542">
        <f>'SUMMARY PER DIVISI'!AB34</f>
        <v>2000000</v>
      </c>
      <c r="AB29" s="542">
        <f>'SUMMARY PER DIVISI'!AC34</f>
        <v>2000000</v>
      </c>
      <c r="AC29" s="542">
        <f t="shared" si="10"/>
        <v>24000000</v>
      </c>
      <c r="AD29" s="613">
        <f>'AND 1'!AC160+'ADY 1'!AF160</f>
        <v>1999800</v>
      </c>
      <c r="AE29" s="265"/>
      <c r="AF29" s="265"/>
    </row>
    <row r="30" spans="1:32" s="264" customFormat="1" ht="15.75" customHeight="1" x14ac:dyDescent="0.2">
      <c r="A30" s="540">
        <v>25</v>
      </c>
      <c r="B30" s="541" t="s">
        <v>197</v>
      </c>
      <c r="C30" s="542">
        <f>'SUMMARY PER DIVISI'!D107+'SUMMARY PER DIVISI'!D117</f>
        <v>12500000</v>
      </c>
      <c r="D30" s="542">
        <f>'SUMMARY PER DIVISI'!E107+'SUMMARY PER DIVISI'!E117</f>
        <v>0</v>
      </c>
      <c r="E30" s="546">
        <f t="shared" si="8"/>
        <v>12500000</v>
      </c>
      <c r="F30" s="547">
        <f t="shared" si="0"/>
        <v>0</v>
      </c>
      <c r="G30" s="542">
        <f>'SUMMARY PER DIVISI'!H107+'SUMMARY PER DIVISI'!H117</f>
        <v>12500000</v>
      </c>
      <c r="H30" s="542">
        <f>'SUMMARY PER DIVISI'!I107+'SUMMARY PER DIVISI'!I117</f>
        <v>0</v>
      </c>
      <c r="I30" s="546">
        <f t="shared" si="1"/>
        <v>12500000</v>
      </c>
      <c r="J30" s="547">
        <f t="shared" si="9"/>
        <v>0</v>
      </c>
      <c r="K30" s="542">
        <f>'SUMMARY PER DIVISI'!L107+'SUMMARY PER DIVISI'!L117</f>
        <v>12500000</v>
      </c>
      <c r="L30" s="542">
        <f>'SUMMARY PER DIVISI'!M107+'SUMMARY PER DIVISI'!M117</f>
        <v>0</v>
      </c>
      <c r="M30" s="546">
        <f t="shared" si="2"/>
        <v>12500000</v>
      </c>
      <c r="N30" s="547">
        <f t="shared" si="3"/>
        <v>0</v>
      </c>
      <c r="O30" s="542">
        <f t="shared" si="4"/>
        <v>37500000</v>
      </c>
      <c r="P30" s="542">
        <f t="shared" si="5"/>
        <v>0</v>
      </c>
      <c r="Q30" s="546">
        <f t="shared" si="6"/>
        <v>37500000</v>
      </c>
      <c r="R30" s="547">
        <f t="shared" si="7"/>
        <v>0</v>
      </c>
      <c r="S30" s="545">
        <f t="shared" si="11"/>
        <v>112500000</v>
      </c>
      <c r="T30" s="542">
        <f>'SUMMARY PER DIVISI'!U107+'SUMMARY PER DIVISI'!U117</f>
        <v>12500000</v>
      </c>
      <c r="U30" s="542">
        <f>'SUMMARY PER DIVISI'!V107+'SUMMARY PER DIVISI'!V117</f>
        <v>12500000</v>
      </c>
      <c r="V30" s="542">
        <f>'SUMMARY PER DIVISI'!W107+'SUMMARY PER DIVISI'!W117</f>
        <v>12500000</v>
      </c>
      <c r="W30" s="542">
        <f>'SUMMARY PER DIVISI'!X107+'SUMMARY PER DIVISI'!X117</f>
        <v>12500000</v>
      </c>
      <c r="X30" s="542">
        <f>'SUMMARY PER DIVISI'!Y107+'SUMMARY PER DIVISI'!Y117</f>
        <v>12500000</v>
      </c>
      <c r="Y30" s="542">
        <f>'SUMMARY PER DIVISI'!Z107+'SUMMARY PER DIVISI'!Z117</f>
        <v>12500000</v>
      </c>
      <c r="Z30" s="542">
        <f>'SUMMARY PER DIVISI'!AA107+'SUMMARY PER DIVISI'!AA117</f>
        <v>12500000</v>
      </c>
      <c r="AA30" s="542">
        <f>'SUMMARY PER DIVISI'!AB107+'SUMMARY PER DIVISI'!AB117</f>
        <v>12500000</v>
      </c>
      <c r="AB30" s="542">
        <f>'SUMMARY PER DIVISI'!AC107+'SUMMARY PER DIVISI'!AC117</f>
        <v>12500000</v>
      </c>
      <c r="AC30" s="542">
        <f t="shared" si="10"/>
        <v>150000000</v>
      </c>
      <c r="AD30" s="613">
        <f>'AND 1'!AC161+'ADY 1'!AF161</f>
        <v>302654233</v>
      </c>
      <c r="AE30" s="265"/>
      <c r="AF30" s="265"/>
    </row>
    <row r="31" spans="1:32" s="264" customFormat="1" ht="15.75" customHeight="1" x14ac:dyDescent="0.2">
      <c r="A31" s="540">
        <v>26</v>
      </c>
      <c r="B31" s="541" t="s">
        <v>198</v>
      </c>
      <c r="C31" s="542">
        <f>'SUMMARY PER DIVISI'!D23</f>
        <v>33500000</v>
      </c>
      <c r="D31" s="542">
        <f>'SUMMARY PER DIVISI'!E23</f>
        <v>30679268</v>
      </c>
      <c r="E31" s="546">
        <f t="shared" si="8"/>
        <v>2820732</v>
      </c>
      <c r="F31" s="547">
        <f t="shared" si="0"/>
        <v>0.9157990447761194</v>
      </c>
      <c r="G31" s="542">
        <f>'SUMMARY PER DIVISI'!H23</f>
        <v>33500000</v>
      </c>
      <c r="H31" s="542">
        <f>'SUMMARY PER DIVISI'!I23</f>
        <v>30517601</v>
      </c>
      <c r="I31" s="546">
        <f t="shared" si="1"/>
        <v>2982399</v>
      </c>
      <c r="J31" s="547">
        <f t="shared" si="9"/>
        <v>0.91097316417910446</v>
      </c>
      <c r="K31" s="542">
        <f>'SUMMARY PER DIVISI'!L23</f>
        <v>33500000</v>
      </c>
      <c r="L31" s="542">
        <f>'SUMMARY PER DIVISI'!M23</f>
        <v>31376911</v>
      </c>
      <c r="M31" s="546">
        <f t="shared" si="2"/>
        <v>2123089</v>
      </c>
      <c r="N31" s="547">
        <f t="shared" si="3"/>
        <v>0.93662420895522391</v>
      </c>
      <c r="O31" s="542">
        <f t="shared" si="4"/>
        <v>100500000</v>
      </c>
      <c r="P31" s="542">
        <f t="shared" si="5"/>
        <v>92573780</v>
      </c>
      <c r="Q31" s="546">
        <f t="shared" si="6"/>
        <v>7926220</v>
      </c>
      <c r="R31" s="547">
        <f t="shared" si="7"/>
        <v>0.92113213930348259</v>
      </c>
      <c r="S31" s="545">
        <f t="shared" si="11"/>
        <v>394073780</v>
      </c>
      <c r="T31" s="542">
        <f>'SUMMARY PER DIVISI'!U23</f>
        <v>33500000</v>
      </c>
      <c r="U31" s="542">
        <f>'SUMMARY PER DIVISI'!V23</f>
        <v>33500000</v>
      </c>
      <c r="V31" s="542">
        <f>'SUMMARY PER DIVISI'!W23</f>
        <v>33500000</v>
      </c>
      <c r="W31" s="542">
        <f>'SUMMARY PER DIVISI'!X23</f>
        <v>33500000</v>
      </c>
      <c r="X31" s="542">
        <f>'SUMMARY PER DIVISI'!Y23</f>
        <v>33500000</v>
      </c>
      <c r="Y31" s="542">
        <f>'SUMMARY PER DIVISI'!Z23</f>
        <v>33500000</v>
      </c>
      <c r="Z31" s="542">
        <f>'SUMMARY PER DIVISI'!AA23</f>
        <v>33500000</v>
      </c>
      <c r="AA31" s="542">
        <f>'SUMMARY PER DIVISI'!AB23</f>
        <v>33500000</v>
      </c>
      <c r="AB31" s="542">
        <f>'SUMMARY PER DIVISI'!AC23</f>
        <v>33500000</v>
      </c>
      <c r="AC31" s="542">
        <f t="shared" si="10"/>
        <v>402000000</v>
      </c>
      <c r="AD31" s="613">
        <f>'AND 1'!AC162+'ADY 1'!AF162</f>
        <v>347859946</v>
      </c>
      <c r="AE31" s="265"/>
      <c r="AF31" s="265"/>
    </row>
    <row r="32" spans="1:32" s="264" customFormat="1" ht="15.75" customHeight="1" x14ac:dyDescent="0.2">
      <c r="A32" s="540">
        <v>27</v>
      </c>
      <c r="B32" s="541" t="s">
        <v>86</v>
      </c>
      <c r="C32" s="542">
        <f>'SUMMARY PER DIVISI'!D46+'SUMMARY PER DIVISI'!D112</f>
        <v>93500000</v>
      </c>
      <c r="D32" s="542">
        <f>'SUMMARY PER DIVISI'!E46+'SUMMARY PER DIVISI'!E112</f>
        <v>149190280</v>
      </c>
      <c r="E32" s="546">
        <f t="shared" si="8"/>
        <v>-55690280</v>
      </c>
      <c r="F32" s="547">
        <f t="shared" si="0"/>
        <v>1.5956179679144384</v>
      </c>
      <c r="G32" s="542">
        <f>'SUMMARY PER DIVISI'!H46+'SUMMARY PER DIVISI'!H112</f>
        <v>33500000</v>
      </c>
      <c r="H32" s="542">
        <f>'SUMMARY PER DIVISI'!I46+'SUMMARY PER DIVISI'!I112</f>
        <v>195128900</v>
      </c>
      <c r="I32" s="546">
        <f t="shared" si="1"/>
        <v>-161628900</v>
      </c>
      <c r="J32" s="547">
        <f t="shared" si="9"/>
        <v>5.8247432835820891</v>
      </c>
      <c r="K32" s="542">
        <f>'SUMMARY PER DIVISI'!L46+'SUMMARY PER DIVISI'!L112</f>
        <v>33500000</v>
      </c>
      <c r="L32" s="542">
        <f>'SUMMARY PER DIVISI'!M46+'SUMMARY PER DIVISI'!M112</f>
        <v>185680500</v>
      </c>
      <c r="M32" s="546">
        <f t="shared" si="2"/>
        <v>-152180500</v>
      </c>
      <c r="N32" s="547">
        <f t="shared" si="3"/>
        <v>5.5427014925373133</v>
      </c>
      <c r="O32" s="542">
        <f t="shared" si="4"/>
        <v>160500000</v>
      </c>
      <c r="P32" s="542">
        <f t="shared" si="5"/>
        <v>529999680</v>
      </c>
      <c r="Q32" s="546">
        <f t="shared" si="6"/>
        <v>-369499680</v>
      </c>
      <c r="R32" s="547">
        <f t="shared" si="7"/>
        <v>3.302178691588785</v>
      </c>
      <c r="S32" s="545">
        <f t="shared" si="11"/>
        <v>951499680</v>
      </c>
      <c r="T32" s="542">
        <f>'SUMMARY PER DIVISI'!U46+'SUMMARY PER DIVISI'!U112</f>
        <v>33500000</v>
      </c>
      <c r="U32" s="542">
        <f>'SUMMARY PER DIVISI'!V46+'SUMMARY PER DIVISI'!V112</f>
        <v>33500000</v>
      </c>
      <c r="V32" s="542">
        <f>'SUMMARY PER DIVISI'!W46+'SUMMARY PER DIVISI'!W112</f>
        <v>93500000</v>
      </c>
      <c r="W32" s="542">
        <f>'SUMMARY PER DIVISI'!X46+'SUMMARY PER DIVISI'!X112</f>
        <v>33500000</v>
      </c>
      <c r="X32" s="542">
        <f>'SUMMARY PER DIVISI'!Y46+'SUMMARY PER DIVISI'!Y112</f>
        <v>33500000</v>
      </c>
      <c r="Y32" s="542">
        <f>'SUMMARY PER DIVISI'!Z46+'SUMMARY PER DIVISI'!Z112</f>
        <v>33500000</v>
      </c>
      <c r="Z32" s="542">
        <f>'SUMMARY PER DIVISI'!AA46+'SUMMARY PER DIVISI'!AA112</f>
        <v>93500000</v>
      </c>
      <c r="AA32" s="542">
        <f>'SUMMARY PER DIVISI'!AB46+'SUMMARY PER DIVISI'!AB112</f>
        <v>33500000</v>
      </c>
      <c r="AB32" s="542">
        <f>'SUMMARY PER DIVISI'!AC46+'SUMMARY PER DIVISI'!AC112</f>
        <v>33500000</v>
      </c>
      <c r="AC32" s="542">
        <f t="shared" si="10"/>
        <v>582000000</v>
      </c>
      <c r="AD32" s="613">
        <f>'AND 1'!AC163+'ADY 1'!AF163</f>
        <v>1067800175.85</v>
      </c>
      <c r="AE32" s="265"/>
      <c r="AF32" s="265"/>
    </row>
    <row r="33" spans="1:32" s="264" customFormat="1" ht="15.75" customHeight="1" x14ac:dyDescent="0.2">
      <c r="A33" s="540">
        <v>28</v>
      </c>
      <c r="B33" s="541" t="s">
        <v>199</v>
      </c>
      <c r="C33" s="542">
        <f>'SUMMARY PER DIVISI'!D16+'SUMMARY PER DIVISI'!D24+'SUMMARY PER DIVISI'!D84</f>
        <v>2000000</v>
      </c>
      <c r="D33" s="542">
        <f>'SUMMARY PER DIVISI'!E16+'SUMMARY PER DIVISI'!E24+'SUMMARY PER DIVISI'!E84</f>
        <v>0</v>
      </c>
      <c r="E33" s="546">
        <f t="shared" si="8"/>
        <v>2000000</v>
      </c>
      <c r="F33" s="547">
        <f t="shared" si="0"/>
        <v>0</v>
      </c>
      <c r="G33" s="542">
        <f>'SUMMARY PER DIVISI'!H16+'SUMMARY PER DIVISI'!H24+'SUMMARY PER DIVISI'!H84</f>
        <v>2000000</v>
      </c>
      <c r="H33" s="542">
        <f>'SUMMARY PER DIVISI'!I16+'SUMMARY PER DIVISI'!I24+'SUMMARY PER DIVISI'!I84</f>
        <v>0</v>
      </c>
      <c r="I33" s="546">
        <f t="shared" si="1"/>
        <v>2000000</v>
      </c>
      <c r="J33" s="547">
        <f t="shared" si="9"/>
        <v>0</v>
      </c>
      <c r="K33" s="542">
        <f>'SUMMARY PER DIVISI'!L16+'SUMMARY PER DIVISI'!L24+'SUMMARY PER DIVISI'!L84</f>
        <v>2000000</v>
      </c>
      <c r="L33" s="542">
        <f>'SUMMARY PER DIVISI'!M16+'SUMMARY PER DIVISI'!M24+'SUMMARY PER DIVISI'!M84</f>
        <v>0</v>
      </c>
      <c r="M33" s="546">
        <f t="shared" si="2"/>
        <v>2000000</v>
      </c>
      <c r="N33" s="547">
        <f t="shared" si="3"/>
        <v>0</v>
      </c>
      <c r="O33" s="542">
        <f t="shared" si="4"/>
        <v>6000000</v>
      </c>
      <c r="P33" s="542">
        <f t="shared" si="5"/>
        <v>0</v>
      </c>
      <c r="Q33" s="546">
        <f t="shared" si="6"/>
        <v>6000000</v>
      </c>
      <c r="R33" s="547">
        <f t="shared" si="7"/>
        <v>0</v>
      </c>
      <c r="S33" s="545">
        <f t="shared" si="11"/>
        <v>68000000</v>
      </c>
      <c r="T33" s="542">
        <f>'SUMMARY PER DIVISI'!U16+'SUMMARY PER DIVISI'!U24+'SUMMARY PER DIVISI'!U84</f>
        <v>52000000</v>
      </c>
      <c r="U33" s="542">
        <f>'SUMMARY PER DIVISI'!V16+'SUMMARY PER DIVISI'!V24+'SUMMARY PER DIVISI'!V84</f>
        <v>2000000</v>
      </c>
      <c r="V33" s="542">
        <f>'SUMMARY PER DIVISI'!W16+'SUMMARY PER DIVISI'!W24+'SUMMARY PER DIVISI'!W84</f>
        <v>2000000</v>
      </c>
      <c r="W33" s="542">
        <f>'SUMMARY PER DIVISI'!X16+'SUMMARY PER DIVISI'!X24+'SUMMARY PER DIVISI'!X84</f>
        <v>2000000</v>
      </c>
      <c r="X33" s="542">
        <f>'SUMMARY PER DIVISI'!Y16+'SUMMARY PER DIVISI'!Y24+'SUMMARY PER DIVISI'!Y84</f>
        <v>2000000</v>
      </c>
      <c r="Y33" s="542">
        <f>'SUMMARY PER DIVISI'!Z16+'SUMMARY PER DIVISI'!Z24+'SUMMARY PER DIVISI'!Z84</f>
        <v>2000000</v>
      </c>
      <c r="Z33" s="542">
        <f>'SUMMARY PER DIVISI'!AA16+'SUMMARY PER DIVISI'!AA24+'SUMMARY PER DIVISI'!AA84</f>
        <v>2000000</v>
      </c>
      <c r="AA33" s="542">
        <f>'SUMMARY PER DIVISI'!AB16+'SUMMARY PER DIVISI'!AB24+'SUMMARY PER DIVISI'!AB84</f>
        <v>2000000</v>
      </c>
      <c r="AB33" s="542">
        <f>'SUMMARY PER DIVISI'!AC16+'SUMMARY PER DIVISI'!AC24+'SUMMARY PER DIVISI'!AC84</f>
        <v>2000000</v>
      </c>
      <c r="AC33" s="542">
        <f t="shared" si="10"/>
        <v>74000000</v>
      </c>
      <c r="AD33" s="613">
        <f>'AND 1'!AC164+'ADY 1'!AF164</f>
        <v>4974500</v>
      </c>
      <c r="AE33" s="265"/>
      <c r="AF33" s="265"/>
    </row>
    <row r="34" spans="1:32" s="264" customFormat="1" ht="15.75" customHeight="1" x14ac:dyDescent="0.2">
      <c r="A34" s="540">
        <v>29</v>
      </c>
      <c r="B34" s="541" t="s">
        <v>200</v>
      </c>
      <c r="C34" s="542">
        <f>'SUMMARY PER DIVISI'!D19</f>
        <v>0</v>
      </c>
      <c r="D34" s="542">
        <f>'SUMMARY PER DIVISI'!E19</f>
        <v>0</v>
      </c>
      <c r="E34" s="546">
        <f t="shared" si="8"/>
        <v>0</v>
      </c>
      <c r="F34" s="547" t="e">
        <f t="shared" si="0"/>
        <v>#DIV/0!</v>
      </c>
      <c r="G34" s="542">
        <f>'SUMMARY PER DIVISI'!H19</f>
        <v>0</v>
      </c>
      <c r="H34" s="542">
        <f>'SUMMARY PER DIVISI'!I19</f>
        <v>76150000</v>
      </c>
      <c r="I34" s="546">
        <f t="shared" si="1"/>
        <v>-76150000</v>
      </c>
      <c r="J34" s="547" t="e">
        <f t="shared" si="9"/>
        <v>#DIV/0!</v>
      </c>
      <c r="K34" s="542">
        <f>'SUMMARY PER DIVISI'!L19</f>
        <v>0</v>
      </c>
      <c r="L34" s="542">
        <f>'SUMMARY PER DIVISI'!M19</f>
        <v>30050000</v>
      </c>
      <c r="M34" s="546">
        <f t="shared" si="2"/>
        <v>-30050000</v>
      </c>
      <c r="N34" s="547" t="e">
        <f t="shared" si="3"/>
        <v>#DIV/0!</v>
      </c>
      <c r="O34" s="542">
        <f t="shared" si="4"/>
        <v>0</v>
      </c>
      <c r="P34" s="542">
        <f t="shared" si="5"/>
        <v>106200000</v>
      </c>
      <c r="Q34" s="546">
        <f t="shared" si="6"/>
        <v>-106200000</v>
      </c>
      <c r="R34" s="547" t="e">
        <f t="shared" si="7"/>
        <v>#DIV/0!</v>
      </c>
      <c r="S34" s="545">
        <f t="shared" si="11"/>
        <v>106200000</v>
      </c>
      <c r="T34" s="542">
        <f>'SUMMARY PER DIVISI'!U19</f>
        <v>0</v>
      </c>
      <c r="U34" s="542">
        <f>'SUMMARY PER DIVISI'!V19</f>
        <v>0</v>
      </c>
      <c r="V34" s="542">
        <f>'SUMMARY PER DIVISI'!W19</f>
        <v>0</v>
      </c>
      <c r="W34" s="542">
        <f>'SUMMARY PER DIVISI'!X19</f>
        <v>0</v>
      </c>
      <c r="X34" s="542">
        <f>'SUMMARY PER DIVISI'!Y19</f>
        <v>0</v>
      </c>
      <c r="Y34" s="542">
        <f>'SUMMARY PER DIVISI'!Z19</f>
        <v>0</v>
      </c>
      <c r="Z34" s="542">
        <f>'SUMMARY PER DIVISI'!AA19</f>
        <v>0</v>
      </c>
      <c r="AA34" s="542">
        <f>'SUMMARY PER DIVISI'!AB19</f>
        <v>0</v>
      </c>
      <c r="AB34" s="542">
        <f>'SUMMARY PER DIVISI'!AC19</f>
        <v>0</v>
      </c>
      <c r="AC34" s="542">
        <f t="shared" si="10"/>
        <v>0</v>
      </c>
      <c r="AD34" s="613">
        <f>'AND 1'!AC165+'ADY 1'!AF165</f>
        <v>106200000</v>
      </c>
      <c r="AE34" s="265"/>
      <c r="AF34" s="265"/>
    </row>
    <row r="35" spans="1:32" s="264" customFormat="1" ht="15.75" customHeight="1" x14ac:dyDescent="0.2">
      <c r="A35" s="540">
        <v>30</v>
      </c>
      <c r="B35" s="541" t="s">
        <v>125</v>
      </c>
      <c r="C35" s="542">
        <f>'SUMMARY PER DIVISI'!D76</f>
        <v>1000000</v>
      </c>
      <c r="D35" s="542">
        <f>'SUMMARY PER DIVISI'!E76</f>
        <v>0</v>
      </c>
      <c r="E35" s="546">
        <f t="shared" si="8"/>
        <v>1000000</v>
      </c>
      <c r="F35" s="547">
        <f t="shared" si="0"/>
        <v>0</v>
      </c>
      <c r="G35" s="542">
        <f>'SUMMARY PER DIVISI'!H76</f>
        <v>1000000</v>
      </c>
      <c r="H35" s="542">
        <f>'SUMMARY PER DIVISI'!I76</f>
        <v>0</v>
      </c>
      <c r="I35" s="546">
        <f t="shared" si="1"/>
        <v>1000000</v>
      </c>
      <c r="J35" s="547">
        <f t="shared" si="9"/>
        <v>0</v>
      </c>
      <c r="K35" s="542">
        <f>'SUMMARY PER DIVISI'!L76</f>
        <v>1000000</v>
      </c>
      <c r="L35" s="542">
        <f>'SUMMARY PER DIVISI'!M76</f>
        <v>0</v>
      </c>
      <c r="M35" s="546">
        <f t="shared" si="2"/>
        <v>1000000</v>
      </c>
      <c r="N35" s="547">
        <f t="shared" si="3"/>
        <v>0</v>
      </c>
      <c r="O35" s="542">
        <f t="shared" si="4"/>
        <v>3000000</v>
      </c>
      <c r="P35" s="542">
        <f t="shared" si="5"/>
        <v>0</v>
      </c>
      <c r="Q35" s="546">
        <f t="shared" si="6"/>
        <v>3000000</v>
      </c>
      <c r="R35" s="547">
        <f t="shared" si="7"/>
        <v>0</v>
      </c>
      <c r="S35" s="545">
        <f t="shared" si="11"/>
        <v>9000000</v>
      </c>
      <c r="T35" s="542">
        <f>'SUMMARY PER DIVISI'!U76</f>
        <v>1000000</v>
      </c>
      <c r="U35" s="542">
        <f>'SUMMARY PER DIVISI'!V76</f>
        <v>1000000</v>
      </c>
      <c r="V35" s="542">
        <f>'SUMMARY PER DIVISI'!W76</f>
        <v>1000000</v>
      </c>
      <c r="W35" s="542">
        <f>'SUMMARY PER DIVISI'!X76</f>
        <v>1000000</v>
      </c>
      <c r="X35" s="542">
        <f>'SUMMARY PER DIVISI'!Y76</f>
        <v>1000000</v>
      </c>
      <c r="Y35" s="542">
        <f>'SUMMARY PER DIVISI'!Z76</f>
        <v>1000000</v>
      </c>
      <c r="Z35" s="542">
        <f>'SUMMARY PER DIVISI'!AA76</f>
        <v>1000000</v>
      </c>
      <c r="AA35" s="542">
        <f>'SUMMARY PER DIVISI'!AB76</f>
        <v>1000000</v>
      </c>
      <c r="AB35" s="542">
        <f>'SUMMARY PER DIVISI'!AC76</f>
        <v>1000000</v>
      </c>
      <c r="AC35" s="542">
        <f t="shared" si="10"/>
        <v>12000000</v>
      </c>
      <c r="AD35" s="613">
        <f>'AND 1'!AC166+'ADY 1'!AF166</f>
        <v>0</v>
      </c>
      <c r="AE35" s="265"/>
      <c r="AF35" s="265"/>
    </row>
    <row r="36" spans="1:32" s="264" customFormat="1" ht="15.75" customHeight="1" x14ac:dyDescent="0.2">
      <c r="A36" s="540">
        <v>31</v>
      </c>
      <c r="B36" s="541" t="s">
        <v>201</v>
      </c>
      <c r="C36" s="542">
        <f>'SUMMARY PER DIVISI'!D51</f>
        <v>2000000</v>
      </c>
      <c r="D36" s="542">
        <f>'SUMMARY PER DIVISI'!E51</f>
        <v>1428900</v>
      </c>
      <c r="E36" s="546">
        <f t="shared" si="8"/>
        <v>571100</v>
      </c>
      <c r="F36" s="547">
        <f t="shared" si="0"/>
        <v>0.71445000000000003</v>
      </c>
      <c r="G36" s="542">
        <f>'SUMMARY PER DIVISI'!H51</f>
        <v>2000000</v>
      </c>
      <c r="H36" s="542">
        <f>'SUMMARY PER DIVISI'!I51</f>
        <v>1095800</v>
      </c>
      <c r="I36" s="546">
        <f t="shared" si="1"/>
        <v>904200</v>
      </c>
      <c r="J36" s="547">
        <f t="shared" si="9"/>
        <v>0.54790000000000005</v>
      </c>
      <c r="K36" s="542">
        <f>'SUMMARY PER DIVISI'!L51</f>
        <v>2000000</v>
      </c>
      <c r="L36" s="542">
        <f>'SUMMARY PER DIVISI'!M51</f>
        <v>3910400</v>
      </c>
      <c r="M36" s="546">
        <f t="shared" si="2"/>
        <v>-1910400</v>
      </c>
      <c r="N36" s="547">
        <f t="shared" si="3"/>
        <v>1.9552</v>
      </c>
      <c r="O36" s="542">
        <f t="shared" si="4"/>
        <v>6000000</v>
      </c>
      <c r="P36" s="542">
        <f t="shared" si="5"/>
        <v>6435100</v>
      </c>
      <c r="Q36" s="546">
        <f t="shared" si="6"/>
        <v>-435100</v>
      </c>
      <c r="R36" s="547">
        <f t="shared" si="7"/>
        <v>1.0725166666666666</v>
      </c>
      <c r="S36" s="545">
        <f t="shared" si="11"/>
        <v>24435100</v>
      </c>
      <c r="T36" s="542">
        <f>'SUMMARY PER DIVISI'!U51</f>
        <v>2000000</v>
      </c>
      <c r="U36" s="542">
        <f>'SUMMARY PER DIVISI'!V51</f>
        <v>2000000</v>
      </c>
      <c r="V36" s="542">
        <f>'SUMMARY PER DIVISI'!W51</f>
        <v>2000000</v>
      </c>
      <c r="W36" s="542">
        <f>'SUMMARY PER DIVISI'!X51</f>
        <v>2000000</v>
      </c>
      <c r="X36" s="542">
        <f>'SUMMARY PER DIVISI'!Y51</f>
        <v>2000000</v>
      </c>
      <c r="Y36" s="542">
        <f>'SUMMARY PER DIVISI'!Z51</f>
        <v>2000000</v>
      </c>
      <c r="Z36" s="542">
        <f>'SUMMARY PER DIVISI'!AA51</f>
        <v>2000000</v>
      </c>
      <c r="AA36" s="542">
        <f>'SUMMARY PER DIVISI'!AB51</f>
        <v>2000000</v>
      </c>
      <c r="AB36" s="542">
        <f>'SUMMARY PER DIVISI'!AC51</f>
        <v>2000000</v>
      </c>
      <c r="AC36" s="542">
        <f t="shared" si="10"/>
        <v>24000000</v>
      </c>
      <c r="AD36" s="613">
        <f>'AND 1'!AC167+'ADY 1'!AF167</f>
        <v>24288760</v>
      </c>
      <c r="AE36" s="265"/>
      <c r="AF36" s="265"/>
    </row>
    <row r="37" spans="1:32" s="264" customFormat="1" ht="15.75" customHeight="1" x14ac:dyDescent="0.2">
      <c r="A37" s="540">
        <v>32</v>
      </c>
      <c r="B37" s="541" t="s">
        <v>202</v>
      </c>
      <c r="C37" s="542">
        <f>'SUMMARY PER DIVISI'!D20</f>
        <v>0</v>
      </c>
      <c r="D37" s="542">
        <f>'SUMMARY PER DIVISI'!E20</f>
        <v>0</v>
      </c>
      <c r="E37" s="546">
        <f t="shared" si="8"/>
        <v>0</v>
      </c>
      <c r="F37" s="547" t="e">
        <f t="shared" si="0"/>
        <v>#DIV/0!</v>
      </c>
      <c r="G37" s="542">
        <f>'SUMMARY PER DIVISI'!H20</f>
        <v>0</v>
      </c>
      <c r="H37" s="542">
        <f>'SUMMARY PER DIVISI'!I20</f>
        <v>0</v>
      </c>
      <c r="I37" s="546">
        <f t="shared" si="1"/>
        <v>0</v>
      </c>
      <c r="J37" s="547" t="e">
        <f t="shared" si="9"/>
        <v>#DIV/0!</v>
      </c>
      <c r="K37" s="542">
        <f>'SUMMARY PER DIVISI'!L20</f>
        <v>0</v>
      </c>
      <c r="L37" s="542">
        <f>'SUMMARY PER DIVISI'!M20</f>
        <v>0</v>
      </c>
      <c r="M37" s="546">
        <f t="shared" si="2"/>
        <v>0</v>
      </c>
      <c r="N37" s="547" t="e">
        <f t="shared" si="3"/>
        <v>#DIV/0!</v>
      </c>
      <c r="O37" s="542">
        <f t="shared" si="4"/>
        <v>0</v>
      </c>
      <c r="P37" s="542">
        <f t="shared" si="5"/>
        <v>0</v>
      </c>
      <c r="Q37" s="546">
        <f t="shared" si="6"/>
        <v>0</v>
      </c>
      <c r="R37" s="547" t="e">
        <f t="shared" si="7"/>
        <v>#DIV/0!</v>
      </c>
      <c r="S37" s="545">
        <f t="shared" si="11"/>
        <v>35000000</v>
      </c>
      <c r="T37" s="542">
        <f>'SUMMARY PER DIVISI'!U20</f>
        <v>35000000</v>
      </c>
      <c r="U37" s="542">
        <f>'SUMMARY PER DIVISI'!V20</f>
        <v>0</v>
      </c>
      <c r="V37" s="542">
        <f>'SUMMARY PER DIVISI'!W20</f>
        <v>0</v>
      </c>
      <c r="W37" s="542">
        <f>'SUMMARY PER DIVISI'!X20</f>
        <v>0</v>
      </c>
      <c r="X37" s="542">
        <f>'SUMMARY PER DIVISI'!Y20</f>
        <v>0</v>
      </c>
      <c r="Y37" s="542">
        <f>'SUMMARY PER DIVISI'!Z20</f>
        <v>0</v>
      </c>
      <c r="Z37" s="542">
        <f>'SUMMARY PER DIVISI'!AA20</f>
        <v>0</v>
      </c>
      <c r="AA37" s="542">
        <f>'SUMMARY PER DIVISI'!AB20</f>
        <v>0</v>
      </c>
      <c r="AB37" s="542">
        <f>'SUMMARY PER DIVISI'!AC20</f>
        <v>0</v>
      </c>
      <c r="AC37" s="542">
        <f t="shared" si="10"/>
        <v>35000000</v>
      </c>
      <c r="AD37" s="613">
        <f>'AND 1'!AC168+'ADY 1'!AF168</f>
        <v>0</v>
      </c>
      <c r="AE37" s="265"/>
      <c r="AF37" s="265"/>
    </row>
    <row r="38" spans="1:32" s="264" customFormat="1" ht="15.75" customHeight="1" x14ac:dyDescent="0.2">
      <c r="A38" s="540">
        <v>33</v>
      </c>
      <c r="B38" s="541" t="s">
        <v>150</v>
      </c>
      <c r="C38" s="542">
        <f>'SUMMARY PER DIVISI'!D6+'SUMMARY PER DIVISI'!D10+'SUMMARY PER DIVISI'!D109</f>
        <v>1301293196.2</v>
      </c>
      <c r="D38" s="542">
        <f>'SUMMARY PER DIVISI'!E6+'SUMMARY PER DIVISI'!E10+'SUMMARY PER DIVISI'!E109</f>
        <v>1077478875</v>
      </c>
      <c r="E38" s="546">
        <f t="shared" si="8"/>
        <v>223814321.20000005</v>
      </c>
      <c r="F38" s="547">
        <f t="shared" si="0"/>
        <v>0.82800623114485161</v>
      </c>
      <c r="G38" s="542">
        <f>'SUMMARY PER DIVISI'!H6+'SUMMARY PER DIVISI'!H10+'SUMMARY PER DIVISI'!H109</f>
        <v>1286293196.2</v>
      </c>
      <c r="H38" s="542">
        <f>'SUMMARY PER DIVISI'!I6+'SUMMARY PER DIVISI'!I10+'SUMMARY PER DIVISI'!I109</f>
        <v>1075620433</v>
      </c>
      <c r="I38" s="546">
        <f t="shared" si="1"/>
        <v>210672763.20000005</v>
      </c>
      <c r="J38" s="547">
        <f t="shared" si="9"/>
        <v>0.83621715187301393</v>
      </c>
      <c r="K38" s="542">
        <f>'SUMMARY PER DIVISI'!L6+'SUMMARY PER DIVISI'!L10+'SUMMARY PER DIVISI'!L109</f>
        <v>1546635529.2</v>
      </c>
      <c r="L38" s="542">
        <f>'SUMMARY PER DIVISI'!M6+'SUMMARY PER DIVISI'!M10+'SUMMARY PER DIVISI'!M109</f>
        <v>1075492460</v>
      </c>
      <c r="M38" s="546">
        <f t="shared" si="2"/>
        <v>471143069.20000005</v>
      </c>
      <c r="N38" s="547">
        <f t="shared" si="3"/>
        <v>0.69537550359799405</v>
      </c>
      <c r="O38" s="542">
        <f t="shared" si="4"/>
        <v>4134221921.6000004</v>
      </c>
      <c r="P38" s="542">
        <f t="shared" si="5"/>
        <v>3228591768</v>
      </c>
      <c r="Q38" s="546">
        <f t="shared" si="6"/>
        <v>905630153.60000038</v>
      </c>
      <c r="R38" s="547">
        <f t="shared" si="7"/>
        <v>0.78094302367553869</v>
      </c>
      <c r="S38" s="545">
        <f t="shared" si="11"/>
        <v>17357699781.700005</v>
      </c>
      <c r="T38" s="542">
        <f>'SUMMARY PER DIVISI'!U6+'SUMMARY PER DIVISI'!U10+'SUMMARY PER DIVISI'!U109</f>
        <v>1457242601</v>
      </c>
      <c r="U38" s="542">
        <f>'SUMMARY PER DIVISI'!V6+'SUMMARY PER DIVISI'!V10+'SUMMARY PER DIVISI'!V109</f>
        <v>1286293196.2</v>
      </c>
      <c r="V38" s="542">
        <f>'SUMMARY PER DIVISI'!W6+'SUMMARY PER DIVISI'!W10+'SUMMARY PER DIVISI'!W109</f>
        <v>1286293196.2</v>
      </c>
      <c r="W38" s="542">
        <f>'SUMMARY PER DIVISI'!X6+'SUMMARY PER DIVISI'!X10+'SUMMARY PER DIVISI'!X109</f>
        <v>1300293196.2</v>
      </c>
      <c r="X38" s="542">
        <f>'SUMMARY PER DIVISI'!Y6+'SUMMARY PER DIVISI'!Y10+'SUMMARY PER DIVISI'!Y109</f>
        <v>3378470706.3000002</v>
      </c>
      <c r="Y38" s="542">
        <f>'SUMMARY PER DIVISI'!Z6+'SUMMARY PER DIVISI'!Z10+'SUMMARY PER DIVISI'!Z109</f>
        <v>1286293196.2</v>
      </c>
      <c r="Z38" s="542">
        <f>'SUMMARY PER DIVISI'!AA6+'SUMMARY PER DIVISI'!AA10+'SUMMARY PER DIVISI'!AA109</f>
        <v>1301293196.2</v>
      </c>
      <c r="AA38" s="542">
        <f>'SUMMARY PER DIVISI'!AB6+'SUMMARY PER DIVISI'!AB10+'SUMMARY PER DIVISI'!AB109</f>
        <v>1286293196.2</v>
      </c>
      <c r="AB38" s="542">
        <f>'SUMMARY PER DIVISI'!AC6+'SUMMARY PER DIVISI'!AC10+'SUMMARY PER DIVISI'!AC109</f>
        <v>1546635529.2</v>
      </c>
      <c r="AC38" s="542">
        <f t="shared" si="10"/>
        <v>18263329935.300003</v>
      </c>
      <c r="AD38" s="613">
        <f>'AND 1'!AC169+'ADY 1'!AF169+IBP!AC10+ASI!AC10</f>
        <v>12242854437</v>
      </c>
      <c r="AE38" s="265"/>
      <c r="AF38" s="265"/>
    </row>
    <row r="39" spans="1:32" s="264" customFormat="1" ht="15.75" customHeight="1" x14ac:dyDescent="0.2">
      <c r="A39" s="540">
        <v>34</v>
      </c>
      <c r="B39" s="541" t="s">
        <v>203</v>
      </c>
      <c r="C39" s="542">
        <f>'SUMMARY PER DIVISI'!D50</f>
        <v>46000000</v>
      </c>
      <c r="D39" s="542">
        <f>'SUMMARY PER DIVISI'!E50</f>
        <v>39436954.090000004</v>
      </c>
      <c r="E39" s="546">
        <f t="shared" si="8"/>
        <v>6563045.9099999964</v>
      </c>
      <c r="F39" s="547">
        <f t="shared" si="0"/>
        <v>0.8573250889130436</v>
      </c>
      <c r="G39" s="542">
        <f>'SUMMARY PER DIVISI'!H50</f>
        <v>46000000</v>
      </c>
      <c r="H39" s="542">
        <f>'SUMMARY PER DIVISI'!I50</f>
        <v>38164794.280000001</v>
      </c>
      <c r="I39" s="546">
        <f t="shared" si="1"/>
        <v>7835205.7199999988</v>
      </c>
      <c r="J39" s="547">
        <f t="shared" si="9"/>
        <v>0.82966944086956529</v>
      </c>
      <c r="K39" s="542">
        <f>'SUMMARY PER DIVISI'!L50</f>
        <v>46000000</v>
      </c>
      <c r="L39" s="542">
        <f>'SUMMARY PER DIVISI'!M50</f>
        <v>39436954.100000001</v>
      </c>
      <c r="M39" s="546">
        <f t="shared" si="2"/>
        <v>6563045.8999999985</v>
      </c>
      <c r="N39" s="547">
        <f t="shared" si="3"/>
        <v>0.85732508913043481</v>
      </c>
      <c r="O39" s="542">
        <f t="shared" si="4"/>
        <v>138000000</v>
      </c>
      <c r="P39" s="542">
        <f t="shared" si="5"/>
        <v>117038702.47</v>
      </c>
      <c r="Q39" s="546">
        <f t="shared" si="6"/>
        <v>20961297.530000001</v>
      </c>
      <c r="R39" s="547">
        <f t="shared" si="7"/>
        <v>0.84810653963768112</v>
      </c>
      <c r="S39" s="545">
        <f t="shared" si="11"/>
        <v>531038702.47000003</v>
      </c>
      <c r="T39" s="542">
        <f>'SUMMARY PER DIVISI'!U50</f>
        <v>46000000</v>
      </c>
      <c r="U39" s="542">
        <f>'SUMMARY PER DIVISI'!V50</f>
        <v>46000000</v>
      </c>
      <c r="V39" s="542">
        <f>'SUMMARY PER DIVISI'!W50</f>
        <v>46000000</v>
      </c>
      <c r="W39" s="542">
        <f>'SUMMARY PER DIVISI'!X50</f>
        <v>46000000</v>
      </c>
      <c r="X39" s="542">
        <f>'SUMMARY PER DIVISI'!Y50</f>
        <v>46000000</v>
      </c>
      <c r="Y39" s="542">
        <f>'SUMMARY PER DIVISI'!Z50</f>
        <v>46000000</v>
      </c>
      <c r="Z39" s="542">
        <f>'SUMMARY PER DIVISI'!AA50</f>
        <v>46000000</v>
      </c>
      <c r="AA39" s="542">
        <f>'SUMMARY PER DIVISI'!AB50</f>
        <v>46000000</v>
      </c>
      <c r="AB39" s="542">
        <f>'SUMMARY PER DIVISI'!AC50</f>
        <v>46000000</v>
      </c>
      <c r="AC39" s="542">
        <f t="shared" si="10"/>
        <v>552000000</v>
      </c>
      <c r="AD39" s="613">
        <f>'AND 1'!AC170+'ADY 1'!AF170</f>
        <v>466879423.70000005</v>
      </c>
      <c r="AE39" s="265"/>
      <c r="AF39" s="265"/>
    </row>
    <row r="40" spans="1:32" s="264" customFormat="1" ht="15.75" customHeight="1" x14ac:dyDescent="0.2">
      <c r="A40" s="540">
        <v>35</v>
      </c>
      <c r="B40" s="541" t="s">
        <v>110</v>
      </c>
      <c r="C40" s="542">
        <f>'SUMMARY PER DIVISI'!D59</f>
        <v>16910000</v>
      </c>
      <c r="D40" s="542">
        <f>'SUMMARY PER DIVISI'!E59</f>
        <v>19430600</v>
      </c>
      <c r="E40" s="546">
        <f t="shared" si="8"/>
        <v>-2520600</v>
      </c>
      <c r="F40" s="547">
        <f t="shared" si="0"/>
        <v>1.1490597279716144</v>
      </c>
      <c r="G40" s="542">
        <f>'SUMMARY PER DIVISI'!H59</f>
        <v>16910000</v>
      </c>
      <c r="H40" s="542">
        <f>'SUMMARY PER DIVISI'!I59</f>
        <v>5678000</v>
      </c>
      <c r="I40" s="546">
        <f t="shared" si="1"/>
        <v>11232000</v>
      </c>
      <c r="J40" s="547">
        <f t="shared" si="9"/>
        <v>0.33577764636309876</v>
      </c>
      <c r="K40" s="542">
        <f>'SUMMARY PER DIVISI'!L59</f>
        <v>16910000</v>
      </c>
      <c r="L40" s="542">
        <f>'SUMMARY PER DIVISI'!M59</f>
        <v>7894500</v>
      </c>
      <c r="M40" s="546">
        <f t="shared" si="2"/>
        <v>9015500</v>
      </c>
      <c r="N40" s="547">
        <f t="shared" si="3"/>
        <v>0.46685393258426966</v>
      </c>
      <c r="O40" s="542">
        <f t="shared" si="4"/>
        <v>50730000</v>
      </c>
      <c r="P40" s="542">
        <f t="shared" si="5"/>
        <v>33003100</v>
      </c>
      <c r="Q40" s="546">
        <f t="shared" si="6"/>
        <v>17726900</v>
      </c>
      <c r="R40" s="547">
        <f t="shared" si="7"/>
        <v>0.65056376897299428</v>
      </c>
      <c r="S40" s="545">
        <f t="shared" si="11"/>
        <v>205143100</v>
      </c>
      <c r="T40" s="542">
        <f>'SUMMARY PER DIVISI'!U59</f>
        <v>16910000</v>
      </c>
      <c r="U40" s="542">
        <f>'SUMMARY PER DIVISI'!V59</f>
        <v>36860000</v>
      </c>
      <c r="V40" s="542">
        <f>'SUMMARY PER DIVISI'!W59</f>
        <v>16910000</v>
      </c>
      <c r="W40" s="542">
        <f>'SUMMARY PER DIVISI'!X59</f>
        <v>16910000</v>
      </c>
      <c r="X40" s="542">
        <f>'SUMMARY PER DIVISI'!Y59</f>
        <v>16910000</v>
      </c>
      <c r="Y40" s="542">
        <f>'SUMMARY PER DIVISI'!Z59</f>
        <v>16910000</v>
      </c>
      <c r="Z40" s="542">
        <f>'SUMMARY PER DIVISI'!AA59</f>
        <v>16910000</v>
      </c>
      <c r="AA40" s="542">
        <f>'SUMMARY PER DIVISI'!AB59</f>
        <v>16910000</v>
      </c>
      <c r="AB40" s="542">
        <f>'SUMMARY PER DIVISI'!AC59</f>
        <v>16910000</v>
      </c>
      <c r="AC40" s="542">
        <f t="shared" si="10"/>
        <v>222870000</v>
      </c>
      <c r="AD40" s="613">
        <f>'AND 1'!AC171+'ADY 1'!AF171</f>
        <v>145402506</v>
      </c>
      <c r="AE40" s="265"/>
      <c r="AF40" s="265"/>
    </row>
    <row r="41" spans="1:32" s="264" customFormat="1" ht="15.75" customHeight="1" x14ac:dyDescent="0.2">
      <c r="A41" s="540">
        <v>36</v>
      </c>
      <c r="B41" s="541" t="s">
        <v>204</v>
      </c>
      <c r="C41" s="542">
        <f>'SUMMARY PER DIVISI'!D52</f>
        <v>5000000</v>
      </c>
      <c r="D41" s="542">
        <f>'SUMMARY PER DIVISI'!E52</f>
        <v>0</v>
      </c>
      <c r="E41" s="546">
        <f t="shared" si="8"/>
        <v>5000000</v>
      </c>
      <c r="F41" s="547">
        <f t="shared" si="0"/>
        <v>0</v>
      </c>
      <c r="G41" s="542">
        <f>'SUMMARY PER DIVISI'!H52</f>
        <v>5000000</v>
      </c>
      <c r="H41" s="542">
        <f>'SUMMARY PER DIVISI'!I52</f>
        <v>2345000</v>
      </c>
      <c r="I41" s="546">
        <f t="shared" si="1"/>
        <v>2655000</v>
      </c>
      <c r="J41" s="547">
        <f t="shared" si="9"/>
        <v>0.46899999999999997</v>
      </c>
      <c r="K41" s="542">
        <f>'SUMMARY PER DIVISI'!L52</f>
        <v>5000000</v>
      </c>
      <c r="L41" s="542">
        <f>'SUMMARY PER DIVISI'!M52</f>
        <v>1780000</v>
      </c>
      <c r="M41" s="546">
        <f t="shared" si="2"/>
        <v>3220000</v>
      </c>
      <c r="N41" s="547">
        <f t="shared" si="3"/>
        <v>0.35599999999999998</v>
      </c>
      <c r="O41" s="542">
        <f t="shared" si="4"/>
        <v>15000000</v>
      </c>
      <c r="P41" s="542">
        <f t="shared" si="5"/>
        <v>4125000</v>
      </c>
      <c r="Q41" s="546">
        <f t="shared" si="6"/>
        <v>10875000</v>
      </c>
      <c r="R41" s="547">
        <f t="shared" si="7"/>
        <v>0.27500000000000002</v>
      </c>
      <c r="S41" s="545">
        <f t="shared" si="11"/>
        <v>49125000</v>
      </c>
      <c r="T41" s="542">
        <f>'SUMMARY PER DIVISI'!U52</f>
        <v>5000000</v>
      </c>
      <c r="U41" s="542">
        <f>'SUMMARY PER DIVISI'!V52</f>
        <v>5000000</v>
      </c>
      <c r="V41" s="542">
        <f>'SUMMARY PER DIVISI'!W52</f>
        <v>5000000</v>
      </c>
      <c r="W41" s="542">
        <f>'SUMMARY PER DIVISI'!X52</f>
        <v>5000000</v>
      </c>
      <c r="X41" s="542">
        <f>'SUMMARY PER DIVISI'!Y52</f>
        <v>5000000</v>
      </c>
      <c r="Y41" s="542">
        <f>'SUMMARY PER DIVISI'!Z52</f>
        <v>5000000</v>
      </c>
      <c r="Z41" s="542">
        <f>'SUMMARY PER DIVISI'!AA52</f>
        <v>5000000</v>
      </c>
      <c r="AA41" s="542">
        <f>'SUMMARY PER DIVISI'!AB52</f>
        <v>5000000</v>
      </c>
      <c r="AB41" s="542">
        <f>'SUMMARY PER DIVISI'!AC52</f>
        <v>5000000</v>
      </c>
      <c r="AC41" s="542">
        <f t="shared" si="10"/>
        <v>60000000</v>
      </c>
      <c r="AD41" s="613">
        <f>'AND 1'!AC172+'ADY 1'!AF172</f>
        <v>22073182</v>
      </c>
      <c r="AE41" s="265"/>
      <c r="AF41" s="265"/>
    </row>
    <row r="42" spans="1:32" s="264" customFormat="1" ht="15.75" customHeight="1" x14ac:dyDescent="0.2">
      <c r="A42" s="540">
        <v>37</v>
      </c>
      <c r="B42" s="541" t="s">
        <v>70</v>
      </c>
      <c r="C42" s="542">
        <f>'SUMMARY PER DIVISI'!D36</f>
        <v>11000000</v>
      </c>
      <c r="D42" s="542">
        <f>'SUMMARY PER DIVISI'!E36</f>
        <v>20122100</v>
      </c>
      <c r="E42" s="546">
        <f t="shared" si="8"/>
        <v>-9122100</v>
      </c>
      <c r="F42" s="547">
        <f t="shared" si="0"/>
        <v>1.8292818181818182</v>
      </c>
      <c r="G42" s="542">
        <f>'SUMMARY PER DIVISI'!H36</f>
        <v>11000000</v>
      </c>
      <c r="H42" s="542">
        <f>'SUMMARY PER DIVISI'!I36</f>
        <v>18799300</v>
      </c>
      <c r="I42" s="546">
        <f t="shared" si="1"/>
        <v>-7799300</v>
      </c>
      <c r="J42" s="547">
        <f t="shared" si="9"/>
        <v>1.7090272727272726</v>
      </c>
      <c r="K42" s="542">
        <f>'SUMMARY PER DIVISI'!L36</f>
        <v>11000000</v>
      </c>
      <c r="L42" s="542">
        <f>'SUMMARY PER DIVISI'!M36</f>
        <v>22402500</v>
      </c>
      <c r="M42" s="546">
        <f t="shared" si="2"/>
        <v>-11402500</v>
      </c>
      <c r="N42" s="547">
        <f t="shared" si="3"/>
        <v>2.0365909090909091</v>
      </c>
      <c r="O42" s="542">
        <f t="shared" si="4"/>
        <v>33000000</v>
      </c>
      <c r="P42" s="542">
        <f t="shared" si="5"/>
        <v>61323900</v>
      </c>
      <c r="Q42" s="546">
        <f t="shared" si="6"/>
        <v>-28323900</v>
      </c>
      <c r="R42" s="547">
        <f t="shared" si="7"/>
        <v>1.8583000000000001</v>
      </c>
      <c r="S42" s="545">
        <f>AC42-O42+P42</f>
        <v>160323900</v>
      </c>
      <c r="T42" s="542">
        <f>'SUMMARY PER DIVISI'!U36</f>
        <v>11000000</v>
      </c>
      <c r="U42" s="542">
        <f>'SUMMARY PER DIVISI'!V36</f>
        <v>11000000</v>
      </c>
      <c r="V42" s="542">
        <f>'SUMMARY PER DIVISI'!W36</f>
        <v>11000000</v>
      </c>
      <c r="W42" s="542">
        <f>'SUMMARY PER DIVISI'!X36</f>
        <v>11000000</v>
      </c>
      <c r="X42" s="542">
        <f>'SUMMARY PER DIVISI'!Y36</f>
        <v>11000000</v>
      </c>
      <c r="Y42" s="542">
        <f>'SUMMARY PER DIVISI'!Z36</f>
        <v>11000000</v>
      </c>
      <c r="Z42" s="542">
        <f>'SUMMARY PER DIVISI'!AA36</f>
        <v>11000000</v>
      </c>
      <c r="AA42" s="542">
        <f>'SUMMARY PER DIVISI'!AB36</f>
        <v>11000000</v>
      </c>
      <c r="AB42" s="542">
        <f>'SUMMARY PER DIVISI'!AC36</f>
        <v>11000000</v>
      </c>
      <c r="AC42" s="542">
        <f t="shared" si="10"/>
        <v>132000000</v>
      </c>
      <c r="AD42" s="613">
        <f>'AND 1'!AC173+'ADY 1'!AF173</f>
        <v>209392490</v>
      </c>
      <c r="AE42" s="265"/>
      <c r="AF42" s="265"/>
    </row>
    <row r="43" spans="1:32" s="264" customFormat="1" ht="15.75" customHeight="1" x14ac:dyDescent="0.2">
      <c r="A43" s="540">
        <v>38</v>
      </c>
      <c r="B43" s="541" t="s">
        <v>205</v>
      </c>
      <c r="C43" s="542">
        <f>'SUMMARY PER DIVISI'!D49</f>
        <v>40000000</v>
      </c>
      <c r="D43" s="542">
        <f>'SUMMARY PER DIVISI'!E49</f>
        <v>102722501.12</v>
      </c>
      <c r="E43" s="546">
        <f t="shared" si="8"/>
        <v>-62722501.120000005</v>
      </c>
      <c r="F43" s="547">
        <f t="shared" si="0"/>
        <v>2.568062528</v>
      </c>
      <c r="G43" s="542">
        <f>'SUMMARY PER DIVISI'!H49</f>
        <v>40000000</v>
      </c>
      <c r="H43" s="542">
        <f>'SUMMARY PER DIVISI'!I49</f>
        <v>51416236</v>
      </c>
      <c r="I43" s="546">
        <f t="shared" si="1"/>
        <v>-11416236</v>
      </c>
      <c r="J43" s="547">
        <f t="shared" si="9"/>
        <v>1.2854059</v>
      </c>
      <c r="K43" s="542">
        <f>'SUMMARY PER DIVISI'!L49</f>
        <v>40000000</v>
      </c>
      <c r="L43" s="542">
        <f>'SUMMARY PER DIVISI'!M49</f>
        <v>70676101</v>
      </c>
      <c r="M43" s="546">
        <f t="shared" si="2"/>
        <v>-30676101</v>
      </c>
      <c r="N43" s="547">
        <f t="shared" si="3"/>
        <v>1.7669025249999999</v>
      </c>
      <c r="O43" s="542">
        <f t="shared" si="4"/>
        <v>120000000</v>
      </c>
      <c r="P43" s="542">
        <f t="shared" si="5"/>
        <v>224814838.12</v>
      </c>
      <c r="Q43" s="546">
        <f t="shared" si="6"/>
        <v>-104814838.12</v>
      </c>
      <c r="R43" s="547">
        <f t="shared" si="7"/>
        <v>1.8734569843333333</v>
      </c>
      <c r="S43" s="545">
        <f t="shared" si="11"/>
        <v>584814838.12</v>
      </c>
      <c r="T43" s="542">
        <f>'SUMMARY PER DIVISI'!U49</f>
        <v>40000000</v>
      </c>
      <c r="U43" s="542">
        <f>'SUMMARY PER DIVISI'!V49</f>
        <v>40000000</v>
      </c>
      <c r="V43" s="542">
        <f>'SUMMARY PER DIVISI'!W49</f>
        <v>40000000</v>
      </c>
      <c r="W43" s="542">
        <f>'SUMMARY PER DIVISI'!X49</f>
        <v>40000000</v>
      </c>
      <c r="X43" s="542">
        <f>'SUMMARY PER DIVISI'!Y49</f>
        <v>40000000</v>
      </c>
      <c r="Y43" s="542">
        <f>'SUMMARY PER DIVISI'!Z49</f>
        <v>40000000</v>
      </c>
      <c r="Z43" s="542">
        <f>'SUMMARY PER DIVISI'!AA49</f>
        <v>40000000</v>
      </c>
      <c r="AA43" s="542">
        <f>'SUMMARY PER DIVISI'!AB49</f>
        <v>40000000</v>
      </c>
      <c r="AB43" s="542">
        <f>'SUMMARY PER DIVISI'!AC49</f>
        <v>40000000</v>
      </c>
      <c r="AC43" s="542">
        <f t="shared" si="10"/>
        <v>480000000</v>
      </c>
      <c r="AD43" s="613">
        <f>'AND 1'!AC174+'ADY 1'!AF174</f>
        <v>661004347.12</v>
      </c>
      <c r="AE43" s="265"/>
      <c r="AF43" s="265"/>
    </row>
    <row r="44" spans="1:32" s="264" customFormat="1" ht="15.75" customHeight="1" x14ac:dyDescent="0.2">
      <c r="A44" s="540">
        <v>39</v>
      </c>
      <c r="B44" s="541" t="s">
        <v>206</v>
      </c>
      <c r="C44" s="542">
        <f>'SUMMARY PER DIVISI'!D9</f>
        <v>50000000</v>
      </c>
      <c r="D44" s="542">
        <f>'SUMMARY PER DIVISI'!E9</f>
        <v>48407266</v>
      </c>
      <c r="E44" s="546">
        <f t="shared" si="8"/>
        <v>1592734</v>
      </c>
      <c r="F44" s="547">
        <f t="shared" si="0"/>
        <v>0.96814531999999998</v>
      </c>
      <c r="G44" s="542">
        <f>'SUMMARY PER DIVISI'!H9</f>
        <v>50000000</v>
      </c>
      <c r="H44" s="542">
        <f>'SUMMARY PER DIVISI'!I9</f>
        <v>48176340</v>
      </c>
      <c r="I44" s="546">
        <f t="shared" si="1"/>
        <v>1823660</v>
      </c>
      <c r="J44" s="547">
        <f t="shared" si="9"/>
        <v>0.96352680000000002</v>
      </c>
      <c r="K44" s="542">
        <f>'SUMMARY PER DIVISI'!L9</f>
        <v>50000000</v>
      </c>
      <c r="L44" s="542">
        <f>'SUMMARY PER DIVISI'!M9</f>
        <v>48176340</v>
      </c>
      <c r="M44" s="546">
        <f t="shared" si="2"/>
        <v>1823660</v>
      </c>
      <c r="N44" s="547">
        <f t="shared" si="3"/>
        <v>0.96352680000000002</v>
      </c>
      <c r="O44" s="542">
        <f t="shared" si="4"/>
        <v>150000000</v>
      </c>
      <c r="P44" s="542">
        <f t="shared" si="5"/>
        <v>144759946</v>
      </c>
      <c r="Q44" s="546">
        <f t="shared" si="6"/>
        <v>5240054</v>
      </c>
      <c r="R44" s="547">
        <f t="shared" si="7"/>
        <v>0.96506630666666671</v>
      </c>
      <c r="S44" s="545">
        <f t="shared" si="11"/>
        <v>594759946</v>
      </c>
      <c r="T44" s="542">
        <f>'SUMMARY PER DIVISI'!U9</f>
        <v>50000000</v>
      </c>
      <c r="U44" s="542">
        <f>'SUMMARY PER DIVISI'!V9</f>
        <v>50000000</v>
      </c>
      <c r="V44" s="542">
        <f>'SUMMARY PER DIVISI'!W9</f>
        <v>50000000</v>
      </c>
      <c r="W44" s="542">
        <f>'SUMMARY PER DIVISI'!X9</f>
        <v>50000000</v>
      </c>
      <c r="X44" s="542">
        <f>'SUMMARY PER DIVISI'!Y9</f>
        <v>50000000</v>
      </c>
      <c r="Y44" s="542">
        <f>'SUMMARY PER DIVISI'!Z9</f>
        <v>50000000</v>
      </c>
      <c r="Z44" s="542">
        <f>'SUMMARY PER DIVISI'!AA9</f>
        <v>50000000</v>
      </c>
      <c r="AA44" s="542">
        <f>'SUMMARY PER DIVISI'!AB9</f>
        <v>50000000</v>
      </c>
      <c r="AB44" s="542">
        <f>'SUMMARY PER DIVISI'!AC9</f>
        <v>50000000</v>
      </c>
      <c r="AC44" s="542">
        <f t="shared" si="10"/>
        <v>600000000</v>
      </c>
      <c r="AD44" s="613">
        <f>'AND 1'!AC175+'ADY 1'!AF175</f>
        <v>573878719</v>
      </c>
      <c r="AE44" s="265"/>
      <c r="AF44" s="265"/>
    </row>
    <row r="45" spans="1:32" s="264" customFormat="1" ht="15.75" customHeight="1" x14ac:dyDescent="0.2">
      <c r="A45" s="540">
        <v>40</v>
      </c>
      <c r="B45" s="541" t="s">
        <v>207</v>
      </c>
      <c r="C45" s="542">
        <f>'SUMMARY PER DIVISI'!D115</f>
        <v>26156475.333333336</v>
      </c>
      <c r="D45" s="542">
        <f>'SUMMARY PER DIVISI'!E115</f>
        <v>22535300</v>
      </c>
      <c r="E45" s="546">
        <f t="shared" si="8"/>
        <v>3621175.3333333358</v>
      </c>
      <c r="F45" s="547">
        <f t="shared" si="0"/>
        <v>0.86155721337887692</v>
      </c>
      <c r="G45" s="542">
        <f>'SUMMARY PER DIVISI'!H115</f>
        <v>26156475.333333336</v>
      </c>
      <c r="H45" s="542">
        <f>'SUMMARY PER DIVISI'!I115</f>
        <v>31341100</v>
      </c>
      <c r="I45" s="546">
        <f t="shared" si="1"/>
        <v>-5184624.6666666642</v>
      </c>
      <c r="J45" s="547">
        <f t="shared" si="9"/>
        <v>1.1982157228982406</v>
      </c>
      <c r="K45" s="542">
        <f>'SUMMARY PER DIVISI'!L115</f>
        <v>26156475.333333336</v>
      </c>
      <c r="L45" s="542">
        <f>'SUMMARY PER DIVISI'!M115</f>
        <v>32210370</v>
      </c>
      <c r="M45" s="546">
        <f t="shared" si="2"/>
        <v>-6053894.6666666642</v>
      </c>
      <c r="N45" s="547">
        <f t="shared" si="3"/>
        <v>1.2314491761415458</v>
      </c>
      <c r="O45" s="542">
        <f t="shared" si="4"/>
        <v>78469426</v>
      </c>
      <c r="P45" s="542">
        <f t="shared" si="5"/>
        <v>86086770</v>
      </c>
      <c r="Q45" s="546">
        <f t="shared" si="6"/>
        <v>-7617344</v>
      </c>
      <c r="R45" s="547">
        <f t="shared" si="7"/>
        <v>1.0970740374728878</v>
      </c>
      <c r="S45" s="545">
        <f t="shared" si="11"/>
        <v>321495048.00000006</v>
      </c>
      <c r="T45" s="542">
        <f>'SUMMARY PER DIVISI'!U115</f>
        <v>26156475.333333336</v>
      </c>
      <c r="U45" s="542">
        <f>'SUMMARY PER DIVISI'!V115</f>
        <v>26156475.333333336</v>
      </c>
      <c r="V45" s="542">
        <f>'SUMMARY PER DIVISI'!W115</f>
        <v>26156475.333333336</v>
      </c>
      <c r="W45" s="542">
        <f>'SUMMARY PER DIVISI'!X115</f>
        <v>26156475.333333336</v>
      </c>
      <c r="X45" s="542">
        <f>'SUMMARY PER DIVISI'!Y115</f>
        <v>26156475.333333336</v>
      </c>
      <c r="Y45" s="542">
        <f>'SUMMARY PER DIVISI'!Z115</f>
        <v>26156475.333333336</v>
      </c>
      <c r="Z45" s="542">
        <f>'SUMMARY PER DIVISI'!AA115</f>
        <v>26156475.333333336</v>
      </c>
      <c r="AA45" s="542">
        <f>'SUMMARY PER DIVISI'!AB115</f>
        <v>26156475.333333336</v>
      </c>
      <c r="AB45" s="542">
        <f>'SUMMARY PER DIVISI'!AC115</f>
        <v>26156475.333333336</v>
      </c>
      <c r="AC45" s="542">
        <f t="shared" si="10"/>
        <v>313877704.00000006</v>
      </c>
      <c r="AD45" s="613">
        <f>'AND 1'!AC176+'ADY 1'!AF176</f>
        <v>312245752.86000001</v>
      </c>
      <c r="AE45" s="265"/>
      <c r="AF45" s="265"/>
    </row>
    <row r="46" spans="1:32" s="264" customFormat="1" ht="15.75" customHeight="1" x14ac:dyDescent="0.2">
      <c r="A46" s="540">
        <v>41</v>
      </c>
      <c r="B46" s="541" t="s">
        <v>208</v>
      </c>
      <c r="C46" s="542">
        <f>'SUMMARY PER DIVISI'!D33+'SUMMARY PER DIVISI'!D54+'SUMMARY PER DIVISI'!D55</f>
        <v>9000000</v>
      </c>
      <c r="D46" s="542">
        <f>'SUMMARY PER DIVISI'!E33+'SUMMARY PER DIVISI'!E54+'SUMMARY PER DIVISI'!E55</f>
        <v>15175400</v>
      </c>
      <c r="E46" s="546">
        <f t="shared" si="8"/>
        <v>-6175400</v>
      </c>
      <c r="F46" s="547">
        <f t="shared" si="0"/>
        <v>1.6861555555555556</v>
      </c>
      <c r="G46" s="542">
        <f>'SUMMARY PER DIVISI'!H33+'SUMMARY PER DIVISI'!H54+'SUMMARY PER DIVISI'!H55</f>
        <v>9000000</v>
      </c>
      <c r="H46" s="542">
        <f>'SUMMARY PER DIVISI'!I33+'SUMMARY PER DIVISI'!I54+'SUMMARY PER DIVISI'!I55</f>
        <v>17815600</v>
      </c>
      <c r="I46" s="546">
        <f t="shared" si="1"/>
        <v>-8815600</v>
      </c>
      <c r="J46" s="547">
        <f t="shared" si="9"/>
        <v>1.9795111111111112</v>
      </c>
      <c r="K46" s="542">
        <f>'SUMMARY PER DIVISI'!L33+'SUMMARY PER DIVISI'!L54+'SUMMARY PER DIVISI'!L55</f>
        <v>9000000</v>
      </c>
      <c r="L46" s="542">
        <f>'SUMMARY PER DIVISI'!M33+'SUMMARY PER DIVISI'!M54+'SUMMARY PER DIVISI'!M55</f>
        <v>23993300</v>
      </c>
      <c r="M46" s="546">
        <f t="shared" si="2"/>
        <v>-14993300</v>
      </c>
      <c r="N46" s="547">
        <f t="shared" si="3"/>
        <v>2.6659222222222221</v>
      </c>
      <c r="O46" s="542">
        <f t="shared" si="4"/>
        <v>27000000</v>
      </c>
      <c r="P46" s="542">
        <f t="shared" si="5"/>
        <v>56984300</v>
      </c>
      <c r="Q46" s="546">
        <f t="shared" si="6"/>
        <v>-29984300</v>
      </c>
      <c r="R46" s="547">
        <f t="shared" si="7"/>
        <v>2.1105296296296294</v>
      </c>
      <c r="S46" s="545">
        <f t="shared" si="11"/>
        <v>147984300</v>
      </c>
      <c r="T46" s="542">
        <f>'SUMMARY PER DIVISI'!U33+'SUMMARY PER DIVISI'!U54+'SUMMARY PER DIVISI'!U55</f>
        <v>9000000</v>
      </c>
      <c r="U46" s="542">
        <f>'SUMMARY PER DIVISI'!V33+'SUMMARY PER DIVISI'!V54+'SUMMARY PER DIVISI'!V55</f>
        <v>9000000</v>
      </c>
      <c r="V46" s="542">
        <f>'SUMMARY PER DIVISI'!W33+'SUMMARY PER DIVISI'!W54+'SUMMARY PER DIVISI'!W55</f>
        <v>9000000</v>
      </c>
      <c r="W46" s="542">
        <f>'SUMMARY PER DIVISI'!X33+'SUMMARY PER DIVISI'!X54+'SUMMARY PER DIVISI'!X55</f>
        <v>14000000</v>
      </c>
      <c r="X46" s="542">
        <f>'SUMMARY PER DIVISI'!Y33+'SUMMARY PER DIVISI'!Y54+'SUMMARY PER DIVISI'!Y55</f>
        <v>14000000</v>
      </c>
      <c r="Y46" s="542">
        <f>'SUMMARY PER DIVISI'!Z33+'SUMMARY PER DIVISI'!Z54+'SUMMARY PER DIVISI'!Z55</f>
        <v>9000000</v>
      </c>
      <c r="Z46" s="542">
        <f>'SUMMARY PER DIVISI'!AA33+'SUMMARY PER DIVISI'!AA54+'SUMMARY PER DIVISI'!AA55</f>
        <v>9000000</v>
      </c>
      <c r="AA46" s="542">
        <f>'SUMMARY PER DIVISI'!AB33+'SUMMARY PER DIVISI'!AB54+'SUMMARY PER DIVISI'!AB55</f>
        <v>9000000</v>
      </c>
      <c r="AB46" s="542">
        <f>'SUMMARY PER DIVISI'!AC33+'SUMMARY PER DIVISI'!AC54+'SUMMARY PER DIVISI'!AC55</f>
        <v>9000000</v>
      </c>
      <c r="AC46" s="542">
        <f t="shared" si="10"/>
        <v>118000000</v>
      </c>
      <c r="AD46" s="613">
        <f>'AND 1'!AC177+'ADY 1'!AF177</f>
        <v>123350650.04000001</v>
      </c>
      <c r="AE46" s="265"/>
      <c r="AF46" s="265"/>
    </row>
    <row r="47" spans="1:32" s="264" customFormat="1" ht="15.75" customHeight="1" x14ac:dyDescent="0.2">
      <c r="A47" s="540">
        <v>42</v>
      </c>
      <c r="B47" s="541" t="s">
        <v>209</v>
      </c>
      <c r="C47" s="542">
        <f>'SUMMARY PER DIVISI'!D40</f>
        <v>0</v>
      </c>
      <c r="D47" s="542">
        <f>'SUMMARY PER DIVISI'!E40</f>
        <v>0</v>
      </c>
      <c r="E47" s="546">
        <f t="shared" si="8"/>
        <v>0</v>
      </c>
      <c r="F47" s="547" t="e">
        <f t="shared" si="0"/>
        <v>#DIV/0!</v>
      </c>
      <c r="G47" s="542">
        <f>'SUMMARY PER DIVISI'!H40</f>
        <v>0</v>
      </c>
      <c r="H47" s="542">
        <f>'SUMMARY PER DIVISI'!I40</f>
        <v>920000</v>
      </c>
      <c r="I47" s="546">
        <f t="shared" si="1"/>
        <v>-920000</v>
      </c>
      <c r="J47" s="547" t="e">
        <f t="shared" si="9"/>
        <v>#DIV/0!</v>
      </c>
      <c r="K47" s="542">
        <f>'SUMMARY PER DIVISI'!L40</f>
        <v>0</v>
      </c>
      <c r="L47" s="542">
        <f>'SUMMARY PER DIVISI'!M40</f>
        <v>920000</v>
      </c>
      <c r="M47" s="546">
        <f t="shared" si="2"/>
        <v>-920000</v>
      </c>
      <c r="N47" s="547" t="e">
        <f t="shared" si="3"/>
        <v>#DIV/0!</v>
      </c>
      <c r="O47" s="542">
        <f t="shared" si="4"/>
        <v>0</v>
      </c>
      <c r="P47" s="542">
        <f t="shared" si="5"/>
        <v>1840000</v>
      </c>
      <c r="Q47" s="546">
        <f t="shared" si="6"/>
        <v>-1840000</v>
      </c>
      <c r="R47" s="547" t="e">
        <f t="shared" si="7"/>
        <v>#DIV/0!</v>
      </c>
      <c r="S47" s="545">
        <f t="shared" si="11"/>
        <v>1840000</v>
      </c>
      <c r="T47" s="542">
        <f>'SUMMARY PER DIVISI'!U40</f>
        <v>0</v>
      </c>
      <c r="U47" s="542">
        <f>'SUMMARY PER DIVISI'!V40</f>
        <v>0</v>
      </c>
      <c r="V47" s="542">
        <f>'SUMMARY PER DIVISI'!W40</f>
        <v>0</v>
      </c>
      <c r="W47" s="542">
        <f>'SUMMARY PER DIVISI'!X40</f>
        <v>0</v>
      </c>
      <c r="X47" s="542">
        <f>'SUMMARY PER DIVISI'!Y40</f>
        <v>0</v>
      </c>
      <c r="Y47" s="542">
        <f>'SUMMARY PER DIVISI'!Z40</f>
        <v>0</v>
      </c>
      <c r="Z47" s="542">
        <f>'SUMMARY PER DIVISI'!AA40</f>
        <v>0</v>
      </c>
      <c r="AA47" s="542">
        <f>'SUMMARY PER DIVISI'!AB40</f>
        <v>0</v>
      </c>
      <c r="AB47" s="542">
        <f>'SUMMARY PER DIVISI'!AC40</f>
        <v>0</v>
      </c>
      <c r="AC47" s="542">
        <f t="shared" si="10"/>
        <v>0</v>
      </c>
      <c r="AD47" s="613">
        <f>'AND 1'!AC178+'ADY 1'!AF178</f>
        <v>5520000</v>
      </c>
      <c r="AE47" s="265"/>
      <c r="AF47" s="265"/>
    </row>
    <row r="48" spans="1:32" s="264" customFormat="1" ht="15.75" customHeight="1" x14ac:dyDescent="0.2">
      <c r="A48" s="540">
        <v>43</v>
      </c>
      <c r="B48" s="541" t="s">
        <v>210</v>
      </c>
      <c r="C48" s="542">
        <f>'SUMMARY PER DIVISI'!D121</f>
        <v>253936751</v>
      </c>
      <c r="D48" s="542">
        <f>'SUMMARY PER DIVISI'!E121</f>
        <v>253936751</v>
      </c>
      <c r="E48" s="546">
        <f t="shared" si="8"/>
        <v>0</v>
      </c>
      <c r="F48" s="547">
        <f t="shared" si="0"/>
        <v>1</v>
      </c>
      <c r="G48" s="542">
        <f>'SUMMARY PER DIVISI'!H121</f>
        <v>253936751</v>
      </c>
      <c r="H48" s="542">
        <f>'SUMMARY PER DIVISI'!I121</f>
        <v>253936751</v>
      </c>
      <c r="I48" s="546">
        <f t="shared" si="1"/>
        <v>0</v>
      </c>
      <c r="J48" s="547">
        <f t="shared" si="9"/>
        <v>1</v>
      </c>
      <c r="K48" s="542">
        <f>'SUMMARY PER DIVISI'!L121</f>
        <v>253936751</v>
      </c>
      <c r="L48" s="542">
        <f>'SUMMARY PER DIVISI'!M121</f>
        <v>253936751</v>
      </c>
      <c r="M48" s="546">
        <f t="shared" si="2"/>
        <v>0</v>
      </c>
      <c r="N48" s="547">
        <f t="shared" si="3"/>
        <v>1</v>
      </c>
      <c r="O48" s="542">
        <f t="shared" si="4"/>
        <v>761810253</v>
      </c>
      <c r="P48" s="542">
        <f t="shared" si="5"/>
        <v>761810253</v>
      </c>
      <c r="Q48" s="546">
        <f t="shared" si="6"/>
        <v>0</v>
      </c>
      <c r="R48" s="547">
        <f t="shared" si="7"/>
        <v>1</v>
      </c>
      <c r="S48" s="545">
        <f t="shared" si="11"/>
        <v>3047241012</v>
      </c>
      <c r="T48" s="542">
        <f>'SUMMARY PER DIVISI'!U121</f>
        <v>253936751</v>
      </c>
      <c r="U48" s="542">
        <f>'SUMMARY PER DIVISI'!V121</f>
        <v>253936751</v>
      </c>
      <c r="V48" s="542">
        <f>'SUMMARY PER DIVISI'!W121</f>
        <v>253936751</v>
      </c>
      <c r="W48" s="542">
        <f>'SUMMARY PER DIVISI'!X121</f>
        <v>253936751</v>
      </c>
      <c r="X48" s="542">
        <f>'SUMMARY PER DIVISI'!Y121</f>
        <v>253936751</v>
      </c>
      <c r="Y48" s="542">
        <f>'SUMMARY PER DIVISI'!Z121</f>
        <v>253936751</v>
      </c>
      <c r="Z48" s="542">
        <f>'SUMMARY PER DIVISI'!AA121</f>
        <v>253936751</v>
      </c>
      <c r="AA48" s="542">
        <f>'SUMMARY PER DIVISI'!AB121</f>
        <v>253936751</v>
      </c>
      <c r="AB48" s="542">
        <f>'SUMMARY PER DIVISI'!AC121</f>
        <v>253936751</v>
      </c>
      <c r="AC48" s="542">
        <f t="shared" si="10"/>
        <v>3047241012</v>
      </c>
      <c r="AD48" s="613">
        <f>'AND 1'!AC179+'ADY 1'!AF179</f>
        <v>3047241012</v>
      </c>
      <c r="AE48" s="265"/>
      <c r="AF48" s="265"/>
    </row>
    <row r="49" spans="1:32" s="251" customFormat="1" x14ac:dyDescent="0.2">
      <c r="A49" s="548"/>
      <c r="B49" s="549" t="s">
        <v>211</v>
      </c>
      <c r="C49" s="550">
        <f>SUM(C7:C48)</f>
        <v>2953499336.6333337</v>
      </c>
      <c r="D49" s="550">
        <f>SUM(D7:D48)</f>
        <v>2894884266.4200001</v>
      </c>
      <c r="E49" s="551">
        <f t="shared" si="8"/>
        <v>58615070.213333607</v>
      </c>
      <c r="F49" s="552">
        <f t="shared" si="0"/>
        <v>0.98015402628119486</v>
      </c>
      <c r="G49" s="550">
        <f>SUM(G7:G48)</f>
        <v>2755021736.6333337</v>
      </c>
      <c r="H49" s="550">
        <f>SUM(H7:H48)</f>
        <v>2727185658.3200002</v>
      </c>
      <c r="I49" s="551">
        <f t="shared" si="1"/>
        <v>27836078.313333511</v>
      </c>
      <c r="J49" s="552">
        <f t="shared" si="9"/>
        <v>0.98989624003934373</v>
      </c>
      <c r="K49" s="550">
        <f>SUM(K7:K48)</f>
        <v>2988614069.6333337</v>
      </c>
      <c r="L49" s="550">
        <f>SUM(L7:L48)</f>
        <v>2809940078.54</v>
      </c>
      <c r="M49" s="551">
        <f t="shared" si="2"/>
        <v>178673991.09333372</v>
      </c>
      <c r="N49" s="552">
        <f t="shared" si="3"/>
        <v>0.94021510073555437</v>
      </c>
      <c r="O49" s="553">
        <f t="shared" si="4"/>
        <v>8697135142.9000015</v>
      </c>
      <c r="P49" s="553">
        <f t="shared" si="5"/>
        <v>8432010003.2799997</v>
      </c>
      <c r="Q49" s="551">
        <f t="shared" si="6"/>
        <v>265125139.62000179</v>
      </c>
      <c r="R49" s="552">
        <f t="shared" si="7"/>
        <v>0.96951580776154322</v>
      </c>
      <c r="S49" s="550">
        <f t="shared" ref="S49:AC49" si="12">SUM(S7:S48)</f>
        <v>34973417480.880005</v>
      </c>
      <c r="T49" s="550">
        <f t="shared" si="12"/>
        <v>2859871141.4333334</v>
      </c>
      <c r="U49" s="550">
        <f t="shared" si="12"/>
        <v>2733535736.6333337</v>
      </c>
      <c r="V49" s="550">
        <f t="shared" si="12"/>
        <v>2777312736.6333337</v>
      </c>
      <c r="W49" s="550">
        <f t="shared" si="12"/>
        <v>2627171736.6333337</v>
      </c>
      <c r="X49" s="550">
        <f t="shared" si="12"/>
        <v>4760059246.7333336</v>
      </c>
      <c r="Y49" s="550">
        <f t="shared" si="12"/>
        <v>2536321736.6333337</v>
      </c>
      <c r="Z49" s="550">
        <f t="shared" si="12"/>
        <v>2803499336.6333337</v>
      </c>
      <c r="AA49" s="550">
        <f t="shared" si="12"/>
        <v>2605021736.6333337</v>
      </c>
      <c r="AB49" s="550">
        <f t="shared" si="12"/>
        <v>2838614069.6333337</v>
      </c>
      <c r="AC49" s="550">
        <f t="shared" si="12"/>
        <v>35238542620.5</v>
      </c>
      <c r="AD49" s="613">
        <f>'AND 1'!AC180+'ADY 1'!AF180+IBP!AC10+ASI!AC10</f>
        <v>28721715547.829998</v>
      </c>
    </row>
    <row r="50" spans="1:32" s="243" customFormat="1" x14ac:dyDescent="0.2">
      <c r="A50" s="554"/>
      <c r="B50" s="541" t="s">
        <v>212</v>
      </c>
      <c r="C50" s="555">
        <f>'SUMMARY PER DIVISI'!D124+'SUMMARY PER DIVISI'!D125+'SUMMARY PER DIVISI'!D126</f>
        <v>186712500</v>
      </c>
      <c r="D50" s="555">
        <f>'SUMMARY PER DIVISI'!E124+'SUMMARY PER DIVISI'!E125+'SUMMARY PER DIVISI'!E126</f>
        <v>186712500</v>
      </c>
      <c r="E50" s="546">
        <f t="shared" si="8"/>
        <v>0</v>
      </c>
      <c r="F50" s="547">
        <f t="shared" si="0"/>
        <v>1</v>
      </c>
      <c r="G50" s="555">
        <f>'SUMMARY PER DIVISI'!H124+'SUMMARY PER DIVISI'!H125+'SUMMARY PER DIVISI'!H126</f>
        <v>186712500</v>
      </c>
      <c r="H50" s="555">
        <f>'SUMMARY PER DIVISI'!I124+'SUMMARY PER DIVISI'!I125+'SUMMARY PER DIVISI'!I126</f>
        <v>186712500</v>
      </c>
      <c r="I50" s="546">
        <f t="shared" si="1"/>
        <v>0</v>
      </c>
      <c r="J50" s="547">
        <f t="shared" si="9"/>
        <v>1</v>
      </c>
      <c r="K50" s="555">
        <f>'SUMMARY PER DIVISI'!L124+'SUMMARY PER DIVISI'!L125+'SUMMARY PER DIVISI'!L126</f>
        <v>186712500</v>
      </c>
      <c r="L50" s="555">
        <f>'SUMMARY PER DIVISI'!M124+'SUMMARY PER DIVISI'!M125+'SUMMARY PER DIVISI'!M126</f>
        <v>186712500</v>
      </c>
      <c r="M50" s="546">
        <f t="shared" si="2"/>
        <v>0</v>
      </c>
      <c r="N50" s="547">
        <f t="shared" si="3"/>
        <v>1</v>
      </c>
      <c r="O50" s="542">
        <f t="shared" si="4"/>
        <v>560137500</v>
      </c>
      <c r="P50" s="542">
        <f t="shared" si="5"/>
        <v>560137500</v>
      </c>
      <c r="Q50" s="546">
        <f t="shared" si="6"/>
        <v>0</v>
      </c>
      <c r="R50" s="547">
        <f t="shared" si="7"/>
        <v>1</v>
      </c>
      <c r="S50" s="545">
        <f t="shared" si="11"/>
        <v>2240550000</v>
      </c>
      <c r="T50" s="555">
        <f>'SUMMARY PER DIVISI'!U124+'SUMMARY PER DIVISI'!U125+'SUMMARY PER DIVISI'!U126</f>
        <v>186712500</v>
      </c>
      <c r="U50" s="555">
        <f>'SUMMARY PER DIVISI'!V124+'SUMMARY PER DIVISI'!V125+'SUMMARY PER DIVISI'!V126</f>
        <v>186712500</v>
      </c>
      <c r="V50" s="555">
        <f>'SUMMARY PER DIVISI'!W124+'SUMMARY PER DIVISI'!W125+'SUMMARY PER DIVISI'!W126</f>
        <v>186712500</v>
      </c>
      <c r="W50" s="555">
        <f>'SUMMARY PER DIVISI'!X124+'SUMMARY PER DIVISI'!X125+'SUMMARY PER DIVISI'!X126</f>
        <v>186712500</v>
      </c>
      <c r="X50" s="555">
        <f>'SUMMARY PER DIVISI'!Y124+'SUMMARY PER DIVISI'!Y125+'SUMMARY PER DIVISI'!Y126</f>
        <v>186712500</v>
      </c>
      <c r="Y50" s="555">
        <f>'SUMMARY PER DIVISI'!Z124+'SUMMARY PER DIVISI'!Z125+'SUMMARY PER DIVISI'!Z126</f>
        <v>186712500</v>
      </c>
      <c r="Z50" s="555">
        <f>'SUMMARY PER DIVISI'!AA124+'SUMMARY PER DIVISI'!AA125+'SUMMARY PER DIVISI'!AA126</f>
        <v>186712500</v>
      </c>
      <c r="AA50" s="555">
        <f>'SUMMARY PER DIVISI'!AB124+'SUMMARY PER DIVISI'!AB125+'SUMMARY PER DIVISI'!AB126</f>
        <v>186712500</v>
      </c>
      <c r="AB50" s="555">
        <f>'SUMMARY PER DIVISI'!AC124+'SUMMARY PER DIVISI'!AC125+'SUMMARY PER DIVISI'!AC126</f>
        <v>186712500</v>
      </c>
      <c r="AC50" s="555">
        <f>AB50+AA50+Z50+Y50+X50+W50+V50+U50+T50+K50+G50+C50</f>
        <v>2240550000</v>
      </c>
      <c r="AD50" s="613">
        <f>'AND 1'!AC181+'ADY 1'!AF181</f>
        <v>2222550000</v>
      </c>
      <c r="AE50" s="244"/>
      <c r="AF50" s="244"/>
    </row>
    <row r="51" spans="1:32" s="243" customFormat="1" x14ac:dyDescent="0.2">
      <c r="A51" s="329"/>
      <c r="B51" s="247"/>
      <c r="C51" s="321"/>
      <c r="D51" s="321"/>
      <c r="E51" s="301"/>
      <c r="F51" s="409"/>
      <c r="G51" s="321"/>
      <c r="H51" s="321"/>
      <c r="I51" s="301"/>
      <c r="J51" s="409"/>
      <c r="K51" s="321"/>
      <c r="L51" s="321"/>
      <c r="M51" s="301"/>
      <c r="N51" s="409"/>
      <c r="O51" s="322"/>
      <c r="P51" s="322"/>
      <c r="Q51" s="301"/>
      <c r="R51" s="409"/>
      <c r="S51" s="409"/>
      <c r="T51" s="321"/>
      <c r="U51" s="321"/>
      <c r="V51" s="321"/>
      <c r="W51" s="321"/>
      <c r="X51" s="321"/>
      <c r="Y51" s="321"/>
      <c r="Z51" s="321"/>
      <c r="AA51" s="321"/>
      <c r="AB51" s="321"/>
      <c r="AC51" s="321"/>
      <c r="AD51" s="613">
        <f>'AND 1'!AC182+'ADY 1'!AF182</f>
        <v>0</v>
      </c>
      <c r="AE51" s="244"/>
      <c r="AF51" s="244"/>
    </row>
    <row r="52" spans="1:32" s="242" customFormat="1" x14ac:dyDescent="0.2">
      <c r="A52" s="330"/>
      <c r="B52" s="253" t="s">
        <v>24</v>
      </c>
      <c r="C52" s="323">
        <f>C49-C50</f>
        <v>2766786836.6333337</v>
      </c>
      <c r="D52" s="323">
        <f>D49-D50</f>
        <v>2708171766.4200001</v>
      </c>
      <c r="E52" s="323">
        <f>C52-D52</f>
        <v>58615070.213333607</v>
      </c>
      <c r="F52" s="417">
        <f>D52/C52</f>
        <v>0.978814750223166</v>
      </c>
      <c r="G52" s="323">
        <f>G49-G50</f>
        <v>2568309236.6333337</v>
      </c>
      <c r="H52" s="323">
        <f>H49-H50</f>
        <v>2540473158.3200002</v>
      </c>
      <c r="I52" s="323">
        <f>G52-H52</f>
        <v>27836078.313333511</v>
      </c>
      <c r="J52" s="417">
        <f>H52/G52</f>
        <v>0.98916171077988158</v>
      </c>
      <c r="K52" s="323">
        <f>K49-K50</f>
        <v>2801901569.6333337</v>
      </c>
      <c r="L52" s="323">
        <f>L49-L50</f>
        <v>2623227578.54</v>
      </c>
      <c r="M52" s="323">
        <f>K52-L52</f>
        <v>178673991.09333372</v>
      </c>
      <c r="N52" s="417">
        <f>L52/K52</f>
        <v>0.9362311677791324</v>
      </c>
      <c r="O52" s="418">
        <f>C52+G52+K52</f>
        <v>8136997642.9000015</v>
      </c>
      <c r="P52" s="418">
        <f>D52+H52+L52</f>
        <v>7871872503.2799997</v>
      </c>
      <c r="Q52" s="323">
        <f>O52-P52</f>
        <v>265125139.62000179</v>
      </c>
      <c r="R52" s="417">
        <f>P52/O52</f>
        <v>0.96741732623563692</v>
      </c>
      <c r="S52" s="324">
        <f t="shared" ref="S52:AC52" si="13">S49-S50</f>
        <v>32732867480.880005</v>
      </c>
      <c r="T52" s="323">
        <f t="shared" si="13"/>
        <v>2673158641.4333334</v>
      </c>
      <c r="U52" s="323">
        <f t="shared" si="13"/>
        <v>2546823236.6333337</v>
      </c>
      <c r="V52" s="323">
        <f t="shared" si="13"/>
        <v>2590600236.6333337</v>
      </c>
      <c r="W52" s="323">
        <f t="shared" si="13"/>
        <v>2440459236.6333337</v>
      </c>
      <c r="X52" s="323">
        <f t="shared" si="13"/>
        <v>4573346746.7333336</v>
      </c>
      <c r="Y52" s="323">
        <f t="shared" si="13"/>
        <v>2349609236.6333337</v>
      </c>
      <c r="Z52" s="323">
        <f t="shared" si="13"/>
        <v>2616786836.6333337</v>
      </c>
      <c r="AA52" s="323">
        <f t="shared" si="13"/>
        <v>2418309236.6333337</v>
      </c>
      <c r="AB52" s="323">
        <f t="shared" si="13"/>
        <v>2651901569.6333337</v>
      </c>
      <c r="AC52" s="324">
        <f t="shared" si="13"/>
        <v>32997992620.5</v>
      </c>
      <c r="AD52" s="613">
        <f>'AND 1'!AC183+'ADY 1'!AF183+IBP!AC10+ASI!AC10</f>
        <v>26499165547.829998</v>
      </c>
      <c r="AE52" s="251"/>
      <c r="AF52" s="251"/>
    </row>
    <row r="53" spans="1:32" s="243" customFormat="1" x14ac:dyDescent="0.2">
      <c r="A53" s="331"/>
      <c r="B53" s="326"/>
      <c r="C53" s="325"/>
      <c r="D53" s="325"/>
      <c r="E53" s="325"/>
      <c r="F53" s="410"/>
      <c r="G53" s="325"/>
      <c r="H53" s="325"/>
      <c r="I53" s="325"/>
      <c r="J53" s="410"/>
      <c r="K53" s="325"/>
      <c r="L53" s="325"/>
      <c r="M53" s="325"/>
      <c r="N53" s="410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613">
        <f>'AND 1'!AC184+'ADY 1'!AF184</f>
        <v>0</v>
      </c>
      <c r="AE53" s="244"/>
      <c r="AF53" s="244"/>
    </row>
    <row r="54" spans="1:32" s="243" customFormat="1" x14ac:dyDescent="0.2">
      <c r="C54" s="244">
        <f>C52-'SUMMARY PER DIVISI'!D128</f>
        <v>0</v>
      </c>
      <c r="D54" s="244"/>
      <c r="E54" s="244"/>
      <c r="F54" s="403"/>
      <c r="G54" s="244">
        <f>G52-'SUMMARY PER DIVISI'!H128</f>
        <v>0</v>
      </c>
      <c r="H54" s="244"/>
      <c r="I54" s="244"/>
      <c r="J54" s="244"/>
      <c r="K54" s="244">
        <f>K52-'SUMMARY PER DIVISI'!L128</f>
        <v>0</v>
      </c>
      <c r="L54" s="244"/>
      <c r="M54" s="244"/>
      <c r="N54" s="244"/>
      <c r="O54" s="244"/>
      <c r="P54" s="244"/>
      <c r="Q54" s="244"/>
      <c r="R54" s="244"/>
      <c r="S54" s="244"/>
      <c r="T54" s="244">
        <f>T52-'SUMMARY PER DIVISI'!U128</f>
        <v>0</v>
      </c>
      <c r="U54" s="244">
        <f>U52-'SUMMARY PER DIVISI'!V128</f>
        <v>0</v>
      </c>
      <c r="V54" s="244">
        <f>V52-'SUMMARY PER DIVISI'!W128</f>
        <v>0</v>
      </c>
      <c r="W54" s="244">
        <f>W52-'SUMMARY PER DIVISI'!X128</f>
        <v>0</v>
      </c>
      <c r="X54" s="244">
        <f>X52-'SUMMARY PER DIVISI'!Y128</f>
        <v>0</v>
      </c>
      <c r="Y54" s="244">
        <f>Y52-'SUMMARY PER DIVISI'!Z128</f>
        <v>0</v>
      </c>
      <c r="Z54" s="244">
        <f>Z52-'SUMMARY PER DIVISI'!AA128</f>
        <v>0</v>
      </c>
      <c r="AA54" s="244">
        <f>AA52-'SUMMARY PER DIVISI'!AB128</f>
        <v>0</v>
      </c>
      <c r="AB54" s="244">
        <f>AB52-'SUMMARY PER DIVISI'!AC128</f>
        <v>0</v>
      </c>
      <c r="AC54" s="244">
        <f>AC52-'SUMMARY PER DIVISI'!AD128</f>
        <v>0</v>
      </c>
      <c r="AD54" s="422"/>
      <c r="AE54" s="244"/>
      <c r="AF54" s="244"/>
    </row>
    <row r="56" spans="1:32" x14ac:dyDescent="0.2">
      <c r="S56" t="b">
        <f>S52='SUMMARY PER DIVISI'!T128</f>
        <v>0</v>
      </c>
      <c r="AC56" s="1"/>
    </row>
  </sheetData>
  <mergeCells count="5">
    <mergeCell ref="A5:B6"/>
    <mergeCell ref="C5:F5"/>
    <mergeCell ref="G5:J5"/>
    <mergeCell ref="K5:N5"/>
    <mergeCell ref="O5:R5"/>
  </mergeCells>
  <pageMargins left="0.7" right="0.7" top="0.75" bottom="0.75" header="0.3" footer="0.3"/>
  <ignoredErrors>
    <ignoredError sqref="S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8"/>
  <sheetViews>
    <sheetView showGridLines="0" zoomScale="80" zoomScaleNormal="80" zoomScaleSheetLayoutView="70" workbookViewId="0">
      <pane xSplit="2" ySplit="5" topLeftCell="E21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2.5703125" defaultRowHeight="12.75" x14ac:dyDescent="0.2"/>
  <cols>
    <col min="1" max="1" width="4.85546875" style="579" customWidth="1"/>
    <col min="2" max="2" width="61" style="579" customWidth="1"/>
    <col min="3" max="3" width="18.42578125" style="579" hidden="1" customWidth="1"/>
    <col min="4" max="4" width="1.85546875" style="579" hidden="1" customWidth="1"/>
    <col min="5" max="5" width="14.28515625" style="601" customWidth="1"/>
    <col min="6" max="6" width="17.7109375" style="601" hidden="1" customWidth="1"/>
    <col min="7" max="7" width="17.7109375" style="601" customWidth="1"/>
    <col min="8" max="9" width="14.28515625" style="601" customWidth="1"/>
    <col min="10" max="10" width="17.7109375" style="601" hidden="1" customWidth="1"/>
    <col min="11" max="11" width="18.85546875" style="601" hidden="1" customWidth="1"/>
    <col min="12" max="12" width="17.7109375" style="601" hidden="1" customWidth="1"/>
    <col min="13" max="13" width="18.85546875" style="601" hidden="1" customWidth="1"/>
    <col min="14" max="14" width="14.28515625" style="604" customWidth="1"/>
    <col min="15" max="15" width="11.42578125" style="579" customWidth="1"/>
    <col min="16" max="222" width="11.5703125" style="579" customWidth="1"/>
    <col min="223" max="16384" width="12.5703125" style="579"/>
  </cols>
  <sheetData>
    <row r="1" spans="1:16" s="589" customFormat="1" ht="18" x14ac:dyDescent="0.2">
      <c r="A1" s="585" t="s">
        <v>380</v>
      </c>
      <c r="B1" s="586"/>
      <c r="C1" s="586"/>
      <c r="D1" s="586"/>
      <c r="E1" s="587"/>
      <c r="F1" s="587"/>
      <c r="G1" s="587"/>
      <c r="H1" s="587"/>
      <c r="I1" s="587"/>
      <c r="J1" s="587"/>
      <c r="K1" s="587"/>
      <c r="L1" s="587"/>
      <c r="M1" s="587"/>
      <c r="N1" s="588"/>
    </row>
    <row r="2" spans="1:16" s="589" customFormat="1" ht="18" x14ac:dyDescent="0.2">
      <c r="A2" s="585" t="s">
        <v>223</v>
      </c>
      <c r="B2" s="586"/>
      <c r="C2" s="586"/>
      <c r="D2" s="586"/>
      <c r="E2" s="587"/>
      <c r="F2" s="587"/>
      <c r="G2" s="587"/>
      <c r="H2" s="587"/>
      <c r="I2" s="587"/>
      <c r="J2" s="587"/>
      <c r="K2" s="587"/>
      <c r="L2" s="587"/>
      <c r="M2" s="587"/>
      <c r="N2" s="588"/>
    </row>
    <row r="3" spans="1:16" s="589" customFormat="1" ht="15" x14ac:dyDescent="0.2">
      <c r="A3" s="586"/>
      <c r="B3" s="586"/>
      <c r="C3" s="586"/>
      <c r="D3" s="586"/>
      <c r="E3" s="587"/>
      <c r="F3" s="587"/>
      <c r="G3" s="587"/>
      <c r="H3" s="587"/>
      <c r="I3" s="587"/>
      <c r="J3" s="587"/>
      <c r="K3" s="587"/>
      <c r="L3" s="587"/>
      <c r="M3" s="587"/>
      <c r="N3" s="588"/>
    </row>
    <row r="4" spans="1:16" s="591" customFormat="1" ht="15.75" x14ac:dyDescent="0.2">
      <c r="A4" s="647" t="s">
        <v>381</v>
      </c>
      <c r="B4" s="647" t="s">
        <v>4</v>
      </c>
      <c r="C4" s="590" t="s">
        <v>8</v>
      </c>
      <c r="D4" s="590" t="s">
        <v>19</v>
      </c>
      <c r="E4" s="590" t="s">
        <v>8</v>
      </c>
      <c r="F4" s="590" t="s">
        <v>357</v>
      </c>
      <c r="G4" s="590" t="s">
        <v>300</v>
      </c>
      <c r="H4" s="590" t="s">
        <v>8</v>
      </c>
      <c r="I4" s="590" t="s">
        <v>300</v>
      </c>
      <c r="J4" s="590" t="s">
        <v>300</v>
      </c>
      <c r="K4" s="590" t="s">
        <v>300</v>
      </c>
      <c r="L4" s="590" t="s">
        <v>300</v>
      </c>
      <c r="M4" s="590" t="s">
        <v>300</v>
      </c>
      <c r="N4" s="645" t="s">
        <v>303</v>
      </c>
      <c r="O4" s="645" t="s">
        <v>356</v>
      </c>
      <c r="P4" s="646" t="s">
        <v>379</v>
      </c>
    </row>
    <row r="5" spans="1:16" s="591" customFormat="1" ht="15.75" x14ac:dyDescent="0.2">
      <c r="A5" s="647"/>
      <c r="B5" s="647"/>
      <c r="C5" s="592">
        <v>2012</v>
      </c>
      <c r="D5" s="592">
        <v>2012</v>
      </c>
      <c r="E5" s="593">
        <v>2013</v>
      </c>
      <c r="F5" s="593" t="s">
        <v>359</v>
      </c>
      <c r="G5" s="593">
        <v>2013</v>
      </c>
      <c r="H5" s="593" t="s">
        <v>376</v>
      </c>
      <c r="I5" s="593" t="s">
        <v>376</v>
      </c>
      <c r="J5" s="593" t="s">
        <v>361</v>
      </c>
      <c r="K5" s="593" t="s">
        <v>362</v>
      </c>
      <c r="L5" s="593" t="s">
        <v>363</v>
      </c>
      <c r="M5" s="593" t="s">
        <v>364</v>
      </c>
      <c r="N5" s="645"/>
      <c r="O5" s="645"/>
      <c r="P5" s="646"/>
    </row>
    <row r="6" spans="1:16" s="597" customFormat="1" ht="16.899999999999999" customHeight="1" x14ac:dyDescent="0.2">
      <c r="A6" s="580"/>
      <c r="B6" s="594" t="s">
        <v>224</v>
      </c>
      <c r="C6" s="605">
        <v>12512647072.700119</v>
      </c>
      <c r="D6" s="605">
        <v>11988574492</v>
      </c>
      <c r="E6" s="606">
        <f>'SUMMARY PER DIVISI'!AD11</f>
        <v>13920523773.800003</v>
      </c>
      <c r="F6" s="606">
        <f>'SUMMARY PER DIVISI'!T11</f>
        <v>11997783397</v>
      </c>
      <c r="G6" s="606">
        <f>'SUMMARY PER DIVISI'!T11</f>
        <v>11997783397</v>
      </c>
      <c r="H6" s="606">
        <f>'SUMMARY PER DIVISI'!P11</f>
        <v>3025352589.6000004</v>
      </c>
      <c r="I6" s="606">
        <f>'SUMMARY PER DIVISI'!Q11</f>
        <v>3168654437</v>
      </c>
      <c r="J6" s="606">
        <f>E6*1.1</f>
        <v>15312576151.180004</v>
      </c>
      <c r="K6" s="606">
        <f>J6*1.1</f>
        <v>16843833766.298006</v>
      </c>
      <c r="L6" s="606">
        <f>K6*1.1</f>
        <v>18528217142.927807</v>
      </c>
      <c r="M6" s="606">
        <f>L6*1.1</f>
        <v>20381038857.220589</v>
      </c>
      <c r="N6" s="595">
        <f>I6-H6</f>
        <v>143301847.39999962</v>
      </c>
      <c r="O6" s="596">
        <f>N6/H6*100</f>
        <v>4.736699050967359</v>
      </c>
      <c r="P6" s="577">
        <f>I6/$I$43</f>
        <v>0.40252867861867758</v>
      </c>
    </row>
    <row r="7" spans="1:16" s="597" customFormat="1" ht="16.899999999999999" customHeight="1" x14ac:dyDescent="0.2">
      <c r="A7" s="580"/>
      <c r="B7" s="594" t="s">
        <v>225</v>
      </c>
      <c r="C7" s="605">
        <v>1972003483.2420311</v>
      </c>
      <c r="D7" s="605">
        <v>980455570.35403109</v>
      </c>
      <c r="E7" s="607">
        <f>'SUMMARY PER DIVISI'!AD22</f>
        <v>821928107.20000017</v>
      </c>
      <c r="F7" s="607">
        <f>'SUMMARY PER DIVISI'!T22</f>
        <v>626474567</v>
      </c>
      <c r="G7" s="606">
        <f>'SUMMARY PER DIVISI'!T22</f>
        <v>626474567</v>
      </c>
      <c r="H7" s="607">
        <f>'SUMMARY PER DIVISI'!P22</f>
        <v>154232026.80000001</v>
      </c>
      <c r="I7" s="607">
        <f>'SUMMARY PER DIVISI'!Q22</f>
        <v>318947368</v>
      </c>
      <c r="J7" s="606">
        <f>E7*1.05</f>
        <v>863024512.56000018</v>
      </c>
      <c r="K7" s="606">
        <f t="shared" ref="K7:M8" si="0">J7*1.05</f>
        <v>906175738.1880002</v>
      </c>
      <c r="L7" s="606">
        <f t="shared" si="0"/>
        <v>951484525.09740031</v>
      </c>
      <c r="M7" s="606">
        <f t="shared" si="0"/>
        <v>999058751.35227036</v>
      </c>
      <c r="N7" s="595">
        <f t="shared" ref="N7:N43" si="1">I7-H7</f>
        <v>164715341.19999999</v>
      </c>
      <c r="O7" s="596">
        <f t="shared" ref="O7:O41" si="2">N7/H7*100</f>
        <v>106.79710603401082</v>
      </c>
      <c r="P7" s="577">
        <f t="shared" ref="P7:P43" si="3">I7/$I$43</f>
        <v>4.051734423634315E-2</v>
      </c>
    </row>
    <row r="8" spans="1:16" s="589" customFormat="1" ht="16.899999999999999" customHeight="1" x14ac:dyDescent="0.2">
      <c r="A8" s="581"/>
      <c r="B8" s="578" t="s">
        <v>51</v>
      </c>
      <c r="C8" s="605">
        <v>476781630</v>
      </c>
      <c r="D8" s="605">
        <v>315254372</v>
      </c>
      <c r="E8" s="605">
        <f>'SUMMARY PER DIVISI'!AD23</f>
        <v>402000000</v>
      </c>
      <c r="F8" s="605">
        <f>'SUMMARY PER DIVISI'!T23</f>
        <v>347859946</v>
      </c>
      <c r="G8" s="607">
        <f>'SUMMARY PER DIVISI'!T23</f>
        <v>347859946</v>
      </c>
      <c r="H8" s="605">
        <f>'SUMMARY PER DIVISI'!P23</f>
        <v>100500000</v>
      </c>
      <c r="I8" s="605">
        <f>'SUMMARY PER DIVISI'!Q23</f>
        <v>92573780</v>
      </c>
      <c r="J8" s="606">
        <f>E8*1.05</f>
        <v>422100000</v>
      </c>
      <c r="K8" s="606">
        <f t="shared" si="0"/>
        <v>443205000</v>
      </c>
      <c r="L8" s="606">
        <f t="shared" si="0"/>
        <v>465365250</v>
      </c>
      <c r="M8" s="606">
        <f t="shared" si="0"/>
        <v>488633512.5</v>
      </c>
      <c r="N8" s="595">
        <f t="shared" si="1"/>
        <v>-7926220</v>
      </c>
      <c r="O8" s="596">
        <f t="shared" si="2"/>
        <v>-7.8867860696517411</v>
      </c>
      <c r="P8" s="577">
        <f t="shared" si="3"/>
        <v>1.1760071058242746E-2</v>
      </c>
    </row>
    <row r="9" spans="1:16" s="589" customFormat="1" ht="16.899999999999999" customHeight="1" x14ac:dyDescent="0.2">
      <c r="A9" s="581"/>
      <c r="B9" s="594" t="s">
        <v>226</v>
      </c>
      <c r="C9" s="608">
        <v>14961432185.94215</v>
      </c>
      <c r="D9" s="608">
        <f t="shared" ref="D9:M9" si="4">D6+D7+D8</f>
        <v>13284284434.354031</v>
      </c>
      <c r="E9" s="608">
        <f t="shared" si="4"/>
        <v>15144451881.000004</v>
      </c>
      <c r="F9" s="608">
        <f>F6+F7+F8</f>
        <v>12972117910</v>
      </c>
      <c r="G9" s="608">
        <f>SUM(G6:G8)</f>
        <v>12972117910</v>
      </c>
      <c r="H9" s="608">
        <f>H6+H7+H8</f>
        <v>3280084616.4000006</v>
      </c>
      <c r="I9" s="608">
        <f>I6+I7+I8</f>
        <v>3580175585</v>
      </c>
      <c r="J9" s="608">
        <f t="shared" si="4"/>
        <v>16597700663.740004</v>
      </c>
      <c r="K9" s="608">
        <f t="shared" si="4"/>
        <v>18193214504.486008</v>
      </c>
      <c r="L9" s="608">
        <f t="shared" si="4"/>
        <v>19945066918.025208</v>
      </c>
      <c r="M9" s="608">
        <f t="shared" si="4"/>
        <v>21868731121.072861</v>
      </c>
      <c r="N9" s="595">
        <f t="shared" si="1"/>
        <v>300090968.59999943</v>
      </c>
      <c r="O9" s="596">
        <f t="shared" si="2"/>
        <v>9.1488788764650533</v>
      </c>
      <c r="P9" s="577">
        <f t="shared" si="3"/>
        <v>0.45480609391326349</v>
      </c>
    </row>
    <row r="10" spans="1:16" s="589" customFormat="1" ht="8.1" customHeight="1" x14ac:dyDescent="0.2">
      <c r="A10" s="581"/>
      <c r="B10" s="594"/>
      <c r="C10" s="605"/>
      <c r="D10" s="605"/>
      <c r="E10" s="605"/>
      <c r="F10" s="605"/>
      <c r="G10" s="605"/>
      <c r="H10" s="605"/>
      <c r="I10" s="605"/>
      <c r="J10" s="605"/>
      <c r="K10" s="605"/>
      <c r="L10" s="605"/>
      <c r="M10" s="605"/>
      <c r="N10" s="595"/>
      <c r="O10" s="596"/>
      <c r="P10" s="577"/>
    </row>
    <row r="11" spans="1:16" s="598" customFormat="1" ht="16.899999999999999" customHeight="1" x14ac:dyDescent="0.2">
      <c r="A11" s="582"/>
      <c r="B11" s="578" t="s">
        <v>227</v>
      </c>
      <c r="C11" s="605">
        <v>476306792</v>
      </c>
      <c r="D11" s="605">
        <v>268102913</v>
      </c>
      <c r="E11" s="607">
        <f>'SUMMARY PER DIVISI'!AD32</f>
        <v>278400000</v>
      </c>
      <c r="F11" s="607">
        <f>'SUMMARY PER DIVISI'!T32</f>
        <v>2200000</v>
      </c>
      <c r="G11" s="607">
        <f>'SUMMARY PER DIVISI'!T32</f>
        <v>2200000</v>
      </c>
      <c r="H11" s="607">
        <f>'SUMMARY PER DIVISI'!P32</f>
        <v>100600000</v>
      </c>
      <c r="I11" s="607">
        <f>'SUMMARY PER DIVISI'!Q32</f>
        <v>1200000</v>
      </c>
      <c r="J11" s="606">
        <f>E11</f>
        <v>278400000</v>
      </c>
      <c r="K11" s="606">
        <f>J11</f>
        <v>278400000</v>
      </c>
      <c r="L11" s="606">
        <f>K11</f>
        <v>278400000</v>
      </c>
      <c r="M11" s="606">
        <f>L11</f>
        <v>278400000</v>
      </c>
      <c r="N11" s="595">
        <f t="shared" si="1"/>
        <v>-99400000</v>
      </c>
      <c r="O11" s="596">
        <f t="shared" si="2"/>
        <v>-98.807157057654067</v>
      </c>
      <c r="P11" s="577">
        <f t="shared" si="3"/>
        <v>1.5244149336768247E-4</v>
      </c>
    </row>
    <row r="12" spans="1:16" s="598" customFormat="1" ht="16.899999999999999" customHeight="1" x14ac:dyDescent="0.2">
      <c r="A12" s="582"/>
      <c r="B12" s="578" t="s">
        <v>83</v>
      </c>
      <c r="C12" s="605">
        <v>904612940</v>
      </c>
      <c r="D12" s="605">
        <v>622448096</v>
      </c>
      <c r="E12" s="605">
        <f>'SUMMARY PER DIVISI'!AD44</f>
        <v>700000000</v>
      </c>
      <c r="F12" s="605">
        <f>'SUMMARY PER DIVISI'!T44</f>
        <v>661584579.23000002</v>
      </c>
      <c r="G12" s="605">
        <f>'SUMMARY PER DIVISI'!T44</f>
        <v>661584579.23000002</v>
      </c>
      <c r="H12" s="605">
        <f>'SUMMARY PER DIVISI'!P44</f>
        <v>201000000</v>
      </c>
      <c r="I12" s="605">
        <f>'SUMMARY PER DIVISI'!Q44</f>
        <v>233424540</v>
      </c>
      <c r="J12" s="606">
        <f>E12*1.05</f>
        <v>735000000</v>
      </c>
      <c r="K12" s="606">
        <f t="shared" ref="K12:M13" si="5">J12*1.05</f>
        <v>771750000</v>
      </c>
      <c r="L12" s="606">
        <f t="shared" si="5"/>
        <v>810337500</v>
      </c>
      <c r="M12" s="606">
        <f t="shared" si="5"/>
        <v>850854375</v>
      </c>
      <c r="N12" s="595">
        <f t="shared" si="1"/>
        <v>32424540</v>
      </c>
      <c r="O12" s="596">
        <f t="shared" si="2"/>
        <v>16.131611940298505</v>
      </c>
      <c r="P12" s="577">
        <f t="shared" si="3"/>
        <v>2.9652987888553608E-2</v>
      </c>
    </row>
    <row r="13" spans="1:16" s="597" customFormat="1" ht="16.899999999999999" customHeight="1" x14ac:dyDescent="0.2">
      <c r="A13" s="580"/>
      <c r="B13" s="594" t="s">
        <v>103</v>
      </c>
      <c r="C13" s="605">
        <v>4238400863.2251697</v>
      </c>
      <c r="D13" s="605">
        <v>3547836927.2251697</v>
      </c>
      <c r="E13" s="605">
        <f>'SUMMARY PER DIVISI'!AD56</f>
        <v>3634000000</v>
      </c>
      <c r="F13" s="605">
        <f>'SUMMARY PER DIVISI'!T56</f>
        <v>4805668314.8199997</v>
      </c>
      <c r="G13" s="605">
        <f>'SUMMARY PER DIVISI'!T56</f>
        <v>4805668314.8199997</v>
      </c>
      <c r="H13" s="605">
        <f>'SUMMARY PER DIVISI'!P56</f>
        <v>921000000</v>
      </c>
      <c r="I13" s="605">
        <f>'SUMMARY PER DIVISI'!Q56</f>
        <v>1802126508.28</v>
      </c>
      <c r="J13" s="606">
        <f>E13*1.05</f>
        <v>3815700000</v>
      </c>
      <c r="K13" s="606">
        <f t="shared" si="5"/>
        <v>4006485000</v>
      </c>
      <c r="L13" s="606">
        <f t="shared" si="5"/>
        <v>4206809250</v>
      </c>
      <c r="M13" s="606">
        <f t="shared" si="5"/>
        <v>4417149712.5</v>
      </c>
      <c r="N13" s="595">
        <f t="shared" si="1"/>
        <v>881126508.27999997</v>
      </c>
      <c r="O13" s="596">
        <f t="shared" si="2"/>
        <v>95.670630649294239</v>
      </c>
      <c r="P13" s="577">
        <f t="shared" si="3"/>
        <v>0.22893238013307529</v>
      </c>
    </row>
    <row r="14" spans="1:16" s="598" customFormat="1" ht="16.899999999999999" customHeight="1" x14ac:dyDescent="0.2">
      <c r="A14" s="582"/>
      <c r="B14" s="594" t="s">
        <v>228</v>
      </c>
      <c r="C14" s="608">
        <v>5619320595.2251701</v>
      </c>
      <c r="D14" s="608">
        <f t="shared" ref="D14:M14" si="6">D11+D12+D13</f>
        <v>4438387936.2251701</v>
      </c>
      <c r="E14" s="608">
        <f t="shared" si="6"/>
        <v>4612400000</v>
      </c>
      <c r="F14" s="608">
        <f>F11+F12+F13</f>
        <v>5469452894.0499992</v>
      </c>
      <c r="G14" s="608">
        <f>SUM(G11:G13)</f>
        <v>5469452894.0499992</v>
      </c>
      <c r="H14" s="608">
        <f>H11+H12+H13</f>
        <v>1222600000</v>
      </c>
      <c r="I14" s="608">
        <f>I11+I12+I13</f>
        <v>2036751048.28</v>
      </c>
      <c r="J14" s="608">
        <f t="shared" si="6"/>
        <v>4829100000</v>
      </c>
      <c r="K14" s="608">
        <f t="shared" si="6"/>
        <v>5056635000</v>
      </c>
      <c r="L14" s="608">
        <f t="shared" si="6"/>
        <v>5295546750</v>
      </c>
      <c r="M14" s="608">
        <f t="shared" si="6"/>
        <v>5546404087.5</v>
      </c>
      <c r="N14" s="595">
        <f t="shared" si="1"/>
        <v>814151048.27999997</v>
      </c>
      <c r="O14" s="596">
        <f>N14/H14*100</f>
        <v>66.591775583183377</v>
      </c>
      <c r="P14" s="577">
        <f t="shared" si="3"/>
        <v>0.25873780951499659</v>
      </c>
    </row>
    <row r="15" spans="1:16" s="598" customFormat="1" ht="8.1" customHeight="1" x14ac:dyDescent="0.2">
      <c r="A15" s="582"/>
      <c r="B15" s="594"/>
      <c r="C15" s="605"/>
      <c r="D15" s="605"/>
      <c r="E15" s="607"/>
      <c r="F15" s="607"/>
      <c r="G15" s="607"/>
      <c r="H15" s="607"/>
      <c r="I15" s="607"/>
      <c r="J15" s="607"/>
      <c r="K15" s="607"/>
      <c r="L15" s="607"/>
      <c r="M15" s="607"/>
      <c r="N15" s="595"/>
      <c r="O15" s="596"/>
      <c r="P15" s="577"/>
    </row>
    <row r="16" spans="1:16" s="598" customFormat="1" ht="16.899999999999999" customHeight="1" x14ac:dyDescent="0.2">
      <c r="A16" s="581"/>
      <c r="B16" s="578" t="s">
        <v>114</v>
      </c>
      <c r="C16" s="605">
        <v>642011000</v>
      </c>
      <c r="D16" s="605">
        <v>393677150</v>
      </c>
      <c r="E16" s="605">
        <f>'SUMMARY PER DIVISI'!AD63</f>
        <v>263872000</v>
      </c>
      <c r="F16" s="605">
        <f>'SUMMARY PER DIVISI'!T63</f>
        <v>163830506</v>
      </c>
      <c r="G16" s="605">
        <f>'SUMMARY PER DIVISI'!T63</f>
        <v>163830506</v>
      </c>
      <c r="H16" s="605">
        <f>'SUMMARY PER DIVISI'!P63</f>
        <v>59527000</v>
      </c>
      <c r="I16" s="605">
        <f>'SUMMARY PER DIVISI'!Q63</f>
        <v>45123100</v>
      </c>
      <c r="J16" s="605">
        <v>306736000</v>
      </c>
      <c r="K16" s="606">
        <f>J16*1.05</f>
        <v>322072800</v>
      </c>
      <c r="L16" s="606">
        <v>322072800</v>
      </c>
      <c r="M16" s="606">
        <f>L16*1.05</f>
        <v>338176440</v>
      </c>
      <c r="N16" s="595">
        <f t="shared" si="1"/>
        <v>-14403900</v>
      </c>
      <c r="O16" s="596">
        <f t="shared" si="2"/>
        <v>-24.197255027130545</v>
      </c>
      <c r="P16" s="577">
        <f t="shared" si="3"/>
        <v>5.73219395781606E-3</v>
      </c>
    </row>
    <row r="17" spans="1:16" s="598" customFormat="1" ht="16.899999999999999" customHeight="1" x14ac:dyDescent="0.2">
      <c r="A17" s="582"/>
      <c r="B17" s="578" t="s">
        <v>115</v>
      </c>
      <c r="C17" s="605">
        <v>21600000</v>
      </c>
      <c r="D17" s="605">
        <v>10800000</v>
      </c>
      <c r="E17" s="605">
        <f>'SUMMARY PER DIVISI'!AD66</f>
        <v>29450000</v>
      </c>
      <c r="F17" s="605">
        <f>'SUMMARY PER DIVISI'!T66</f>
        <v>0</v>
      </c>
      <c r="G17" s="605">
        <f>'SUMMARY PER DIVISI'!T66</f>
        <v>0</v>
      </c>
      <c r="H17" s="605">
        <f>'SUMMARY PER DIVISI'!P66</f>
        <v>6650000</v>
      </c>
      <c r="I17" s="605">
        <f>'SUMMARY PER DIVISI'!Q66</f>
        <v>0</v>
      </c>
      <c r="J17" s="606">
        <f>E17*1.1</f>
        <v>32395000.000000004</v>
      </c>
      <c r="K17" s="606">
        <f>J17*1.1</f>
        <v>35634500.000000007</v>
      </c>
      <c r="L17" s="606">
        <f>K17*1.1</f>
        <v>39197950.000000015</v>
      </c>
      <c r="M17" s="606">
        <f>L17*1.1</f>
        <v>43117745.000000022</v>
      </c>
      <c r="N17" s="595"/>
      <c r="O17" s="596"/>
      <c r="P17" s="577"/>
    </row>
    <row r="18" spans="1:16" s="598" customFormat="1" ht="16.899999999999999" customHeight="1" x14ac:dyDescent="0.2">
      <c r="A18" s="582"/>
      <c r="B18" s="594" t="s">
        <v>229</v>
      </c>
      <c r="C18" s="608">
        <v>663611000</v>
      </c>
      <c r="D18" s="608">
        <f t="shared" ref="D18:M18" si="7">D16+D17</f>
        <v>404477150</v>
      </c>
      <c r="E18" s="608">
        <f t="shared" si="7"/>
        <v>293322000</v>
      </c>
      <c r="F18" s="608">
        <f>F16+F17</f>
        <v>163830506</v>
      </c>
      <c r="G18" s="608">
        <f>SUM(G16:G17)</f>
        <v>163830506</v>
      </c>
      <c r="H18" s="608">
        <f>H16+H17</f>
        <v>66177000</v>
      </c>
      <c r="I18" s="608">
        <f>I16+I17</f>
        <v>45123100</v>
      </c>
      <c r="J18" s="608">
        <f t="shared" si="7"/>
        <v>339131000</v>
      </c>
      <c r="K18" s="608">
        <f t="shared" si="7"/>
        <v>357707300</v>
      </c>
      <c r="L18" s="608">
        <f t="shared" si="7"/>
        <v>361270750</v>
      </c>
      <c r="M18" s="608">
        <f t="shared" si="7"/>
        <v>381294185</v>
      </c>
      <c r="N18" s="595">
        <f t="shared" si="1"/>
        <v>-21053900</v>
      </c>
      <c r="O18" s="596">
        <f t="shared" si="2"/>
        <v>-31.814527706000572</v>
      </c>
      <c r="P18" s="577">
        <f t="shared" si="3"/>
        <v>5.73219395781606E-3</v>
      </c>
    </row>
    <row r="19" spans="1:16" s="598" customFormat="1" ht="8.1" customHeight="1" x14ac:dyDescent="0.2">
      <c r="A19" s="582"/>
      <c r="B19" s="594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595"/>
      <c r="O19" s="596"/>
      <c r="P19" s="577"/>
    </row>
    <row r="20" spans="1:16" s="598" customFormat="1" ht="16.899999999999999" customHeight="1" x14ac:dyDescent="0.2">
      <c r="A20" s="582"/>
      <c r="B20" s="578" t="s">
        <v>230</v>
      </c>
      <c r="C20" s="605">
        <v>599452000</v>
      </c>
      <c r="D20" s="605">
        <v>228690420</v>
      </c>
      <c r="E20" s="605">
        <f>'SUMMARY PER DIVISI'!AD72</f>
        <v>246000000</v>
      </c>
      <c r="F20" s="605">
        <f>'SUMMARY PER DIVISI'!T72</f>
        <v>65690000</v>
      </c>
      <c r="G20" s="605">
        <f>'SUMMARY PER DIVISI'!T72</f>
        <v>65690000</v>
      </c>
      <c r="H20" s="605">
        <f>'SUMMARY PER DIVISI'!P72</f>
        <v>24000000</v>
      </c>
      <c r="I20" s="605">
        <f>'SUMMARY PER DIVISI'!Q72</f>
        <v>48350000</v>
      </c>
      <c r="J20" s="606">
        <f>E20*1.05</f>
        <v>258300000</v>
      </c>
      <c r="K20" s="606">
        <f t="shared" ref="K20:M21" si="8">J20*1.05</f>
        <v>271215000</v>
      </c>
      <c r="L20" s="606">
        <f t="shared" si="8"/>
        <v>284775750</v>
      </c>
      <c r="M20" s="606">
        <f t="shared" si="8"/>
        <v>299014537.5</v>
      </c>
      <c r="N20" s="595">
        <f t="shared" si="1"/>
        <v>24350000</v>
      </c>
      <c r="O20" s="596">
        <f t="shared" si="2"/>
        <v>101.45833333333334</v>
      </c>
      <c r="P20" s="577">
        <f t="shared" si="3"/>
        <v>6.1421218369395389E-3</v>
      </c>
    </row>
    <row r="21" spans="1:16" s="598" customFormat="1" ht="16.899999999999999" customHeight="1" x14ac:dyDescent="0.2">
      <c r="A21" s="582"/>
      <c r="B21" s="578" t="s">
        <v>126</v>
      </c>
      <c r="C21" s="605">
        <v>277290508.5</v>
      </c>
      <c r="D21" s="605">
        <v>126597500</v>
      </c>
      <c r="E21" s="605">
        <f>'SUMMARY PER DIVISI'!AD77</f>
        <v>157000000</v>
      </c>
      <c r="F21" s="605">
        <f>'SUMMARY PER DIVISI'!T77</f>
        <v>5450000</v>
      </c>
      <c r="G21" s="605">
        <f>'SUMMARY PER DIVISI'!T77</f>
        <v>5450000</v>
      </c>
      <c r="H21" s="605">
        <f>'SUMMARY PER DIVISI'!P77</f>
        <v>45000000</v>
      </c>
      <c r="I21" s="605">
        <f>'SUMMARY PER DIVISI'!Q77</f>
        <v>5450000</v>
      </c>
      <c r="J21" s="606">
        <f>E21*1.05</f>
        <v>164850000</v>
      </c>
      <c r="K21" s="606">
        <f t="shared" si="8"/>
        <v>173092500</v>
      </c>
      <c r="L21" s="606">
        <f t="shared" si="8"/>
        <v>181747125</v>
      </c>
      <c r="M21" s="606">
        <f t="shared" si="8"/>
        <v>190834481.25</v>
      </c>
      <c r="N21" s="595">
        <f t="shared" si="1"/>
        <v>-39550000</v>
      </c>
      <c r="O21" s="596">
        <f t="shared" si="2"/>
        <v>-87.8888888888889</v>
      </c>
      <c r="P21" s="577">
        <f t="shared" si="3"/>
        <v>6.9233844904489114E-4</v>
      </c>
    </row>
    <row r="22" spans="1:16" s="598" customFormat="1" ht="16.899999999999999" customHeight="1" x14ac:dyDescent="0.2">
      <c r="A22" s="582"/>
      <c r="B22" s="578" t="s">
        <v>231</v>
      </c>
      <c r="C22" s="608">
        <v>876742508.5</v>
      </c>
      <c r="D22" s="608">
        <f t="shared" ref="D22:M22" si="9">D20+D21</f>
        <v>355287920</v>
      </c>
      <c r="E22" s="608">
        <f t="shared" si="9"/>
        <v>403000000</v>
      </c>
      <c r="F22" s="608">
        <f>F20+F21</f>
        <v>71140000</v>
      </c>
      <c r="G22" s="608">
        <f>SUM(G20:G21)</f>
        <v>71140000</v>
      </c>
      <c r="H22" s="608">
        <f>H20+H21</f>
        <v>69000000</v>
      </c>
      <c r="I22" s="608">
        <f>I20+I21</f>
        <v>53800000</v>
      </c>
      <c r="J22" s="608">
        <f t="shared" si="9"/>
        <v>423150000</v>
      </c>
      <c r="K22" s="608">
        <f t="shared" si="9"/>
        <v>444307500</v>
      </c>
      <c r="L22" s="608">
        <f t="shared" si="9"/>
        <v>466522875</v>
      </c>
      <c r="M22" s="608">
        <f t="shared" si="9"/>
        <v>489849018.75</v>
      </c>
      <c r="N22" s="595">
        <f t="shared" si="1"/>
        <v>-15200000</v>
      </c>
      <c r="O22" s="596">
        <f t="shared" si="2"/>
        <v>-22.028985507246375</v>
      </c>
      <c r="P22" s="577">
        <f t="shared" si="3"/>
        <v>6.8344602859844302E-3</v>
      </c>
    </row>
    <row r="23" spans="1:16" s="598" customFormat="1" ht="16.899999999999999" customHeight="1" x14ac:dyDescent="0.2">
      <c r="A23" s="582">
        <v>1</v>
      </c>
      <c r="B23" s="594" t="s">
        <v>232</v>
      </c>
      <c r="C23" s="608">
        <v>22121106289.66732</v>
      </c>
      <c r="D23" s="608">
        <f t="shared" ref="D23:M23" si="10">D22+D18+D14+D9</f>
        <v>18482437440.579201</v>
      </c>
      <c r="E23" s="608">
        <f t="shared" si="10"/>
        <v>20453173881.000004</v>
      </c>
      <c r="F23" s="608">
        <f>F22+F18+F14+F9</f>
        <v>18676541310.049999</v>
      </c>
      <c r="G23" s="608">
        <f>G9+G14+G18+G22</f>
        <v>18676541310.049999</v>
      </c>
      <c r="H23" s="608">
        <f>H22+H18+H14+H9</f>
        <v>4637861616.4000006</v>
      </c>
      <c r="I23" s="608">
        <f>I22+I18+I14+I9</f>
        <v>5715849733.2799997</v>
      </c>
      <c r="J23" s="608">
        <f t="shared" si="10"/>
        <v>22189081663.740005</v>
      </c>
      <c r="K23" s="608">
        <f t="shared" si="10"/>
        <v>24051864304.486008</v>
      </c>
      <c r="L23" s="608">
        <f t="shared" si="10"/>
        <v>26068407293.025208</v>
      </c>
      <c r="M23" s="608">
        <f t="shared" si="10"/>
        <v>28286278412.322861</v>
      </c>
      <c r="N23" s="595">
        <f t="shared" si="1"/>
        <v>1077988116.8799992</v>
      </c>
      <c r="O23" s="596">
        <f t="shared" si="2"/>
        <v>23.243214352668737</v>
      </c>
      <c r="P23" s="577">
        <f>I23/$I$43</f>
        <v>0.72611055767206056</v>
      </c>
    </row>
    <row r="24" spans="1:16" s="598" customFormat="1" ht="8.1" customHeight="1" x14ac:dyDescent="0.2">
      <c r="A24" s="582"/>
      <c r="B24" s="594"/>
      <c r="C24" s="608"/>
      <c r="D24" s="608"/>
      <c r="E24" s="608"/>
      <c r="F24" s="608"/>
      <c r="G24" s="608"/>
      <c r="H24" s="608"/>
      <c r="I24" s="608"/>
      <c r="J24" s="608"/>
      <c r="K24" s="608"/>
      <c r="L24" s="608"/>
      <c r="M24" s="608"/>
      <c r="N24" s="595"/>
      <c r="O24" s="596"/>
      <c r="P24" s="577"/>
    </row>
    <row r="25" spans="1:16" s="598" customFormat="1" ht="16.899999999999999" customHeight="1" x14ac:dyDescent="0.2">
      <c r="A25" s="582">
        <v>2</v>
      </c>
      <c r="B25" s="578" t="s">
        <v>233</v>
      </c>
      <c r="C25" s="608">
        <v>678300000</v>
      </c>
      <c r="D25" s="608">
        <v>478979975</v>
      </c>
      <c r="E25" s="609">
        <f>'SUMMARY PER DIVISI'!AD86</f>
        <v>370000000</v>
      </c>
      <c r="F25" s="609">
        <f>'SUMMARY PER DIVISI'!T86</f>
        <v>230280408</v>
      </c>
      <c r="G25" s="609">
        <f>'SUMMARY PER DIVISI'!T86</f>
        <v>230280408</v>
      </c>
      <c r="H25" s="609">
        <f>'SUMMARY PER DIVISI'!P86</f>
        <v>90000000</v>
      </c>
      <c r="I25" s="609">
        <f>'SUMMARY PER DIVISI'!Q86</f>
        <v>49280300</v>
      </c>
      <c r="J25" s="610">
        <f>E25*1.1</f>
        <v>407000000.00000006</v>
      </c>
      <c r="K25" s="610">
        <f>J25*1.1</f>
        <v>447700000.00000012</v>
      </c>
      <c r="L25" s="610">
        <f>K25*1.1</f>
        <v>492470000.00000018</v>
      </c>
      <c r="M25" s="610">
        <f>L25*1.1</f>
        <v>541717000.00000024</v>
      </c>
      <c r="N25" s="595">
        <f t="shared" si="1"/>
        <v>-40719700</v>
      </c>
      <c r="O25" s="596">
        <f t="shared" si="2"/>
        <v>-45.24411111111111</v>
      </c>
      <c r="P25" s="577">
        <f t="shared" si="3"/>
        <v>6.2603021046728352E-3</v>
      </c>
    </row>
    <row r="26" spans="1:16" s="598" customFormat="1" ht="8.1" customHeight="1" x14ac:dyDescent="0.2">
      <c r="A26" s="582"/>
      <c r="B26" s="578"/>
      <c r="C26" s="608"/>
      <c r="D26" s="608"/>
      <c r="E26" s="609"/>
      <c r="F26" s="609"/>
      <c r="G26" s="609"/>
      <c r="H26" s="609"/>
      <c r="I26" s="609"/>
      <c r="J26" s="609"/>
      <c r="K26" s="609"/>
      <c r="L26" s="609"/>
      <c r="M26" s="609"/>
      <c r="N26" s="595"/>
      <c r="O26" s="596"/>
      <c r="P26" s="577"/>
    </row>
    <row r="27" spans="1:16" s="598" customFormat="1" ht="16.899999999999999" customHeight="1" x14ac:dyDescent="0.2">
      <c r="A27" s="582">
        <v>3</v>
      </c>
      <c r="B27" s="578" t="s">
        <v>234</v>
      </c>
      <c r="C27" s="608">
        <v>429872000</v>
      </c>
      <c r="D27" s="608">
        <v>231818610</v>
      </c>
      <c r="E27" s="609">
        <f>'SUMMARY PER DIVISI'!AD93</f>
        <v>369776200</v>
      </c>
      <c r="F27" s="609">
        <f>'SUMMARY PER DIVISI'!T93</f>
        <v>10450239</v>
      </c>
      <c r="G27" s="609">
        <f>'SUMMARY PER DIVISI'!T93</f>
        <v>10450239</v>
      </c>
      <c r="H27" s="609">
        <f>'SUMMARY PER DIVISI'!P93</f>
        <v>134987600</v>
      </c>
      <c r="I27" s="609">
        <f>'SUMMARY PER DIVISI'!Q93</f>
        <v>0</v>
      </c>
      <c r="J27" s="610">
        <f>E27*1.1</f>
        <v>406753820.00000006</v>
      </c>
      <c r="K27" s="610">
        <f>J27*1.1</f>
        <v>447429202.00000012</v>
      </c>
      <c r="L27" s="610">
        <f>K27*1.1</f>
        <v>492172122.20000017</v>
      </c>
      <c r="M27" s="610">
        <f>L27*1.1</f>
        <v>541389334.4200002</v>
      </c>
      <c r="N27" s="595">
        <f t="shared" si="1"/>
        <v>-134987600</v>
      </c>
      <c r="O27" s="596">
        <f t="shared" si="2"/>
        <v>-100</v>
      </c>
      <c r="P27" s="577">
        <f t="shared" si="3"/>
        <v>0</v>
      </c>
    </row>
    <row r="28" spans="1:16" s="598" customFormat="1" ht="8.1" customHeight="1" x14ac:dyDescent="0.2">
      <c r="A28" s="582"/>
      <c r="B28" s="578"/>
      <c r="C28" s="608"/>
      <c r="D28" s="608"/>
      <c r="E28" s="609"/>
      <c r="F28" s="609"/>
      <c r="G28" s="609"/>
      <c r="H28" s="609"/>
      <c r="I28" s="609"/>
      <c r="J28" s="609"/>
      <c r="K28" s="609"/>
      <c r="L28" s="609"/>
      <c r="M28" s="609"/>
      <c r="N28" s="595"/>
      <c r="O28" s="596"/>
      <c r="P28" s="577"/>
    </row>
    <row r="29" spans="1:16" s="598" customFormat="1" ht="16.899999999999999" customHeight="1" x14ac:dyDescent="0.2">
      <c r="A29" s="582">
        <v>4</v>
      </c>
      <c r="B29" s="578" t="s">
        <v>235</v>
      </c>
      <c r="C29" s="608">
        <v>205318000</v>
      </c>
      <c r="D29" s="608">
        <v>124626200</v>
      </c>
      <c r="E29" s="608">
        <f>'SUMMARY PER DIVISI'!AD96</f>
        <v>155484000</v>
      </c>
      <c r="F29" s="608">
        <f>'SUMMARY PER DIVISI'!T96</f>
        <v>0</v>
      </c>
      <c r="G29" s="608">
        <f>'SUMMARY PER DIVISI'!T96</f>
        <v>0</v>
      </c>
      <c r="H29" s="608">
        <f>'SUMMARY PER DIVISI'!P96</f>
        <v>29996000</v>
      </c>
      <c r="I29" s="608">
        <f>'SUMMARY PER DIVISI'!Q96</f>
        <v>0</v>
      </c>
      <c r="J29" s="610">
        <f>E29*1.1</f>
        <v>171032400</v>
      </c>
      <c r="K29" s="610">
        <f>J29*1.1</f>
        <v>188135640.00000003</v>
      </c>
      <c r="L29" s="610">
        <f>K29*1.1</f>
        <v>206949204.00000006</v>
      </c>
      <c r="M29" s="610">
        <f>L29*1.1</f>
        <v>227644124.4000001</v>
      </c>
      <c r="N29" s="595">
        <f t="shared" si="1"/>
        <v>-29996000</v>
      </c>
      <c r="O29" s="596">
        <f t="shared" si="2"/>
        <v>-100</v>
      </c>
      <c r="P29" s="577">
        <f t="shared" si="3"/>
        <v>0</v>
      </c>
    </row>
    <row r="30" spans="1:16" s="598" customFormat="1" ht="8.1" customHeight="1" x14ac:dyDescent="0.2">
      <c r="A30" s="582"/>
      <c r="B30" s="578"/>
      <c r="C30" s="608"/>
      <c r="D30" s="608"/>
      <c r="E30" s="608"/>
      <c r="F30" s="608"/>
      <c r="G30" s="608"/>
      <c r="H30" s="608"/>
      <c r="I30" s="608"/>
      <c r="J30" s="608"/>
      <c r="K30" s="608"/>
      <c r="L30" s="608"/>
      <c r="M30" s="608"/>
      <c r="N30" s="595"/>
      <c r="O30" s="596"/>
      <c r="P30" s="577"/>
    </row>
    <row r="31" spans="1:16" s="598" customFormat="1" ht="16.899999999999999" customHeight="1" x14ac:dyDescent="0.2">
      <c r="A31" s="582">
        <v>5</v>
      </c>
      <c r="B31" s="578" t="s">
        <v>236</v>
      </c>
      <c r="C31" s="608">
        <v>373429406</v>
      </c>
      <c r="D31" s="608">
        <v>418306629</v>
      </c>
      <c r="E31" s="609">
        <f>'SUMMARY PER DIVISI'!AD108</f>
        <v>347800000</v>
      </c>
      <c r="F31" s="609">
        <f>'SUMMARY PER DIVISI'!T108</f>
        <v>594674521.11000001</v>
      </c>
      <c r="G31" s="609">
        <f>'SUMMARY PER DIVISI'!T108</f>
        <v>594674521.11000001</v>
      </c>
      <c r="H31" s="609">
        <f>'SUMMARY PER DIVISI'!P108</f>
        <v>73200000</v>
      </c>
      <c r="I31" s="609">
        <f>'SUMMARY PER DIVISI'!Q108</f>
        <v>43661000</v>
      </c>
      <c r="J31" s="610">
        <f>E31*1.1</f>
        <v>382580000.00000006</v>
      </c>
      <c r="K31" s="610">
        <f>J31*1.1</f>
        <v>420838000.00000012</v>
      </c>
      <c r="L31" s="610">
        <f>K31*1.1</f>
        <v>462921800.00000018</v>
      </c>
      <c r="M31" s="610">
        <f>L31*1.1</f>
        <v>509213980.00000024</v>
      </c>
      <c r="N31" s="595">
        <f t="shared" si="1"/>
        <v>-29539000</v>
      </c>
      <c r="O31" s="596">
        <f t="shared" si="2"/>
        <v>-40.353825136612024</v>
      </c>
      <c r="P31" s="577">
        <f t="shared" si="3"/>
        <v>5.5464567016053198E-3</v>
      </c>
    </row>
    <row r="32" spans="1:16" s="598" customFormat="1" ht="8.1" customHeight="1" x14ac:dyDescent="0.2">
      <c r="A32" s="582"/>
      <c r="B32" s="578"/>
      <c r="C32" s="608"/>
      <c r="D32" s="608"/>
      <c r="E32" s="609"/>
      <c r="F32" s="609"/>
      <c r="G32" s="609"/>
      <c r="H32" s="609"/>
      <c r="I32" s="609"/>
      <c r="J32" s="609"/>
      <c r="K32" s="609"/>
      <c r="L32" s="609"/>
      <c r="M32" s="609"/>
      <c r="N32" s="595"/>
      <c r="O32" s="596"/>
      <c r="P32" s="577"/>
    </row>
    <row r="33" spans="1:16" s="598" customFormat="1" ht="16.899999999999999" customHeight="1" x14ac:dyDescent="0.2">
      <c r="A33" s="582">
        <v>6</v>
      </c>
      <c r="B33" s="578" t="s">
        <v>237</v>
      </c>
      <c r="C33" s="611" t="s">
        <v>327</v>
      </c>
      <c r="D33" s="609">
        <v>18612000</v>
      </c>
      <c r="E33" s="609">
        <f>'SUMMARY PER DIVISI'!AD101</f>
        <v>170980000</v>
      </c>
      <c r="F33" s="609">
        <f>'SUMMARY PER DIVISI'!T101</f>
        <v>108450000</v>
      </c>
      <c r="G33" s="609">
        <f>'SUMMARY PER DIVISI'!T101</f>
        <v>108450000</v>
      </c>
      <c r="H33" s="609">
        <f>'SUMMARY PER DIVISI'!P101</f>
        <v>27590000</v>
      </c>
      <c r="I33" s="609">
        <f>'SUMMARY PER DIVISI'!Q101</f>
        <v>1800000</v>
      </c>
      <c r="J33" s="610">
        <f>E33*1.1</f>
        <v>188078000.00000003</v>
      </c>
      <c r="K33" s="610">
        <f>J33*1.1</f>
        <v>206885800.00000006</v>
      </c>
      <c r="L33" s="610">
        <f>K33*1.1</f>
        <v>227574380.00000009</v>
      </c>
      <c r="M33" s="610">
        <f>L33*1.1</f>
        <v>250331818.00000012</v>
      </c>
      <c r="N33" s="595">
        <f t="shared" si="1"/>
        <v>-25790000</v>
      </c>
      <c r="O33" s="596">
        <f t="shared" si="2"/>
        <v>-93.475897064153685</v>
      </c>
      <c r="P33" s="577">
        <f t="shared" si="3"/>
        <v>2.2866224005152369E-4</v>
      </c>
    </row>
    <row r="34" spans="1:16" s="598" customFormat="1" ht="8.1" customHeight="1" x14ac:dyDescent="0.2">
      <c r="A34" s="582"/>
      <c r="B34" s="578"/>
      <c r="C34" s="608"/>
      <c r="D34" s="608"/>
      <c r="E34" s="609"/>
      <c r="F34" s="609"/>
      <c r="G34" s="609"/>
      <c r="H34" s="609"/>
      <c r="I34" s="609"/>
      <c r="J34" s="609"/>
      <c r="K34" s="609"/>
      <c r="L34" s="609"/>
      <c r="M34" s="609"/>
      <c r="N34" s="595"/>
      <c r="O34" s="596"/>
      <c r="P34" s="577"/>
    </row>
    <row r="35" spans="1:16" s="598" customFormat="1" ht="16.899999999999999" customHeight="1" x14ac:dyDescent="0.2">
      <c r="A35" s="582">
        <v>7</v>
      </c>
      <c r="B35" s="578" t="s">
        <v>238</v>
      </c>
      <c r="C35" s="608">
        <v>12162933766</v>
      </c>
      <c r="D35" s="608">
        <v>10789645198</v>
      </c>
      <c r="E35" s="609">
        <f>'SUMMARY PER DIVISI'!AD119</f>
        <v>10324087527.5</v>
      </c>
      <c r="F35" s="609">
        <f>'SUMMARY PER DIVISI'!T119</f>
        <v>6054078057.6700001</v>
      </c>
      <c r="G35" s="609">
        <f>'SUMMARY PER DIVISI'!T119</f>
        <v>6054078057.6700001</v>
      </c>
      <c r="H35" s="609">
        <f>'SUMMARY PER DIVISI'!P119</f>
        <v>2941689673.5</v>
      </c>
      <c r="I35" s="609">
        <f>'SUMMARY PER DIVISI'!Q119</f>
        <v>1859608717</v>
      </c>
      <c r="J35" s="610">
        <f>E35*1.1</f>
        <v>11356496280.25</v>
      </c>
      <c r="K35" s="610">
        <f>J35*1.1</f>
        <v>12492145908.275002</v>
      </c>
      <c r="L35" s="610">
        <f>K35*1.1</f>
        <v>13741360499.102503</v>
      </c>
      <c r="M35" s="610">
        <f>L35*1.1</f>
        <v>15115496549.012754</v>
      </c>
      <c r="N35" s="595">
        <f t="shared" si="1"/>
        <v>-1082080956.5</v>
      </c>
      <c r="O35" s="596">
        <f t="shared" si="2"/>
        <v>-36.784334059702104</v>
      </c>
      <c r="P35" s="577">
        <f t="shared" si="3"/>
        <v>0.23623460824919998</v>
      </c>
    </row>
    <row r="36" spans="1:16" s="598" customFormat="1" ht="16.899999999999999" customHeight="1" x14ac:dyDescent="0.2">
      <c r="A36" s="582"/>
      <c r="B36" s="578" t="s">
        <v>160</v>
      </c>
      <c r="C36" s="608">
        <v>35970959461.66732</v>
      </c>
      <c r="D36" s="608">
        <f t="shared" ref="D36:M36" si="11">D23+D25+D27+D29+D31+D33+D35</f>
        <v>30544426052.579201</v>
      </c>
      <c r="E36" s="608">
        <f>E23+E25+E27+E29+E31+E33+E35</f>
        <v>32191301608.500004</v>
      </c>
      <c r="F36" s="608">
        <f>F23+F25+F27+F29+F31+F33+F35</f>
        <v>25674474535.830002</v>
      </c>
      <c r="G36" s="608">
        <f>G23+G25+G27+G29+G31+G33+G35</f>
        <v>25674474535.830002</v>
      </c>
      <c r="H36" s="608">
        <f>H23+H25+H27+H29+H31+H33+H35</f>
        <v>7935324889.9000006</v>
      </c>
      <c r="I36" s="608">
        <f>I23+I25+I27+I29+I31+I33+I35</f>
        <v>7670199750.2799997</v>
      </c>
      <c r="J36" s="608">
        <f t="shared" si="11"/>
        <v>35101022163.990005</v>
      </c>
      <c r="K36" s="608">
        <f t="shared" si="11"/>
        <v>38254998854.761009</v>
      </c>
      <c r="L36" s="608">
        <f t="shared" si="11"/>
        <v>41691855298.327713</v>
      </c>
      <c r="M36" s="608">
        <f t="shared" si="11"/>
        <v>45472071218.155617</v>
      </c>
      <c r="N36" s="595">
        <f t="shared" si="1"/>
        <v>-265125139.62000084</v>
      </c>
      <c r="O36" s="596">
        <f t="shared" si="2"/>
        <v>-3.3410747927592652</v>
      </c>
      <c r="P36" s="577"/>
    </row>
    <row r="37" spans="1:16" s="599" customFormat="1" ht="8.1" customHeight="1" x14ac:dyDescent="0.2">
      <c r="A37" s="583"/>
      <c r="B37" s="578"/>
      <c r="C37" s="608"/>
      <c r="D37" s="608"/>
      <c r="E37" s="609"/>
      <c r="F37" s="609"/>
      <c r="G37" s="609"/>
      <c r="H37" s="609"/>
      <c r="I37" s="609"/>
      <c r="J37" s="609"/>
      <c r="K37" s="609"/>
      <c r="L37" s="609"/>
      <c r="M37" s="609"/>
      <c r="N37" s="595"/>
      <c r="O37" s="596"/>
      <c r="P37" s="577"/>
    </row>
    <row r="38" spans="1:16" s="598" customFormat="1" ht="16.899999999999999" customHeight="1" x14ac:dyDescent="0.2">
      <c r="A38" s="582">
        <v>8</v>
      </c>
      <c r="B38" s="578" t="s">
        <v>239</v>
      </c>
      <c r="C38" s="608">
        <v>4001227349.9999995</v>
      </c>
      <c r="D38" s="608">
        <v>4001227352</v>
      </c>
      <c r="E38" s="608">
        <f>'SUMMARY PER DIVISI'!AD122</f>
        <v>3047241012</v>
      </c>
      <c r="F38" s="608">
        <f>'SUMMARY PER DIVISI'!T122</f>
        <v>3047241012</v>
      </c>
      <c r="G38" s="608">
        <f>'SUMMARY PER DIVISI'!T122</f>
        <v>3047241012</v>
      </c>
      <c r="H38" s="608">
        <f>'SUMMARY PER DIVISI'!P122</f>
        <v>761810253</v>
      </c>
      <c r="I38" s="608">
        <f>'SUMMARY PER DIVISI'!Q122</f>
        <v>761810253</v>
      </c>
      <c r="J38" s="610">
        <v>3047241012</v>
      </c>
      <c r="K38" s="610">
        <v>3047241012</v>
      </c>
      <c r="L38" s="610">
        <v>3047241012</v>
      </c>
      <c r="M38" s="610">
        <v>3047241012</v>
      </c>
      <c r="N38" s="595">
        <f t="shared" si="1"/>
        <v>0</v>
      </c>
      <c r="O38" s="596">
        <f t="shared" si="2"/>
        <v>0</v>
      </c>
      <c r="P38" s="577">
        <f t="shared" si="3"/>
        <v>9.6776243858443328E-2</v>
      </c>
    </row>
    <row r="39" spans="1:16" s="598" customFormat="1" ht="16.899999999999999" customHeight="1" x14ac:dyDescent="0.2">
      <c r="A39" s="582"/>
      <c r="B39" s="578" t="s">
        <v>165</v>
      </c>
      <c r="C39" s="608">
        <v>39972186811.66732</v>
      </c>
      <c r="D39" s="608">
        <f t="shared" ref="D39:M39" si="12">D36+D38</f>
        <v>34545653404.579201</v>
      </c>
      <c r="E39" s="608">
        <f t="shared" si="12"/>
        <v>35238542620.5</v>
      </c>
      <c r="F39" s="608">
        <f>F36+F38</f>
        <v>28721715547.830002</v>
      </c>
      <c r="G39" s="608">
        <f>G36+G38</f>
        <v>28721715547.830002</v>
      </c>
      <c r="H39" s="608">
        <f>H36+H38</f>
        <v>8697135142.9000015</v>
      </c>
      <c r="I39" s="608">
        <f>I36+I38</f>
        <v>8432010003.2799997</v>
      </c>
      <c r="J39" s="608">
        <f t="shared" si="12"/>
        <v>38148263175.990005</v>
      </c>
      <c r="K39" s="608">
        <f t="shared" si="12"/>
        <v>41302239866.761009</v>
      </c>
      <c r="L39" s="608">
        <f t="shared" si="12"/>
        <v>44739096310.327713</v>
      </c>
      <c r="M39" s="608">
        <f t="shared" si="12"/>
        <v>48519312230.155617</v>
      </c>
      <c r="N39" s="595">
        <f t="shared" si="1"/>
        <v>-265125139.62000179</v>
      </c>
      <c r="O39" s="596">
        <f t="shared" si="2"/>
        <v>-3.0484192238456767</v>
      </c>
      <c r="P39" s="577"/>
    </row>
    <row r="40" spans="1:16" s="589" customFormat="1" ht="8.1" customHeight="1" x14ac:dyDescent="0.2">
      <c r="A40" s="581"/>
      <c r="B40" s="600"/>
      <c r="C40" s="608"/>
      <c r="D40" s="608"/>
      <c r="E40" s="608"/>
      <c r="F40" s="608"/>
      <c r="G40" s="608"/>
      <c r="H40" s="608"/>
      <c r="I40" s="608"/>
      <c r="J40" s="608"/>
      <c r="K40" s="608"/>
      <c r="L40" s="608"/>
      <c r="M40" s="608"/>
      <c r="N40" s="595"/>
      <c r="O40" s="596"/>
      <c r="P40" s="577"/>
    </row>
    <row r="41" spans="1:16" s="598" customFormat="1" ht="16.899999999999999" customHeight="1" x14ac:dyDescent="0.2">
      <c r="A41" s="582">
        <v>9</v>
      </c>
      <c r="B41" s="578" t="s">
        <v>170</v>
      </c>
      <c r="C41" s="608">
        <v>2240550000</v>
      </c>
      <c r="D41" s="608">
        <v>2240929500</v>
      </c>
      <c r="E41" s="608">
        <f>'SUMMARY PER DIVISI'!AD127</f>
        <v>2240550000</v>
      </c>
      <c r="F41" s="608">
        <f>'SUMMARY PER DIVISI'!T127</f>
        <v>2222550000</v>
      </c>
      <c r="G41" s="608">
        <f>'SUMMARY PER DIVISI'!T127</f>
        <v>2222550000</v>
      </c>
      <c r="H41" s="608">
        <f>'SUMMARY PER DIVISI'!P127</f>
        <v>560137500</v>
      </c>
      <c r="I41" s="608">
        <f>'SUMMARY PER DIVISI'!Q127</f>
        <v>560137500</v>
      </c>
      <c r="J41" s="608">
        <v>2240550000</v>
      </c>
      <c r="K41" s="608">
        <v>2240550000</v>
      </c>
      <c r="L41" s="608">
        <v>2240550000</v>
      </c>
      <c r="M41" s="608">
        <v>2240550000</v>
      </c>
      <c r="N41" s="595">
        <f>H41-I41</f>
        <v>0</v>
      </c>
      <c r="O41" s="596">
        <f t="shared" si="2"/>
        <v>0</v>
      </c>
      <c r="P41" s="577">
        <f t="shared" si="3"/>
        <v>7.1156830826033524E-2</v>
      </c>
    </row>
    <row r="42" spans="1:16" s="589" customFormat="1" ht="8.1" customHeight="1" x14ac:dyDescent="0.2">
      <c r="A42" s="581"/>
      <c r="B42" s="600"/>
      <c r="C42" s="608"/>
      <c r="D42" s="608"/>
      <c r="E42" s="608"/>
      <c r="F42" s="608"/>
      <c r="G42" s="608"/>
      <c r="H42" s="608"/>
      <c r="I42" s="608"/>
      <c r="J42" s="608"/>
      <c r="K42" s="608"/>
      <c r="L42" s="608"/>
      <c r="M42" s="608"/>
      <c r="N42" s="595"/>
      <c r="O42" s="596"/>
      <c r="P42" s="577"/>
    </row>
    <row r="43" spans="1:16" s="598" customFormat="1" ht="16.899999999999999" customHeight="1" x14ac:dyDescent="0.2">
      <c r="A43" s="582">
        <v>10</v>
      </c>
      <c r="B43" s="578" t="s">
        <v>24</v>
      </c>
      <c r="C43" s="608">
        <v>37731636811.66732</v>
      </c>
      <c r="D43" s="608">
        <f t="shared" ref="D43:M43" si="13">D39-D41</f>
        <v>32304723904.579201</v>
      </c>
      <c r="E43" s="608">
        <f t="shared" si="13"/>
        <v>32997992620.5</v>
      </c>
      <c r="F43" s="608">
        <f>F39-F41</f>
        <v>26499165547.830002</v>
      </c>
      <c r="G43" s="608">
        <f>G39-G41</f>
        <v>26499165547.830002</v>
      </c>
      <c r="H43" s="608">
        <f>H39-H41</f>
        <v>8136997642.9000015</v>
      </c>
      <c r="I43" s="608">
        <f>I39-I41</f>
        <v>7871872503.2799997</v>
      </c>
      <c r="J43" s="608">
        <f t="shared" si="13"/>
        <v>35907713175.990005</v>
      </c>
      <c r="K43" s="608">
        <f t="shared" si="13"/>
        <v>39061689866.761009</v>
      </c>
      <c r="L43" s="608">
        <f t="shared" si="13"/>
        <v>42498546310.327713</v>
      </c>
      <c r="M43" s="608">
        <f t="shared" si="13"/>
        <v>46278762230.155617</v>
      </c>
      <c r="N43" s="595">
        <f t="shared" si="1"/>
        <v>-265125139.62000179</v>
      </c>
      <c r="O43" s="596">
        <f>N43/H43*100</f>
        <v>-3.2582673764363044</v>
      </c>
      <c r="P43" s="577">
        <f t="shared" si="3"/>
        <v>1</v>
      </c>
    </row>
    <row r="44" spans="1:16" ht="15.75" x14ac:dyDescent="0.2">
      <c r="A44" s="612"/>
      <c r="B44" s="586"/>
      <c r="C44" s="586"/>
      <c r="D44" s="586"/>
      <c r="E44" s="587"/>
      <c r="F44" s="587"/>
      <c r="G44" s="587"/>
      <c r="H44" s="587"/>
      <c r="I44" s="587"/>
      <c r="J44" s="587"/>
      <c r="K44" s="587"/>
      <c r="L44" s="587"/>
      <c r="M44" s="587"/>
      <c r="N44" s="602"/>
      <c r="O44" s="586"/>
      <c r="P44" s="603"/>
    </row>
    <row r="45" spans="1:16" x14ac:dyDescent="0.2">
      <c r="A45" s="584"/>
      <c r="G45" s="624"/>
    </row>
    <row r="46" spans="1:16" x14ac:dyDescent="0.2">
      <c r="A46" s="584"/>
      <c r="E46" s="623"/>
    </row>
    <row r="47" spans="1:16" x14ac:dyDescent="0.2">
      <c r="A47" s="584"/>
    </row>
    <row r="48" spans="1:16" x14ac:dyDescent="0.2">
      <c r="A48" s="584"/>
    </row>
  </sheetData>
  <sheetProtection selectLockedCells="1" selectUnlockedCells="1"/>
  <mergeCells count="5">
    <mergeCell ref="N4:N5"/>
    <mergeCell ref="O4:O5"/>
    <mergeCell ref="P4:P5"/>
    <mergeCell ref="A4:A5"/>
    <mergeCell ref="B4:B5"/>
  </mergeCells>
  <printOptions horizontalCentered="1"/>
  <pageMargins left="0.5" right="0.5" top="0.78749999999999998" bottom="0.78749999999999998" header="0.51180555555555551" footer="0.51180555555555551"/>
  <pageSetup paperSize="9" scale="69" firstPageNumber="0" orientation="landscape" r:id="rId1"/>
  <headerFooter alignWithMargins="0"/>
  <ignoredErrors>
    <ignoredError sqref="G9 G14: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Assumption</vt:lpstr>
      <vt:lpstr>IBP</vt:lpstr>
      <vt:lpstr>ASI</vt:lpstr>
      <vt:lpstr>AND 1</vt:lpstr>
      <vt:lpstr>ADY 1</vt:lpstr>
      <vt:lpstr>AND+ADY+ASI+IBP</vt:lpstr>
      <vt:lpstr>SUMMARY PER DIVISI</vt:lpstr>
      <vt:lpstr>SUMMARY PER ACCOUNT</vt:lpstr>
      <vt:lpstr>detil</vt:lpstr>
      <vt:lpstr>Final</vt:lpstr>
      <vt:lpstr>Expenses ICT</vt:lpstr>
      <vt:lpstr>Capex ICT 2013</vt:lpstr>
      <vt:lpstr>AND 1 (2012)</vt:lpstr>
      <vt:lpstr>ADY 1 (2012)</vt:lpstr>
      <vt:lpstr>Booklet2012</vt:lpstr>
      <vt:lpstr>'SUMMARY PER DIVISI'!Excel_BuiltIn__FilterDatabase</vt:lpstr>
      <vt:lpstr>Excel_BuiltIn__FilterDatabase</vt:lpstr>
      <vt:lpstr>'SUMMARY PER DIVISI'!Excel_BuiltIn__FilterDatabase_1</vt:lpstr>
      <vt:lpstr>Excel_BuiltIn__FilterDatabase_1</vt:lpstr>
      <vt:lpstr>'SUMMARY PER DIVISI'!Excel_BuiltIn_Print_Area_1</vt:lpstr>
      <vt:lpstr>Excel_BuiltIn_Print_Area_1</vt:lpstr>
      <vt:lpstr>'AND+ADY+ASI+IBP'!Print_Area</vt:lpstr>
      <vt:lpstr>Assumption!Print_Area</vt:lpstr>
      <vt:lpstr>detil!Print_Area</vt:lpstr>
      <vt:lpstr>Final!Print_Area</vt:lpstr>
      <vt:lpstr>'SUMMARY PER DIVISI'!Print_Area</vt:lpstr>
      <vt:lpstr>'SUMMARY PER DIVISI'!Print_Titles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Allocation Budget 2013</dc:title>
  <dc:creator>Trika Gunawan A.</dc:creator>
  <cp:lastModifiedBy>Trika Gunawan A.</cp:lastModifiedBy>
  <cp:lastPrinted>2013-04-02T04:05:53Z</cp:lastPrinted>
  <dcterms:created xsi:type="dcterms:W3CDTF">2012-11-12T06:55:39Z</dcterms:created>
  <dcterms:modified xsi:type="dcterms:W3CDTF">2014-03-24T10:27:03Z</dcterms:modified>
</cp:coreProperties>
</file>