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howInkAnnotation="0" codeName="ЭтаКнига"/>
  <mc:AlternateContent xmlns:mc="http://schemas.openxmlformats.org/markup-compatibility/2006">
    <mc:Choice Requires="x15">
      <x15ac:absPath xmlns:x15ac="http://schemas.microsoft.com/office/spreadsheetml/2010/11/ac" url="C:\Users\FildBreaker\OneDrive\Desktop\"/>
    </mc:Choice>
  </mc:AlternateContent>
  <xr:revisionPtr revIDLastSave="0" documentId="13_ncr:1_{834681C8-ECAF-45B1-9D50-F0D32C9947BF}" xr6:coauthVersionLast="47" xr6:coauthVersionMax="47" xr10:uidLastSave="{00000000-0000-0000-0000-000000000000}"/>
  <bookViews>
    <workbookView xWindow="0" yWindow="0" windowWidth="20490" windowHeight="10920" tabRatio="596" xr2:uid="{00000000-000D-0000-FFFF-FFFF00000000}"/>
  </bookViews>
  <sheets>
    <sheet name="Статы персонажа" sheetId="2" r:id="rId1"/>
    <sheet name="Артефакты" sheetId="4" r:id="rId2"/>
    <sheet name="Баффы персонажей" sheetId="5" r:id="rId3"/>
    <sheet name="Разное" sheetId="6" r:id="rId4"/>
    <sheet name="Админский лист" sheetId="7" r:id="rId5"/>
    <sheet name="GPT cache" sheetId="3" state="veryHidden" r:id="rId6"/>
  </sheets>
  <definedNames>
    <definedName name="_xleta.IF" hidden="1" xlm="1">#NAME?</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3" i="2" l="1"/>
  <c r="J32" i="2"/>
  <c r="Q61" i="5"/>
  <c r="Q60" i="5"/>
  <c r="Q57" i="5"/>
  <c r="Q48" i="5"/>
  <c r="B75" i="2" s="1"/>
  <c r="Q25" i="5"/>
  <c r="B87" i="2"/>
  <c r="Q59" i="5"/>
  <c r="BL11" i="5"/>
  <c r="Q42" i="5"/>
  <c r="K70" i="5"/>
  <c r="K69" i="5"/>
  <c r="Q56" i="5"/>
  <c r="Q55" i="5"/>
  <c r="S55" i="5"/>
  <c r="S61" i="5"/>
  <c r="R61" i="5"/>
  <c r="L70" i="5"/>
  <c r="L69" i="5"/>
  <c r="G8" i="5"/>
  <c r="S58" i="5"/>
  <c r="S59" i="5"/>
  <c r="S56" i="5"/>
  <c r="S57" i="5"/>
  <c r="R56" i="5"/>
  <c r="N70" i="5"/>
  <c r="N69" i="5"/>
  <c r="R55" i="5" s="1"/>
  <c r="G18" i="6"/>
  <c r="G19" i="6"/>
  <c r="G20" i="6"/>
  <c r="F20" i="6"/>
  <c r="F3" i="6"/>
  <c r="R58" i="5"/>
  <c r="B56" i="2"/>
  <c r="J11" i="2" s="1"/>
  <c r="B53" i="2"/>
  <c r="B51" i="2"/>
  <c r="B76" i="2"/>
  <c r="B77" i="2"/>
  <c r="B78" i="2"/>
  <c r="B79" i="2"/>
  <c r="B80" i="2"/>
  <c r="B81" i="2"/>
  <c r="B85" i="2"/>
  <c r="B74" i="2"/>
  <c r="B72" i="2"/>
  <c r="B66" i="2"/>
  <c r="B64" i="2"/>
  <c r="B61" i="2"/>
  <c r="B60" i="2"/>
  <c r="B44" i="2"/>
  <c r="B45" i="2"/>
  <c r="B46" i="2"/>
  <c r="B43" i="2"/>
  <c r="B37" i="2"/>
  <c r="B38" i="2"/>
  <c r="B39" i="2"/>
  <c r="P255" i="2"/>
  <c r="P244" i="2"/>
  <c r="P245" i="2"/>
  <c r="P246" i="2"/>
  <c r="P247" i="2"/>
  <c r="P248" i="2"/>
  <c r="P249" i="2"/>
  <c r="P250" i="2"/>
  <c r="P251" i="2"/>
  <c r="P252" i="2"/>
  <c r="P253" i="2"/>
  <c r="P254" i="2"/>
  <c r="N255" i="2"/>
  <c r="N244" i="2"/>
  <c r="N245" i="2"/>
  <c r="N246" i="2"/>
  <c r="N247" i="2"/>
  <c r="N248" i="2"/>
  <c r="N249" i="2"/>
  <c r="N250" i="2"/>
  <c r="N251" i="2"/>
  <c r="N252" i="2"/>
  <c r="N253" i="2"/>
  <c r="N254" i="2"/>
  <c r="U48" i="2"/>
  <c r="U49" i="2"/>
  <c r="U50" i="2"/>
  <c r="U51" i="2"/>
  <c r="U52" i="2"/>
  <c r="U53" i="2"/>
  <c r="U54" i="2"/>
  <c r="U55" i="2"/>
  <c r="U56" i="2"/>
  <c r="U57" i="2"/>
  <c r="U58" i="2"/>
  <c r="U47" i="2"/>
  <c r="F19" i="6"/>
  <c r="B93" i="4" s="1"/>
  <c r="F18" i="6"/>
  <c r="F17" i="6"/>
  <c r="F16" i="6"/>
  <c r="F15" i="6"/>
  <c r="G14" i="6"/>
  <c r="F14" i="6"/>
  <c r="F10" i="6"/>
  <c r="G10" i="6" s="1"/>
  <c r="B71" i="4" s="1"/>
  <c r="F13" i="6"/>
  <c r="F12" i="6"/>
  <c r="G11" i="6"/>
  <c r="F11" i="6"/>
  <c r="F8" i="6"/>
  <c r="G7" i="6"/>
  <c r="B58" i="4" s="1"/>
  <c r="F7" i="6"/>
  <c r="B50" i="4" s="1"/>
  <c r="F6" i="6"/>
  <c r="F5" i="6"/>
  <c r="B64" i="4" s="1"/>
  <c r="F4" i="6"/>
  <c r="G4" i="6" s="1"/>
  <c r="B60" i="4" s="1"/>
  <c r="S34" i="6"/>
  <c r="S33" i="6"/>
  <c r="S32" i="6"/>
  <c r="S31" i="6"/>
  <c r="S30" i="6"/>
  <c r="S29" i="6"/>
  <c r="S28" i="6"/>
  <c r="S27" i="6"/>
  <c r="J20" i="2"/>
  <c r="R57" i="5" l="1"/>
  <c r="B84" i="2"/>
  <c r="B82" i="2"/>
  <c r="B83" i="2"/>
  <c r="B63" i="4"/>
  <c r="B57" i="2" s="1"/>
  <c r="J9" i="2" s="1"/>
  <c r="B49" i="4"/>
  <c r="B51" i="4"/>
  <c r="P233" i="2"/>
  <c r="P237" i="2"/>
  <c r="P241" i="2"/>
  <c r="A10" i="2"/>
  <c r="C10" i="2"/>
  <c r="J13" i="2"/>
  <c r="B95" i="4"/>
  <c r="Q214" i="2"/>
  <c r="Q218" i="2"/>
  <c r="Q206" i="2"/>
  <c r="P234" i="2"/>
  <c r="L53" i="4"/>
  <c r="I13" i="6"/>
  <c r="Q44" i="5"/>
  <c r="Q20" i="5"/>
  <c r="B52" i="2" s="1"/>
  <c r="Q15" i="5"/>
  <c r="Q22" i="5"/>
  <c r="B54" i="2" s="1"/>
  <c r="AM5" i="5"/>
  <c r="Q11" i="5"/>
  <c r="Q19" i="5"/>
  <c r="Q33" i="5"/>
  <c r="B59" i="2" s="1"/>
  <c r="Q31" i="5"/>
  <c r="Q29" i="5"/>
  <c r="Q28" i="5"/>
  <c r="Q26" i="5"/>
  <c r="B58" i="2" s="1"/>
  <c r="Q12" i="5"/>
  <c r="Q43" i="5"/>
  <c r="B70" i="2" s="1"/>
  <c r="J17" i="2" s="1"/>
  <c r="Q23" i="5"/>
  <c r="B55" i="2" s="1"/>
  <c r="J10" i="2" s="1"/>
  <c r="Q21" i="5"/>
  <c r="Q13" i="5"/>
  <c r="Q51" i="5"/>
  <c r="Q50" i="5"/>
  <c r="Q4" i="5"/>
  <c r="Q3" i="5"/>
  <c r="N67" i="5"/>
  <c r="A39" i="5"/>
  <c r="N58" i="5"/>
  <c r="I70" i="5"/>
  <c r="I69" i="5"/>
  <c r="I68" i="5"/>
  <c r="I67" i="5"/>
  <c r="Q7" i="5"/>
  <c r="Q6" i="5"/>
  <c r="P221" i="2" s="1"/>
  <c r="Q5" i="5"/>
  <c r="P219" i="2" s="1"/>
  <c r="D69" i="5"/>
  <c r="Q24" i="5"/>
  <c r="B69" i="5"/>
  <c r="D68" i="5"/>
  <c r="L59" i="5"/>
  <c r="N57" i="5" s="1"/>
  <c r="I57" i="5"/>
  <c r="D57" i="5"/>
  <c r="D58" i="5"/>
  <c r="G49" i="5"/>
  <c r="I47" i="5" s="1"/>
  <c r="N47" i="5"/>
  <c r="N48" i="5"/>
  <c r="B86" i="2"/>
  <c r="I50" i="5"/>
  <c r="I49" i="5"/>
  <c r="R59" i="5" s="1"/>
  <c r="I48" i="5"/>
  <c r="Q27" i="5" s="1"/>
  <c r="D39" i="5"/>
  <c r="D48" i="5"/>
  <c r="D47" i="5"/>
  <c r="N38" i="5"/>
  <c r="N40" i="5"/>
  <c r="N39" i="5"/>
  <c r="I39" i="5"/>
  <c r="I38" i="5"/>
  <c r="I40" i="5"/>
  <c r="I37" i="5"/>
  <c r="Q39" i="5" s="1"/>
  <c r="Q14" i="5"/>
  <c r="D40" i="5"/>
  <c r="G18" i="5"/>
  <c r="B39" i="5"/>
  <c r="D38" i="5" s="1"/>
  <c r="N28" i="5"/>
  <c r="N27" i="5"/>
  <c r="I27" i="5"/>
  <c r="B36" i="2" l="1"/>
  <c r="P214" i="2" s="1"/>
  <c r="B69" i="2"/>
  <c r="J18" i="2" s="1"/>
  <c r="L10" i="6"/>
  <c r="L8" i="6"/>
  <c r="L17" i="6"/>
  <c r="L9" i="6"/>
  <c r="L22" i="6" s="1"/>
  <c r="L12" i="6"/>
  <c r="L7" i="6"/>
  <c r="L6" i="6"/>
  <c r="L15" i="6"/>
  <c r="L13" i="6"/>
  <c r="L16" i="6"/>
  <c r="L11" i="6"/>
  <c r="L14" i="6"/>
  <c r="Q32" i="5"/>
  <c r="Q30" i="5"/>
  <c r="B71" i="2"/>
  <c r="J19" i="2" s="1"/>
  <c r="J5" i="2"/>
  <c r="P218" i="2"/>
  <c r="P217" i="2"/>
  <c r="P232" i="2"/>
  <c r="P240" i="2"/>
  <c r="P236" i="2"/>
  <c r="P243" i="2"/>
  <c r="P239" i="2"/>
  <c r="P235" i="2"/>
  <c r="P242" i="2"/>
  <c r="P238" i="2"/>
  <c r="Q216" i="2"/>
  <c r="Q217" i="2"/>
  <c r="Q215" i="2"/>
  <c r="Q212" i="2"/>
  <c r="Q208" i="2"/>
  <c r="Q209" i="2"/>
  <c r="Q211" i="2"/>
  <c r="Q207" i="2"/>
  <c r="Q213" i="2"/>
  <c r="Q205" i="2"/>
  <c r="Q210" i="2"/>
  <c r="Q219" i="2"/>
  <c r="L4" i="6"/>
  <c r="L3" i="6"/>
  <c r="L2" i="6"/>
  <c r="L5" i="6"/>
  <c r="P231" i="2"/>
  <c r="P227" i="2"/>
  <c r="P223" i="2"/>
  <c r="P220" i="2"/>
  <c r="P224" i="2"/>
  <c r="P230" i="2"/>
  <c r="P226" i="2"/>
  <c r="P222" i="2"/>
  <c r="P228" i="2"/>
  <c r="P229" i="2"/>
  <c r="P225" i="2"/>
  <c r="J12" i="2"/>
  <c r="J8" i="2"/>
  <c r="B29" i="5"/>
  <c r="D28" i="5"/>
  <c r="Q53" i="5"/>
  <c r="N19" i="5"/>
  <c r="N17" i="5"/>
  <c r="I17" i="5"/>
  <c r="I19" i="5"/>
  <c r="I18" i="5"/>
  <c r="B18" i="5"/>
  <c r="Q45" i="5"/>
  <c r="A18" i="5"/>
  <c r="D15" i="5"/>
  <c r="Q38" i="5"/>
  <c r="B65" i="2" s="1"/>
  <c r="J6" i="2" s="1"/>
  <c r="K205" i="2" s="1"/>
  <c r="P216" i="2" l="1"/>
  <c r="P215" i="2"/>
  <c r="L25" i="6"/>
  <c r="M25" i="6" s="1"/>
  <c r="L23" i="6"/>
  <c r="M23" i="6" s="1"/>
  <c r="L24" i="6"/>
  <c r="M24" i="6" s="1"/>
  <c r="L27" i="6"/>
  <c r="L26" i="6"/>
  <c r="M26" i="6" s="1"/>
  <c r="L28" i="6"/>
  <c r="L21" i="6"/>
  <c r="L19" i="6"/>
  <c r="L37" i="6"/>
  <c r="K246" i="2"/>
  <c r="K250" i="2"/>
  <c r="K254" i="2"/>
  <c r="K252" i="2"/>
  <c r="K249" i="2"/>
  <c r="K255" i="2"/>
  <c r="K247" i="2"/>
  <c r="K251" i="2"/>
  <c r="K248" i="2"/>
  <c r="K245" i="2"/>
  <c r="K244" i="2"/>
  <c r="K253" i="2"/>
  <c r="L32" i="6"/>
  <c r="M32" i="6" s="1"/>
  <c r="L31" i="6"/>
  <c r="M31" i="6" s="1"/>
  <c r="L29" i="6"/>
  <c r="M29" i="6" s="1"/>
  <c r="L30" i="6"/>
  <c r="M30" i="6" s="1"/>
  <c r="L35" i="6"/>
  <c r="M35" i="6" s="1"/>
  <c r="L33" i="6"/>
  <c r="M33" i="6" s="1"/>
  <c r="L36" i="6"/>
  <c r="M36" i="6" s="1"/>
  <c r="L34" i="6"/>
  <c r="M34" i="6" s="1"/>
  <c r="J21" i="2"/>
  <c r="L20" i="6"/>
  <c r="D18" i="5"/>
  <c r="D17" i="5"/>
  <c r="L8" i="5"/>
  <c r="N9" i="5" s="1"/>
  <c r="N10" i="5"/>
  <c r="N8" i="5"/>
  <c r="I8" i="5"/>
  <c r="I7" i="5"/>
  <c r="D7" i="5"/>
  <c r="B2" i="5"/>
  <c r="D8" i="5" s="1"/>
  <c r="L65" i="4"/>
  <c r="R28" i="4"/>
  <c r="L43" i="4"/>
  <c r="B53" i="4"/>
  <c r="B47" i="2" s="1"/>
  <c r="L61" i="4"/>
  <c r="B65" i="4"/>
  <c r="L59" i="4"/>
  <c r="L57" i="4"/>
  <c r="L55" i="4" a="1"/>
  <c r="L55" i="4" s="1"/>
  <c r="L45" i="4" a="1"/>
  <c r="L45" i="4" s="1"/>
  <c r="B52" i="4"/>
  <c r="L51" i="4"/>
  <c r="L49" i="4" a="1"/>
  <c r="L49" i="4" s="1"/>
  <c r="B57" i="4"/>
  <c r="L47" i="4"/>
  <c r="L44" i="4" a="1"/>
  <c r="L44" i="4" s="1"/>
  <c r="B90" i="4"/>
  <c r="B89" i="4"/>
  <c r="B88" i="4"/>
  <c r="L41" i="4"/>
  <c r="L39" i="4"/>
  <c r="L38" i="4"/>
  <c r="L35" i="4"/>
  <c r="B41" i="4"/>
  <c r="B35" i="2" s="1"/>
  <c r="L33" i="4"/>
  <c r="B59" i="4"/>
  <c r="L32" i="4"/>
  <c r="L24" i="4"/>
  <c r="L25" i="4"/>
  <c r="B87" i="4"/>
  <c r="B86" i="4"/>
  <c r="B91" i="4"/>
  <c r="B80" i="4"/>
  <c r="L22" i="4"/>
  <c r="B83" i="4"/>
  <c r="B82" i="4"/>
  <c r="B81" i="4"/>
  <c r="R18" i="4"/>
  <c r="B75" i="4"/>
  <c r="B78" i="4"/>
  <c r="B30" i="4"/>
  <c r="F13" i="4"/>
  <c r="F15" i="4"/>
  <c r="F14" i="4"/>
  <c r="F11" i="4"/>
  <c r="F9" i="4"/>
  <c r="B70" i="4"/>
  <c r="B72" i="4"/>
  <c r="B66" i="4"/>
  <c r="F12" i="4"/>
  <c r="F7" i="4"/>
  <c r="F10" i="4"/>
  <c r="F8" i="4"/>
  <c r="F6" i="4"/>
  <c r="R20" i="4"/>
  <c r="R22" i="4"/>
  <c r="B67" i="4"/>
  <c r="L7" i="4"/>
  <c r="B33" i="4"/>
  <c r="B62" i="4" s="1"/>
  <c r="B32" i="4"/>
  <c r="B31" i="4"/>
  <c r="B29" i="4"/>
  <c r="B28" i="4"/>
  <c r="B27" i="4"/>
  <c r="B26" i="4"/>
  <c r="B25" i="4"/>
  <c r="B24" i="4"/>
  <c r="F4" i="4"/>
  <c r="W50" i="2" l="1"/>
  <c r="V50" i="2"/>
  <c r="X50" i="2"/>
  <c r="W58" i="2"/>
  <c r="V58" i="2"/>
  <c r="X58" i="2"/>
  <c r="V53" i="2"/>
  <c r="W53" i="2"/>
  <c r="X53" i="2"/>
  <c r="X51" i="2"/>
  <c r="W51" i="2"/>
  <c r="V51" i="2"/>
  <c r="V52" i="2"/>
  <c r="W52" i="2"/>
  <c r="X52" i="2"/>
  <c r="V49" i="2"/>
  <c r="W49" i="2"/>
  <c r="X49" i="2"/>
  <c r="V56" i="2"/>
  <c r="W56" i="2"/>
  <c r="X56" i="2"/>
  <c r="W54" i="2"/>
  <c r="V54" i="2"/>
  <c r="X54" i="2"/>
  <c r="V55" i="2"/>
  <c r="X55" i="2"/>
  <c r="W55" i="2"/>
  <c r="W47" i="2"/>
  <c r="X47" i="2"/>
  <c r="V47" i="2"/>
  <c r="V57" i="2"/>
  <c r="X57" i="2"/>
  <c r="W57" i="2"/>
  <c r="V48" i="2"/>
  <c r="X48" i="2"/>
  <c r="W48" i="2"/>
  <c r="Q233" i="2"/>
  <c r="Q237" i="2"/>
  <c r="Q241" i="2"/>
  <c r="Q235" i="2"/>
  <c r="Q234" i="2"/>
  <c r="Q238" i="2"/>
  <c r="Q242" i="2"/>
  <c r="Q239" i="2"/>
  <c r="Q243" i="2"/>
  <c r="Q236" i="2"/>
  <c r="Q240" i="2"/>
  <c r="Q232" i="2"/>
  <c r="P206" i="2"/>
  <c r="P210" i="2"/>
  <c r="P208" i="2"/>
  <c r="P212" i="2"/>
  <c r="P209" i="2"/>
  <c r="P207" i="2"/>
  <c r="P211" i="2"/>
  <c r="P205" i="2"/>
  <c r="P213" i="2"/>
  <c r="Q221" i="2"/>
  <c r="Q225" i="2"/>
  <c r="Q229" i="2"/>
  <c r="Q228" i="2"/>
  <c r="Q222" i="2"/>
  <c r="Q226" i="2"/>
  <c r="Q230" i="2"/>
  <c r="Q224" i="2"/>
  <c r="Q223" i="2"/>
  <c r="Q227" i="2"/>
  <c r="Q231" i="2"/>
  <c r="Q220" i="2"/>
  <c r="B61" i="4"/>
  <c r="N205" i="2"/>
  <c r="I13" i="4"/>
  <c r="U35" i="2"/>
  <c r="U36" i="2"/>
  <c r="U37" i="2"/>
  <c r="U38" i="2"/>
  <c r="U39" i="2"/>
  <c r="U40" i="2"/>
  <c r="U41" i="2"/>
  <c r="U42" i="2"/>
  <c r="U43" i="2"/>
  <c r="U44" i="2"/>
  <c r="U45" i="2"/>
  <c r="U34" i="2"/>
  <c r="U22" i="2"/>
  <c r="U23" i="2"/>
  <c r="U24" i="2"/>
  <c r="U25" i="2"/>
  <c r="U26" i="2"/>
  <c r="U27" i="2"/>
  <c r="U28" i="2"/>
  <c r="U29" i="2"/>
  <c r="U30" i="2"/>
  <c r="U31" i="2"/>
  <c r="U32" i="2"/>
  <c r="U21" i="2"/>
  <c r="U6" i="2"/>
  <c r="U7" i="2"/>
  <c r="U8" i="2"/>
  <c r="U9" i="2"/>
  <c r="U10" i="2"/>
  <c r="U11" i="2"/>
  <c r="U12" i="2"/>
  <c r="U13" i="2"/>
  <c r="U14" i="2"/>
  <c r="U15" i="2"/>
  <c r="U16" i="2"/>
  <c r="U17" i="2"/>
  <c r="U18" i="2"/>
  <c r="U19" i="2"/>
  <c r="U5" i="2"/>
  <c r="I11" i="4"/>
  <c r="I10" i="4"/>
  <c r="AB4" i="2"/>
  <c r="AB5" i="2"/>
  <c r="AB12" i="2"/>
  <c r="AB11" i="2"/>
  <c r="AB10" i="2"/>
  <c r="AB9" i="2"/>
  <c r="AB8" i="2"/>
  <c r="AB7" i="2"/>
  <c r="AB6" i="2"/>
  <c r="J16" i="2" l="1"/>
  <c r="I9" i="4"/>
  <c r="I5" i="4"/>
  <c r="L37" i="4" l="1"/>
  <c r="K229" i="2"/>
  <c r="K222" i="2"/>
  <c r="K243" i="2"/>
  <c r="K234" i="2"/>
  <c r="K217" i="2"/>
  <c r="K215" i="2"/>
  <c r="K208" i="2"/>
  <c r="K223" i="2"/>
  <c r="K241" i="2"/>
  <c r="V5" i="2"/>
  <c r="K206" i="2"/>
  <c r="K225" i="2"/>
  <c r="K236" i="2"/>
  <c r="K219" i="2"/>
  <c r="K212" i="2"/>
  <c r="K210" i="2"/>
  <c r="K227" i="2"/>
  <c r="K239" i="2"/>
  <c r="K213" i="2"/>
  <c r="K235" i="2"/>
  <c r="K209" i="2"/>
  <c r="K242" i="2"/>
  <c r="K218" i="2"/>
  <c r="K228" i="2"/>
  <c r="K232" i="2"/>
  <c r="K230" i="2"/>
  <c r="K237" i="2"/>
  <c r="K211" i="2"/>
  <c r="K221" i="2"/>
  <c r="I6" i="4"/>
  <c r="K220" i="2"/>
  <c r="K231" i="2"/>
  <c r="K238" i="2"/>
  <c r="K214" i="2"/>
  <c r="K224" i="2"/>
  <c r="K216" i="2"/>
  <c r="K226" i="2"/>
  <c r="K233" i="2"/>
  <c r="K207" i="2"/>
  <c r="K240" i="2"/>
  <c r="L31" i="4"/>
  <c r="I8" i="4"/>
  <c r="I12" i="4"/>
  <c r="X5" i="2" l="1"/>
  <c r="N233" i="2"/>
  <c r="X35" i="2" s="1"/>
  <c r="N237" i="2"/>
  <c r="N241" i="2"/>
  <c r="N221" i="2"/>
  <c r="N225" i="2"/>
  <c r="N229" i="2"/>
  <c r="N206" i="2"/>
  <c r="N210" i="2"/>
  <c r="N214" i="2"/>
  <c r="N218" i="2"/>
  <c r="N239" i="2"/>
  <c r="N223" i="2"/>
  <c r="N231" i="2"/>
  <c r="N212" i="2"/>
  <c r="N240" i="2"/>
  <c r="N232" i="2"/>
  <c r="N228" i="2"/>
  <c r="N209" i="2"/>
  <c r="N217" i="2"/>
  <c r="N234" i="2"/>
  <c r="N238" i="2"/>
  <c r="N242" i="2"/>
  <c r="W44" i="2" s="1"/>
  <c r="N222" i="2"/>
  <c r="N226" i="2"/>
  <c r="N230" i="2"/>
  <c r="N207" i="2"/>
  <c r="N211" i="2"/>
  <c r="N215" i="2"/>
  <c r="N219" i="2"/>
  <c r="V19" i="2" s="1"/>
  <c r="N235" i="2"/>
  <c r="N243" i="2"/>
  <c r="N227" i="2"/>
  <c r="N208" i="2"/>
  <c r="N216" i="2"/>
  <c r="N236" i="2"/>
  <c r="N224" i="2"/>
  <c r="N220" i="2"/>
  <c r="N213" i="2"/>
  <c r="V40" i="2" l="1"/>
  <c r="W40" i="2"/>
  <c r="X40" i="2"/>
  <c r="X39" i="2"/>
  <c r="W39" i="2"/>
  <c r="V39" i="2"/>
  <c r="W36" i="2"/>
  <c r="X36" i="2"/>
  <c r="V36" i="2"/>
  <c r="X34" i="2"/>
  <c r="W34" i="2"/>
  <c r="V34" i="2"/>
  <c r="W35" i="2"/>
  <c r="V35" i="2"/>
  <c r="X38" i="2"/>
  <c r="W38" i="2"/>
  <c r="V38" i="2"/>
  <c r="W45" i="2"/>
  <c r="V45" i="2"/>
  <c r="X45" i="2"/>
  <c r="X42" i="2"/>
  <c r="W42" i="2"/>
  <c r="V42" i="2"/>
  <c r="W37" i="2"/>
  <c r="V37" i="2"/>
  <c r="X37" i="2"/>
  <c r="X44" i="2"/>
  <c r="V44" i="2"/>
  <c r="W41" i="2"/>
  <c r="V41" i="2"/>
  <c r="X41" i="2"/>
  <c r="X43" i="2"/>
  <c r="W43" i="2"/>
  <c r="V43" i="2"/>
  <c r="X14" i="2"/>
  <c r="V13" i="2"/>
  <c r="X13" i="2"/>
  <c r="W14" i="2"/>
  <c r="W13" i="2"/>
  <c r="W19" i="2"/>
  <c r="V18" i="2"/>
  <c r="X19" i="2"/>
  <c r="X11" i="2"/>
  <c r="W11" i="2"/>
  <c r="V11" i="2"/>
  <c r="X18" i="2"/>
  <c r="V17" i="2"/>
  <c r="W18" i="2"/>
  <c r="V10" i="2"/>
  <c r="W10" i="2"/>
  <c r="X10" i="2"/>
  <c r="V16" i="2"/>
  <c r="W17" i="2"/>
  <c r="X17" i="2"/>
  <c r="W7" i="2"/>
  <c r="V7" i="2"/>
  <c r="X7" i="2"/>
  <c r="W9" i="2"/>
  <c r="V9" i="2"/>
  <c r="X9" i="2"/>
  <c r="V6" i="2"/>
  <c r="W6" i="2"/>
  <c r="X6" i="2"/>
  <c r="W8" i="2"/>
  <c r="X8" i="2"/>
  <c r="V8" i="2"/>
  <c r="W12" i="2"/>
  <c r="X12" i="2"/>
  <c r="V12" i="2"/>
  <c r="W16" i="2"/>
  <c r="X16" i="2"/>
  <c r="V15" i="2"/>
  <c r="X15" i="2"/>
  <c r="V14" i="2"/>
  <c r="W15" i="2"/>
  <c r="W5" i="2"/>
  <c r="AB16" i="2"/>
  <c r="W26" i="2" l="1"/>
  <c r="W25" i="2"/>
  <c r="X24" i="2"/>
  <c r="V27" i="2"/>
  <c r="X25" i="2"/>
  <c r="X21" i="2"/>
  <c r="V24" i="2"/>
  <c r="W23" i="2"/>
  <c r="X32" i="2"/>
  <c r="W27" i="2"/>
  <c r="W28" i="2"/>
  <c r="V30" i="2"/>
  <c r="W29" i="2"/>
  <c r="W31" i="2"/>
  <c r="X23" i="2"/>
  <c r="X28" i="2"/>
  <c r="X30" i="2"/>
  <c r="W21" i="2"/>
  <c r="V23" i="2"/>
  <c r="X26" i="2"/>
  <c r="V28" i="2"/>
  <c r="V31" i="2"/>
  <c r="W22" i="2"/>
  <c r="W24" i="2"/>
  <c r="V26" i="2"/>
  <c r="V32" i="2"/>
  <c r="X27" i="2"/>
  <c r="V25" i="2"/>
  <c r="W30" i="2"/>
  <c r="X29" i="2"/>
  <c r="V21" i="2"/>
  <c r="X22" i="2"/>
  <c r="W32" i="2"/>
  <c r="X31" i="2"/>
  <c r="V29" i="2"/>
  <c r="V22" i="2"/>
  <c r="J7" i="2"/>
  <c r="I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FildBreaker</author>
  </authors>
  <commentList>
    <comment ref="G5" authorId="0" shapeId="0" xr:uid="{F6B8157E-421E-4C60-BA14-B90366A732F8}">
      <text>
        <r>
          <rPr>
            <b/>
            <sz val="9"/>
            <color indexed="81"/>
            <rFont val="Tahoma"/>
            <family val="2"/>
            <charset val="204"/>
          </rPr>
          <t>FildBreaker:</t>
        </r>
        <r>
          <rPr>
            <sz val="9"/>
            <color indexed="81"/>
            <rFont val="Tahoma"/>
            <family val="2"/>
            <charset val="204"/>
          </rPr>
          <t xml:space="preserve">
</t>
        </r>
        <r>
          <rPr>
            <sz val="11"/>
            <color indexed="81"/>
            <rFont val="Tahoma"/>
            <family val="2"/>
            <charset val="204"/>
          </rPr>
          <t>Впиши доп.стат, который указан в пушке:
Хп%
Атк%
Защ%
Вэ%
Мс
Ку%
Кш%
Физ.урон%</t>
        </r>
      </text>
    </comment>
    <comment ref="J21" authorId="0" shapeId="0" xr:uid="{C513D76D-F99D-4395-9EF5-70A8F260A1FA}">
      <text>
        <r>
          <rPr>
            <b/>
            <sz val="9"/>
            <color indexed="81"/>
            <rFont val="Tahoma"/>
            <family val="2"/>
            <charset val="204"/>
          </rPr>
          <t>FildBreaker:</t>
        </r>
        <r>
          <rPr>
            <sz val="9"/>
            <color indexed="81"/>
            <rFont val="Tahoma"/>
            <family val="2"/>
            <charset val="204"/>
          </rPr>
          <t xml:space="preserve">
Если реакции нет, то 100%</t>
        </r>
      </text>
    </comment>
    <comment ref="B29" authorId="0" shapeId="0" xr:uid="{1F70DBE4-B453-4EC0-B461-46D8559B558B}">
      <text>
        <r>
          <rPr>
            <b/>
            <sz val="9"/>
            <color indexed="81"/>
            <rFont val="Tahoma"/>
            <family val="2"/>
            <charset val="204"/>
          </rPr>
          <t>FildBreaker:</t>
        </r>
        <r>
          <rPr>
            <sz val="9"/>
            <color indexed="81"/>
            <rFont val="Tahoma"/>
            <family val="2"/>
            <charset val="204"/>
          </rPr>
          <t xml:space="preserve">
+20% к макс хп/атк/защ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FildBreaker</author>
  </authors>
  <commentList>
    <comment ref="F4" authorId="0" shapeId="0" xr:uid="{F6B11878-0A91-4DF4-ACF6-AE802D441A5B}">
      <text>
        <r>
          <rPr>
            <b/>
            <sz val="9"/>
            <color indexed="81"/>
            <rFont val="Tahoma"/>
            <family val="2"/>
            <charset val="204"/>
          </rPr>
          <t>FildBreaker:</t>
        </r>
        <r>
          <rPr>
            <sz val="9"/>
            <color indexed="81"/>
            <rFont val="Tahoma"/>
            <family val="2"/>
            <charset val="204"/>
          </rPr>
          <t xml:space="preserve">
Показывает кол-во возможных проков в нижних статах артефактов</t>
        </r>
      </text>
    </comment>
    <comment ref="B6" authorId="0" shapeId="0" xr:uid="{D5F841C4-A7A8-45BA-9B37-1953A419738D}">
      <text>
        <r>
          <rPr>
            <b/>
            <sz val="9"/>
            <color indexed="81"/>
            <rFont val="Tahoma"/>
            <family val="2"/>
            <charset val="204"/>
          </rPr>
          <t>FildBreaker:</t>
        </r>
        <r>
          <rPr>
            <sz val="9"/>
            <color indexed="81"/>
            <rFont val="Tahoma"/>
            <family val="2"/>
            <charset val="204"/>
          </rPr>
          <t xml:space="preserve">
209</t>
        </r>
      </text>
    </comment>
    <comment ref="C6" authorId="0" shapeId="0" xr:uid="{94E4EBE5-5DA0-4155-9202-3B2EDAD7EC0D}">
      <text>
        <r>
          <rPr>
            <b/>
            <sz val="9"/>
            <color indexed="81"/>
            <rFont val="Tahoma"/>
            <family val="2"/>
            <charset val="204"/>
          </rPr>
          <t>FildBreaker:</t>
        </r>
        <r>
          <rPr>
            <sz val="9"/>
            <color indexed="81"/>
            <rFont val="Tahoma"/>
            <family val="2"/>
            <charset val="204"/>
          </rPr>
          <t xml:space="preserve">
239</t>
        </r>
      </text>
    </comment>
    <comment ref="D6" authorId="0" shapeId="0" xr:uid="{83A13ACF-02B1-414A-862E-C546E5291F4B}">
      <text>
        <r>
          <rPr>
            <b/>
            <sz val="9"/>
            <color indexed="81"/>
            <rFont val="Tahoma"/>
            <family val="2"/>
            <charset val="204"/>
          </rPr>
          <t>FildBreaker:</t>
        </r>
        <r>
          <rPr>
            <sz val="9"/>
            <color indexed="81"/>
            <rFont val="Tahoma"/>
            <family val="2"/>
            <charset val="204"/>
          </rPr>
          <t xml:space="preserve">
269</t>
        </r>
      </text>
    </comment>
    <comment ref="E6" authorId="0" shapeId="0" xr:uid="{4ED65467-5826-40B3-815F-547F1513EC53}">
      <text>
        <r>
          <rPr>
            <b/>
            <sz val="9"/>
            <color indexed="81"/>
            <rFont val="Tahoma"/>
            <family val="2"/>
            <charset val="204"/>
          </rPr>
          <t>FildBreaker:</t>
        </r>
        <r>
          <rPr>
            <sz val="9"/>
            <color indexed="81"/>
            <rFont val="Tahoma"/>
            <family val="2"/>
            <charset val="204"/>
          </rPr>
          <t xml:space="preserve">
299</t>
        </r>
      </text>
    </comment>
    <comment ref="F6" authorId="0" shapeId="0" xr:uid="{969F9AF2-F00C-41D6-917C-BE8207701F35}">
      <text>
        <r>
          <rPr>
            <b/>
            <sz val="9"/>
            <color indexed="81"/>
            <rFont val="Tahoma"/>
            <family val="2"/>
            <charset val="204"/>
          </rPr>
          <t>FildBreaker:</t>
        </r>
        <r>
          <rPr>
            <sz val="9"/>
            <color indexed="81"/>
            <rFont val="Tahoma"/>
            <family val="2"/>
            <charset val="204"/>
          </rPr>
          <t xml:space="preserve">
Ограничение возможных проков в 1 стат на всех артефактах (учитывается то, что верхний и нижний стат не могут повторятся)</t>
        </r>
      </text>
    </comment>
    <comment ref="K6" authorId="0" shapeId="0" xr:uid="{82E9BA00-46A1-46A2-819C-8FC6CE8A8B6A}">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2 куска: </t>
        </r>
        <r>
          <rPr>
            <b/>
            <sz val="9"/>
            <color indexed="32"/>
            <rFont val="Tahoma"/>
            <family val="2"/>
            <charset val="204"/>
          </rPr>
          <t>15%</t>
        </r>
        <r>
          <rPr>
            <sz val="9"/>
            <color indexed="81"/>
            <rFont val="Tahoma"/>
            <family val="2"/>
            <charset val="204"/>
          </rPr>
          <t xml:space="preserve"> </t>
        </r>
        <r>
          <rPr>
            <b/>
            <sz val="9"/>
            <color indexed="32"/>
            <rFont val="Tahoma"/>
            <family val="2"/>
            <charset val="204"/>
          </rPr>
          <t>крио урона</t>
        </r>
        <r>
          <rPr>
            <sz val="9"/>
            <color indexed="81"/>
            <rFont val="Tahoma"/>
            <family val="2"/>
            <charset val="204"/>
          </rPr>
          <t xml:space="preserve">
</t>
        </r>
        <r>
          <rPr>
            <b/>
            <sz val="9"/>
            <color indexed="81"/>
            <rFont val="Tahoma"/>
            <family val="2"/>
            <charset val="204"/>
          </rPr>
          <t>4 куска:</t>
        </r>
        <r>
          <rPr>
            <sz val="9"/>
            <color indexed="81"/>
            <rFont val="Tahoma"/>
            <family val="2"/>
            <charset val="204"/>
          </rPr>
          <t xml:space="preserve"> Атака по врагу со статусом крио повышает </t>
        </r>
        <r>
          <rPr>
            <b/>
            <sz val="9"/>
            <color indexed="32"/>
            <rFont val="Tahoma"/>
            <family val="2"/>
            <charset val="204"/>
          </rPr>
          <t>шк</t>
        </r>
        <r>
          <rPr>
            <sz val="9"/>
            <color indexed="81"/>
            <rFont val="Tahoma"/>
            <family val="2"/>
            <charset val="204"/>
          </rPr>
          <t xml:space="preserve"> атаки на </t>
        </r>
        <r>
          <rPr>
            <b/>
            <sz val="9"/>
            <color indexed="32"/>
            <rFont val="Tahoma"/>
            <family val="2"/>
            <charset val="204"/>
          </rPr>
          <t>20%</t>
        </r>
        <r>
          <rPr>
            <sz val="9"/>
            <color indexed="81"/>
            <rFont val="Tahoma"/>
            <family val="2"/>
            <charset val="204"/>
          </rPr>
          <t xml:space="preserve">
Если враг заморожен, то </t>
        </r>
        <r>
          <rPr>
            <b/>
            <sz val="9"/>
            <color indexed="32"/>
            <rFont val="Tahoma"/>
            <family val="2"/>
            <charset val="204"/>
          </rPr>
          <t>шк</t>
        </r>
        <r>
          <rPr>
            <sz val="9"/>
            <color indexed="81"/>
            <rFont val="Tahoma"/>
            <family val="2"/>
            <charset val="204"/>
          </rPr>
          <t xml:space="preserve"> дополнительно повышается на </t>
        </r>
        <r>
          <rPr>
            <b/>
            <sz val="9"/>
            <color indexed="32"/>
            <rFont val="Tahoma"/>
            <family val="2"/>
            <charset val="204"/>
          </rPr>
          <t>20%</t>
        </r>
        <r>
          <rPr>
            <sz val="9"/>
            <color indexed="81"/>
            <rFont val="Tahoma"/>
            <family val="2"/>
            <charset val="204"/>
          </rPr>
          <t xml:space="preserve"> (итого </t>
        </r>
        <r>
          <rPr>
            <b/>
            <sz val="9"/>
            <color indexed="32"/>
            <rFont val="Tahoma"/>
            <family val="2"/>
            <charset val="204"/>
          </rPr>
          <t>40%</t>
        </r>
        <r>
          <rPr>
            <sz val="9"/>
            <color indexed="81"/>
            <rFont val="Tahoma"/>
            <family val="2"/>
            <charset val="204"/>
          </rPr>
          <t xml:space="preserve"> </t>
        </r>
        <r>
          <rPr>
            <b/>
            <sz val="9"/>
            <color indexed="32"/>
            <rFont val="Tahoma"/>
            <family val="2"/>
            <charset val="204"/>
          </rPr>
          <t>шк</t>
        </r>
        <r>
          <rPr>
            <sz val="9"/>
            <color indexed="81"/>
            <rFont val="Tahoma"/>
            <family val="2"/>
            <charset val="204"/>
          </rPr>
          <t>)</t>
        </r>
      </text>
    </comment>
    <comment ref="Q6" authorId="0" shapeId="0" xr:uid="{15955E6D-F08D-432E-85FB-6EF9E11B6BF4}">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4 куска: </t>
        </r>
        <r>
          <rPr>
            <sz val="9"/>
            <color indexed="81"/>
            <rFont val="Tahoma"/>
            <family val="2"/>
            <charset val="204"/>
          </rPr>
          <t xml:space="preserve">Подобранный кристал от кристализации, даёт </t>
        </r>
        <r>
          <rPr>
            <b/>
            <sz val="9"/>
            <color indexed="81"/>
            <rFont val="Tahoma"/>
            <family val="2"/>
            <charset val="204"/>
          </rPr>
          <t>35%</t>
        </r>
        <r>
          <rPr>
            <sz val="9"/>
            <color indexed="81"/>
            <rFont val="Tahoma"/>
            <family val="2"/>
            <charset val="204"/>
          </rPr>
          <t xml:space="preserve"> бонус элементального урона соответствующего элемента всем членам отряда </t>
        </r>
        <r>
          <rPr>
            <b/>
            <sz val="9"/>
            <color indexed="81"/>
            <rFont val="Tahoma"/>
            <family val="2"/>
            <charset val="204"/>
          </rPr>
          <t xml:space="preserve">на 10 сек.
</t>
        </r>
        <r>
          <rPr>
            <b/>
            <i/>
            <sz val="9"/>
            <color indexed="60"/>
            <rFont val="Tahoma"/>
            <family val="2"/>
            <charset val="204"/>
          </rPr>
          <t>Не работает из кармана.
Носитель сета не обязательно должен быть гео персонаж.
Одновременно бафф может распространятся на 1 стихию.
Бафф на гео не распространяется.</t>
        </r>
      </text>
    </comment>
    <comment ref="B7" authorId="0" shapeId="0" xr:uid="{C964497A-54E4-485C-8E16-CE6FB8FC4AB3}">
      <text>
        <r>
          <rPr>
            <b/>
            <sz val="9"/>
            <color indexed="81"/>
            <rFont val="Tahoma"/>
            <family val="2"/>
            <charset val="204"/>
          </rPr>
          <t>FildBreaker:</t>
        </r>
        <r>
          <rPr>
            <sz val="9"/>
            <color indexed="81"/>
            <rFont val="Tahoma"/>
            <family val="2"/>
            <charset val="204"/>
          </rPr>
          <t xml:space="preserve">
4,1%</t>
        </r>
      </text>
    </comment>
    <comment ref="C7" authorId="0" shapeId="0" xr:uid="{A140F0EA-CEB2-4B05-B525-972ECC13F437}">
      <text>
        <r>
          <rPr>
            <b/>
            <sz val="9"/>
            <color indexed="81"/>
            <rFont val="Tahoma"/>
            <family val="2"/>
            <charset val="204"/>
          </rPr>
          <t>FildBreaker:</t>
        </r>
        <r>
          <rPr>
            <sz val="9"/>
            <color indexed="81"/>
            <rFont val="Tahoma"/>
            <family val="2"/>
            <charset val="204"/>
          </rPr>
          <t xml:space="preserve">
4,7%</t>
        </r>
      </text>
    </comment>
    <comment ref="D7" authorId="0" shapeId="0" xr:uid="{F50AA2EC-7526-4412-818D-C9CB4A020079}">
      <text>
        <r>
          <rPr>
            <b/>
            <sz val="9"/>
            <color indexed="81"/>
            <rFont val="Tahoma"/>
            <family val="2"/>
            <charset val="204"/>
          </rPr>
          <t>FildBreaker:</t>
        </r>
        <r>
          <rPr>
            <sz val="9"/>
            <color indexed="81"/>
            <rFont val="Tahoma"/>
            <family val="2"/>
            <charset val="204"/>
          </rPr>
          <t xml:space="preserve">
5,3%</t>
        </r>
      </text>
    </comment>
    <comment ref="E7" authorId="0" shapeId="0" xr:uid="{2CCA2559-58C1-46E3-A84A-E5F0A3328F10}">
      <text>
        <r>
          <rPr>
            <b/>
            <sz val="9"/>
            <color indexed="81"/>
            <rFont val="Tahoma"/>
            <family val="2"/>
            <charset val="204"/>
          </rPr>
          <t>FildBreaker:</t>
        </r>
        <r>
          <rPr>
            <sz val="9"/>
            <color indexed="81"/>
            <rFont val="Tahoma"/>
            <family val="2"/>
            <charset val="204"/>
          </rPr>
          <t xml:space="preserve">
5,8%</t>
        </r>
      </text>
    </comment>
    <comment ref="N7" authorId="0" shapeId="0" xr:uid="{3A0DAEA3-22C9-4277-A693-8A8ADBFE8CD4}">
      <text>
        <r>
          <rPr>
            <b/>
            <sz val="9"/>
            <color indexed="81"/>
            <rFont val="Tahoma"/>
            <family val="2"/>
            <charset val="204"/>
          </rPr>
          <t>FildBreaker:
Значения для ячейки</t>
        </r>
        <r>
          <rPr>
            <sz val="9"/>
            <color indexed="81"/>
            <rFont val="Tahoma"/>
            <family val="2"/>
            <charset val="204"/>
          </rPr>
          <t xml:space="preserve">
</t>
        </r>
        <r>
          <rPr>
            <b/>
            <sz val="9"/>
            <color indexed="81"/>
            <rFont val="Tahoma"/>
            <family val="2"/>
            <charset val="204"/>
          </rPr>
          <t>0</t>
        </r>
        <r>
          <rPr>
            <sz val="9"/>
            <color indexed="81"/>
            <rFont val="Tahoma"/>
            <family val="2"/>
            <charset val="204"/>
          </rPr>
          <t xml:space="preserve"> = Враг без статуса крио
</t>
        </r>
        <r>
          <rPr>
            <b/>
            <sz val="9"/>
            <color indexed="81"/>
            <rFont val="Tahoma"/>
            <family val="2"/>
            <charset val="204"/>
          </rPr>
          <t>1</t>
        </r>
        <r>
          <rPr>
            <sz val="9"/>
            <color indexed="81"/>
            <rFont val="Tahoma"/>
            <family val="2"/>
            <charset val="204"/>
          </rPr>
          <t xml:space="preserve"> = Враг со статусом крио
</t>
        </r>
        <r>
          <rPr>
            <b/>
            <sz val="9"/>
            <color indexed="81"/>
            <rFont val="Tahoma"/>
            <family val="2"/>
            <charset val="204"/>
          </rPr>
          <t>2</t>
        </r>
        <r>
          <rPr>
            <sz val="9"/>
            <color indexed="81"/>
            <rFont val="Tahoma"/>
            <family val="2"/>
            <charset val="204"/>
          </rPr>
          <t xml:space="preserve"> = Враг заморожен</t>
        </r>
      </text>
    </comment>
    <comment ref="B8" authorId="0" shapeId="0" xr:uid="{E64CCBE2-B6E6-4B90-8EDC-BBE19F1BFF38}">
      <text>
        <r>
          <rPr>
            <b/>
            <sz val="9"/>
            <color indexed="81"/>
            <rFont val="Tahoma"/>
            <family val="2"/>
            <charset val="204"/>
          </rPr>
          <t>FildBreaker:</t>
        </r>
        <r>
          <rPr>
            <sz val="9"/>
            <color indexed="81"/>
            <rFont val="Tahoma"/>
            <family val="2"/>
            <charset val="204"/>
          </rPr>
          <t xml:space="preserve">
14</t>
        </r>
      </text>
    </comment>
    <comment ref="C8" authorId="0" shapeId="0" xr:uid="{D43B52D0-1590-4EC2-A702-76CD02620048}">
      <text>
        <r>
          <rPr>
            <b/>
            <sz val="9"/>
            <color indexed="81"/>
            <rFont val="Tahoma"/>
            <family val="2"/>
            <charset val="204"/>
          </rPr>
          <t>FildBreaker:</t>
        </r>
        <r>
          <rPr>
            <sz val="9"/>
            <color indexed="81"/>
            <rFont val="Tahoma"/>
            <family val="2"/>
            <charset val="204"/>
          </rPr>
          <t xml:space="preserve">
16</t>
        </r>
      </text>
    </comment>
    <comment ref="D8" authorId="0" shapeId="0" xr:uid="{1C34653C-F2E1-4DE7-85C6-5A45264CBD8A}">
      <text>
        <r>
          <rPr>
            <b/>
            <sz val="9"/>
            <color indexed="81"/>
            <rFont val="Tahoma"/>
            <family val="2"/>
            <charset val="204"/>
          </rPr>
          <t>FildBreaker:</t>
        </r>
        <r>
          <rPr>
            <sz val="9"/>
            <color indexed="81"/>
            <rFont val="Tahoma"/>
            <family val="2"/>
            <charset val="204"/>
          </rPr>
          <t xml:space="preserve">
18</t>
        </r>
      </text>
    </comment>
    <comment ref="E8" authorId="0" shapeId="0" xr:uid="{C649DB58-524A-4529-9B84-9FED257DF008}">
      <text>
        <r>
          <rPr>
            <b/>
            <sz val="9"/>
            <color indexed="81"/>
            <rFont val="Tahoma"/>
            <family val="2"/>
            <charset val="204"/>
          </rPr>
          <t>FildBreaker:</t>
        </r>
        <r>
          <rPr>
            <sz val="9"/>
            <color indexed="81"/>
            <rFont val="Tahoma"/>
            <family val="2"/>
            <charset val="204"/>
          </rPr>
          <t xml:space="preserve">
19</t>
        </r>
      </text>
    </comment>
    <comment ref="K8" authorId="0" shapeId="0" xr:uid="{C0F550B3-72AF-4353-860E-A7B5B201CF87}">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куска:</t>
        </r>
        <r>
          <rPr>
            <sz val="9"/>
            <color indexed="81"/>
            <rFont val="Tahoma"/>
            <family val="2"/>
            <charset val="204"/>
          </rPr>
          <t xml:space="preserve"> </t>
        </r>
        <r>
          <rPr>
            <b/>
            <sz val="9"/>
            <color indexed="32"/>
            <rFont val="Tahoma"/>
            <family val="2"/>
            <charset val="204"/>
          </rPr>
          <t>18%</t>
        </r>
        <r>
          <rPr>
            <sz val="9"/>
            <color indexed="81"/>
            <rFont val="Tahoma"/>
            <family val="2"/>
            <charset val="204"/>
          </rPr>
          <t xml:space="preserve"> </t>
        </r>
        <r>
          <rPr>
            <b/>
            <sz val="9"/>
            <color indexed="32"/>
            <rFont val="Tahoma"/>
            <family val="2"/>
            <charset val="204"/>
          </rPr>
          <t>атк</t>
        </r>
        <r>
          <rPr>
            <sz val="9"/>
            <color indexed="81"/>
            <rFont val="Tahoma"/>
            <family val="2"/>
            <charset val="204"/>
          </rPr>
          <t xml:space="preserve">
</t>
        </r>
        <r>
          <rPr>
            <b/>
            <sz val="9"/>
            <color indexed="81"/>
            <rFont val="Tahoma"/>
            <family val="2"/>
            <charset val="204"/>
          </rPr>
          <t>4 куска:</t>
        </r>
        <r>
          <rPr>
            <sz val="9"/>
            <color indexed="81"/>
            <rFont val="Tahoma"/>
            <family val="2"/>
            <charset val="204"/>
          </rPr>
          <t xml:space="preserve"> бафф </t>
        </r>
        <r>
          <rPr>
            <b/>
            <sz val="9"/>
            <color indexed="32"/>
            <rFont val="Tahoma"/>
            <family val="2"/>
            <charset val="204"/>
          </rPr>
          <t>35%</t>
        </r>
        <r>
          <rPr>
            <sz val="9"/>
            <color indexed="81"/>
            <rFont val="Tahoma"/>
            <family val="2"/>
            <charset val="204"/>
          </rPr>
          <t xml:space="preserve"> </t>
        </r>
        <r>
          <rPr>
            <b/>
            <sz val="9"/>
            <color indexed="32"/>
            <rFont val="Tahoma"/>
            <family val="2"/>
            <charset val="204"/>
          </rPr>
          <t>обычных атак</t>
        </r>
        <r>
          <rPr>
            <sz val="9"/>
            <color indexed="81"/>
            <rFont val="Tahoma"/>
            <family val="2"/>
            <charset val="204"/>
          </rPr>
          <t xml:space="preserve"> для одноручников, двуручников, копейщиков</t>
        </r>
      </text>
    </comment>
    <comment ref="Q8" authorId="0" shapeId="0" xr:uid="{4E98BCD5-F67C-49C8-9D43-77B5B6B79A37}">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4 куска: </t>
        </r>
        <r>
          <rPr>
            <sz val="9"/>
            <color indexed="81"/>
            <rFont val="Tahoma"/>
            <family val="2"/>
            <charset val="204"/>
          </rPr>
          <t xml:space="preserve">Попадание элементальным навыком или взрывом стихии </t>
        </r>
        <r>
          <rPr>
            <b/>
            <sz val="9"/>
            <color indexed="62"/>
            <rFont val="Tahoma"/>
            <family val="2"/>
            <charset val="204"/>
          </rPr>
          <t>снижает Дендро сопротивление</t>
        </r>
        <r>
          <rPr>
            <sz val="9"/>
            <color indexed="81"/>
            <rFont val="Tahoma"/>
            <family val="2"/>
            <charset val="204"/>
          </rPr>
          <t xml:space="preserve"> врага </t>
        </r>
        <r>
          <rPr>
            <b/>
            <sz val="9"/>
            <color indexed="62"/>
            <rFont val="Tahoma"/>
            <family val="2"/>
            <charset val="204"/>
          </rPr>
          <t>на 30% на 8 сек</t>
        </r>
        <r>
          <rPr>
            <sz val="9"/>
            <color indexed="62"/>
            <rFont val="Tahoma"/>
            <family val="2"/>
            <charset val="204"/>
          </rPr>
          <t xml:space="preserve">. 
</t>
        </r>
        <r>
          <rPr>
            <b/>
            <i/>
            <sz val="9"/>
            <color indexed="60"/>
            <rFont val="Tahoma"/>
            <family val="2"/>
            <charset val="204"/>
          </rPr>
          <t>Эффект может активироваться из кармана.</t>
        </r>
      </text>
    </comment>
    <comment ref="B9" authorId="0" shapeId="0" xr:uid="{95FBFE8F-53D2-4F9B-9624-48E1BF0025DD}">
      <text>
        <r>
          <rPr>
            <b/>
            <sz val="9"/>
            <color indexed="81"/>
            <rFont val="Tahoma"/>
            <family val="2"/>
            <charset val="204"/>
          </rPr>
          <t>FildBreaker:</t>
        </r>
        <r>
          <rPr>
            <sz val="9"/>
            <color indexed="81"/>
            <rFont val="Tahoma"/>
            <family val="2"/>
            <charset val="204"/>
          </rPr>
          <t xml:space="preserve">
4,1%</t>
        </r>
      </text>
    </comment>
    <comment ref="C9" authorId="0" shapeId="0" xr:uid="{E1A869A6-AE4B-4070-A060-78D1FD02F95A}">
      <text>
        <r>
          <rPr>
            <b/>
            <sz val="9"/>
            <color indexed="81"/>
            <rFont val="Tahoma"/>
            <family val="2"/>
            <charset val="204"/>
          </rPr>
          <t>FildBreaker:</t>
        </r>
        <r>
          <rPr>
            <sz val="9"/>
            <color indexed="81"/>
            <rFont val="Tahoma"/>
            <family val="2"/>
            <charset val="204"/>
          </rPr>
          <t xml:space="preserve">
4,7%</t>
        </r>
      </text>
    </comment>
    <comment ref="D9" authorId="0" shapeId="0" xr:uid="{B9957702-D304-4D93-9CF8-E4C899B9C071}">
      <text>
        <r>
          <rPr>
            <b/>
            <sz val="9"/>
            <color indexed="81"/>
            <rFont val="Tahoma"/>
            <family val="2"/>
            <charset val="204"/>
          </rPr>
          <t>FildBreaker:</t>
        </r>
        <r>
          <rPr>
            <sz val="9"/>
            <color indexed="81"/>
            <rFont val="Tahoma"/>
            <family val="2"/>
            <charset val="204"/>
          </rPr>
          <t xml:space="preserve">
5,3%</t>
        </r>
      </text>
    </comment>
    <comment ref="E9" authorId="0" shapeId="0" xr:uid="{1A4249F7-2E4E-400F-86A5-72A5A8F99833}">
      <text>
        <r>
          <rPr>
            <b/>
            <sz val="9"/>
            <color indexed="81"/>
            <rFont val="Tahoma"/>
            <family val="2"/>
            <charset val="204"/>
          </rPr>
          <t>FildBreaker:</t>
        </r>
        <r>
          <rPr>
            <sz val="9"/>
            <color indexed="81"/>
            <rFont val="Tahoma"/>
            <family val="2"/>
            <charset val="204"/>
          </rPr>
          <t xml:space="preserve">
5,8%</t>
        </r>
      </text>
    </comment>
    <comment ref="B10" authorId="0" shapeId="0" xr:uid="{0447E06D-E256-4365-BD76-4126B922BA5C}">
      <text>
        <r>
          <rPr>
            <b/>
            <sz val="9"/>
            <color indexed="81"/>
            <rFont val="Tahoma"/>
            <family val="2"/>
            <charset val="204"/>
          </rPr>
          <t>FildBreaker:</t>
        </r>
        <r>
          <rPr>
            <sz val="9"/>
            <color indexed="81"/>
            <rFont val="Tahoma"/>
            <family val="2"/>
            <charset val="204"/>
          </rPr>
          <t xml:space="preserve">
16</t>
        </r>
      </text>
    </comment>
    <comment ref="C10" authorId="0" shapeId="0" xr:uid="{83E42322-EAD9-4C4D-A665-3B2F94BCD90B}">
      <text>
        <r>
          <rPr>
            <b/>
            <sz val="9"/>
            <color indexed="81"/>
            <rFont val="Tahoma"/>
            <family val="2"/>
            <charset val="204"/>
          </rPr>
          <t>FildBreaker:</t>
        </r>
        <r>
          <rPr>
            <sz val="9"/>
            <color indexed="81"/>
            <rFont val="Tahoma"/>
            <family val="2"/>
            <charset val="204"/>
          </rPr>
          <t xml:space="preserve">
19</t>
        </r>
      </text>
    </comment>
    <comment ref="D10" authorId="0" shapeId="0" xr:uid="{64AD8517-2264-43D3-8C8C-01682BBF2FA5}">
      <text>
        <r>
          <rPr>
            <b/>
            <sz val="9"/>
            <color indexed="81"/>
            <rFont val="Tahoma"/>
            <family val="2"/>
            <charset val="204"/>
          </rPr>
          <t>FildBreaker:</t>
        </r>
        <r>
          <rPr>
            <sz val="9"/>
            <color indexed="81"/>
            <rFont val="Tahoma"/>
            <family val="2"/>
            <charset val="204"/>
          </rPr>
          <t xml:space="preserve">
21</t>
        </r>
      </text>
    </comment>
    <comment ref="E10" authorId="0" shapeId="0" xr:uid="{524672CC-1D4F-494E-88E9-318604DB9181}">
      <text>
        <r>
          <rPr>
            <b/>
            <sz val="9"/>
            <color indexed="81"/>
            <rFont val="Tahoma"/>
            <family val="2"/>
            <charset val="204"/>
          </rPr>
          <t>FildBreaker:</t>
        </r>
        <r>
          <rPr>
            <sz val="9"/>
            <color indexed="81"/>
            <rFont val="Tahoma"/>
            <family val="2"/>
            <charset val="204"/>
          </rPr>
          <t xml:space="preserve">
23</t>
        </r>
      </text>
    </comment>
    <comment ref="K10" authorId="0" shapeId="0" xr:uid="{47498E00-D980-4ECB-9603-D6FF237968E7}">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2 куска: </t>
        </r>
        <r>
          <rPr>
            <b/>
            <sz val="9"/>
            <color indexed="32"/>
            <rFont val="Tahoma"/>
            <family val="2"/>
            <charset val="204"/>
          </rPr>
          <t>80 мс</t>
        </r>
        <r>
          <rPr>
            <sz val="9"/>
            <color indexed="81"/>
            <rFont val="Tahoma"/>
            <family val="2"/>
            <charset val="204"/>
          </rPr>
          <t xml:space="preserve">
</t>
        </r>
        <r>
          <rPr>
            <b/>
            <sz val="9"/>
            <color indexed="81"/>
            <rFont val="Tahoma"/>
            <family val="2"/>
            <charset val="204"/>
          </rPr>
          <t xml:space="preserve">4 куска: </t>
        </r>
        <r>
          <rPr>
            <b/>
            <sz val="9"/>
            <color indexed="32"/>
            <rFont val="Tahoma"/>
            <family val="2"/>
            <charset val="204"/>
          </rPr>
          <t>35%</t>
        </r>
        <r>
          <rPr>
            <sz val="9"/>
            <color indexed="81"/>
            <rFont val="Tahoma"/>
            <family val="2"/>
            <charset val="204"/>
          </rPr>
          <t xml:space="preserve"> бафф </t>
        </r>
        <r>
          <rPr>
            <b/>
            <sz val="9"/>
            <color indexed="32"/>
            <rFont val="Tahoma"/>
            <family val="2"/>
            <charset val="204"/>
          </rPr>
          <t>заряженных атак</t>
        </r>
        <r>
          <rPr>
            <sz val="9"/>
            <color indexed="81"/>
            <rFont val="Tahoma"/>
            <family val="2"/>
            <charset val="204"/>
          </rPr>
          <t xml:space="preserve"> для лучников и каталистов</t>
        </r>
      </text>
    </comment>
    <comment ref="Q10" authorId="0" shapeId="0" xr:uid="{919AC979-B7ED-44AC-9FE2-1D17342F60F0}">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4 куска: </t>
        </r>
        <r>
          <rPr>
            <sz val="9"/>
            <color indexed="81"/>
            <rFont val="Tahoma"/>
            <family val="2"/>
            <charset val="204"/>
          </rPr>
          <t xml:space="preserve">Увеличивает </t>
        </r>
        <r>
          <rPr>
            <b/>
            <sz val="9"/>
            <color indexed="62"/>
            <rFont val="Tahoma"/>
            <family val="2"/>
            <charset val="204"/>
          </rPr>
          <t>получаемое лечение</t>
        </r>
        <r>
          <rPr>
            <sz val="9"/>
            <color indexed="81"/>
            <rFont val="Tahoma"/>
            <family val="2"/>
            <charset val="204"/>
          </rPr>
          <t xml:space="preserve"> всех членов отряда </t>
        </r>
        <r>
          <rPr>
            <b/>
            <sz val="9"/>
            <color indexed="62"/>
            <rFont val="Tahoma"/>
            <family val="2"/>
            <charset val="204"/>
          </rPr>
          <t>на 20%</t>
        </r>
        <r>
          <rPr>
            <sz val="9"/>
            <color indexed="81"/>
            <rFont val="Tahoma"/>
            <family val="2"/>
            <charset val="204"/>
          </rPr>
          <t xml:space="preserve"> в течение </t>
        </r>
        <r>
          <rPr>
            <b/>
            <sz val="9"/>
            <color indexed="62"/>
            <rFont val="Tahoma"/>
            <family val="2"/>
            <charset val="204"/>
          </rPr>
          <t>10 сек.</t>
        </r>
        <r>
          <rPr>
            <sz val="9"/>
            <color indexed="81"/>
            <rFont val="Tahoma"/>
            <family val="2"/>
            <charset val="204"/>
          </rPr>
          <t xml:space="preserve"> после использования элементального навыка или взрыва стихии.</t>
        </r>
      </text>
    </comment>
    <comment ref="B11" authorId="0" shapeId="0" xr:uid="{A9C4A8BA-358A-4CE7-A84A-DDA923DBDBF9}">
      <text>
        <r>
          <rPr>
            <b/>
            <sz val="9"/>
            <color indexed="81"/>
            <rFont val="Tahoma"/>
            <family val="2"/>
            <charset val="204"/>
          </rPr>
          <t>FildBreaker:</t>
        </r>
        <r>
          <rPr>
            <sz val="9"/>
            <color indexed="81"/>
            <rFont val="Tahoma"/>
            <family val="2"/>
            <charset val="204"/>
          </rPr>
          <t xml:space="preserve">
5,1%</t>
        </r>
      </text>
    </comment>
    <comment ref="C11" authorId="0" shapeId="0" xr:uid="{B5DCBDC1-57DC-4D7A-A501-194CCD37D0E0}">
      <text>
        <r>
          <rPr>
            <b/>
            <sz val="9"/>
            <color indexed="81"/>
            <rFont val="Tahoma"/>
            <family val="2"/>
            <charset val="204"/>
          </rPr>
          <t>FildBreaker:</t>
        </r>
        <r>
          <rPr>
            <sz val="9"/>
            <color indexed="81"/>
            <rFont val="Tahoma"/>
            <family val="2"/>
            <charset val="204"/>
          </rPr>
          <t xml:space="preserve">
5,8%</t>
        </r>
      </text>
    </comment>
    <comment ref="D11" authorId="0" shapeId="0" xr:uid="{D47E4EF4-60E5-4D48-867D-F4285D53140F}">
      <text>
        <r>
          <rPr>
            <b/>
            <sz val="9"/>
            <color indexed="81"/>
            <rFont val="Tahoma"/>
            <family val="2"/>
            <charset val="204"/>
          </rPr>
          <t>FildBreaker:</t>
        </r>
        <r>
          <rPr>
            <sz val="9"/>
            <color indexed="81"/>
            <rFont val="Tahoma"/>
            <family val="2"/>
            <charset val="204"/>
          </rPr>
          <t xml:space="preserve">
6,6%</t>
        </r>
      </text>
    </comment>
    <comment ref="E11" authorId="0" shapeId="0" xr:uid="{3FD405E3-1100-4CBE-8CDE-74571B07730E}">
      <text>
        <r>
          <rPr>
            <b/>
            <sz val="9"/>
            <color indexed="81"/>
            <rFont val="Tahoma"/>
            <family val="2"/>
            <charset val="204"/>
          </rPr>
          <t>FildBreaker:</t>
        </r>
        <r>
          <rPr>
            <sz val="9"/>
            <color indexed="81"/>
            <rFont val="Tahoma"/>
            <family val="2"/>
            <charset val="204"/>
          </rPr>
          <t xml:space="preserve">
7,3%</t>
        </r>
      </text>
    </comment>
    <comment ref="B12" authorId="0" shapeId="0" xr:uid="{614ED6BA-4283-4554-A654-EF1948A46127}">
      <text>
        <r>
          <rPr>
            <b/>
            <sz val="9"/>
            <color indexed="81"/>
            <rFont val="Tahoma"/>
            <family val="2"/>
            <charset val="204"/>
          </rPr>
          <t>FildBreaker:</t>
        </r>
        <r>
          <rPr>
            <sz val="9"/>
            <color indexed="81"/>
            <rFont val="Tahoma"/>
            <family val="2"/>
            <charset val="204"/>
          </rPr>
          <t xml:space="preserve">
2,7%</t>
        </r>
      </text>
    </comment>
    <comment ref="C12" authorId="0" shapeId="0" xr:uid="{8B35E27B-937E-4804-92E1-65B564EC0237}">
      <text>
        <r>
          <rPr>
            <b/>
            <sz val="9"/>
            <color indexed="81"/>
            <rFont val="Tahoma"/>
            <family val="2"/>
            <charset val="204"/>
          </rPr>
          <t>FildBreaker:</t>
        </r>
        <r>
          <rPr>
            <sz val="9"/>
            <color indexed="81"/>
            <rFont val="Tahoma"/>
            <family val="2"/>
            <charset val="204"/>
          </rPr>
          <t xml:space="preserve">
3,1%</t>
        </r>
      </text>
    </comment>
    <comment ref="D12" authorId="0" shapeId="0" xr:uid="{05453362-8249-4A8E-B1E7-02A58451EF8C}">
      <text>
        <r>
          <rPr>
            <b/>
            <sz val="9"/>
            <color indexed="81"/>
            <rFont val="Tahoma"/>
            <family val="2"/>
            <charset val="204"/>
          </rPr>
          <t>FildBreaker:</t>
        </r>
        <r>
          <rPr>
            <sz val="9"/>
            <color indexed="81"/>
            <rFont val="Tahoma"/>
            <family val="2"/>
            <charset val="204"/>
          </rPr>
          <t xml:space="preserve">
3,5%</t>
        </r>
      </text>
    </comment>
    <comment ref="E12" authorId="0" shapeId="0" xr:uid="{3B40D043-31CC-4F6E-98FD-5BD7EE22CCF2}">
      <text>
        <r>
          <rPr>
            <b/>
            <sz val="9"/>
            <color indexed="81"/>
            <rFont val="Tahoma"/>
            <family val="2"/>
            <charset val="204"/>
          </rPr>
          <t>FildBreaker:</t>
        </r>
        <r>
          <rPr>
            <sz val="9"/>
            <color indexed="81"/>
            <rFont val="Tahoma"/>
            <family val="2"/>
            <charset val="204"/>
          </rPr>
          <t xml:space="preserve">
3,9%</t>
        </r>
      </text>
    </comment>
    <comment ref="K12" authorId="0" shapeId="0" xr:uid="{F1A6F26B-2FF0-4E89-8FDA-E3A9C17AD28F}">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куска:</t>
        </r>
        <r>
          <rPr>
            <sz val="9"/>
            <color indexed="81"/>
            <rFont val="Tahoma"/>
            <family val="2"/>
            <charset val="204"/>
          </rPr>
          <t xml:space="preserve"> </t>
        </r>
        <r>
          <rPr>
            <b/>
            <sz val="9"/>
            <color indexed="18"/>
            <rFont val="Tahoma"/>
            <family val="2"/>
            <charset val="204"/>
          </rPr>
          <t>25%</t>
        </r>
        <r>
          <rPr>
            <sz val="9"/>
            <color indexed="81"/>
            <rFont val="Tahoma"/>
            <family val="2"/>
            <charset val="204"/>
          </rPr>
          <t xml:space="preserve"> физ.урона
</t>
        </r>
        <r>
          <rPr>
            <b/>
            <sz val="9"/>
            <color indexed="81"/>
            <rFont val="Tahoma"/>
            <family val="2"/>
            <charset val="204"/>
          </rPr>
          <t>4 куска:</t>
        </r>
        <r>
          <rPr>
            <sz val="9"/>
            <color indexed="81"/>
            <rFont val="Tahoma"/>
            <family val="2"/>
            <charset val="204"/>
          </rPr>
          <t xml:space="preserve"> после убийства врага баффает HA на </t>
        </r>
        <r>
          <rPr>
            <b/>
            <sz val="9"/>
            <color indexed="32"/>
            <rFont val="Tahoma"/>
            <family val="2"/>
            <charset val="204"/>
          </rPr>
          <t>50%</t>
        </r>
        <r>
          <rPr>
            <sz val="9"/>
            <color indexed="81"/>
            <rFont val="Tahoma"/>
            <family val="2"/>
            <charset val="204"/>
          </rPr>
          <t xml:space="preserve"> и они не тратят выносливость в течении </t>
        </r>
        <r>
          <rPr>
            <b/>
            <sz val="9"/>
            <color indexed="32"/>
            <rFont val="Tahoma"/>
            <family val="2"/>
            <charset val="204"/>
          </rPr>
          <t>10 сек</t>
        </r>
        <r>
          <rPr>
            <sz val="9"/>
            <color indexed="81"/>
            <rFont val="Tahoma"/>
            <family val="2"/>
            <charset val="204"/>
          </rPr>
          <t>.</t>
        </r>
      </text>
    </comment>
    <comment ref="Q12" authorId="0" shapeId="0" xr:uid="{AD782D6C-C9E4-4559-AB72-B8CFE9F27576}">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4 куска: </t>
        </r>
        <r>
          <rPr>
            <sz val="9"/>
            <color indexed="81"/>
            <rFont val="Tahoma"/>
            <family val="2"/>
            <charset val="204"/>
          </rPr>
          <t>При взаимодействии Рассеивания с другим элементом, также</t>
        </r>
        <r>
          <rPr>
            <sz val="9"/>
            <color indexed="62"/>
            <rFont val="Tahoma"/>
            <family val="2"/>
            <charset val="204"/>
          </rPr>
          <t xml:space="preserve"> </t>
        </r>
        <r>
          <rPr>
            <b/>
            <sz val="9"/>
            <color indexed="62"/>
            <rFont val="Tahoma"/>
            <family val="2"/>
            <charset val="204"/>
          </rPr>
          <t>понижает сопротивление</t>
        </r>
        <r>
          <rPr>
            <sz val="9"/>
            <color indexed="81"/>
            <rFont val="Tahoma"/>
            <family val="2"/>
            <charset val="204"/>
          </rPr>
          <t xml:space="preserve"> противника к соответствующему элементу </t>
        </r>
        <r>
          <rPr>
            <b/>
            <sz val="9"/>
            <color indexed="62"/>
            <rFont val="Tahoma"/>
            <family val="2"/>
            <charset val="204"/>
          </rPr>
          <t>на 40%</t>
        </r>
        <r>
          <rPr>
            <sz val="9"/>
            <color indexed="81"/>
            <rFont val="Tahoma"/>
            <family val="2"/>
            <charset val="204"/>
          </rPr>
          <t xml:space="preserve"> в течение </t>
        </r>
        <r>
          <rPr>
            <b/>
            <sz val="9"/>
            <color indexed="62"/>
            <rFont val="Tahoma"/>
            <family val="2"/>
            <charset val="204"/>
          </rPr>
          <t>10 сек</t>
        </r>
        <r>
          <rPr>
            <sz val="9"/>
            <color indexed="62"/>
            <rFont val="Tahoma"/>
            <family val="2"/>
            <charset val="204"/>
          </rPr>
          <t>.</t>
        </r>
        <r>
          <rPr>
            <sz val="9"/>
            <color indexed="81"/>
            <rFont val="Tahoma"/>
            <family val="2"/>
            <charset val="204"/>
          </rPr>
          <t xml:space="preserve">
</t>
        </r>
        <r>
          <rPr>
            <b/>
            <i/>
            <sz val="9"/>
            <color indexed="60"/>
            <rFont val="Tahoma"/>
            <family val="2"/>
            <charset val="204"/>
          </rPr>
          <t>Эффект не активируется из кармана.</t>
        </r>
      </text>
    </comment>
    <comment ref="B13" authorId="0" shapeId="0" xr:uid="{D3115FB6-8459-4F02-BF05-2B18768DB0E5}">
      <text>
        <r>
          <rPr>
            <b/>
            <sz val="9"/>
            <color indexed="81"/>
            <rFont val="Tahoma"/>
            <family val="2"/>
            <charset val="204"/>
          </rPr>
          <t>FildBreaker:</t>
        </r>
        <r>
          <rPr>
            <sz val="9"/>
            <color indexed="81"/>
            <rFont val="Tahoma"/>
            <family val="2"/>
            <charset val="204"/>
          </rPr>
          <t xml:space="preserve">
5,4%</t>
        </r>
      </text>
    </comment>
    <comment ref="C13" authorId="0" shapeId="0" xr:uid="{7631DDFE-1406-4390-938D-60DDC3954BFA}">
      <text>
        <r>
          <rPr>
            <b/>
            <sz val="9"/>
            <color indexed="81"/>
            <rFont val="Tahoma"/>
            <family val="2"/>
            <charset val="204"/>
          </rPr>
          <t>FildBreaker:</t>
        </r>
        <r>
          <rPr>
            <sz val="9"/>
            <color indexed="81"/>
            <rFont val="Tahoma"/>
            <family val="2"/>
            <charset val="204"/>
          </rPr>
          <t xml:space="preserve">
6,2%</t>
        </r>
      </text>
    </comment>
    <comment ref="D13" authorId="0" shapeId="0" xr:uid="{454DDE40-A9DB-4ED7-A0F0-8CD607413A6E}">
      <text>
        <r>
          <rPr>
            <b/>
            <sz val="9"/>
            <color indexed="81"/>
            <rFont val="Tahoma"/>
            <family val="2"/>
            <charset val="204"/>
          </rPr>
          <t>FildBreaker:</t>
        </r>
        <r>
          <rPr>
            <sz val="9"/>
            <color indexed="81"/>
            <rFont val="Tahoma"/>
            <family val="2"/>
            <charset val="204"/>
          </rPr>
          <t xml:space="preserve">
7,0%</t>
        </r>
      </text>
    </comment>
    <comment ref="E13" authorId="0" shapeId="0" xr:uid="{324BE514-59B5-47E8-B802-B1273529FE1E}">
      <text>
        <r>
          <rPr>
            <b/>
            <sz val="9"/>
            <color indexed="81"/>
            <rFont val="Tahoma"/>
            <family val="2"/>
            <charset val="204"/>
          </rPr>
          <t>FildBreaker:</t>
        </r>
        <r>
          <rPr>
            <sz val="9"/>
            <color indexed="81"/>
            <rFont val="Tahoma"/>
            <family val="2"/>
            <charset val="204"/>
          </rPr>
          <t xml:space="preserve">
7,8%</t>
        </r>
      </text>
    </comment>
    <comment ref="B14" authorId="0" shapeId="0" xr:uid="{89CF0505-224D-481E-ACC5-887CD776B7B7}">
      <text>
        <r>
          <rPr>
            <b/>
            <sz val="9"/>
            <color indexed="81"/>
            <rFont val="Tahoma"/>
            <family val="2"/>
            <charset val="204"/>
          </rPr>
          <t>FildBreaker:</t>
        </r>
        <r>
          <rPr>
            <sz val="9"/>
            <color indexed="81"/>
            <rFont val="Tahoma"/>
            <family val="2"/>
            <charset val="204"/>
          </rPr>
          <t xml:space="preserve">
4,5%</t>
        </r>
      </text>
    </comment>
    <comment ref="C14" authorId="0" shapeId="0" xr:uid="{9545F327-D0B5-4145-BE90-55B54B9FB8EF}">
      <text>
        <r>
          <rPr>
            <b/>
            <sz val="9"/>
            <color indexed="81"/>
            <rFont val="Tahoma"/>
            <family val="2"/>
            <charset val="204"/>
          </rPr>
          <t>FildBreaker:</t>
        </r>
        <r>
          <rPr>
            <sz val="9"/>
            <color indexed="81"/>
            <rFont val="Tahoma"/>
            <family val="2"/>
            <charset val="204"/>
          </rPr>
          <t xml:space="preserve">
5,2%</t>
        </r>
      </text>
    </comment>
    <comment ref="D14" authorId="0" shapeId="0" xr:uid="{5CEFBB74-E1CB-4B2A-986C-ACAAF3AC2763}">
      <text>
        <r>
          <rPr>
            <b/>
            <sz val="9"/>
            <color indexed="81"/>
            <rFont val="Tahoma"/>
            <family val="2"/>
            <charset val="204"/>
          </rPr>
          <t>FildBreaker:</t>
        </r>
        <r>
          <rPr>
            <sz val="9"/>
            <color indexed="81"/>
            <rFont val="Tahoma"/>
            <family val="2"/>
            <charset val="204"/>
          </rPr>
          <t xml:space="preserve">
5,8%</t>
        </r>
      </text>
    </comment>
    <comment ref="E14" authorId="0" shapeId="0" xr:uid="{E0A9224F-55BA-4D42-9FB5-2E4284ACA1A3}">
      <text>
        <r>
          <rPr>
            <b/>
            <sz val="9"/>
            <color indexed="81"/>
            <rFont val="Tahoma"/>
            <family val="2"/>
            <charset val="204"/>
          </rPr>
          <t>FildBreaker:</t>
        </r>
        <r>
          <rPr>
            <sz val="9"/>
            <color indexed="81"/>
            <rFont val="Tahoma"/>
            <family val="2"/>
            <charset val="204"/>
          </rPr>
          <t xml:space="preserve">
6,5%</t>
        </r>
      </text>
    </comment>
    <comment ref="K14" authorId="0" shapeId="0" xr:uid="{0BE0B7EA-33DC-44EC-AC2F-5C01781AFE60}">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2 куска: </t>
        </r>
        <r>
          <rPr>
            <b/>
            <sz val="9"/>
            <color indexed="32"/>
            <rFont val="Tahoma"/>
            <family val="2"/>
            <charset val="204"/>
          </rPr>
          <t>35% прочность щита.</t>
        </r>
        <r>
          <rPr>
            <sz val="9"/>
            <color indexed="81"/>
            <rFont val="Tahoma"/>
            <family val="2"/>
            <charset val="204"/>
          </rPr>
          <t xml:space="preserve">
</t>
        </r>
        <r>
          <rPr>
            <b/>
            <sz val="9"/>
            <color indexed="81"/>
            <rFont val="Tahoma"/>
            <family val="2"/>
            <charset val="204"/>
          </rPr>
          <t>4 куска:</t>
        </r>
        <r>
          <rPr>
            <sz val="9"/>
            <color indexed="81"/>
            <rFont val="Tahoma"/>
            <family val="2"/>
            <charset val="204"/>
          </rPr>
          <t xml:space="preserve"> под щитом </t>
        </r>
        <r>
          <rPr>
            <b/>
            <sz val="9"/>
            <color indexed="32"/>
            <rFont val="Tahoma"/>
            <family val="2"/>
            <charset val="204"/>
          </rPr>
          <t>обычные</t>
        </r>
        <r>
          <rPr>
            <sz val="9"/>
            <color indexed="81"/>
            <rFont val="Tahoma"/>
            <family val="2"/>
            <charset val="204"/>
          </rPr>
          <t xml:space="preserve"> и </t>
        </r>
        <r>
          <rPr>
            <b/>
            <sz val="9"/>
            <color indexed="32"/>
            <rFont val="Tahoma"/>
            <family val="2"/>
            <charset val="204"/>
          </rPr>
          <t>заряженные атаки</t>
        </r>
        <r>
          <rPr>
            <sz val="9"/>
            <color indexed="81"/>
            <rFont val="Tahoma"/>
            <family val="2"/>
            <charset val="204"/>
          </rPr>
          <t xml:space="preserve"> получают </t>
        </r>
        <r>
          <rPr>
            <b/>
            <sz val="9"/>
            <color indexed="32"/>
            <rFont val="Tahoma"/>
            <family val="2"/>
            <charset val="204"/>
          </rPr>
          <t>40% бонуса урона.</t>
        </r>
      </text>
    </comment>
    <comment ref="Q14" authorId="0" shapeId="0" xr:uid="{9CD136D9-BB1F-483F-950F-BEEFA3552247}">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4 куска: </t>
        </r>
        <r>
          <rPr>
            <sz val="9"/>
            <color indexed="81"/>
            <rFont val="Tahoma"/>
            <family val="2"/>
            <charset val="204"/>
          </rPr>
          <t xml:space="preserve">Использование взрыва стихии восстанавливает </t>
        </r>
        <r>
          <rPr>
            <b/>
            <sz val="9"/>
            <color indexed="32"/>
            <rFont val="Tahoma"/>
            <family val="2"/>
            <charset val="204"/>
          </rPr>
          <t>2 ед. чистой энергии</t>
        </r>
        <r>
          <rPr>
            <sz val="9"/>
            <color indexed="81"/>
            <rFont val="Tahoma"/>
            <family val="2"/>
            <charset val="204"/>
          </rPr>
          <t xml:space="preserve"> остальным членам отряда (кроме носителя сета) каждые </t>
        </r>
        <r>
          <rPr>
            <b/>
            <sz val="9"/>
            <color indexed="32"/>
            <rFont val="Tahoma"/>
            <family val="2"/>
            <charset val="204"/>
          </rPr>
          <t>2 сек.</t>
        </r>
        <r>
          <rPr>
            <sz val="9"/>
            <color indexed="81"/>
            <rFont val="Tahoma"/>
            <family val="2"/>
            <charset val="204"/>
          </rPr>
          <t xml:space="preserve"> в течение </t>
        </r>
        <r>
          <rPr>
            <b/>
            <sz val="9"/>
            <color indexed="32"/>
            <rFont val="Tahoma"/>
            <family val="2"/>
            <charset val="204"/>
          </rPr>
          <t>6 сек.</t>
        </r>
        <r>
          <rPr>
            <sz val="9"/>
            <color indexed="81"/>
            <rFont val="Tahoma"/>
            <family val="2"/>
            <charset val="204"/>
          </rPr>
          <t xml:space="preserve"> 
</t>
        </r>
        <r>
          <rPr>
            <b/>
            <i/>
            <sz val="9"/>
            <color indexed="60"/>
            <rFont val="Tahoma"/>
            <family val="2"/>
            <charset val="204"/>
          </rPr>
          <t>Эффект не может складываться.</t>
        </r>
      </text>
    </comment>
    <comment ref="B15" authorId="0" shapeId="0" xr:uid="{5F792B16-09FB-4D92-836B-D73C86851E0B}">
      <text>
        <r>
          <rPr>
            <b/>
            <sz val="9"/>
            <color indexed="81"/>
            <rFont val="Tahoma"/>
            <family val="2"/>
            <charset val="204"/>
          </rPr>
          <t>FildBreaker:</t>
        </r>
        <r>
          <rPr>
            <sz val="9"/>
            <color indexed="81"/>
            <rFont val="Tahoma"/>
            <family val="2"/>
            <charset val="204"/>
          </rPr>
          <t xml:space="preserve">
16</t>
        </r>
      </text>
    </comment>
    <comment ref="C15" authorId="0" shapeId="0" xr:uid="{F170E276-5ACA-4488-AAFF-FDDFA4F2C441}">
      <text>
        <r>
          <rPr>
            <b/>
            <sz val="9"/>
            <color indexed="81"/>
            <rFont val="Tahoma"/>
            <family val="2"/>
            <charset val="204"/>
          </rPr>
          <t>FildBreaker:</t>
        </r>
        <r>
          <rPr>
            <sz val="9"/>
            <color indexed="81"/>
            <rFont val="Tahoma"/>
            <family val="2"/>
            <charset val="204"/>
          </rPr>
          <t xml:space="preserve">
19</t>
        </r>
      </text>
    </comment>
    <comment ref="D15" authorId="0" shapeId="0" xr:uid="{A118BBE3-A800-4473-AE8D-95C4CBAF6122}">
      <text>
        <r>
          <rPr>
            <b/>
            <sz val="9"/>
            <color indexed="81"/>
            <rFont val="Tahoma"/>
            <family val="2"/>
            <charset val="204"/>
          </rPr>
          <t>FildBreaker:</t>
        </r>
        <r>
          <rPr>
            <sz val="9"/>
            <color indexed="81"/>
            <rFont val="Tahoma"/>
            <family val="2"/>
            <charset val="204"/>
          </rPr>
          <t xml:space="preserve">
21</t>
        </r>
      </text>
    </comment>
    <comment ref="E15" authorId="0" shapeId="0" xr:uid="{1B210A4B-90D0-4A7D-B17C-D773154B5145}">
      <text>
        <r>
          <rPr>
            <b/>
            <sz val="9"/>
            <color indexed="81"/>
            <rFont val="Tahoma"/>
            <family val="2"/>
            <charset val="204"/>
          </rPr>
          <t>FildBreaker:</t>
        </r>
        <r>
          <rPr>
            <sz val="9"/>
            <color indexed="81"/>
            <rFont val="Tahoma"/>
            <family val="2"/>
            <charset val="204"/>
          </rPr>
          <t xml:space="preserve">
23</t>
        </r>
      </text>
    </comment>
    <comment ref="K16" authorId="0" shapeId="0" xr:uid="{ADFA5E4C-6D3C-4111-8B62-8158C88DDF1C}">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2 куска: </t>
        </r>
        <r>
          <rPr>
            <b/>
            <sz val="9"/>
            <color indexed="32"/>
            <rFont val="Tahoma"/>
            <family val="2"/>
            <charset val="204"/>
          </rPr>
          <t>40% электро сопротивления</t>
        </r>
        <r>
          <rPr>
            <sz val="9"/>
            <color indexed="81"/>
            <rFont val="Tahoma"/>
            <family val="2"/>
            <charset val="204"/>
          </rPr>
          <t xml:space="preserve">
</t>
        </r>
        <r>
          <rPr>
            <b/>
            <sz val="9"/>
            <color indexed="81"/>
            <rFont val="Tahoma"/>
            <family val="2"/>
            <charset val="204"/>
          </rPr>
          <t xml:space="preserve">4 куска: </t>
        </r>
        <r>
          <rPr>
            <sz val="9"/>
            <color indexed="81"/>
            <rFont val="Tahoma"/>
            <family val="2"/>
            <charset val="204"/>
          </rPr>
          <t xml:space="preserve">По врагам со статусом электро </t>
        </r>
        <r>
          <rPr>
            <b/>
            <sz val="9"/>
            <color indexed="32"/>
            <rFont val="Tahoma"/>
            <family val="2"/>
            <charset val="204"/>
          </rPr>
          <t xml:space="preserve">урон </t>
        </r>
        <r>
          <rPr>
            <sz val="9"/>
            <color indexed="81"/>
            <rFont val="Tahoma"/>
            <family val="2"/>
            <charset val="204"/>
          </rPr>
          <t xml:space="preserve">повышается на </t>
        </r>
        <r>
          <rPr>
            <b/>
            <sz val="9"/>
            <color indexed="32"/>
            <rFont val="Tahoma"/>
            <family val="2"/>
            <charset val="204"/>
          </rPr>
          <t>35%.</t>
        </r>
      </text>
    </comment>
    <comment ref="Q16" authorId="0" shapeId="0" xr:uid="{A21074CD-CC90-4BC2-BDB6-1772F6136F39}">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4 куска: </t>
        </r>
        <r>
          <rPr>
            <sz val="9"/>
            <color indexed="81"/>
            <rFont val="Tahoma"/>
            <family val="2"/>
            <charset val="204"/>
          </rPr>
          <t xml:space="preserve">Вызов элементальной реакции увеличивает </t>
        </r>
        <r>
          <rPr>
            <b/>
            <sz val="9"/>
            <color indexed="32"/>
            <rFont val="Tahoma"/>
            <family val="2"/>
            <charset val="204"/>
          </rPr>
          <t>мастерство стихий</t>
        </r>
        <r>
          <rPr>
            <sz val="9"/>
            <color indexed="81"/>
            <rFont val="Tahoma"/>
            <family val="2"/>
            <charset val="204"/>
          </rPr>
          <t xml:space="preserve"> всех членов отряда на </t>
        </r>
        <r>
          <rPr>
            <b/>
            <sz val="9"/>
            <color indexed="32"/>
            <rFont val="Tahoma"/>
            <family val="2"/>
            <charset val="204"/>
          </rPr>
          <t>120 ед.</t>
        </r>
        <r>
          <rPr>
            <sz val="9"/>
            <color indexed="81"/>
            <rFont val="Tahoma"/>
            <family val="2"/>
            <charset val="204"/>
          </rPr>
          <t xml:space="preserve"> в течение </t>
        </r>
        <r>
          <rPr>
            <b/>
            <sz val="9"/>
            <color indexed="32"/>
            <rFont val="Tahoma"/>
            <family val="2"/>
            <charset val="204"/>
          </rPr>
          <t>8 сек.</t>
        </r>
        <r>
          <rPr>
            <sz val="9"/>
            <color indexed="81"/>
            <rFont val="Tahoma"/>
            <family val="2"/>
            <charset val="204"/>
          </rPr>
          <t xml:space="preserve">
</t>
        </r>
        <r>
          <rPr>
            <b/>
            <i/>
            <sz val="9"/>
            <color indexed="37"/>
            <rFont val="Tahoma"/>
            <family val="2"/>
            <charset val="204"/>
          </rPr>
          <t>Не активируется из кармана</t>
        </r>
      </text>
    </comment>
    <comment ref="K18" authorId="0" shapeId="0" xr:uid="{B0047BFF-C97B-4FA1-8D13-47C36E6AB600}">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2 куска: </t>
        </r>
        <r>
          <rPr>
            <b/>
            <sz val="9"/>
            <color indexed="32"/>
            <rFont val="Tahoma"/>
            <family val="2"/>
            <charset val="204"/>
          </rPr>
          <t>40% пиро сопротивления</t>
        </r>
        <r>
          <rPr>
            <sz val="9"/>
            <color indexed="81"/>
            <rFont val="Tahoma"/>
            <family val="2"/>
            <charset val="204"/>
          </rPr>
          <t xml:space="preserve">
</t>
        </r>
        <r>
          <rPr>
            <b/>
            <sz val="9"/>
            <color indexed="81"/>
            <rFont val="Tahoma"/>
            <family val="2"/>
            <charset val="204"/>
          </rPr>
          <t xml:space="preserve">4 куска: </t>
        </r>
        <r>
          <rPr>
            <sz val="9"/>
            <color indexed="81"/>
            <rFont val="Tahoma"/>
            <family val="2"/>
            <charset val="204"/>
          </rPr>
          <t xml:space="preserve">По врагам со статусом пиро </t>
        </r>
        <r>
          <rPr>
            <b/>
            <sz val="9"/>
            <color indexed="32"/>
            <rFont val="Tahoma"/>
            <family val="2"/>
            <charset val="204"/>
          </rPr>
          <t xml:space="preserve">урон </t>
        </r>
        <r>
          <rPr>
            <sz val="9"/>
            <color indexed="81"/>
            <rFont val="Tahoma"/>
            <family val="2"/>
            <charset val="204"/>
          </rPr>
          <t xml:space="preserve">повышается на </t>
        </r>
        <r>
          <rPr>
            <b/>
            <sz val="9"/>
            <color indexed="32"/>
            <rFont val="Tahoma"/>
            <family val="2"/>
            <charset val="204"/>
          </rPr>
          <t>35%.</t>
        </r>
      </text>
    </comment>
    <comment ref="Q18" authorId="0" shapeId="0" xr:uid="{7C876A4F-7CDC-40C7-887C-F28B9684B251}">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4 куска: </t>
        </r>
        <r>
          <rPr>
            <sz val="9"/>
            <color indexed="81"/>
            <rFont val="Tahoma"/>
            <family val="2"/>
            <charset val="204"/>
          </rPr>
          <t>При лечении персонажа создаётся пузырь на</t>
        </r>
        <r>
          <rPr>
            <b/>
            <sz val="9"/>
            <color indexed="62"/>
            <rFont val="Tahoma"/>
            <family val="2"/>
            <charset val="204"/>
          </rPr>
          <t xml:space="preserve"> 3 сек</t>
        </r>
        <r>
          <rPr>
            <sz val="9"/>
            <color indexed="81"/>
            <rFont val="Tahoma"/>
            <family val="2"/>
            <charset val="204"/>
          </rPr>
          <t xml:space="preserve">, который записывает всё лечение (в том числе избыточное), до </t>
        </r>
        <r>
          <rPr>
            <b/>
            <sz val="9"/>
            <color indexed="62"/>
            <rFont val="Tahoma"/>
            <family val="2"/>
            <charset val="204"/>
          </rPr>
          <t>30 000</t>
        </r>
        <r>
          <rPr>
            <sz val="9"/>
            <color indexed="81"/>
            <rFont val="Tahoma"/>
            <family val="2"/>
            <charset val="204"/>
          </rPr>
          <t xml:space="preserve"> суммарно вылеченного хп. Впоследствие преобразует </t>
        </r>
        <r>
          <rPr>
            <b/>
            <sz val="9"/>
            <color indexed="62"/>
            <rFont val="Tahoma"/>
            <family val="2"/>
            <charset val="204"/>
          </rPr>
          <t>90%</t>
        </r>
        <r>
          <rPr>
            <sz val="9"/>
            <color indexed="81"/>
            <rFont val="Tahoma"/>
            <family val="2"/>
            <charset val="204"/>
          </rPr>
          <t xml:space="preserve"> от зарегестрированного лечения в </t>
        </r>
        <r>
          <rPr>
            <b/>
            <sz val="9"/>
            <color indexed="62"/>
            <rFont val="Tahoma"/>
            <family val="2"/>
            <charset val="204"/>
          </rPr>
          <t>физ.урон по области</t>
        </r>
        <r>
          <rPr>
            <sz val="9"/>
            <color indexed="81"/>
            <rFont val="Tahoma"/>
            <family val="2"/>
            <charset val="204"/>
          </rPr>
          <t xml:space="preserve">.
</t>
        </r>
        <r>
          <rPr>
            <b/>
            <i/>
            <sz val="9"/>
            <color indexed="60"/>
            <rFont val="Tahoma"/>
            <family val="2"/>
            <charset val="204"/>
          </rPr>
          <t>Эффект способен работать из кармана.
На поле может быть не более 1 пузыря более, чем раз в 3,5 сек.
Мс, уровень персонажа на урон не влияют. Но порезка физ.сопротивления повысит урон пузыря</t>
        </r>
      </text>
    </comment>
    <comment ref="T18" authorId="0" shapeId="0" xr:uid="{F2DEE91F-CFB4-4C8A-890B-5C7405C4ECB8}">
      <text>
        <r>
          <rPr>
            <b/>
            <sz val="9"/>
            <color indexed="81"/>
            <rFont val="Tahoma"/>
            <family val="2"/>
            <charset val="204"/>
          </rPr>
          <t>FildBreaker:</t>
        </r>
        <r>
          <rPr>
            <sz val="9"/>
            <color indexed="81"/>
            <rFont val="Tahoma"/>
            <family val="2"/>
            <charset val="204"/>
          </rPr>
          <t xml:space="preserve">
Записанное лечение
От 0 до 30 000</t>
        </r>
      </text>
    </comment>
    <comment ref="A20" authorId="0" shapeId="0" xr:uid="{B49CA242-D1DF-4DF9-92A6-4D5348432DA3}">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46,6%</t>
        </r>
        <r>
          <rPr>
            <sz val="9"/>
            <color indexed="81"/>
            <rFont val="Tahoma"/>
            <family val="2"/>
            <charset val="204"/>
          </rPr>
          <t xml:space="preserve"> для хп%/атк%/защ%
</t>
        </r>
        <r>
          <rPr>
            <b/>
            <sz val="9"/>
            <color indexed="81"/>
            <rFont val="Tahoma"/>
            <family val="2"/>
            <charset val="204"/>
          </rPr>
          <t>51,8%</t>
        </r>
        <r>
          <rPr>
            <sz val="9"/>
            <color indexed="81"/>
            <rFont val="Tahoma"/>
            <family val="2"/>
            <charset val="204"/>
          </rPr>
          <t xml:space="preserve"> для вэ
</t>
        </r>
        <r>
          <rPr>
            <b/>
            <sz val="9"/>
            <color indexed="81"/>
            <rFont val="Tahoma"/>
            <family val="2"/>
            <charset val="204"/>
          </rPr>
          <t>187</t>
        </r>
        <r>
          <rPr>
            <sz val="9"/>
            <color indexed="81"/>
            <rFont val="Tahoma"/>
            <family val="2"/>
            <charset val="204"/>
          </rPr>
          <t xml:space="preserve"> для мс</t>
        </r>
      </text>
    </comment>
    <comment ref="K20" authorId="0" shapeId="0" xr:uid="{A56117F6-6745-4E44-B09A-201ED7A64163}">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куска:</t>
        </r>
        <r>
          <rPr>
            <sz val="9"/>
            <color indexed="81"/>
            <rFont val="Tahoma"/>
            <family val="2"/>
            <charset val="204"/>
          </rPr>
          <t xml:space="preserve"> </t>
        </r>
        <r>
          <rPr>
            <b/>
            <sz val="9"/>
            <color indexed="62"/>
            <rFont val="Tahoma"/>
            <family val="2"/>
            <charset val="204"/>
          </rPr>
          <t xml:space="preserve">бонус электро 15%
</t>
        </r>
        <r>
          <rPr>
            <b/>
            <sz val="9"/>
            <color indexed="81"/>
            <rFont val="Tahoma"/>
            <family val="2"/>
            <charset val="204"/>
          </rPr>
          <t xml:space="preserve">4 куска: </t>
        </r>
        <r>
          <rPr>
            <b/>
            <sz val="9"/>
            <color indexed="62"/>
            <rFont val="Tahoma"/>
            <family val="2"/>
            <charset val="204"/>
          </rPr>
          <t>Увеличивает урон реакций Перегрузка, Заряжен, Сверхпроводник и Вегетация на 40%. Урон от реакции Обострение увеличивается на 20%.</t>
        </r>
        <r>
          <rPr>
            <b/>
            <sz val="9"/>
            <color indexed="81"/>
            <rFont val="Tahoma"/>
            <family val="2"/>
            <charset val="204"/>
          </rPr>
          <t xml:space="preserve"> </t>
        </r>
        <r>
          <rPr>
            <sz val="9"/>
            <color indexed="81"/>
            <rFont val="Tahoma"/>
            <family val="2"/>
            <charset val="204"/>
          </rPr>
          <t>При активации этих реакций, а также реакции Стимуляция, время отката элементального навыка уменьшается на 1 сек. Эффект может возникнуть не чаще 1 раза за 0.8 сек.</t>
        </r>
      </text>
    </comment>
    <comment ref="Q20" authorId="0" shapeId="0" xr:uid="{F3BCA34B-9188-4E06-8142-FD8B3A286E9E}">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4 куска: </t>
        </r>
        <r>
          <rPr>
            <sz val="9"/>
            <color indexed="81"/>
            <rFont val="Tahoma"/>
            <family val="2"/>
            <charset val="204"/>
          </rPr>
          <t xml:space="preserve">Носитель сета при лечении членов отряда </t>
        </r>
        <r>
          <rPr>
            <b/>
            <sz val="9"/>
            <color indexed="62"/>
            <rFont val="Tahoma"/>
            <family val="2"/>
            <charset val="204"/>
          </rPr>
          <t>на 6 сек.</t>
        </r>
        <r>
          <rPr>
            <b/>
            <sz val="9"/>
            <color indexed="81"/>
            <rFont val="Tahoma"/>
            <family val="2"/>
            <charset val="204"/>
          </rPr>
          <t xml:space="preserve"> </t>
        </r>
        <r>
          <rPr>
            <sz val="9"/>
            <color indexed="81"/>
            <rFont val="Tahoma"/>
            <family val="2"/>
            <charset val="204"/>
          </rPr>
          <t xml:space="preserve">Получает особый статус, который записывает вылеченное хп (включая избыточное лечение). Таким образом записывается до </t>
        </r>
        <r>
          <rPr>
            <b/>
            <sz val="9"/>
            <color indexed="62"/>
            <rFont val="Tahoma"/>
            <family val="2"/>
            <charset val="204"/>
          </rPr>
          <t>15 000</t>
        </r>
        <r>
          <rPr>
            <sz val="9"/>
            <color indexed="81"/>
            <rFont val="Tahoma"/>
            <family val="2"/>
            <charset val="204"/>
          </rPr>
          <t xml:space="preserve"> вылеченного хп. По прошествии </t>
        </r>
        <r>
          <rPr>
            <b/>
            <sz val="9"/>
            <color indexed="62"/>
            <rFont val="Tahoma"/>
            <family val="2"/>
            <charset val="204"/>
          </rPr>
          <t>6 сек</t>
        </r>
        <r>
          <rPr>
            <sz val="9"/>
            <color indexed="62"/>
            <rFont val="Tahoma"/>
            <family val="2"/>
            <charset val="204"/>
          </rPr>
          <t xml:space="preserve">, </t>
        </r>
        <r>
          <rPr>
            <b/>
            <sz val="9"/>
            <color indexed="62"/>
            <rFont val="Tahoma"/>
            <family val="2"/>
            <charset val="204"/>
          </rPr>
          <t>8%</t>
        </r>
        <r>
          <rPr>
            <sz val="9"/>
            <color indexed="81"/>
            <rFont val="Tahoma"/>
            <family val="2"/>
            <charset val="204"/>
          </rPr>
          <t xml:space="preserve"> записанного лечения преобразуется в бонус урона для (NA/HA/PD/E/Q).
Бафф распространяется только на активного персонажа. После </t>
        </r>
        <r>
          <rPr>
            <b/>
            <sz val="9"/>
            <color indexed="62"/>
            <rFont val="Tahoma"/>
            <family val="2"/>
            <charset val="204"/>
          </rPr>
          <t>5 усиленных атак</t>
        </r>
        <r>
          <rPr>
            <sz val="9"/>
            <color indexed="81"/>
            <rFont val="Tahoma"/>
            <family val="2"/>
            <charset val="204"/>
          </rPr>
          <t xml:space="preserve"> или по прошествии </t>
        </r>
        <r>
          <rPr>
            <b/>
            <sz val="9"/>
            <color indexed="62"/>
            <rFont val="Tahoma"/>
            <family val="2"/>
            <charset val="204"/>
          </rPr>
          <t>10 сек</t>
        </r>
        <r>
          <rPr>
            <sz val="9"/>
            <color indexed="81"/>
            <rFont val="Tahoma"/>
            <family val="2"/>
            <charset val="204"/>
          </rPr>
          <t xml:space="preserve">. Бафф пропадает и записывание хилла начинается заново.
</t>
        </r>
        <r>
          <rPr>
            <b/>
            <i/>
            <sz val="9"/>
            <color indexed="60"/>
            <rFont val="Tahoma"/>
            <family val="2"/>
            <charset val="204"/>
          </rPr>
          <t>Бафф работает как плоская прибавка к урону.</t>
        </r>
      </text>
    </comment>
    <comment ref="T20" authorId="0" shapeId="0" xr:uid="{42A11E57-84BA-40B3-AC4F-05415E4EB4C8}">
      <text>
        <r>
          <rPr>
            <b/>
            <sz val="9"/>
            <color indexed="81"/>
            <rFont val="Tahoma"/>
            <family val="2"/>
            <charset val="204"/>
          </rPr>
          <t>FildBreaker:</t>
        </r>
        <r>
          <rPr>
            <sz val="9"/>
            <color indexed="81"/>
            <rFont val="Tahoma"/>
            <family val="2"/>
            <charset val="204"/>
          </rPr>
          <t xml:space="preserve">
Кол-во записанного лечения.
От 0 до 15000</t>
        </r>
      </text>
    </comment>
    <comment ref="A21" authorId="0" shapeId="0" xr:uid="{6D6B9DA2-E5CB-4491-A111-554C0F943829}">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46,6%</t>
        </r>
        <r>
          <rPr>
            <sz val="9"/>
            <color indexed="81"/>
            <rFont val="Tahoma"/>
            <family val="2"/>
            <charset val="204"/>
          </rPr>
          <t xml:space="preserve"> для эл.урона
</t>
        </r>
        <r>
          <rPr>
            <b/>
            <sz val="9"/>
            <color indexed="81"/>
            <rFont val="Tahoma"/>
            <family val="2"/>
            <charset val="204"/>
          </rPr>
          <t>58,3%</t>
        </r>
        <r>
          <rPr>
            <sz val="9"/>
            <color indexed="81"/>
            <rFont val="Tahoma"/>
            <family val="2"/>
            <charset val="204"/>
          </rPr>
          <t xml:space="preserve"> для физ.урона
</t>
        </r>
        <r>
          <rPr>
            <b/>
            <sz val="9"/>
            <color indexed="81"/>
            <rFont val="Tahoma"/>
            <family val="2"/>
            <charset val="204"/>
          </rPr>
          <t>46,6%</t>
        </r>
        <r>
          <rPr>
            <sz val="9"/>
            <color indexed="81"/>
            <rFont val="Tahoma"/>
            <family val="2"/>
            <charset val="204"/>
          </rPr>
          <t xml:space="preserve"> для хп/атк/защ
</t>
        </r>
        <r>
          <rPr>
            <b/>
            <sz val="9"/>
            <color indexed="81"/>
            <rFont val="Tahoma"/>
            <family val="2"/>
            <charset val="204"/>
          </rPr>
          <t>187</t>
        </r>
        <r>
          <rPr>
            <sz val="9"/>
            <color indexed="81"/>
            <rFont val="Tahoma"/>
            <family val="2"/>
            <charset val="204"/>
          </rPr>
          <t xml:space="preserve"> для мс</t>
        </r>
      </text>
    </comment>
    <comment ref="A22" authorId="0" shapeId="0" xr:uid="{17DAF575-918D-4D9F-A6E1-459A7B170CBD}">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31,1%</t>
        </r>
        <r>
          <rPr>
            <sz val="9"/>
            <color indexed="81"/>
            <rFont val="Tahoma"/>
            <family val="2"/>
            <charset val="204"/>
          </rPr>
          <t xml:space="preserve"> для шк
</t>
        </r>
        <r>
          <rPr>
            <b/>
            <sz val="9"/>
            <color indexed="81"/>
            <rFont val="Tahoma"/>
            <family val="2"/>
            <charset val="204"/>
          </rPr>
          <t>62,2%</t>
        </r>
        <r>
          <rPr>
            <sz val="9"/>
            <color indexed="81"/>
            <rFont val="Tahoma"/>
            <family val="2"/>
            <charset val="204"/>
          </rPr>
          <t xml:space="preserve"> для ку
</t>
        </r>
        <r>
          <rPr>
            <b/>
            <sz val="9"/>
            <color indexed="81"/>
            <rFont val="Tahoma"/>
            <family val="2"/>
            <charset val="204"/>
          </rPr>
          <t>46,6%</t>
        </r>
        <r>
          <rPr>
            <sz val="9"/>
            <color indexed="81"/>
            <rFont val="Tahoma"/>
            <family val="2"/>
            <charset val="204"/>
          </rPr>
          <t xml:space="preserve"> для хп/атк/защ
</t>
        </r>
        <r>
          <rPr>
            <b/>
            <sz val="9"/>
            <color indexed="81"/>
            <rFont val="Tahoma"/>
            <family val="2"/>
            <charset val="204"/>
          </rPr>
          <t>35,9%</t>
        </r>
        <r>
          <rPr>
            <sz val="9"/>
            <color indexed="81"/>
            <rFont val="Tahoma"/>
            <family val="2"/>
            <charset val="204"/>
          </rPr>
          <t xml:space="preserve"> для бонуса леч
</t>
        </r>
        <r>
          <rPr>
            <b/>
            <sz val="9"/>
            <color indexed="81"/>
            <rFont val="Tahoma"/>
            <family val="2"/>
            <charset val="204"/>
          </rPr>
          <t>187</t>
        </r>
        <r>
          <rPr>
            <sz val="9"/>
            <color indexed="81"/>
            <rFont val="Tahoma"/>
            <family val="2"/>
            <charset val="204"/>
          </rPr>
          <t xml:space="preserve"> для мс</t>
        </r>
      </text>
    </comment>
    <comment ref="K22" authorId="0" shapeId="0" xr:uid="{A6BE36AE-6B71-4B02-BFAA-8EF0D8294432}">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Даёт 15% бонус Пиро урона.
</t>
        </r>
        <r>
          <rPr>
            <b/>
            <sz val="9"/>
            <color indexed="81"/>
            <rFont val="Tahoma"/>
            <family val="2"/>
            <charset val="204"/>
          </rPr>
          <t>4 предмета</t>
        </r>
        <r>
          <rPr>
            <sz val="9"/>
            <color indexed="81"/>
            <rFont val="Tahoma"/>
            <family val="2"/>
            <charset val="204"/>
          </rPr>
          <t xml:space="preserve">
Увеличивает урон реакций Перегрузка, Горение и Цветение на 40%, а урон реакций Пар и Таяние на 15%. Использование элементального навыка увеличивает эффект набора из 2 предметов на 50% на 10 сек. Может складываться до 3 раз.</t>
        </r>
      </text>
    </comment>
    <comment ref="N22" authorId="0" shapeId="0" xr:uid="{2D3B296F-F018-4F65-B178-D9FFCBBA78E7}">
      <text>
        <r>
          <rPr>
            <b/>
            <sz val="9"/>
            <color indexed="81"/>
            <rFont val="Tahoma"/>
            <family val="2"/>
            <charset val="204"/>
          </rPr>
          <t>FildBreaker:</t>
        </r>
        <r>
          <rPr>
            <sz val="9"/>
            <color indexed="81"/>
            <rFont val="Tahoma"/>
            <family val="2"/>
            <charset val="204"/>
          </rPr>
          <t xml:space="preserve">
Кол-во прожатых ешек
От 0 до 3</t>
        </r>
      </text>
    </comment>
    <comment ref="Q22" authorId="0" shapeId="0" xr:uid="{D0C05A7B-4136-4F98-9193-87EF5E45FA10}">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4 куска: </t>
        </r>
        <r>
          <rPr>
            <sz val="9"/>
            <color indexed="81"/>
            <rFont val="Tahoma"/>
            <family val="2"/>
            <charset val="204"/>
          </rPr>
          <t>Когда носитель сета активирует реакцию, повышает эл.урон</t>
        </r>
        <r>
          <rPr>
            <b/>
            <sz val="9"/>
            <color indexed="62"/>
            <rFont val="Tahoma"/>
            <family val="2"/>
            <charset val="204"/>
          </rPr>
          <t xml:space="preserve"> на 12% на 15 сек</t>
        </r>
        <r>
          <rPr>
            <sz val="9"/>
            <color indexed="81"/>
            <rFont val="Tahoma"/>
            <family val="2"/>
            <charset val="204"/>
          </rPr>
          <t xml:space="preserve">. с элементами, чьи стихии участвовали в реакии. Если носитель сета находится в состоянии ночного духа, бафф урона повышается дополнительно </t>
        </r>
        <r>
          <rPr>
            <b/>
            <sz val="9"/>
            <color indexed="62"/>
            <rFont val="Tahoma"/>
            <family val="2"/>
            <charset val="204"/>
          </rPr>
          <t>на 28% на 20 сек.</t>
        </r>
        <r>
          <rPr>
            <sz val="9"/>
            <color indexed="81"/>
            <rFont val="Tahoma"/>
            <family val="2"/>
            <charset val="204"/>
          </rPr>
          <t xml:space="preserve">
</t>
        </r>
        <r>
          <rPr>
            <b/>
            <i/>
            <sz val="9"/>
            <color indexed="60"/>
            <rFont val="Tahoma"/>
            <family val="2"/>
            <charset val="204"/>
          </rPr>
          <t>Эффекты сетов не суммируются.
Усилить можно несколько стихий.</t>
        </r>
      </text>
    </comment>
    <comment ref="T22" authorId="0" shapeId="0" xr:uid="{8608E1EF-CCF0-45E7-AA57-C0972B0CE99A}">
      <text>
        <r>
          <rPr>
            <b/>
            <sz val="9"/>
            <color indexed="81"/>
            <rFont val="Tahoma"/>
            <family val="2"/>
            <charset val="204"/>
          </rPr>
          <t>FildBreaker:</t>
        </r>
        <r>
          <rPr>
            <sz val="9"/>
            <color indexed="81"/>
            <rFont val="Tahoma"/>
            <family val="2"/>
            <charset val="204"/>
          </rPr>
          <t xml:space="preserve">
Герой без ночного духа = 0
Герой с ночным духом = 1</t>
        </r>
      </text>
    </comment>
    <comment ref="K24" authorId="0" shapeId="0" xr:uid="{EEE5BEED-60D1-4412-B93D-615372D862A4}">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физ. урон на 25%.
</t>
        </r>
        <r>
          <rPr>
            <b/>
            <sz val="9"/>
            <color indexed="81"/>
            <rFont val="Tahoma"/>
            <family val="2"/>
            <charset val="204"/>
          </rPr>
          <t>4 предмета</t>
        </r>
        <r>
          <rPr>
            <sz val="9"/>
            <color indexed="81"/>
            <rFont val="Tahoma"/>
            <family val="2"/>
            <charset val="204"/>
          </rPr>
          <t xml:space="preserve">
Когда элементальный навык попадает по врагам, атака увеличивается на 9% в течение 7 сек. Эффект может складываться до 2 раз и возникнуть не чаще 1 раза за 0,3 сек. На 2 уровне складывания эффект набора из 2 вещей увеличивается на 100%.</t>
        </r>
      </text>
    </comment>
    <comment ref="Q24" authorId="0" shapeId="0" xr:uid="{FACB55A9-9377-4153-AFB7-DE2297659C7F}">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4 куска:</t>
        </r>
        <r>
          <rPr>
            <sz val="9"/>
            <color indexed="81"/>
            <rFont val="Tahoma"/>
            <family val="2"/>
            <charset val="204"/>
          </rPr>
          <t xml:space="preserve"> Попадание ешкой по врагу повышает </t>
        </r>
        <r>
          <rPr>
            <b/>
            <sz val="9"/>
            <color indexed="32"/>
            <rFont val="Tahoma"/>
            <family val="2"/>
            <charset val="204"/>
          </rPr>
          <t>атк</t>
        </r>
        <r>
          <rPr>
            <sz val="9"/>
            <color indexed="81"/>
            <rFont val="Tahoma"/>
            <family val="2"/>
            <charset val="204"/>
          </rPr>
          <t xml:space="preserve"> на </t>
        </r>
        <r>
          <rPr>
            <b/>
            <sz val="9"/>
            <color indexed="32"/>
            <rFont val="Tahoma"/>
            <family val="2"/>
            <charset val="204"/>
          </rPr>
          <t>20%</t>
        </r>
        <r>
          <rPr>
            <sz val="9"/>
            <color indexed="81"/>
            <rFont val="Tahoma"/>
            <family val="2"/>
            <charset val="204"/>
          </rPr>
          <t xml:space="preserve"> и </t>
        </r>
        <r>
          <rPr>
            <b/>
            <sz val="9"/>
            <color indexed="32"/>
            <rFont val="Tahoma"/>
            <family val="2"/>
            <charset val="204"/>
          </rPr>
          <t>прочность щита</t>
        </r>
        <r>
          <rPr>
            <sz val="9"/>
            <color indexed="81"/>
            <rFont val="Tahoma"/>
            <family val="2"/>
            <charset val="204"/>
          </rPr>
          <t xml:space="preserve"> на </t>
        </r>
        <r>
          <rPr>
            <b/>
            <sz val="9"/>
            <color indexed="32"/>
            <rFont val="Tahoma"/>
            <family val="2"/>
            <charset val="204"/>
          </rPr>
          <t xml:space="preserve">30%. </t>
        </r>
        <r>
          <rPr>
            <sz val="9"/>
            <color indexed="81"/>
            <rFont val="Tahoma"/>
            <family val="2"/>
            <charset val="204"/>
          </rPr>
          <t xml:space="preserve">Эффект длится </t>
        </r>
        <r>
          <rPr>
            <b/>
            <sz val="9"/>
            <color indexed="32"/>
            <rFont val="Tahoma"/>
            <family val="2"/>
            <charset val="204"/>
          </rPr>
          <t>3 сек</t>
        </r>
        <r>
          <rPr>
            <sz val="9"/>
            <color indexed="81"/>
            <rFont val="Tahoma"/>
            <family val="2"/>
            <charset val="204"/>
          </rPr>
          <t xml:space="preserve"> и может быть активирован раз в </t>
        </r>
        <r>
          <rPr>
            <b/>
            <sz val="9"/>
            <color indexed="32"/>
            <rFont val="Tahoma"/>
            <family val="2"/>
            <charset val="204"/>
          </rPr>
          <t>0,5 сек.</t>
        </r>
        <r>
          <rPr>
            <sz val="9"/>
            <color indexed="81"/>
            <rFont val="Tahoma"/>
            <family val="2"/>
            <charset val="204"/>
          </rPr>
          <t xml:space="preserve">
</t>
        </r>
        <r>
          <rPr>
            <b/>
            <i/>
            <sz val="9"/>
            <color indexed="37"/>
            <rFont val="Tahoma"/>
            <family val="2"/>
            <charset val="204"/>
          </rPr>
          <t>Эффект может активироваться из кармана</t>
        </r>
      </text>
    </comment>
    <comment ref="N25" authorId="0" shapeId="0" xr:uid="{9F871185-2CFA-4AEB-A503-48F56D902F0C}">
      <text>
        <r>
          <rPr>
            <b/>
            <sz val="9"/>
            <color indexed="81"/>
            <rFont val="Tahoma"/>
            <family val="2"/>
            <charset val="204"/>
          </rPr>
          <t>FildBreaker:</t>
        </r>
        <r>
          <rPr>
            <sz val="9"/>
            <color indexed="81"/>
            <rFont val="Tahoma"/>
            <family val="2"/>
            <charset val="204"/>
          </rPr>
          <t xml:space="preserve">
Кол-во попавших ешек по врагу.
От 0 до 2</t>
        </r>
      </text>
    </comment>
    <comment ref="K26" authorId="0" shapeId="0" xr:uid="{03D28F2A-98C4-45EB-AA29-20C9923650D6}">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Даёт 15% бонус Гидро урона.
</t>
        </r>
        <r>
          <rPr>
            <b/>
            <sz val="9"/>
            <color indexed="81"/>
            <rFont val="Tahoma"/>
            <family val="2"/>
            <charset val="204"/>
          </rPr>
          <t>4 предмета</t>
        </r>
        <r>
          <rPr>
            <sz val="9"/>
            <color indexed="81"/>
            <rFont val="Tahoma"/>
            <family val="2"/>
            <charset val="204"/>
          </rPr>
          <t xml:space="preserve">
Увеличивает урон обычной и заряженной атаки на 30% в течение 15 сек. после использования элементального навыка.</t>
        </r>
      </text>
    </comment>
    <comment ref="Q26" authorId="0" shapeId="0" xr:uid="{8EBD4079-854F-471C-830F-720AE8975F81}">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 xml:space="preserve">4 куска: </t>
        </r>
        <r>
          <rPr>
            <sz val="9"/>
            <color indexed="81"/>
            <rFont val="Tahoma"/>
            <family val="2"/>
            <charset val="204"/>
          </rPr>
          <t xml:space="preserve">Активация взрыва стихии увеличивает силу атаки всех членов отряда на </t>
        </r>
        <r>
          <rPr>
            <b/>
            <sz val="9"/>
            <color indexed="62"/>
            <rFont val="Tahoma"/>
            <family val="2"/>
            <charset val="204"/>
          </rPr>
          <t>20%</t>
        </r>
        <r>
          <rPr>
            <sz val="9"/>
            <color indexed="81"/>
            <rFont val="Tahoma"/>
            <family val="2"/>
            <charset val="204"/>
          </rPr>
          <t xml:space="preserve"> в течение </t>
        </r>
        <r>
          <rPr>
            <b/>
            <sz val="9"/>
            <color indexed="62"/>
            <rFont val="Tahoma"/>
            <family val="2"/>
            <charset val="204"/>
          </rPr>
          <t>12 сек</t>
        </r>
        <r>
          <rPr>
            <sz val="9"/>
            <color indexed="81"/>
            <rFont val="Tahoma"/>
            <family val="2"/>
            <charset val="204"/>
          </rPr>
          <t xml:space="preserve">. 
</t>
        </r>
        <r>
          <rPr>
            <b/>
            <i/>
            <sz val="9"/>
            <color indexed="60"/>
            <rFont val="Tahoma"/>
            <family val="2"/>
            <charset val="204"/>
          </rPr>
          <t>Эффект не складывается.</t>
        </r>
      </text>
    </comment>
    <comment ref="K28" authorId="0" shapeId="0" xr:uid="{FE730246-15C9-40E6-B35E-388576F2BE5E}">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силу атаки на 18%.
</t>
        </r>
        <r>
          <rPr>
            <b/>
            <sz val="9"/>
            <color indexed="81"/>
            <rFont val="Tahoma"/>
            <family val="2"/>
            <charset val="204"/>
          </rPr>
          <t>4 предмета</t>
        </r>
        <r>
          <rPr>
            <sz val="9"/>
            <color indexed="81"/>
            <rFont val="Tahoma"/>
            <family val="2"/>
            <charset val="204"/>
          </rPr>
          <t xml:space="preserve">
При использовании элементального навыка, если у персонажа 15 или более единиц энергии, он теряет 15 единиц энергии, а урон обычной атаки, заряженной атаки и атаки в падении увеличивается на 50% в течение 10 сек. Эффект нельзя активировать повторно в течение этого времени.</t>
        </r>
      </text>
    </comment>
    <comment ref="Q28" authorId="0" shapeId="0" xr:uid="{FCEED9B2-E8C6-4016-9082-8AAAA6C26A90}">
      <text>
        <r>
          <rPr>
            <b/>
            <sz val="9"/>
            <color indexed="81"/>
            <rFont val="Tahoma"/>
            <family val="2"/>
            <charset val="204"/>
          </rPr>
          <t>FildBreaker:</t>
        </r>
        <r>
          <rPr>
            <sz val="9"/>
            <color indexed="81"/>
            <rFont val="Tahoma"/>
            <family val="2"/>
            <charset val="204"/>
          </rPr>
          <t xml:space="preserve">
2P Увеличивает скорость восстановления энергии на 20%.
4P При нанесении элементального урона на 8 сек. возникает эффект Лунного света: Доверие: мастерство стихий всех персонажей отряда повышается на 60/120 ед., если в отряде 1/2 перса из Нод-Края соответственно. Урон реакций Лунного сияния всех персонажей отряда увеличивается 10% за каждый активный эффект Лунного света разных видов. Такой эффект может возникнуть, даже если экипированный персонаж не находится на поле боя.</t>
        </r>
      </text>
    </comment>
    <comment ref="T28" authorId="0" shapeId="0" xr:uid="{8292B4C3-611B-4FC3-B3DD-938FE0EB8145}">
      <text>
        <r>
          <rPr>
            <b/>
            <sz val="9"/>
            <color indexed="81"/>
            <rFont val="Tahoma"/>
            <family val="2"/>
            <charset val="204"/>
          </rPr>
          <t>FildBreaker:</t>
        </r>
        <r>
          <rPr>
            <sz val="9"/>
            <color indexed="81"/>
            <rFont val="Tahoma"/>
            <family val="2"/>
            <charset val="204"/>
          </rPr>
          <t xml:space="preserve">
Кол-во персонажей Нод-Края
От 0 до 2</t>
        </r>
      </text>
    </comment>
    <comment ref="K30" authorId="0" shapeId="0" xr:uid="{EF12221B-114B-4B01-B5AB-DFD08644FB63}">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скорость восстановления энергии на 20%.
</t>
        </r>
        <r>
          <rPr>
            <b/>
            <sz val="9"/>
            <color indexed="81"/>
            <rFont val="Tahoma"/>
            <family val="2"/>
            <charset val="204"/>
          </rPr>
          <t>4 предмета</t>
        </r>
        <r>
          <rPr>
            <sz val="9"/>
            <color indexed="81"/>
            <rFont val="Tahoma"/>
            <family val="2"/>
            <charset val="204"/>
          </rPr>
          <t xml:space="preserve">
Увеличивает урон взрыва стихий на величину, равную 25% от значения восстановления энергии. Эффект можно увеличить максимум до 75%.</t>
        </r>
      </text>
    </comment>
    <comment ref="K32" authorId="0" shapeId="0" xr:uid="{E98761CE-8D40-44E2-9830-5438E5D6A263}">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защиту на 30%.
</t>
        </r>
        <r>
          <rPr>
            <b/>
            <sz val="9"/>
            <color indexed="81"/>
            <rFont val="Tahoma"/>
            <family val="2"/>
            <charset val="204"/>
          </rPr>
          <t>4 предмета</t>
        </r>
        <r>
          <rPr>
            <sz val="9"/>
            <color indexed="81"/>
            <rFont val="Tahoma"/>
            <family val="2"/>
            <charset val="204"/>
          </rPr>
          <t xml:space="preserve">
Персонаж, экипированный этим набором артефактов, получает эффект Любопытства в следующих ситуациях: 1 уровень Любопытства даётся активному персонажу после попадания по противнику атакой Гео (не чаще чем раз в 0,3 сек.); когда персонаж находится вне поля боя, он получает 1 ур. Любопытства каждые 3 сек. Любопытство может складываться до 4 ур., каждый ур. прибавляет 6% к защите и 6% к Гео урону. Если персонаж не получает Любопытство в течение 6 сек., то он теряет 1 накопленный уровень Любопытства.</t>
        </r>
      </text>
    </comment>
    <comment ref="N32" authorId="0" shapeId="0" xr:uid="{7A4161BF-D780-406B-BD2D-F39E5F7DD1B1}">
      <text>
        <r>
          <rPr>
            <b/>
            <sz val="9"/>
            <color indexed="81"/>
            <rFont val="Tahoma"/>
            <family val="2"/>
            <charset val="204"/>
          </rPr>
          <t>FildBreaker:</t>
        </r>
        <r>
          <rPr>
            <sz val="9"/>
            <color indexed="81"/>
            <rFont val="Tahoma"/>
            <family val="2"/>
            <charset val="204"/>
          </rPr>
          <t xml:space="preserve">
Стаки любопытства
От 0 до 4</t>
        </r>
      </text>
    </comment>
    <comment ref="K34" authorId="0" shapeId="0" xr:uid="{4D02FAE9-4FCC-4F58-9FC1-52E39D68D9C0}">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силу атаки на 18%.
</t>
        </r>
        <r>
          <rPr>
            <b/>
            <sz val="9"/>
            <color indexed="81"/>
            <rFont val="Tahoma"/>
            <family val="2"/>
            <charset val="204"/>
          </rPr>
          <t>4 предмета</t>
        </r>
        <r>
          <rPr>
            <sz val="9"/>
            <color indexed="81"/>
            <rFont val="Tahoma"/>
            <family val="2"/>
            <charset val="204"/>
          </rPr>
          <t xml:space="preserve">
После активации взрыва стихии на 16 сек. создаёт Скрытое сияние, которое повышает силу атаки на 8%. Сила атаки персонажа увеличивается ещё на 10%, когда он теряет HP. Этот эффект может возникнуть максимум 4 раза и не чаще, чем раз в 0,8 сек. Скрытое сияние исчезает, когда персонаж покидает поле боя. При повторной активации взрыва стихии существующее Скрытое сияние снимается.</t>
        </r>
      </text>
    </comment>
    <comment ref="N35" authorId="0" shapeId="0" xr:uid="{61B662BD-769F-4D57-BDE4-B6A1A12A637B}">
      <text>
        <r>
          <rPr>
            <b/>
            <sz val="9"/>
            <color indexed="81"/>
            <rFont val="Tahoma"/>
            <family val="2"/>
            <charset val="204"/>
          </rPr>
          <t>FildBreaker:</t>
        </r>
        <r>
          <rPr>
            <sz val="9"/>
            <color indexed="81"/>
            <rFont val="Tahoma"/>
            <family val="2"/>
            <charset val="204"/>
          </rPr>
          <t xml:space="preserve">
Стаки скрытого сияния
От 0 до 4</t>
        </r>
      </text>
    </comment>
    <comment ref="K36" authorId="0" shapeId="0" xr:uid="{4FC9F892-17BB-4A70-BEC9-D486E319DE1D}">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силу атаки на 18%.
</t>
        </r>
        <r>
          <rPr>
            <b/>
            <sz val="9"/>
            <color indexed="81"/>
            <rFont val="Tahoma"/>
            <family val="2"/>
            <charset val="204"/>
          </rPr>
          <t>4 предмета</t>
        </r>
        <r>
          <rPr>
            <sz val="9"/>
            <color indexed="81"/>
            <rFont val="Tahoma"/>
            <family val="2"/>
            <charset val="204"/>
          </rPr>
          <t xml:space="preserve">
Попадания обычной атакой с 36% шансом активируют Ритуал долины: урон обычной атаки повышается на 70% от силы атаки. Через 0,05 сек. после нанесения урона обычной атакой эффект исчезает. Если обычной атаке не удалось активировать этот эффект, шанс его активации следующим попаданием возрастает на 20%. Шанс активации возникает не чаще одного раза в 0,2 сек.</t>
        </r>
      </text>
    </comment>
    <comment ref="L37" authorId="0" shapeId="0" xr:uid="{8C019E61-0692-45B6-8B2D-B7194D8EDB07}">
      <text>
        <r>
          <rPr>
            <b/>
            <sz val="9"/>
            <color indexed="81"/>
            <rFont val="Tahoma"/>
            <family val="2"/>
            <charset val="204"/>
          </rPr>
          <t>FildBreaker:</t>
        </r>
        <r>
          <rPr>
            <sz val="9"/>
            <color indexed="81"/>
            <rFont val="Tahoma"/>
            <family val="2"/>
            <charset val="204"/>
          </rPr>
          <t xml:space="preserve">
Плоская прибавка к урону
</t>
        </r>
        <r>
          <rPr>
            <i/>
            <sz val="9"/>
            <color indexed="81"/>
            <rFont val="Tahoma"/>
            <family val="2"/>
            <charset val="204"/>
          </rPr>
          <t>Эффект "Ритуал Долины"</t>
        </r>
      </text>
    </comment>
    <comment ref="K38" authorId="0" shapeId="0" xr:uid="{A1695F9E-6F82-41AE-A45A-D29A045ECA0E}">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мастерство стихий на 80 ед.
</t>
        </r>
        <r>
          <rPr>
            <b/>
            <sz val="9"/>
            <color indexed="81"/>
            <rFont val="Tahoma"/>
            <family val="2"/>
            <charset val="204"/>
          </rPr>
          <t>4 предмета</t>
        </r>
        <r>
          <rPr>
            <sz val="9"/>
            <color indexed="81"/>
            <rFont val="Tahoma"/>
            <family val="2"/>
            <charset val="204"/>
          </rPr>
          <t xml:space="preserve">
На 8 сек. после вызова элементальной реакции согласно элементам других персонажей в отряде экипированный этими артефактами персонаж получает следующие усиления: сила атаки повышается на 14% за каждого персонажа с таким же элементом, как у экипированного персонажа; мастерство стихий повышается на 50 ед. за каждого персонажа с иным элементом. Каждое из этих усилений при подсчёте включает до 3 персонажей. Эффект может возникнуть один раз в 8 сек. Срабатывает, даже если экипированный этими артефактами персонаж не на поле боя.</t>
        </r>
      </text>
    </comment>
    <comment ref="N38" authorId="0" shapeId="0" xr:uid="{27BD9E53-8B88-47E5-9359-5CDFE6119086}">
      <text>
        <r>
          <rPr>
            <b/>
            <sz val="9"/>
            <color indexed="81"/>
            <rFont val="Tahoma"/>
            <family val="2"/>
            <charset val="204"/>
          </rPr>
          <t>FildBreaker:</t>
        </r>
        <r>
          <rPr>
            <sz val="9"/>
            <color indexed="81"/>
            <rFont val="Tahoma"/>
            <family val="2"/>
            <charset val="204"/>
          </rPr>
          <t xml:space="preserve">
Кол-во персонажей отличного элемента с носителем
От 0 до 3</t>
        </r>
      </text>
    </comment>
    <comment ref="N39" authorId="0" shapeId="0" xr:uid="{ED9F678B-2EF3-436B-A7D2-A7E593DAE0CD}">
      <text>
        <r>
          <rPr>
            <b/>
            <sz val="9"/>
            <color indexed="81"/>
            <rFont val="Tahoma"/>
            <family val="2"/>
            <charset val="204"/>
          </rPr>
          <t>FildBreaker:</t>
        </r>
        <r>
          <rPr>
            <sz val="9"/>
            <color indexed="81"/>
            <rFont val="Tahoma"/>
            <family val="2"/>
            <charset val="204"/>
          </rPr>
          <t xml:space="preserve">
Кол-во персонажей схожего элемента с носителем
От 0 до 3</t>
        </r>
      </text>
    </comment>
    <comment ref="K40" authorId="0" shapeId="0" xr:uid="{85C446C6-4B76-45BF-8276-DAFB481A597E}">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Даёт 15% бонус Анемо урона.
</t>
        </r>
        <r>
          <rPr>
            <b/>
            <sz val="9"/>
            <color indexed="81"/>
            <rFont val="Tahoma"/>
            <family val="2"/>
            <charset val="204"/>
          </rPr>
          <t>4 предмета</t>
        </r>
        <r>
          <rPr>
            <sz val="9"/>
            <color indexed="81"/>
            <rFont val="Tahoma"/>
            <family val="2"/>
            <charset val="204"/>
          </rPr>
          <t xml:space="preserve">
Попадание заряженной атакой на 15 сек. повышает скорость обычной атаки на 10%, а урон обычной атаки, заряженной атаки и атаки в падении - на 40%.</t>
        </r>
      </text>
    </comment>
    <comment ref="N41" authorId="0" shapeId="0" xr:uid="{E9416FDE-2641-425C-AADA-3CAA48AFB89C}">
      <text>
        <r>
          <rPr>
            <b/>
            <sz val="9"/>
            <color indexed="81"/>
            <rFont val="Tahoma"/>
            <family val="2"/>
            <charset val="204"/>
          </rPr>
          <t>FildBreaker:</t>
        </r>
        <r>
          <rPr>
            <sz val="9"/>
            <color indexed="81"/>
            <rFont val="Tahoma"/>
            <family val="2"/>
            <charset val="204"/>
          </rPr>
          <t xml:space="preserve">
0 - баффа нет
1 - попадание "HA" по врагу</t>
        </r>
      </text>
    </comment>
    <comment ref="K42" authorId="0" shapeId="0" xr:uid="{7D121879-7EDD-4EA0-A030-07BD0C2AAF9B}">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мастерство стихий на 80 ед.
</t>
        </r>
        <r>
          <rPr>
            <b/>
            <sz val="9"/>
            <color indexed="81"/>
            <rFont val="Tahoma"/>
            <family val="2"/>
            <charset val="204"/>
          </rPr>
          <t>4 предмета</t>
        </r>
        <r>
          <rPr>
            <sz val="9"/>
            <color indexed="81"/>
            <rFont val="Tahoma"/>
            <family val="2"/>
            <charset val="204"/>
          </rPr>
          <t xml:space="preserve">
Увеличивает урон реакций Бутонизация, Вегетация и Цветение экипированного этим набором персонажа на 40%. Кроме того, активация реакций Бутонизация, Вегетация и Цветение экипированным этим набором персонажем усилит этот эффект на 25%. Каждое суммирование длится 10 сек. Эффект складывается до 4 раз, может возникнуть раз в 1 сек. и активируется, даже если экипированный этим набором персонаж не активен.</t>
        </r>
      </text>
    </comment>
    <comment ref="K44" authorId="0" shapeId="0" xr:uid="{F505F5B6-B0A6-4F58-90EB-528F194C1719}">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Даёт 15% бонус Гидро урона.
</t>
        </r>
        <r>
          <rPr>
            <b/>
            <sz val="9"/>
            <color indexed="81"/>
            <rFont val="Tahoma"/>
            <family val="2"/>
            <charset val="204"/>
          </rPr>
          <t>4 предмета</t>
        </r>
        <r>
          <rPr>
            <sz val="9"/>
            <color indexed="81"/>
            <rFont val="Tahoma"/>
            <family val="2"/>
            <charset val="204"/>
          </rPr>
          <t xml:space="preserve">
Попадания обычной атакой, заряженной атакой, атакой в падении, элементальным навыком и взрывом стихии по противнику на 8 сек. создают 1 уровень Отражения нимфы. Когда действуют 1/2/3 и более уровня Отражения нимфы, сила атаки повышается на 7%/16%/25%, а бонус Гидро урона на 4%/9%/15%. Уровни Отражения нимфы, созданные обычными атаками, заряженными атаками, атаками в падении, элементальными навыками и взрывами стихии, существуют независимо друг от друга.</t>
        </r>
      </text>
    </comment>
    <comment ref="N45" authorId="0" shapeId="0" xr:uid="{17377D64-7E97-4A2C-B4C9-9B367A4E443A}">
      <text>
        <r>
          <rPr>
            <b/>
            <sz val="9"/>
            <color indexed="81"/>
            <rFont val="Tahoma"/>
            <family val="2"/>
            <charset val="204"/>
          </rPr>
          <t>FildBreaker:</t>
        </r>
        <r>
          <rPr>
            <sz val="9"/>
            <color indexed="81"/>
            <rFont val="Tahoma"/>
            <family val="2"/>
            <charset val="204"/>
          </rPr>
          <t xml:space="preserve">
Стаки отражения нимфы
От 0 до 3</t>
        </r>
      </text>
    </comment>
    <comment ref="K46" authorId="0" shapeId="0" xr:uid="{48B6CF4B-460D-4473-B38D-4A71209174D8}">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HP на 20%.
</t>
        </r>
        <r>
          <rPr>
            <b/>
            <sz val="9"/>
            <color indexed="81"/>
            <rFont val="Tahoma"/>
            <family val="2"/>
            <charset val="204"/>
          </rPr>
          <t>4 предмета</t>
        </r>
        <r>
          <rPr>
            <sz val="9"/>
            <color indexed="81"/>
            <rFont val="Tahoma"/>
            <family val="2"/>
            <charset val="204"/>
          </rPr>
          <t xml:space="preserve">
Увеличивает урон элементального навыка и взрыва стихии на 10%. Если экипированный персонаж получает урон, этот эффект повышения урона увеличивается дополнительно на 8% на 5 сек. Эффект может складываться до 5 раз (макс 50%). Отсчёт времени каждого уровня происходит отдельно. Эти эффекты активируются, даже если экипированный персонаж не на поле боя.
Встроенное понижение хп у персонажа или петов Фурины эффект не активируют! Нужно именно получать урон</t>
        </r>
      </text>
    </comment>
    <comment ref="K48" authorId="0" shapeId="0" xr:uid="{B7893C5F-F423-4AF1-905F-39C7A87EF7DD}">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урон обычной и заряженной атаки на 15%.
</t>
        </r>
        <r>
          <rPr>
            <b/>
            <sz val="9"/>
            <color indexed="81"/>
            <rFont val="Tahoma"/>
            <family val="2"/>
            <charset val="204"/>
          </rPr>
          <t>4 предмета</t>
        </r>
        <r>
          <rPr>
            <sz val="9"/>
            <color indexed="81"/>
            <rFont val="Tahoma"/>
            <family val="2"/>
            <charset val="204"/>
          </rPr>
          <t xml:space="preserve">
Увеличивает шанс крит. попадания на 12% на 5 сек., когда текущее HP увеличивается или снижается. Эффект может складываться до 3 раз.</t>
        </r>
      </text>
    </comment>
    <comment ref="N49" authorId="0" shapeId="0" xr:uid="{9373064E-EFA1-4727-8403-8B5069780EF6}">
      <text>
        <r>
          <rPr>
            <b/>
            <sz val="9"/>
            <color indexed="81"/>
            <rFont val="Tahoma"/>
            <family val="2"/>
            <charset val="204"/>
          </rPr>
          <t>FildBreaker:</t>
        </r>
        <r>
          <rPr>
            <sz val="9"/>
            <color indexed="81"/>
            <rFont val="Tahoma"/>
            <family val="2"/>
            <charset val="204"/>
          </rPr>
          <t xml:space="preserve">
Тиков изменения хп
От 0 до 3</t>
        </r>
      </text>
    </comment>
    <comment ref="K50" authorId="0" shapeId="0" xr:uid="{7517CDC5-6B3E-4DA8-9E13-3B59EA4917F3}">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урон элементального навыка на 20%.
</t>
        </r>
        <r>
          <rPr>
            <b/>
            <sz val="9"/>
            <color indexed="81"/>
            <rFont val="Tahoma"/>
            <family val="2"/>
            <charset val="204"/>
          </rPr>
          <t>4 предмета</t>
        </r>
        <r>
          <rPr>
            <sz val="9"/>
            <color indexed="81"/>
            <rFont val="Tahoma"/>
            <family val="2"/>
            <charset val="204"/>
          </rPr>
          <t xml:space="preserve">
Увеличивает урон элементального навыка на 25%. Кроме того, когда персонаж не на поле боя, урон элементального навыка дополнительно увеличивается на 25%. Через 2 сек. после вступления в бой эффект исчезает.</t>
        </r>
      </text>
    </comment>
    <comment ref="N51" authorId="0" shapeId="0" xr:uid="{7CBE75EE-63B3-425F-9D62-F88FE1E55CF0}">
      <text>
        <r>
          <rPr>
            <b/>
            <sz val="9"/>
            <color indexed="81"/>
            <rFont val="Tahoma"/>
            <family val="2"/>
            <charset val="204"/>
          </rPr>
          <t>FildBreaker:</t>
        </r>
        <r>
          <rPr>
            <sz val="9"/>
            <color indexed="81"/>
            <rFont val="Tahoma"/>
            <family val="2"/>
            <charset val="204"/>
          </rPr>
          <t xml:space="preserve">
Перс на поле боя дольше 2 сек. = 0
Персонаж в кармане = 1</t>
        </r>
      </text>
    </comment>
    <comment ref="K52" authorId="0" shapeId="0" xr:uid="{20DB735F-DC91-4286-A9CA-C845AC75029D}">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силу атаки на 18%.
</t>
        </r>
        <r>
          <rPr>
            <b/>
            <sz val="9"/>
            <color indexed="81"/>
            <rFont val="Tahoma"/>
            <family val="2"/>
            <charset val="204"/>
          </rPr>
          <t>4 предмета</t>
        </r>
        <r>
          <rPr>
            <sz val="9"/>
            <color indexed="81"/>
            <rFont val="Tahoma"/>
            <family val="2"/>
            <charset val="204"/>
          </rPr>
          <t xml:space="preserve">
После использования элементального навыка бонус Гео урона на 10 сек. увеличивается на 20%. Если персонаж находится под защитой щита, созданного реакцией Кристалл, этот эффект увеличивается на 150%. Через 1 сек. после потери щита это дополнительное увеличение исчезает.</t>
        </r>
      </text>
    </comment>
    <comment ref="N53" authorId="0" shapeId="0" xr:uid="{0D31B434-D511-4E11-AF7E-FB6DB10CF840}">
      <text>
        <r>
          <rPr>
            <b/>
            <sz val="9"/>
            <color indexed="81"/>
            <rFont val="Tahoma"/>
            <family val="2"/>
            <charset val="204"/>
          </rPr>
          <t>FildBreaker:</t>
        </r>
        <r>
          <rPr>
            <sz val="9"/>
            <color indexed="81"/>
            <rFont val="Tahoma"/>
            <family val="2"/>
            <charset val="204"/>
          </rPr>
          <t xml:space="preserve">
0 = бафф не работает
1 = персонаж нажал "Е"
2 = персонаж нажал "Е" и под щитом от кристаллизации.</t>
        </r>
      </text>
    </comment>
    <comment ref="K54" authorId="0" shapeId="0" xr:uid="{BC40366F-18DB-4A70-8E4A-5FE7952BC025}">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силу атаки на 18%.
</t>
        </r>
        <r>
          <rPr>
            <b/>
            <sz val="9"/>
            <color indexed="81"/>
            <rFont val="Tahoma"/>
            <family val="2"/>
            <charset val="204"/>
          </rPr>
          <t>4 предмета</t>
        </r>
        <r>
          <rPr>
            <sz val="9"/>
            <color indexed="81"/>
            <rFont val="Tahoma"/>
            <family val="2"/>
            <charset val="204"/>
          </rPr>
          <t xml:space="preserve">
Когда значение Долга жизни увеличивается или уменьшается, наносимый персонажем урон увеличивается на 18% на 6 сек. Эффект может складываться до 3 раз.</t>
        </r>
      </text>
    </comment>
    <comment ref="K56" authorId="0" shapeId="0" xr:uid="{DF32C486-15BC-4929-AA75-F0417BEF6A76}">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Увеличивает силу атаки на 18%.
</t>
        </r>
        <r>
          <rPr>
            <b/>
            <sz val="9"/>
            <color indexed="81"/>
            <rFont val="Tahoma"/>
            <family val="2"/>
            <charset val="204"/>
          </rPr>
          <t>4 предмета</t>
        </r>
        <r>
          <rPr>
            <sz val="9"/>
            <color indexed="81"/>
            <rFont val="Tahoma"/>
            <family val="2"/>
            <charset val="204"/>
          </rPr>
          <t xml:space="preserve">
Урон персонажа после того, как он покидает поле боя на 3 сек., повышается на 50%. В бою, если поблизости более 6 сек. нет врагов со статусом Горение, персонаж теряет 10% упомянутого увеличения урона в секунду, пока оно не упадёт до 0%. Если поблизости есть враги со статусом Горение, увеличение урона повышается на 10% в секунду, пока не достигнет 50%. Этот эффект срабатывает, даже если экипированный персонаж не на поле боя.</t>
        </r>
      </text>
    </comment>
    <comment ref="N57" authorId="0" shapeId="0" xr:uid="{A4400342-13B7-41B6-B6B2-2BE62915BB7F}">
      <text>
        <r>
          <rPr>
            <b/>
            <sz val="9"/>
            <color indexed="81"/>
            <rFont val="Tahoma"/>
            <family val="2"/>
            <charset val="204"/>
          </rPr>
          <t>FildBreaker:</t>
        </r>
        <r>
          <rPr>
            <sz val="9"/>
            <color indexed="81"/>
            <rFont val="Tahoma"/>
            <family val="2"/>
            <charset val="204"/>
          </rPr>
          <t xml:space="preserve">
Стаки баффа
От 0 до 5</t>
        </r>
      </text>
    </comment>
    <comment ref="K58" authorId="0" shapeId="0" xr:uid="{0EBF2559-DFCE-4935-B3B4-6EF7A30C487B}">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Урон экипированного персонажа на поле в состоянии Благословения Ночного духа увеличивается на 15%.
</t>
        </r>
        <r>
          <rPr>
            <b/>
            <sz val="9"/>
            <color indexed="81"/>
            <rFont val="Tahoma"/>
            <family val="2"/>
            <charset val="204"/>
          </rPr>
          <t>4 предмета</t>
        </r>
        <r>
          <rPr>
            <sz val="9"/>
            <color indexed="81"/>
            <rFont val="Tahoma"/>
            <family val="2"/>
            <charset val="204"/>
          </rPr>
          <t xml:space="preserve">
После того как экипированный персонаж, будучи на поле боя, расходует 1 очко Ночного духа, шанс крит. попадания увеличивается на 40% на 6 сек. Этот эффект может возникнуть один раз в 1 сек.</t>
        </r>
      </text>
    </comment>
    <comment ref="N59" authorId="0" shapeId="0" xr:uid="{960EED68-A85E-4D6A-A0ED-34D046336E9E}">
      <text>
        <r>
          <rPr>
            <b/>
            <sz val="9"/>
            <color indexed="81"/>
            <rFont val="Tahoma"/>
            <family val="2"/>
            <charset val="204"/>
          </rPr>
          <t>FildBreaker:</t>
        </r>
        <r>
          <rPr>
            <sz val="9"/>
            <color indexed="81"/>
            <rFont val="Tahoma"/>
            <family val="2"/>
            <charset val="204"/>
          </rPr>
          <t xml:space="preserve">
0 = персонаж не тратит ночной дух
1 = персонаж потратил ночной дух</t>
        </r>
      </text>
    </comment>
    <comment ref="K60" authorId="0" shapeId="0" xr:uid="{DEB00445-6498-4C7A-BA02-58FC17C146DB}">
      <text>
        <r>
          <rPr>
            <b/>
            <sz val="9"/>
            <color indexed="81"/>
            <rFont val="Tahoma"/>
            <family val="2"/>
            <charset val="204"/>
          </rPr>
          <t>FildBreaker:</t>
        </r>
        <r>
          <rPr>
            <sz val="9"/>
            <color indexed="81"/>
            <rFont val="Tahoma"/>
            <family val="2"/>
            <charset val="204"/>
          </rPr>
          <t xml:space="preserve">
</t>
        </r>
        <r>
          <rPr>
            <b/>
            <sz val="9"/>
            <color indexed="81"/>
            <rFont val="Tahoma"/>
            <family val="2"/>
            <charset val="204"/>
          </rPr>
          <t>2 предмета</t>
        </r>
        <r>
          <rPr>
            <sz val="9"/>
            <color indexed="81"/>
            <rFont val="Tahoma"/>
            <family val="2"/>
            <charset val="204"/>
          </rPr>
          <t xml:space="preserve">
Урон атак в падении увеличивается на 25%.
</t>
        </r>
        <r>
          <rPr>
            <b/>
            <sz val="9"/>
            <color indexed="81"/>
            <rFont val="Tahoma"/>
            <family val="2"/>
            <charset val="204"/>
          </rPr>
          <t>4 предмета</t>
        </r>
        <r>
          <rPr>
            <sz val="9"/>
            <color indexed="81"/>
            <rFont val="Tahoma"/>
            <family val="2"/>
            <charset val="204"/>
          </rPr>
          <t xml:space="preserve">
После того как атака в падении, заряженная атака или элементальный навык экипированного персонажа поражают противника, экипированный персонаж получает 1/2/2 уровня Вечного сияния. Атаки в падении, заряженные атаки и элементальные навыки могут по отдельности вызывать этот эффект один раз в 1 сек. Вечное сияние: урон атаки в падении повышается на 15%. Эффект длится 6 сек. и складывается до 5 раз. Длительность каждого уровня рассчитывается отдельно.</t>
        </r>
      </text>
    </comment>
    <comment ref="N61" authorId="0" shapeId="0" xr:uid="{9E97FCB1-42A9-4D52-A617-F4770BA093D1}">
      <text>
        <r>
          <rPr>
            <b/>
            <sz val="9"/>
            <color indexed="81"/>
            <rFont val="Tahoma"/>
            <family val="2"/>
            <charset val="204"/>
          </rPr>
          <t>FildBreaker:</t>
        </r>
        <r>
          <rPr>
            <sz val="9"/>
            <color indexed="81"/>
            <rFont val="Tahoma"/>
            <family val="2"/>
            <charset val="204"/>
          </rPr>
          <t xml:space="preserve">
Стаки вечного сияния
От 0 до 5</t>
        </r>
      </text>
    </comment>
    <comment ref="K62" authorId="0" shapeId="0" xr:uid="{480440A1-E3CC-4A1E-994E-9C134F05878F}">
      <text>
        <r>
          <rPr>
            <b/>
            <sz val="9"/>
            <color indexed="81"/>
            <rFont val="Tahoma"/>
            <family val="2"/>
            <charset val="204"/>
          </rPr>
          <t>FildBreaker:</t>
        </r>
        <r>
          <rPr>
            <sz val="9"/>
            <color indexed="81"/>
            <rFont val="Tahoma"/>
            <family val="2"/>
            <charset val="204"/>
          </rPr>
          <t xml:space="preserve">
2P Даёт 15% бонус Крио урона.
4P Когда энергия экипированного персонажа равна 0, урон обычной атаки и взрыва стихии повышается на 60%. После того как экипированный персонаж наносит урон обычной атакой, данный эффект на 6 сек. перестаёт применяться для взрыва стихии. После того как экипированный персонаж наносит урон взрывом стихии, данный эффект на 6 сек. перестаёт применяться для обычной атаки. Этот эффект может возникнуть, даже если экипированный персонаж вне поля боя.</t>
        </r>
      </text>
    </comment>
    <comment ref="N63" authorId="0" shapeId="0" xr:uid="{D2331CB2-28BC-478C-9D72-53B16871A912}">
      <text>
        <r>
          <rPr>
            <b/>
            <sz val="9"/>
            <color indexed="81"/>
            <rFont val="Tahoma"/>
            <family val="2"/>
            <charset val="204"/>
          </rPr>
          <t>FildBreaker:</t>
        </r>
        <r>
          <rPr>
            <sz val="9"/>
            <color indexed="81"/>
            <rFont val="Tahoma"/>
            <family val="2"/>
            <charset val="204"/>
          </rPr>
          <t xml:space="preserve">
0 = баффа нет
1 = бафф на "NA"
2 = бафф на "Q"</t>
        </r>
      </text>
    </comment>
    <comment ref="K64" authorId="0" shapeId="0" xr:uid="{2CB1D25A-FA92-4481-BEA2-B94526623276}">
      <text>
        <r>
          <rPr>
            <b/>
            <sz val="9"/>
            <color indexed="81"/>
            <rFont val="Tahoma"/>
            <family val="2"/>
            <charset val="204"/>
          </rPr>
          <t>FildBreaker:</t>
        </r>
        <r>
          <rPr>
            <sz val="9"/>
            <color indexed="81"/>
            <rFont val="Tahoma"/>
            <family val="2"/>
            <charset val="204"/>
          </rPr>
          <t xml:space="preserve">
2P Увеличивает мастерство стихий на 80 ед.
4P Если персонажи отряда вызывают реакции Лунного сияния, когда экипированный персонаж активен, на 4 сек. активируется эффект Лунного света: Намерение: если персонажей в отряде из Нод-Края 1/2, то шанс крит. попадания повышается на 15%/30%. Урон реакций Лунного сияния всех персонажей отряда увеличивается 10% за каждый активный эффект Лунного света разных видов. Такой эффект может возникнуть, даже если экипированный персонаж не находится на поле боя.</t>
        </r>
      </text>
    </comment>
    <comment ref="N65" authorId="0" shapeId="0" xr:uid="{BCD26E00-2863-48D9-8BA2-C4B4415B233A}">
      <text>
        <r>
          <rPr>
            <b/>
            <sz val="9"/>
            <color indexed="81"/>
            <rFont val="Tahoma"/>
            <family val="2"/>
            <charset val="204"/>
          </rPr>
          <t>FildBreaker:</t>
        </r>
        <r>
          <rPr>
            <sz val="9"/>
            <color indexed="81"/>
            <rFont val="Tahoma"/>
            <family val="2"/>
            <charset val="204"/>
          </rPr>
          <t xml:space="preserve">
Кол-во персонажей Нод-Края
От 0 до 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FildBreaker</author>
  </authors>
  <commentList>
    <comment ref="C3" authorId="0" shapeId="0" xr:uid="{97B95554-7B31-412A-A04E-7EB5F9304455}">
      <text>
        <r>
          <rPr>
            <b/>
            <sz val="9"/>
            <color indexed="81"/>
            <rFont val="Tahoma"/>
            <family val="2"/>
            <charset val="204"/>
          </rPr>
          <t>FildBreaker:</t>
        </r>
        <r>
          <rPr>
            <sz val="9"/>
            <color indexed="81"/>
            <rFont val="Tahoma"/>
            <family val="2"/>
            <charset val="204"/>
          </rPr>
          <t xml:space="preserve">
От 1 до 15 в прокачке таланта</t>
        </r>
      </text>
    </comment>
    <comment ref="H3" authorId="0" shapeId="0" xr:uid="{D88CD53D-496C-4927-B22A-782ED7A0213E}">
      <text>
        <r>
          <rPr>
            <b/>
            <sz val="9"/>
            <color indexed="81"/>
            <rFont val="Tahoma"/>
            <family val="2"/>
            <charset val="204"/>
          </rPr>
          <t>FildBreaker:</t>
        </r>
        <r>
          <rPr>
            <sz val="9"/>
            <color indexed="81"/>
            <rFont val="Tahoma"/>
            <family val="2"/>
            <charset val="204"/>
          </rPr>
          <t xml:space="preserve">
От 1 до 15 в прокачке таланта</t>
        </r>
      </text>
    </comment>
    <comment ref="M3" authorId="0" shapeId="0" xr:uid="{023DE005-0DF1-410D-BBDC-E4A48138A412}">
      <text>
        <r>
          <rPr>
            <b/>
            <sz val="9"/>
            <color indexed="81"/>
            <rFont val="Tahoma"/>
            <family val="2"/>
            <charset val="204"/>
          </rPr>
          <t>FildBreaker:</t>
        </r>
        <r>
          <rPr>
            <sz val="9"/>
            <color indexed="81"/>
            <rFont val="Tahoma"/>
            <family val="2"/>
            <charset val="204"/>
          </rPr>
          <t xml:space="preserve">
От 1 до 15 в прокачке таланта</t>
        </r>
      </text>
    </comment>
    <comment ref="U3" authorId="0" shapeId="0" xr:uid="{EDEA925E-1740-43F5-8644-B6F9D8628D87}">
      <text>
        <r>
          <rPr>
            <b/>
            <sz val="9"/>
            <color indexed="81"/>
            <rFont val="Tahoma"/>
            <family val="2"/>
            <charset val="204"/>
          </rPr>
          <t>FildBreaker:</t>
        </r>
        <r>
          <rPr>
            <sz val="9"/>
            <color indexed="81"/>
            <rFont val="Tahoma"/>
            <family val="2"/>
            <charset val="204"/>
          </rPr>
          <t xml:space="preserve">
15% атк на 10сек
После ульты</t>
        </r>
      </text>
    </comment>
    <comment ref="AB3" authorId="0" shapeId="0" xr:uid="{E2BB10A3-4733-4867-840E-6AEB5256AD58}">
      <text>
        <r>
          <rPr>
            <b/>
            <sz val="9"/>
            <color indexed="81"/>
            <rFont val="Tahoma"/>
            <family val="2"/>
            <charset val="204"/>
          </rPr>
          <t>FildBreaker:</t>
        </r>
        <r>
          <rPr>
            <sz val="9"/>
            <color indexed="81"/>
            <rFont val="Tahoma"/>
            <family val="2"/>
            <charset val="204"/>
          </rPr>
          <t xml:space="preserve">
Активация навыка Обряд кончины увеличивает шанс крит. попадания всех членов отряда (кроме самой Розарии) на 15% от шанса крит. попадания Розарии в течение 10 сек.</t>
        </r>
      </text>
    </comment>
    <comment ref="AF3" authorId="0" shapeId="0" xr:uid="{240E87F3-E4C9-4D7C-B290-234562C62631}">
      <text>
        <r>
          <rPr>
            <b/>
            <sz val="9"/>
            <color indexed="81"/>
            <rFont val="Tahoma"/>
            <family val="2"/>
            <charset val="204"/>
          </rPr>
          <t>FildBreaker:</t>
        </r>
        <r>
          <rPr>
            <sz val="9"/>
            <color indexed="81"/>
            <rFont val="Tahoma"/>
            <family val="2"/>
            <charset val="204"/>
          </rPr>
          <t xml:space="preserve">
Шк Розарии</t>
        </r>
      </text>
    </comment>
    <comment ref="AI3" authorId="0" shapeId="0" xr:uid="{2CD47CC3-28DB-4A60-8688-0DB6C400051C}">
      <text>
        <r>
          <rPr>
            <b/>
            <sz val="9"/>
            <color indexed="81"/>
            <rFont val="Tahoma"/>
            <family val="2"/>
            <charset val="204"/>
          </rPr>
          <t>FildBreaker:</t>
        </r>
        <r>
          <rPr>
            <sz val="9"/>
            <color indexed="81"/>
            <rFont val="Tahoma"/>
            <family val="2"/>
            <charset val="204"/>
          </rPr>
          <t xml:space="preserve">
 Если осталось не более 50% энергии, восстановление энергии увеличивается на 30%.
</t>
        </r>
      </text>
    </comment>
    <comment ref="AP3" authorId="0" shapeId="0" xr:uid="{5A4901BB-09E1-4A01-B6A6-2B19CF8D7EA5}">
      <text>
        <r>
          <rPr>
            <b/>
            <sz val="9"/>
            <color indexed="81"/>
            <rFont val="Tahoma"/>
            <family val="2"/>
            <charset val="204"/>
          </rPr>
          <t>FildBreaker:</t>
        </r>
        <r>
          <rPr>
            <sz val="9"/>
            <color indexed="81"/>
            <rFont val="Tahoma"/>
            <family val="2"/>
            <charset val="204"/>
          </rPr>
          <t xml:space="preserve">
Активный персонаж в поляне ульты, получает 20% бафф на обычные атаки</t>
        </r>
      </text>
    </comment>
    <comment ref="AW3" authorId="0" shapeId="0" xr:uid="{EBB5E282-F984-422A-B21E-102AAEDF7EAA}">
      <text>
        <r>
          <rPr>
            <b/>
            <sz val="9"/>
            <color indexed="81"/>
            <rFont val="Tahoma"/>
            <family val="2"/>
            <charset val="204"/>
          </rPr>
          <t>FildBreaker:</t>
        </r>
        <r>
          <rPr>
            <sz val="9"/>
            <color indexed="81"/>
            <rFont val="Tahoma"/>
            <family val="2"/>
            <charset val="204"/>
          </rPr>
          <t xml:space="preserve">
Когда в области Турбобура 1/2/3/4 и более врагов, защита активного персонажа в этой области повышается на 8%/12%/16%/20% соответственно.</t>
        </r>
      </text>
    </comment>
    <comment ref="AX3" authorId="0" shapeId="0" xr:uid="{ADE48F00-45B3-4155-8BBC-42CE9499186F}">
      <text>
        <r>
          <rPr>
            <b/>
            <sz val="9"/>
            <color indexed="81"/>
            <rFont val="Tahoma"/>
            <family val="2"/>
            <charset val="204"/>
          </rPr>
          <t>FildBreaker:</t>
        </r>
        <r>
          <rPr>
            <sz val="9"/>
            <color indexed="81"/>
            <rFont val="Tahoma"/>
            <family val="2"/>
            <charset val="204"/>
          </rPr>
          <t xml:space="preserve">
Кол-во врагов в турбовихре
От 1 до 4</t>
        </r>
      </text>
    </comment>
    <comment ref="BD3" authorId="0" shapeId="0" xr:uid="{09BC4036-9079-4E22-BAD6-280C2E53BAE8}">
      <text>
        <r>
          <rPr>
            <b/>
            <sz val="9"/>
            <color indexed="81"/>
            <rFont val="Tahoma"/>
            <family val="2"/>
            <charset val="204"/>
          </rPr>
          <t>FildBreaker:</t>
        </r>
        <r>
          <rPr>
            <sz val="9"/>
            <color indexed="81"/>
            <rFont val="Tahoma"/>
            <family val="2"/>
            <charset val="204"/>
          </rPr>
          <t xml:space="preserve">
После лечения редьки, активный персонаж получает 15% дендро урона на 5 сек.
</t>
        </r>
      </text>
    </comment>
    <comment ref="BK3" authorId="0" shapeId="0" xr:uid="{24701E18-F441-44F6-99E6-6F7D28586AF3}">
      <text>
        <r>
          <rPr>
            <b/>
            <sz val="9"/>
            <color indexed="81"/>
            <rFont val="Tahoma"/>
            <family val="2"/>
            <charset val="204"/>
          </rPr>
          <t>FildBreaker:</t>
        </r>
        <r>
          <rPr>
            <sz val="9"/>
            <color indexed="81"/>
            <rFont val="Tahoma"/>
            <family val="2"/>
            <charset val="204"/>
          </rPr>
          <t xml:space="preserve">
Понижает Анемо сопротивление противников, находящихся в поле ульты, на 40%.</t>
        </r>
      </text>
    </comment>
    <comment ref="U4" authorId="0" shapeId="0" xr:uid="{5A7FCA62-01FF-42EC-8321-868E0C4B14CA}">
      <text>
        <r>
          <rPr>
            <b/>
            <sz val="9"/>
            <color indexed="81"/>
            <rFont val="Tahoma"/>
            <family val="2"/>
            <charset val="204"/>
          </rPr>
          <t>FildBreaker:</t>
        </r>
        <r>
          <rPr>
            <sz val="9"/>
            <color indexed="81"/>
            <rFont val="Tahoma"/>
            <family val="2"/>
            <charset val="204"/>
          </rPr>
          <t xml:space="preserve">
6% аффикса, если активный перс без нд
15%, если с нд</t>
        </r>
      </text>
    </comment>
    <comment ref="AB4" authorId="0" shapeId="0" xr:uid="{64ECD4BD-2862-4F40-BE69-50929004F109}">
      <text>
        <r>
          <rPr>
            <b/>
            <sz val="9"/>
            <color indexed="81"/>
            <rFont val="Tahoma"/>
            <family val="2"/>
            <charset val="204"/>
          </rPr>
          <t>FildBreaker:</t>
        </r>
        <r>
          <rPr>
            <sz val="9"/>
            <color indexed="81"/>
            <rFont val="Tahoma"/>
            <family val="2"/>
            <charset val="204"/>
          </rPr>
          <t xml:space="preserve">
Атаки навыка Обряд кончины понижают физ. сопротивление врагов на 20% в течение 10 сек.</t>
        </r>
      </text>
    </comment>
    <comment ref="AI4" authorId="0" shapeId="0" xr:uid="{43DB560E-71BA-4080-AC67-8D64BE9EE071}">
      <text>
        <r>
          <rPr>
            <b/>
            <sz val="9"/>
            <color indexed="81"/>
            <rFont val="Tahoma"/>
            <family val="2"/>
            <charset val="204"/>
          </rPr>
          <t>FildBreaker:</t>
        </r>
        <r>
          <rPr>
            <sz val="9"/>
            <color indexed="81"/>
            <rFont val="Tahoma"/>
            <family val="2"/>
            <charset val="204"/>
          </rPr>
          <t xml:space="preserve">
На время действия навыка Крушитель бури Электро сопротивление окружающих противников понижается на 15%</t>
        </r>
      </text>
    </comment>
    <comment ref="AP4" authorId="0" shapeId="0" xr:uid="{865E426A-2164-4444-83EA-00A1E63EF9B2}">
      <text>
        <r>
          <rPr>
            <b/>
            <sz val="9"/>
            <color indexed="81"/>
            <rFont val="Tahoma"/>
            <family val="2"/>
            <charset val="204"/>
          </rPr>
          <t>FildBreaker:</t>
        </r>
        <r>
          <rPr>
            <sz val="9"/>
            <color indexed="81"/>
            <rFont val="Tahoma"/>
            <family val="2"/>
            <charset val="204"/>
          </rPr>
          <t xml:space="preserve">
Пока активна ешка Барбары, активный персонаж получает 15% гидро урона</t>
        </r>
      </text>
    </comment>
    <comment ref="AW4" authorId="0" shapeId="0" xr:uid="{F9F140F3-5EED-4F72-9E30-C4931139C65E}">
      <text>
        <r>
          <rPr>
            <b/>
            <sz val="9"/>
            <color indexed="81"/>
            <rFont val="Tahoma"/>
            <family val="2"/>
            <charset val="204"/>
          </rPr>
          <t>FildBreaker:</t>
        </r>
        <r>
          <rPr>
            <sz val="9"/>
            <color indexed="81"/>
            <rFont val="Tahoma"/>
            <family val="2"/>
            <charset val="204"/>
          </rPr>
          <t xml:space="preserve">
После активации ульты, весь отряд получает 125 мс на 10 сек.</t>
        </r>
      </text>
    </comment>
    <comment ref="BD4" authorId="0" shapeId="0" xr:uid="{7925B093-3EB8-4CD5-85BA-BF7A761831B9}">
      <text>
        <r>
          <rPr>
            <b/>
            <sz val="9"/>
            <color indexed="81"/>
            <rFont val="Tahoma"/>
            <family val="2"/>
            <charset val="204"/>
          </rPr>
          <t>FildBreaker:</t>
        </r>
        <r>
          <rPr>
            <sz val="9"/>
            <color indexed="81"/>
            <rFont val="Tahoma"/>
            <family val="2"/>
            <charset val="204"/>
          </rPr>
          <t xml:space="preserve">
В области ульты персонаж получает 60мс и 12% бонуса элементам, которые взаимодействовали с ультой</t>
        </r>
      </text>
    </comment>
    <comment ref="BK4" authorId="0" shapeId="0" xr:uid="{0099ABDE-FBA7-4BB6-B8AD-74B0AA41F552}">
      <text>
        <r>
          <rPr>
            <b/>
            <sz val="9"/>
            <color indexed="81"/>
            <rFont val="Tahoma"/>
            <family val="2"/>
            <charset val="204"/>
          </rPr>
          <t>FildBreaker:</t>
        </r>
        <r>
          <rPr>
            <sz val="9"/>
            <color indexed="81"/>
            <rFont val="Tahoma"/>
            <family val="2"/>
            <charset val="204"/>
          </rPr>
          <t xml:space="preserve">
Когда в отряде есть персонажи с 1/2/3/4 типами элементов, активация ульты соответственно увеличивает силу атаки всех персонажей отряда на 8/12/16/20% на 10 сек.</t>
        </r>
      </text>
    </comment>
    <comment ref="BL4" authorId="0" shapeId="0" xr:uid="{C62F62B9-3E36-4BC7-85BC-84E51D5A3E30}">
      <text>
        <r>
          <rPr>
            <b/>
            <sz val="9"/>
            <color indexed="81"/>
            <rFont val="Tahoma"/>
            <family val="2"/>
            <charset val="204"/>
          </rPr>
          <t>FildBreaker:</t>
        </r>
        <r>
          <rPr>
            <sz val="9"/>
            <color indexed="81"/>
            <rFont val="Tahoma"/>
            <family val="2"/>
            <charset val="204"/>
          </rPr>
          <t xml:space="preserve">
Кол-во элементов в отряде</t>
        </r>
      </text>
    </comment>
    <comment ref="C5" authorId="0" shapeId="0" xr:uid="{34B64050-CDAE-4525-8EC3-B5B60E7469C7}">
      <text>
        <r>
          <rPr>
            <b/>
            <sz val="9"/>
            <color indexed="81"/>
            <rFont val="Tahoma"/>
            <family val="2"/>
            <charset val="204"/>
          </rPr>
          <t>FildBreaker:</t>
        </r>
        <r>
          <rPr>
            <sz val="9"/>
            <color indexed="81"/>
            <rFont val="Tahoma"/>
            <family val="2"/>
            <charset val="204"/>
          </rPr>
          <t xml:space="preserve">
Базовая атака Беннета
Cокол = </t>
        </r>
        <r>
          <rPr>
            <b/>
            <sz val="9"/>
            <color indexed="81"/>
            <rFont val="Tahoma"/>
            <family val="2"/>
            <charset val="204"/>
          </rPr>
          <t>865</t>
        </r>
        <r>
          <rPr>
            <sz val="9"/>
            <color indexed="81"/>
            <rFont val="Tahoma"/>
            <family val="2"/>
            <charset val="204"/>
          </rPr>
          <t xml:space="preserve"> 
Небесный меч = </t>
        </r>
        <r>
          <rPr>
            <b/>
            <sz val="9"/>
            <color indexed="81"/>
            <rFont val="Tahoma"/>
            <family val="2"/>
            <charset val="204"/>
          </rPr>
          <t>799</t>
        </r>
        <r>
          <rPr>
            <sz val="9"/>
            <color indexed="81"/>
            <rFont val="Tahoma"/>
            <family val="2"/>
            <charset val="204"/>
          </rPr>
          <t xml:space="preserve">
Фавоний = </t>
        </r>
        <r>
          <rPr>
            <b/>
            <sz val="9"/>
            <color indexed="81"/>
            <rFont val="Tahoma"/>
            <family val="2"/>
            <charset val="204"/>
          </rPr>
          <t>646</t>
        </r>
        <r>
          <rPr>
            <sz val="9"/>
            <color indexed="81"/>
            <rFont val="Tahoma"/>
            <family val="2"/>
            <charset val="204"/>
          </rPr>
          <t xml:space="preserve">
Деревянный клинок = </t>
        </r>
        <r>
          <rPr>
            <b/>
            <sz val="9"/>
            <color indexed="81"/>
            <rFont val="Tahoma"/>
            <family val="2"/>
            <charset val="204"/>
          </rPr>
          <t>756</t>
        </r>
        <r>
          <rPr>
            <sz val="9"/>
            <color indexed="81"/>
            <rFont val="Tahoma"/>
            <family val="2"/>
            <charset val="204"/>
          </rPr>
          <t xml:space="preserve">
Вспышка во тьме = </t>
        </r>
        <r>
          <rPr>
            <b/>
            <sz val="9"/>
            <color indexed="81"/>
            <rFont val="Tahoma"/>
            <family val="2"/>
            <charset val="204"/>
          </rPr>
          <t>811</t>
        </r>
      </text>
    </comment>
    <comment ref="H5" authorId="0" shapeId="0" xr:uid="{85BCA017-3425-4C23-8DB3-20DFA003AEBC}">
      <text>
        <r>
          <rPr>
            <b/>
            <sz val="9"/>
            <color indexed="81"/>
            <rFont val="Tahoma"/>
            <family val="2"/>
            <charset val="204"/>
          </rPr>
          <t>FildBreaker:</t>
        </r>
        <r>
          <rPr>
            <sz val="9"/>
            <color indexed="81"/>
            <rFont val="Tahoma"/>
            <family val="2"/>
            <charset val="204"/>
          </rPr>
          <t xml:space="preserve">
Базовая атака </t>
        </r>
        <r>
          <rPr>
            <b/>
            <sz val="9"/>
            <color indexed="81"/>
            <rFont val="Tahoma"/>
            <family val="2"/>
            <charset val="204"/>
          </rPr>
          <t>Сары</t>
        </r>
        <r>
          <rPr>
            <sz val="9"/>
            <color indexed="81"/>
            <rFont val="Tahoma"/>
            <family val="2"/>
            <charset val="204"/>
          </rPr>
          <t xml:space="preserve">
Фавоний - </t>
        </r>
        <r>
          <rPr>
            <b/>
            <sz val="9"/>
            <color indexed="81"/>
            <rFont val="Tahoma"/>
            <family val="2"/>
            <charset val="204"/>
          </rPr>
          <t>650</t>
        </r>
        <r>
          <rPr>
            <sz val="9"/>
            <color indexed="81"/>
            <rFont val="Tahoma"/>
            <family val="2"/>
            <charset val="204"/>
          </rPr>
          <t xml:space="preserve">
Небесное крыло - </t>
        </r>
        <r>
          <rPr>
            <b/>
            <sz val="9"/>
            <color indexed="81"/>
            <rFont val="Tahoma"/>
            <family val="2"/>
            <charset val="204"/>
          </rPr>
          <t>870</t>
        </r>
        <r>
          <rPr>
            <sz val="9"/>
            <color indexed="81"/>
            <rFont val="Tahoma"/>
            <family val="2"/>
            <charset val="204"/>
          </rPr>
          <t xml:space="preserve">
Элегия / Амос - </t>
        </r>
        <r>
          <rPr>
            <b/>
            <sz val="9"/>
            <color indexed="81"/>
            <rFont val="Tahoma"/>
            <family val="2"/>
            <charset val="204"/>
          </rPr>
          <t>803</t>
        </r>
        <r>
          <rPr>
            <sz val="9"/>
            <color indexed="81"/>
            <rFont val="Tahoma"/>
            <family val="2"/>
            <charset val="204"/>
          </rPr>
          <t xml:space="preserve">
Церемония - </t>
        </r>
        <r>
          <rPr>
            <b/>
            <sz val="9"/>
            <color indexed="81"/>
            <rFont val="Tahoma"/>
            <family val="2"/>
            <charset val="204"/>
          </rPr>
          <t>760</t>
        </r>
      </text>
    </comment>
    <comment ref="M5" authorId="0" shapeId="0" xr:uid="{F8DFFE5D-8428-424B-BD86-FE4A136792A1}">
      <text>
        <r>
          <rPr>
            <b/>
            <sz val="9"/>
            <color indexed="81"/>
            <rFont val="Tahoma"/>
            <family val="2"/>
            <charset val="204"/>
          </rPr>
          <t>FildBreaker:</t>
        </r>
        <r>
          <rPr>
            <sz val="9"/>
            <color indexed="81"/>
            <rFont val="Tahoma"/>
            <family val="2"/>
            <charset val="204"/>
          </rPr>
          <t xml:space="preserve">
Суммарная атака Иансан
До С5 атака для макс.баффа при ночном духе 42 и более = </t>
        </r>
        <r>
          <rPr>
            <b/>
            <sz val="9"/>
            <color indexed="81"/>
            <rFont val="Tahoma"/>
            <family val="2"/>
            <charset val="204"/>
          </rPr>
          <t>2556</t>
        </r>
        <r>
          <rPr>
            <sz val="9"/>
            <color indexed="81"/>
            <rFont val="Tahoma"/>
            <family val="2"/>
            <charset val="204"/>
          </rPr>
          <t xml:space="preserve">
С5 и более = </t>
        </r>
        <r>
          <rPr>
            <b/>
            <sz val="9"/>
            <color indexed="81"/>
            <rFont val="Tahoma"/>
            <family val="2"/>
            <charset val="204"/>
          </rPr>
          <t>3000</t>
        </r>
        <r>
          <rPr>
            <sz val="9"/>
            <color indexed="81"/>
            <rFont val="Tahoma"/>
            <family val="2"/>
            <charset val="204"/>
          </rPr>
          <t xml:space="preserve">
Атака сверх лимита будет усилять бафф только в том случае, если дд не успевает накапливать ночной дух.</t>
        </r>
      </text>
    </comment>
    <comment ref="U5" authorId="0" shapeId="0" xr:uid="{705B491F-47A6-4CD5-AF7D-9341433FEFA1}">
      <text>
        <r>
          <rPr>
            <b/>
            <sz val="9"/>
            <color indexed="81"/>
            <rFont val="Tahoma"/>
            <family val="2"/>
            <charset val="204"/>
          </rPr>
          <t>FildBreaker:</t>
        </r>
        <r>
          <rPr>
            <sz val="9"/>
            <color indexed="81"/>
            <rFont val="Tahoma"/>
            <family val="2"/>
            <charset val="204"/>
          </rPr>
          <t xml:space="preserve">
После получения или обновления щита Томы
15% аффикса в NA/HA/PD
</t>
        </r>
      </text>
    </comment>
    <comment ref="AB5" authorId="0" shapeId="0" xr:uid="{086AEA4B-2090-49C1-A412-0B5C37DD7BA4}">
      <text>
        <r>
          <rPr>
            <b/>
            <sz val="9"/>
            <color indexed="81"/>
            <rFont val="Tahoma"/>
            <family val="2"/>
            <charset val="204"/>
          </rPr>
          <t>FildBreaker:</t>
        </r>
        <r>
          <rPr>
            <sz val="9"/>
            <color indexed="81"/>
            <rFont val="Tahoma"/>
            <family val="2"/>
            <charset val="204"/>
          </rPr>
          <t xml:space="preserve">
Когда навык Ночи почтенного сосредоточения начинает запускать Метеоры, он наделяет всех окружающих членов отряда Сумеречной звездой, что увеличивает урон их обычных и заряженных атак на 5% от макс. HP Лайлы.
Сумеречная звезда длится до 3 сек. и исчезает через 0,05 сек. после нанесения урона обычной или заряженной атакой.</t>
        </r>
      </text>
    </comment>
    <comment ref="AF5" authorId="0" shapeId="0" xr:uid="{377EAFC2-A7B8-4797-8141-004B45CDE101}">
      <text>
        <r>
          <rPr>
            <b/>
            <sz val="9"/>
            <color indexed="81"/>
            <rFont val="Tahoma"/>
            <family val="2"/>
            <charset val="204"/>
          </rPr>
          <t>FildBreaker:</t>
        </r>
        <r>
          <rPr>
            <sz val="9"/>
            <color indexed="81"/>
            <rFont val="Tahoma"/>
            <family val="2"/>
            <charset val="204"/>
          </rPr>
          <t xml:space="preserve">
Хп Лайлы
</t>
        </r>
      </text>
    </comment>
    <comment ref="AI5" authorId="0" shapeId="0" xr:uid="{37C5ED02-C38F-4EA7-9BAD-BA7EF468E924}">
      <text>
        <r>
          <rPr>
            <b/>
            <sz val="9"/>
            <color indexed="81"/>
            <rFont val="Tahoma"/>
            <family val="2"/>
            <charset val="204"/>
          </rPr>
          <t>FildBreaker:</t>
        </r>
        <r>
          <rPr>
            <sz val="9"/>
            <color indexed="81"/>
            <rFont val="Tahoma"/>
            <family val="2"/>
            <charset val="204"/>
          </rPr>
          <t xml:space="preserve">
Попадание навыком Громовая роза уменьшает защиту противника на 15% в течение 10 сек.</t>
        </r>
      </text>
    </comment>
    <comment ref="AP5" authorId="0" shapeId="0" xr:uid="{71505664-5718-4334-BDBC-A49D0B92C0FF}">
      <text>
        <r>
          <rPr>
            <b/>
            <sz val="9"/>
            <color indexed="81"/>
            <rFont val="Tahoma"/>
            <family val="2"/>
            <charset val="204"/>
          </rPr>
          <t>FildBreaker:</t>
        </r>
        <r>
          <rPr>
            <sz val="9"/>
            <color indexed="81"/>
            <rFont val="Tahoma"/>
            <family val="2"/>
            <charset val="204"/>
          </rPr>
          <t xml:space="preserve">
Активация ульты Е Лань увеличивает наносимый урон активного персонажа сначала на 1%, затем на 3,5% каждую секунду. Макс до 50%</t>
        </r>
      </text>
    </comment>
    <comment ref="AT5" authorId="0" shapeId="0" xr:uid="{CD7489B9-461E-4AB8-8698-33F102877600}">
      <text>
        <r>
          <rPr>
            <b/>
            <sz val="9"/>
            <color indexed="81"/>
            <rFont val="Tahoma"/>
            <family val="2"/>
            <charset val="204"/>
          </rPr>
          <t>FildBreaker:</t>
        </r>
        <r>
          <rPr>
            <sz val="9"/>
            <color indexed="81"/>
            <rFont val="Tahoma"/>
            <family val="2"/>
            <charset val="204"/>
          </rPr>
          <t xml:space="preserve">
Кол-во секунд, после нажатия ульты
от 1 до 14сек.</t>
        </r>
      </text>
    </comment>
    <comment ref="AW5" authorId="0" shapeId="0" xr:uid="{C74001B2-3CE9-4126-9C80-F5B8DF74608C}">
      <text>
        <r>
          <rPr>
            <b/>
            <sz val="9"/>
            <color indexed="81"/>
            <rFont val="Tahoma"/>
            <family val="2"/>
            <charset val="204"/>
          </rPr>
          <t>FildBreaker:</t>
        </r>
        <r>
          <rPr>
            <sz val="9"/>
            <color indexed="81"/>
            <rFont val="Tahoma"/>
            <family val="2"/>
            <charset val="204"/>
          </rPr>
          <t xml:space="preserve">
В поляне ешки, увеличивает урон атак в падении на 30%</t>
        </r>
      </text>
    </comment>
    <comment ref="BD5" authorId="0" shapeId="0" xr:uid="{61E00DF8-11DA-43BF-980D-3D9193E268CF}">
      <text>
        <r>
          <rPr>
            <b/>
            <sz val="9"/>
            <color indexed="81"/>
            <rFont val="Tahoma"/>
            <family val="2"/>
            <charset val="204"/>
          </rPr>
          <t>FildBreaker:</t>
        </r>
        <r>
          <rPr>
            <sz val="9"/>
            <color indexed="81"/>
            <rFont val="Tahoma"/>
            <family val="2"/>
            <charset val="204"/>
          </rPr>
          <t xml:space="preserve">
Персонаж под щитом получает 12% всеми элементами</t>
        </r>
      </text>
    </comment>
    <comment ref="BK5" authorId="0" shapeId="0" xr:uid="{E1128DB9-2997-4FFB-9D8C-4854E633796C}">
      <text>
        <r>
          <rPr>
            <b/>
            <sz val="9"/>
            <color indexed="81"/>
            <rFont val="Tahoma"/>
            <family val="2"/>
            <charset val="204"/>
          </rPr>
          <t>FildBreaker:</t>
        </r>
        <r>
          <rPr>
            <sz val="9"/>
            <color indexed="81"/>
            <rFont val="Tahoma"/>
            <family val="2"/>
            <charset val="204"/>
          </rPr>
          <t xml:space="preserve">
В течение 12 сек. после применения взрыва стихии Лучезарный восход луны мастерство стихий персонажей отряда поблизости повышается на 60 ед.</t>
        </r>
      </text>
    </comment>
    <comment ref="U6" authorId="0" shapeId="0" xr:uid="{435C5F63-AC85-42F4-9659-24968AF09489}">
      <text>
        <r>
          <rPr>
            <b/>
            <sz val="9"/>
            <color indexed="81"/>
            <rFont val="Tahoma"/>
            <family val="2"/>
            <charset val="204"/>
          </rPr>
          <t>FildBreaker:</t>
        </r>
        <r>
          <rPr>
            <sz val="9"/>
            <color indexed="81"/>
            <rFont val="Tahoma"/>
            <family val="2"/>
            <charset val="204"/>
          </rPr>
          <t xml:space="preserve">
Пока активен щит. 15% бонус физ.урона
</t>
        </r>
      </text>
    </comment>
    <comment ref="AB6" authorId="0" shapeId="0" xr:uid="{C1D89A6E-BC83-4599-A96F-7FAC0C08ACE9}">
      <text>
        <r>
          <rPr>
            <b/>
            <sz val="9"/>
            <color indexed="81"/>
            <rFont val="Tahoma"/>
            <family val="2"/>
            <charset val="204"/>
          </rPr>
          <t>FildBreaker:</t>
        </r>
        <r>
          <rPr>
            <sz val="9"/>
            <color indexed="81"/>
            <rFont val="Tahoma"/>
            <family val="2"/>
            <charset val="204"/>
          </rPr>
          <t xml:space="preserve">
ктивные члены отряда, находящиеся в области навыка Небесный дождь, получают 20% бонус Крио урона.</t>
        </r>
      </text>
    </comment>
    <comment ref="AI6" authorId="0" shapeId="0" xr:uid="{65AC2C41-DF9B-4076-9461-232D4082B6F5}">
      <text>
        <r>
          <rPr>
            <b/>
            <sz val="9"/>
            <color indexed="81"/>
            <rFont val="Tahoma"/>
            <family val="2"/>
            <charset val="204"/>
          </rPr>
          <t>FildBreaker:</t>
        </r>
        <r>
          <rPr>
            <sz val="9"/>
            <color indexed="81"/>
            <rFont val="Tahoma"/>
            <family val="2"/>
            <charset val="204"/>
          </rPr>
          <t xml:space="preserve">
После активации Сверхчувствительности пассивного таланта Синестезия ночного укрытия сила атаки вашего активного персонажа повышается на 10% на 9 сек. Этот эффект может складываться до 3 раз. Длительность каждого уровня рассчитывается отдельно.</t>
        </r>
      </text>
    </comment>
    <comment ref="AP6" authorId="0" shapeId="0" xr:uid="{E5496D46-3AB2-4203-A6D8-043821CAF42E}">
      <text>
        <r>
          <rPr>
            <b/>
            <sz val="9"/>
            <color indexed="81"/>
            <rFont val="Tahoma"/>
            <family val="2"/>
            <charset val="204"/>
          </rPr>
          <t>FildBreaker:</t>
        </r>
        <r>
          <rPr>
            <sz val="9"/>
            <color indexed="81"/>
            <rFont val="Tahoma"/>
            <family val="2"/>
            <charset val="204"/>
          </rPr>
          <t xml:space="preserve">
За каждого помеченного ешкой Е Лань врага, увеличивает макс.хп всего отряда на 10% на 25сек.</t>
        </r>
      </text>
    </comment>
    <comment ref="AQ6" authorId="0" shapeId="0" xr:uid="{5DE6D847-7D65-4729-ADA7-74CD1B7CB725}">
      <text>
        <r>
          <rPr>
            <b/>
            <sz val="9"/>
            <color indexed="81"/>
            <rFont val="Tahoma"/>
            <family val="2"/>
            <charset val="204"/>
          </rPr>
          <t>FildBreaker:</t>
        </r>
        <r>
          <rPr>
            <sz val="9"/>
            <color indexed="81"/>
            <rFont val="Tahoma"/>
            <family val="2"/>
            <charset val="204"/>
          </rPr>
          <t xml:space="preserve">
Стаки баффа, за каждого помеченного ешкой врага. 
От 1 до 4</t>
        </r>
      </text>
    </comment>
    <comment ref="AW6" authorId="0" shapeId="0" xr:uid="{5C036228-3183-46B0-A468-7E3CC5F499BB}">
      <text>
        <r>
          <rPr>
            <b/>
            <sz val="9"/>
            <color indexed="81"/>
            <rFont val="Tahoma"/>
            <family val="2"/>
            <charset val="204"/>
          </rPr>
          <t>FildBreaker:</t>
        </r>
        <r>
          <rPr>
            <sz val="9"/>
            <color indexed="81"/>
            <rFont val="Tahoma"/>
            <family val="2"/>
            <charset val="204"/>
          </rPr>
          <t xml:space="preserve">
Увеличивает урон активных членов отряда в области Цветка солнца, находящихся под эффектом щита реакции Кристалл, на 17%.</t>
        </r>
      </text>
    </comment>
    <comment ref="BD6" authorId="0" shapeId="0" xr:uid="{F5EEB68E-21B8-49E0-A2DA-F289BFDAA5A2}">
      <text>
        <r>
          <rPr>
            <b/>
            <sz val="9"/>
            <color indexed="81"/>
            <rFont val="Tahoma"/>
            <family val="2"/>
            <charset val="204"/>
          </rPr>
          <t>FildBreaker:</t>
        </r>
        <r>
          <rPr>
            <sz val="9"/>
            <color indexed="81"/>
            <rFont val="Tahoma"/>
            <family val="2"/>
            <charset val="204"/>
          </rPr>
          <t xml:space="preserve">
Активация ульты увеличивает мс всей команды на 60 мс в 12сек.</t>
        </r>
      </text>
    </comment>
    <comment ref="BK6" authorId="0" shapeId="0" xr:uid="{B0F8FD7B-A7F8-4622-B13D-D6C8C3E2F81F}">
      <text>
        <r>
          <rPr>
            <b/>
            <sz val="9"/>
            <color indexed="81"/>
            <rFont val="Tahoma"/>
            <family val="2"/>
            <charset val="204"/>
          </rPr>
          <t>FildBreaker:</t>
        </r>
        <r>
          <rPr>
            <sz val="9"/>
            <color indexed="81"/>
            <rFont val="Tahoma"/>
            <family val="2"/>
            <charset val="204"/>
          </rPr>
          <t xml:space="preserve">
Реакция рассеивание повышает мс всего отряда на 80ед.</t>
        </r>
      </text>
    </comment>
    <comment ref="U7" authorId="0" shapeId="0" xr:uid="{0E58182A-9312-4CA5-9AB6-E7B4E1EF8078}">
      <text>
        <r>
          <rPr>
            <b/>
            <sz val="9"/>
            <color indexed="81"/>
            <rFont val="Tahoma"/>
            <family val="2"/>
            <charset val="204"/>
          </rPr>
          <t>FildBreaker:</t>
        </r>
        <r>
          <rPr>
            <sz val="9"/>
            <color indexed="81"/>
            <rFont val="Tahoma"/>
            <family val="2"/>
            <charset val="204"/>
          </rPr>
          <t xml:space="preserve">
Попадание ешкой срезает 15% физ.сопры на 12сек</t>
        </r>
      </text>
    </comment>
    <comment ref="AB7" authorId="0" shapeId="0" xr:uid="{26B51919-9344-42C2-A7B5-33D0B7E68AF3}">
      <text>
        <r>
          <rPr>
            <b/>
            <sz val="9"/>
            <color indexed="81"/>
            <rFont val="Tahoma"/>
            <family val="2"/>
            <charset val="204"/>
          </rPr>
          <t>FildBreaker:</t>
        </r>
        <r>
          <rPr>
            <sz val="9"/>
            <color indexed="81"/>
            <rFont val="Tahoma"/>
            <family val="2"/>
            <charset val="204"/>
          </rPr>
          <t xml:space="preserve">
Попадание стрелой-снежинкой с уровнем заряда 2 или её цветением понижает Крио сопротивление противников на 15% в течение 6 сек.;</t>
        </r>
      </text>
    </comment>
    <comment ref="AI7" authorId="0" shapeId="0" xr:uid="{E52B14DE-A10A-448F-AD84-CD62FF0F32F7}">
      <text>
        <r>
          <rPr>
            <b/>
            <sz val="9"/>
            <color indexed="81"/>
            <rFont val="Tahoma"/>
            <family val="2"/>
            <charset val="204"/>
          </rPr>
          <t>FildBreaker:</t>
        </r>
        <r>
          <rPr>
            <sz val="9"/>
            <color indexed="81"/>
            <rFont val="Tahoma"/>
            <family val="2"/>
            <charset val="204"/>
          </rPr>
          <t xml:space="preserve">
Даёт 20% вэ +10% за каждые 100ед. Вэ% Путешественника</t>
        </r>
      </text>
    </comment>
    <comment ref="AM7" authorId="0" shapeId="0" xr:uid="{E7C23615-FA64-4EEA-B7CC-3E4CEF05B5A8}">
      <text>
        <r>
          <rPr>
            <b/>
            <sz val="9"/>
            <color indexed="81"/>
            <rFont val="Tahoma"/>
            <family val="2"/>
            <charset val="204"/>
          </rPr>
          <t>FildBreaker:</t>
        </r>
        <r>
          <rPr>
            <sz val="9"/>
            <color indexed="81"/>
            <rFont val="Tahoma"/>
            <family val="2"/>
            <charset val="204"/>
          </rPr>
          <t xml:space="preserve">
Вэ% Путешественника</t>
        </r>
      </text>
    </comment>
    <comment ref="AP7" authorId="0" shapeId="0" xr:uid="{CE1A9551-828F-4C31-8B6D-EFF9599E33CE}">
      <text>
        <r>
          <rPr>
            <b/>
            <sz val="9"/>
            <color indexed="81"/>
            <rFont val="Tahoma"/>
            <family val="2"/>
            <charset val="204"/>
          </rPr>
          <t>FildBreaker:</t>
        </r>
        <r>
          <rPr>
            <sz val="9"/>
            <color indexed="81"/>
            <rFont val="Tahoma"/>
            <family val="2"/>
            <charset val="204"/>
          </rPr>
          <t xml:space="preserve">
Элементальный урон, наносимый обычной атакой под действией ульты Кандакии дополнительно усиливается на 0,5% за каждый 1к хп Кандакии</t>
        </r>
      </text>
    </comment>
    <comment ref="AT7" authorId="0" shapeId="0" xr:uid="{AD262623-17F3-4DF7-89B6-C0AED065FD31}">
      <text>
        <r>
          <rPr>
            <b/>
            <sz val="9"/>
            <color indexed="81"/>
            <rFont val="Tahoma"/>
            <family val="2"/>
            <charset val="204"/>
          </rPr>
          <t>FildBreaker:</t>
        </r>
        <r>
          <rPr>
            <sz val="9"/>
            <color indexed="81"/>
            <rFont val="Tahoma"/>
            <family val="2"/>
            <charset val="204"/>
          </rPr>
          <t xml:space="preserve">
Хп Кандакии
</t>
        </r>
      </text>
    </comment>
    <comment ref="AW7" authorId="0" shapeId="0" xr:uid="{79FF7E04-0549-48A4-B27D-9181D64D1ADE}">
      <text>
        <r>
          <rPr>
            <b/>
            <sz val="9"/>
            <color indexed="81"/>
            <rFont val="Tahoma"/>
            <family val="2"/>
            <charset val="204"/>
          </rPr>
          <t>FildBreaker:</t>
        </r>
        <r>
          <rPr>
            <sz val="9"/>
            <color indexed="81"/>
            <rFont val="Tahoma"/>
            <family val="2"/>
            <charset val="204"/>
          </rPr>
          <t xml:space="preserve">
После окончания ульты, на 10 сек. Весь отряд получает 20% а атаке и защите.</t>
        </r>
      </text>
    </comment>
    <comment ref="BD7" authorId="0" shapeId="0" xr:uid="{088F0F72-CD04-4E96-8244-C3EA95FB8890}">
      <text>
        <r>
          <rPr>
            <b/>
            <sz val="9"/>
            <color indexed="81"/>
            <rFont val="Tahoma"/>
            <family val="2"/>
            <charset val="204"/>
          </rPr>
          <t>FildBreaker:</t>
        </r>
        <r>
          <rPr>
            <sz val="9"/>
            <color indexed="81"/>
            <rFont val="Tahoma"/>
            <family val="2"/>
            <charset val="204"/>
          </rPr>
          <t xml:space="preserve">
Когда ешка или ульта попадают по врагу, снижается дендро сопротивление на 30% на 10сек.</t>
        </r>
      </text>
    </comment>
    <comment ref="BK7" authorId="0" shapeId="0" xr:uid="{B795377C-230F-494C-AB6F-498543A92996}">
      <text>
        <r>
          <rPr>
            <b/>
            <sz val="9"/>
            <color indexed="81"/>
            <rFont val="Tahoma"/>
            <family val="2"/>
            <charset val="204"/>
          </rPr>
          <t>FildBreaker:</t>
        </r>
        <r>
          <rPr>
            <sz val="9"/>
            <color indexed="81"/>
            <rFont val="Tahoma"/>
            <family val="2"/>
            <charset val="204"/>
          </rPr>
          <t xml:space="preserve">
Поглощение с ульты срезает 20% резистов</t>
        </r>
      </text>
    </comment>
    <comment ref="U8" authorId="0" shapeId="0" xr:uid="{EE243F78-F6F5-4475-BCF1-DAAFA8E8AB76}">
      <text>
        <r>
          <rPr>
            <b/>
            <sz val="9"/>
            <color indexed="81"/>
            <rFont val="Tahoma"/>
            <family val="2"/>
            <charset val="204"/>
          </rPr>
          <t>FildBreaker:</t>
        </r>
        <r>
          <rPr>
            <sz val="9"/>
            <color indexed="81"/>
            <rFont val="Tahoma"/>
            <family val="2"/>
            <charset val="204"/>
          </rPr>
          <t xml:space="preserve">
Попадания атакой Гобы понижают Пиро сопротивление врагов на 15% в течение 6 сек.</t>
        </r>
      </text>
    </comment>
    <comment ref="AB8" authorId="0" shapeId="0" xr:uid="{52DFFA91-1EE2-419C-8E28-33B807F62960}">
      <text>
        <r>
          <rPr>
            <b/>
            <sz val="9"/>
            <color indexed="81"/>
            <rFont val="Tahoma"/>
            <family val="2"/>
            <charset val="204"/>
          </rPr>
          <t>FildBreaker:</t>
        </r>
        <r>
          <rPr>
            <sz val="9"/>
            <color indexed="81"/>
            <rFont val="Tahoma"/>
            <family val="2"/>
            <charset val="204"/>
          </rPr>
          <t xml:space="preserve">
Увеличивает урон, получаемый врагами, находящимися в области навыка Небесный дождь. Этот эффект усиливается со временем.
Увеличение урона начинается с 5% и увеличивается на 5% каждые 3 сек., до макс. 25%.</t>
        </r>
      </text>
    </comment>
    <comment ref="AI8" authorId="0" shapeId="0" xr:uid="{FDFE61A1-AA80-469E-AF71-7038A7F69E97}">
      <text>
        <r>
          <rPr>
            <b/>
            <sz val="9"/>
            <color indexed="81"/>
            <rFont val="Tahoma"/>
            <family val="2"/>
            <charset val="204"/>
          </rPr>
          <t>FildBreaker:</t>
        </r>
        <r>
          <rPr>
            <sz val="9"/>
            <color indexed="81"/>
            <rFont val="Tahoma"/>
            <family val="2"/>
            <charset val="204"/>
          </rPr>
          <t xml:space="preserve">
Попадание Нисходящим громом, созданным навыком Раскаты грома, понижает Электро сопротивление на 15% в течение 8 сек.</t>
        </r>
      </text>
    </comment>
    <comment ref="AP8" authorId="0" shapeId="0" xr:uid="{791E6476-B6E6-45ED-B08B-DD57EDEFBA0C}">
      <text>
        <r>
          <rPr>
            <b/>
            <sz val="9"/>
            <color indexed="81"/>
            <rFont val="Tahoma"/>
            <family val="2"/>
            <charset val="204"/>
          </rPr>
          <t>FildBreaker:</t>
        </r>
        <r>
          <rPr>
            <sz val="9"/>
            <color indexed="81"/>
            <rFont val="Tahoma"/>
            <family val="2"/>
            <charset val="204"/>
          </rPr>
          <t xml:space="preserve">
За каждые 1000 ед. HP выше 30 000 ед. макс. HP Нилу повышает урон бутонов в пачке с Нилу, созданных персонажами под действием Изобилия золотого кубка, на 9%.
Максимальное увеличение урона бутонов, полученное таким образом, не может превышать 400%.</t>
        </r>
      </text>
    </comment>
    <comment ref="AT8" authorId="0" shapeId="0" xr:uid="{28CC1D80-2CF4-47A8-9D53-FC80B44ABD05}">
      <text>
        <r>
          <rPr>
            <b/>
            <sz val="9"/>
            <color indexed="81"/>
            <rFont val="Tahoma"/>
            <family val="2"/>
            <charset val="204"/>
          </rPr>
          <t>FildBreaker:</t>
        </r>
        <r>
          <rPr>
            <sz val="9"/>
            <color indexed="81"/>
            <rFont val="Tahoma"/>
            <family val="2"/>
            <charset val="204"/>
          </rPr>
          <t xml:space="preserve">
Хп Нилу
Мин хп = 30 000
Макс хп = 75 000
</t>
        </r>
      </text>
    </comment>
    <comment ref="AW8" authorId="0" shapeId="0" xr:uid="{81C2DBAB-5FC6-41A6-BC66-05C87E2CB8B8}">
      <text>
        <r>
          <rPr>
            <b/>
            <sz val="9"/>
            <color indexed="81"/>
            <rFont val="Tahoma"/>
            <family val="2"/>
            <charset val="204"/>
          </rPr>
          <t>FildBreaker:</t>
        </r>
        <r>
          <rPr>
            <sz val="9"/>
            <color indexed="81"/>
            <rFont val="Tahoma"/>
            <family val="2"/>
            <charset val="204"/>
          </rPr>
          <t xml:space="preserve">
После попадания ульты по врагу, снижается его  гео сопротивление на 20% в течении 8 сек.</t>
        </r>
      </text>
    </comment>
    <comment ref="BD8" authorId="0" shapeId="0" xr:uid="{C7B10E2B-87D5-4398-8F54-B057F0868828}">
      <text>
        <r>
          <rPr>
            <b/>
            <sz val="9"/>
            <color indexed="81"/>
            <rFont val="Tahoma"/>
            <family val="2"/>
            <charset val="204"/>
          </rPr>
          <t>FildBreaker:</t>
        </r>
        <r>
          <rPr>
            <sz val="9"/>
            <color indexed="81"/>
            <rFont val="Tahoma"/>
            <family val="2"/>
            <charset val="204"/>
          </rPr>
          <t xml:space="preserve">
Активация ульты раздаёт 60 мс всей тиме на 8 сек.
Если ульта вызывает реакцию, то дополнительно ещё 60 и длительность обновляется.</t>
        </r>
      </text>
    </comment>
    <comment ref="BK8" authorId="0" shapeId="0" xr:uid="{114C51A0-66ED-409F-BCDF-AA0290E6788C}">
      <text>
        <r>
          <rPr>
            <b/>
            <sz val="9"/>
            <color indexed="81"/>
            <rFont val="Tahoma"/>
            <family val="2"/>
            <charset val="204"/>
          </rPr>
          <t>FildBreaker:</t>
        </r>
        <r>
          <rPr>
            <sz val="9"/>
            <color indexed="81"/>
            <rFont val="Tahoma"/>
            <family val="2"/>
            <charset val="204"/>
          </rPr>
          <t xml:space="preserve">
Использование ешки уменьшает Анемо и физ. сопротивление противников на 12% в течение 10 сек.
Если враг подкинут, то дополнительно срезает 12% сопры</t>
        </r>
      </text>
    </comment>
    <comment ref="U9" authorId="0" shapeId="0" xr:uid="{94198ED5-76BE-4385-A199-791FDFB1A295}">
      <text>
        <r>
          <rPr>
            <b/>
            <sz val="9"/>
            <color indexed="81"/>
            <rFont val="Tahoma"/>
            <family val="2"/>
            <charset val="204"/>
          </rPr>
          <t>FildBreaker:</t>
        </r>
        <r>
          <rPr>
            <sz val="9"/>
            <color indexed="81"/>
            <rFont val="Tahoma"/>
            <family val="2"/>
            <charset val="204"/>
          </rPr>
          <t xml:space="preserve">
При активном Огневихре все члены отряда получают 15% бонус Пиро урона. (не работает на саму Сян Лин)</t>
        </r>
      </text>
    </comment>
    <comment ref="AB9" authorId="0" shapeId="0" xr:uid="{72A51E15-0D2D-48CF-8C66-2B70D422150F}">
      <text>
        <r>
          <rPr>
            <b/>
            <sz val="9"/>
            <color indexed="81"/>
            <rFont val="Tahoma"/>
            <family val="2"/>
            <charset val="204"/>
          </rPr>
          <t>FildBreaker:</t>
        </r>
        <r>
          <rPr>
            <sz val="9"/>
            <color indexed="81"/>
            <rFont val="Tahoma"/>
            <family val="2"/>
            <charset val="204"/>
          </rPr>
          <t xml:space="preserve">
Понижает защиту противников, получивших урон от Морозного сэки но то навыка Искусство Камисато: Сомэцу, на 30% в течение 6 сек.</t>
        </r>
      </text>
    </comment>
    <comment ref="AI9" authorId="0" shapeId="0" xr:uid="{07D82BC2-4D13-4FD7-97FB-12E60233AFC2}">
      <text>
        <r>
          <rPr>
            <b/>
            <sz val="9"/>
            <color indexed="81"/>
            <rFont val="Tahoma"/>
            <family val="2"/>
            <charset val="204"/>
          </rPr>
          <t>FildBreaker:</t>
        </r>
        <r>
          <rPr>
            <sz val="9"/>
            <color indexed="81"/>
            <rFont val="Tahoma"/>
            <family val="2"/>
            <charset val="204"/>
          </rPr>
          <t xml:space="preserve">
Увеличивает урон взрыва стихии персонажа в зависимости от стоимости энергии взрыва стихии во время действия Глаза грозового наказания.</t>
        </r>
      </text>
    </comment>
    <comment ref="AM9" authorId="0" shapeId="0" xr:uid="{6AC89C78-B720-4D38-8427-6954C19C3AB5}">
      <text>
        <r>
          <rPr>
            <b/>
            <sz val="9"/>
            <color indexed="81"/>
            <rFont val="Tahoma"/>
            <family val="2"/>
            <charset val="204"/>
          </rPr>
          <t>FildBreaker:</t>
        </r>
        <r>
          <rPr>
            <sz val="9"/>
            <color indexed="81"/>
            <rFont val="Tahoma"/>
            <family val="2"/>
            <charset val="204"/>
          </rPr>
          <t xml:space="preserve">
Стоимость ульты персонажа
</t>
        </r>
      </text>
    </comment>
    <comment ref="AP9" authorId="0" shapeId="0" xr:uid="{12228009-6143-4FE4-9C24-7022D54E5FF5}">
      <text>
        <r>
          <rPr>
            <b/>
            <sz val="9"/>
            <color indexed="81"/>
            <rFont val="Tahoma"/>
            <family val="2"/>
            <charset val="204"/>
          </rPr>
          <t>FildBreaker:</t>
        </r>
        <r>
          <rPr>
            <sz val="9"/>
            <color indexed="81"/>
            <rFont val="Tahoma"/>
            <family val="2"/>
            <charset val="204"/>
          </rPr>
          <t xml:space="preserve">
Пока активна пассивка Нилу на усиление бутонов, получение урона от бутонов повышает мс отряда на 100 на 10 сек.</t>
        </r>
      </text>
    </comment>
    <comment ref="AW9" authorId="0" shapeId="0" xr:uid="{E82B62E1-66FD-4332-9123-F9C9EE45ECFD}">
      <text>
        <r>
          <rPr>
            <b/>
            <sz val="9"/>
            <color indexed="81"/>
            <rFont val="Tahoma"/>
            <family val="2"/>
            <charset val="204"/>
          </rPr>
          <t>FildBreaker:</t>
        </r>
        <r>
          <rPr>
            <sz val="9"/>
            <color indexed="81"/>
            <rFont val="Tahoma"/>
            <family val="2"/>
            <charset val="204"/>
          </rPr>
          <t xml:space="preserve">
Даёт 12% бонус Гео урона прошедшим сквозь Нефритовую ширму персонажам на 10 сек.</t>
        </r>
      </text>
    </comment>
    <comment ref="BD9" authorId="0" shapeId="0" xr:uid="{493F1972-DDF0-45B5-95B0-0E5CA2606C13}">
      <text>
        <r>
          <rPr>
            <b/>
            <sz val="9"/>
            <color indexed="81"/>
            <rFont val="Tahoma"/>
            <family val="2"/>
            <charset val="204"/>
          </rPr>
          <t>FildBreaker:</t>
        </r>
        <r>
          <rPr>
            <sz val="9"/>
            <color indexed="81"/>
            <rFont val="Tahoma"/>
            <family val="2"/>
            <charset val="204"/>
          </rPr>
          <t xml:space="preserve">
Элементальный навык Кинича, попадая по противникам, снижает их Дендро сопротивление на 30% на 6 сек.</t>
        </r>
      </text>
    </comment>
    <comment ref="BK9" authorId="0" shapeId="0" xr:uid="{D6A25B83-3A93-4E9F-B7D4-0466EEFE2F9C}">
      <text>
        <r>
          <rPr>
            <b/>
            <sz val="9"/>
            <color indexed="81"/>
            <rFont val="Tahoma"/>
            <family val="2"/>
            <charset val="204"/>
          </rPr>
          <t>FildBreaker:</t>
        </r>
        <r>
          <rPr>
            <sz val="9"/>
            <color indexed="81"/>
            <rFont val="Tahoma"/>
            <family val="2"/>
            <charset val="204"/>
          </rPr>
          <t xml:space="preserve">
Попадание ультой, срезает сопротивление анемо на 20% и поглощённому элементу</t>
        </r>
      </text>
    </comment>
    <comment ref="U10" authorId="0" shapeId="0" xr:uid="{2C158311-BABD-40FB-A669-2F02A0FF3D0A}">
      <text>
        <r>
          <rPr>
            <b/>
            <sz val="9"/>
            <color indexed="81"/>
            <rFont val="Tahoma"/>
            <family val="2"/>
            <charset val="204"/>
          </rPr>
          <t>FildBreaker:</t>
        </r>
        <r>
          <rPr>
            <sz val="9"/>
            <color indexed="81"/>
            <rFont val="Tahoma"/>
            <family val="2"/>
            <charset val="204"/>
          </rPr>
          <t xml:space="preserve">
После оканчания ешки шанс крит. попадания всех членов отряда (кроме самой Ху Тао) увеличивается на 12% в течение 8 сек.</t>
        </r>
      </text>
    </comment>
    <comment ref="AB10" authorId="0" shapeId="0" xr:uid="{D6BD28EF-46BE-4055-8AF9-EEFA25E70317}">
      <text>
        <r>
          <rPr>
            <b/>
            <sz val="9"/>
            <color indexed="81"/>
            <rFont val="Tahoma"/>
            <family val="2"/>
            <charset val="204"/>
          </rPr>
          <t>FildBreaker:</t>
        </r>
        <r>
          <rPr>
            <sz val="9"/>
            <color indexed="81"/>
            <rFont val="Tahoma"/>
            <family val="2"/>
            <charset val="204"/>
          </rPr>
          <t xml:space="preserve">
Персонажи, находящиеся в области навыка Авторский коктейль, получают следующие эффекты, зависящие от их HP: При HP выше 50% увеличивает мастерство стихий на 200 ед.</t>
        </r>
      </text>
    </comment>
    <comment ref="AI10" authorId="0" shapeId="0" xr:uid="{C9E6198E-96BD-4A29-ADBC-9D46B8C20CD5}">
      <text>
        <r>
          <rPr>
            <b/>
            <sz val="9"/>
            <color indexed="81"/>
            <rFont val="Tahoma"/>
            <family val="2"/>
            <charset val="204"/>
          </rPr>
          <t>FildBreaker:</t>
        </r>
        <r>
          <rPr>
            <sz val="9"/>
            <color indexed="81"/>
            <rFont val="Tahoma"/>
            <family val="2"/>
            <charset val="204"/>
          </rPr>
          <t xml:space="preserve">
Когда состояние Мусо иссин навыка Тайное искусство: Мусо синсэцу заканчивается, все окружающие члены отряда (кроме сёгуна Райдэн) получают 30% бонус силы атаки на 10 сек.</t>
        </r>
      </text>
    </comment>
    <comment ref="AP10" authorId="0" shapeId="0" xr:uid="{C7785A02-B452-4C32-97AE-9BFC97CB0C9D}">
      <text>
        <r>
          <rPr>
            <b/>
            <sz val="9"/>
            <color indexed="81"/>
            <rFont val="Tahoma"/>
            <family val="2"/>
            <charset val="204"/>
          </rPr>
          <t>FildBreaker:</t>
        </r>
        <r>
          <rPr>
            <sz val="9"/>
            <color indexed="81"/>
            <rFont val="Tahoma"/>
            <family val="2"/>
            <charset val="204"/>
          </rPr>
          <t xml:space="preserve">
При нанесении дендро и гидро урона по противнику, пока активна пассивка на усиление бутонов, сопротивление к гидро и дендро срезается на 35% на 10сек.</t>
        </r>
      </text>
    </comment>
    <comment ref="AW10" authorId="0" shapeId="0" xr:uid="{0959934C-8232-4D58-A8A0-8101AB4F097C}">
      <text>
        <r>
          <rPr>
            <b/>
            <sz val="9"/>
            <color indexed="81"/>
            <rFont val="Tahoma"/>
            <family val="2"/>
            <charset val="204"/>
          </rPr>
          <t>FildBreaker:</t>
        </r>
        <r>
          <rPr>
            <sz val="9"/>
            <color indexed="81"/>
            <rFont val="Tahoma"/>
            <family val="2"/>
            <charset val="204"/>
          </rPr>
          <t xml:space="preserve">
В зоне действия ульты, увеличивает шк активного героя на 10% </t>
        </r>
      </text>
    </comment>
    <comment ref="BD10" authorId="0" shapeId="0" xr:uid="{C84B66B7-821E-45FA-8341-F1539165EA88}">
      <text>
        <r>
          <rPr>
            <b/>
            <sz val="9"/>
            <color indexed="81"/>
            <rFont val="Tahoma"/>
            <family val="2"/>
            <charset val="204"/>
          </rPr>
          <t>FildBreaker:</t>
        </r>
        <r>
          <rPr>
            <sz val="9"/>
            <color indexed="81"/>
            <rFont val="Tahoma"/>
            <family val="2"/>
            <charset val="204"/>
          </rPr>
          <t xml:space="preserve">
Каждое потраченное зеркало, повышает мс всего отряда на 30.
</t>
        </r>
      </text>
    </comment>
    <comment ref="BE10" authorId="0" shapeId="0" xr:uid="{1600D32B-CCE3-4A8B-AAEA-083402A26EB6}">
      <text>
        <r>
          <rPr>
            <b/>
            <sz val="9"/>
            <color indexed="81"/>
            <rFont val="Tahoma"/>
            <family val="2"/>
            <charset val="204"/>
          </rPr>
          <t>FildBreaker:</t>
        </r>
        <r>
          <rPr>
            <sz val="9"/>
            <color indexed="81"/>
            <rFont val="Tahoma"/>
            <family val="2"/>
            <charset val="204"/>
          </rPr>
          <t xml:space="preserve">
Потраченные зеркала
От 1 до 3</t>
        </r>
      </text>
    </comment>
    <comment ref="BK10" authorId="0" shapeId="0" xr:uid="{258E56BB-828D-4BAA-9A0B-5C303E452470}">
      <text>
        <r>
          <rPr>
            <b/>
            <sz val="9"/>
            <color indexed="81"/>
            <rFont val="Tahoma"/>
            <family val="2"/>
            <charset val="204"/>
          </rPr>
          <t>FildBreaker:</t>
        </r>
        <r>
          <rPr>
            <sz val="9"/>
            <color indexed="81"/>
            <rFont val="Tahoma"/>
            <family val="2"/>
            <charset val="204"/>
          </rPr>
          <t xml:space="preserve">
Максимум очков составляет 150. Каждое очко Основ спасения у Ифы повышает урон реакций Рассеивание и Заряжен, вызываемых членами отряда поблизости, на 1,5%, а урон реакции Лунный заряд увеличивается на 0,2%. Когда состояние Благословения Ночного духа завершается, Основы спасения исчезают.</t>
        </r>
      </text>
    </comment>
    <comment ref="BL10" authorId="0" shapeId="0" xr:uid="{E8D38B7E-F1D7-49DD-8663-94B396035FE7}">
      <text>
        <r>
          <rPr>
            <b/>
            <sz val="9"/>
            <color indexed="81"/>
            <rFont val="Tahoma"/>
            <family val="2"/>
            <charset val="204"/>
          </rPr>
          <t>FildBreaker:</t>
        </r>
        <r>
          <rPr>
            <sz val="9"/>
            <color indexed="81"/>
            <rFont val="Tahoma"/>
            <family val="2"/>
            <charset val="204"/>
          </rPr>
          <t xml:space="preserve">
Очки спасения</t>
        </r>
      </text>
    </comment>
    <comment ref="U11" authorId="0" shapeId="0" xr:uid="{48A4E552-1B52-49D1-877A-C40DD387735D}">
      <text>
        <r>
          <rPr>
            <b/>
            <sz val="9"/>
            <color indexed="81"/>
            <rFont val="Tahoma"/>
            <family val="2"/>
            <charset val="204"/>
          </rPr>
          <t>FildBreaker:</t>
        </r>
        <r>
          <rPr>
            <sz val="9"/>
            <color indexed="81"/>
            <rFont val="Tahoma"/>
            <family val="2"/>
            <charset val="204"/>
          </rPr>
          <t xml:space="preserve">
После победы над противником, находящимся под эффектом Кровавого цветка, наложенным самой Ху Тао, шанс крит. попадания всех окружающих членов отряда (кроме самой Ху Тао) увеличивается на 12% в течение 15 сек.</t>
        </r>
      </text>
    </comment>
    <comment ref="AB11" authorId="0" shapeId="0" xr:uid="{585BE71B-5FE6-46FC-9EB7-E2959B65BB0C}">
      <text>
        <r>
          <rPr>
            <b/>
            <sz val="9"/>
            <color indexed="81"/>
            <rFont val="Tahoma"/>
            <family val="2"/>
            <charset val="204"/>
          </rPr>
          <t>FildBreaker:</t>
        </r>
        <r>
          <rPr>
            <sz val="9"/>
            <color indexed="81"/>
            <rFont val="Tahoma"/>
            <family val="2"/>
            <charset val="204"/>
          </rPr>
          <t xml:space="preserve">
Когда Элой получает эффект Спирали навыка Ледяная пустошь, её сила атаки повышается на 16%, а сила атаки других окружающих членов отряда повышается на 8%. Этот эффект длится 10 сек.</t>
        </r>
      </text>
    </comment>
    <comment ref="AI11" authorId="0" shapeId="0" xr:uid="{119FFE84-5218-458F-A1D7-2251807A9448}">
      <text>
        <r>
          <rPr>
            <b/>
            <sz val="9"/>
            <color indexed="81"/>
            <rFont val="Tahoma"/>
            <family val="2"/>
            <charset val="204"/>
          </rPr>
          <t>FildBreaker:</t>
        </r>
        <r>
          <rPr>
            <sz val="9"/>
            <color indexed="81"/>
            <rFont val="Tahoma"/>
            <family val="2"/>
            <charset val="204"/>
          </rPr>
          <t xml:space="preserve">
При попадании быстрое нажатие навыка Гром и Когти понижает защиту противника на 15% в течение 7 сек.</t>
        </r>
      </text>
    </comment>
    <comment ref="AP11" authorId="0" shapeId="0" xr:uid="{A87723BB-CD4D-42EB-BA6B-FAF7EDC2979E}">
      <text>
        <r>
          <rPr>
            <b/>
            <sz val="9"/>
            <color indexed="81"/>
            <rFont val="Tahoma"/>
            <family val="2"/>
            <charset val="204"/>
          </rPr>
          <t>FildBreaker:</t>
        </r>
        <r>
          <rPr>
            <sz val="9"/>
            <color indexed="81"/>
            <rFont val="Tahoma"/>
            <family val="2"/>
            <charset val="204"/>
          </rPr>
          <t xml:space="preserve">
Понижает сопротивление на 15% к гидро у противника, получившие урон от мечей с ульты Син Цю</t>
        </r>
      </text>
    </comment>
    <comment ref="AW11" authorId="0" shapeId="0" xr:uid="{A5E71064-96F9-447D-960E-7860A960C2CE}">
      <text>
        <r>
          <rPr>
            <b/>
            <sz val="9"/>
            <color indexed="81"/>
            <rFont val="Tahoma"/>
            <family val="2"/>
            <charset val="204"/>
          </rPr>
          <t>FildBreaker:</t>
        </r>
        <r>
          <rPr>
            <sz val="9"/>
            <color indexed="81"/>
            <rFont val="Tahoma"/>
            <family val="2"/>
            <charset val="204"/>
          </rPr>
          <t xml:space="preserve">
Снижает сопротивление ко всему урону у противника на 20% поблизости, пока активен щит</t>
        </r>
      </text>
    </comment>
    <comment ref="BD11" authorId="0" shapeId="0" xr:uid="{17C856ED-B470-4198-BF3E-9E918EACF0FF}">
      <text>
        <r>
          <rPr>
            <b/>
            <sz val="9"/>
            <color indexed="81"/>
            <rFont val="Tahoma"/>
            <family val="2"/>
            <charset val="204"/>
          </rPr>
          <t>FildBreaker:</t>
        </r>
        <r>
          <rPr>
            <sz val="9"/>
            <color indexed="81"/>
            <rFont val="Tahoma"/>
            <family val="2"/>
            <charset val="204"/>
          </rPr>
          <t xml:space="preserve">
Персонажи, получившие лечение Бесшовного щита, наделяются эффектом Год зелёного благодеяния: каждые 1000 ед. макс. HP Бай Чжу (до 50 000 ед. макс.) увеличивают на 6 сек. урон вызываемых этими персонажами реакций Горение, Бутонизация, Вегетация и Цветение на 2%, а реакций Обострение и Разрастание на 0,8%.</t>
        </r>
      </text>
    </comment>
    <comment ref="BH11" authorId="0" shapeId="0" xr:uid="{2916C3A8-2CC6-4527-AAB6-E07BDA70A398}">
      <text>
        <r>
          <rPr>
            <b/>
            <sz val="9"/>
            <color indexed="81"/>
            <rFont val="Tahoma"/>
            <family val="2"/>
            <charset val="204"/>
          </rPr>
          <t>FildBreaker:</t>
        </r>
        <r>
          <rPr>
            <sz val="9"/>
            <color indexed="81"/>
            <rFont val="Tahoma"/>
            <family val="2"/>
            <charset val="204"/>
          </rPr>
          <t xml:space="preserve">
Хп Бай Джу</t>
        </r>
      </text>
    </comment>
    <comment ref="BK11" authorId="0" shapeId="0" xr:uid="{24E29F00-A902-436C-B788-02B4C377FC19}">
      <text>
        <r>
          <rPr>
            <b/>
            <sz val="9"/>
            <color indexed="81"/>
            <rFont val="Tahoma"/>
            <family val="2"/>
            <charset val="204"/>
          </rPr>
          <t>FildBreaker:</t>
        </r>
        <r>
          <rPr>
            <sz val="9"/>
            <color indexed="81"/>
            <rFont val="Tahoma"/>
            <family val="2"/>
            <charset val="204"/>
          </rPr>
          <t xml:space="preserve">
Когда Ифа находится в состоянии Благословения Ночного духа, за каждое очко Ночного духа от их общего количества в отряде свыше 60 он дополнительно получает 4 очка Основ спасения.
Кроме того, максимум очков Основ спасения Ифы повышается на 50.</t>
        </r>
      </text>
    </comment>
    <comment ref="U12" authorId="0" shapeId="0" xr:uid="{6731A291-A0E0-471D-ADFC-2F1BCCAA9FFF}">
      <text>
        <r>
          <rPr>
            <b/>
            <sz val="9"/>
            <color indexed="81"/>
            <rFont val="Tahoma"/>
            <family val="2"/>
            <charset val="204"/>
          </rPr>
          <t>FildBreaker:</t>
        </r>
        <r>
          <rPr>
            <sz val="9"/>
            <color indexed="81"/>
            <rFont val="Tahoma"/>
            <family val="2"/>
            <charset val="204"/>
          </rPr>
          <t xml:space="preserve">
Попадания заряженной атакой Лини понижают Пиро сопротивление поражённого врага на 20% на 6 сек.</t>
        </r>
      </text>
    </comment>
    <comment ref="AB12" authorId="0" shapeId="0" xr:uid="{EC7B002E-F641-484E-A775-8B5078B7F36B}">
      <text>
        <r>
          <rPr>
            <b/>
            <sz val="9"/>
            <color indexed="81"/>
            <rFont val="Tahoma"/>
            <family val="2"/>
            <charset val="204"/>
          </rPr>
          <t>FildBreaker:</t>
        </r>
        <r>
          <rPr>
            <sz val="9"/>
            <color indexed="81"/>
            <rFont val="Tahoma"/>
            <family val="2"/>
            <charset val="204"/>
          </rPr>
          <t xml:space="preserve">
Если было потрачено Холодное сердце, то Эола снижает физическое сопротивление и Крио сопротивление врагов поблизости.</t>
        </r>
      </text>
    </comment>
    <comment ref="AI12" authorId="0" shapeId="0" xr:uid="{890BDFF5-A8FD-4017-9352-519808A61A41}">
      <text>
        <r>
          <rPr>
            <b/>
            <sz val="9"/>
            <color indexed="81"/>
            <rFont val="Tahoma"/>
            <family val="2"/>
            <charset val="204"/>
          </rPr>
          <t>FildBreaker:</t>
        </r>
        <r>
          <rPr>
            <sz val="9"/>
            <color indexed="81"/>
            <rFont val="Tahoma"/>
            <family val="2"/>
            <charset val="204"/>
          </rPr>
          <t xml:space="preserve">
Когда Пронзающий тени выстрел или Болт сумрака поражает 2 и более противников, все члены отряда поблизости на 10 сек. получают 80 ед. мастерства стихий.</t>
        </r>
      </text>
    </comment>
    <comment ref="AP12" authorId="0" shapeId="0" xr:uid="{0407E734-4291-45D8-8603-1FBAE858F8BE}">
      <text>
        <r>
          <rPr>
            <b/>
            <sz val="9"/>
            <color indexed="81"/>
            <rFont val="Tahoma"/>
            <family val="2"/>
            <charset val="204"/>
          </rPr>
          <t>FildBreaker:</t>
        </r>
        <r>
          <rPr>
            <sz val="9"/>
            <color indexed="81"/>
            <rFont val="Tahoma"/>
            <family val="2"/>
            <charset val="204"/>
          </rPr>
          <t xml:space="preserve">
После того как Айно применяет элементальный навык Ловец вдохновения или взрыв стихии Точный водоохладитель, мастерство стихий Айно повышается на 80 ед., мастерство стихий активных персонажей поблизости повышается на 80 ед. на 15 сек.</t>
        </r>
      </text>
    </comment>
    <comment ref="BD12" authorId="0" shapeId="0" xr:uid="{115529FF-25C4-4FC3-B578-3CAAF06C61FA}">
      <text>
        <r>
          <rPr>
            <b/>
            <sz val="9"/>
            <color indexed="81"/>
            <rFont val="Tahoma"/>
            <family val="2"/>
            <charset val="204"/>
          </rPr>
          <t>FildBreaker:</t>
        </r>
        <r>
          <rPr>
            <sz val="9"/>
            <color indexed="81"/>
            <rFont val="Tahoma"/>
            <family val="2"/>
            <charset val="204"/>
          </rPr>
          <t xml:space="preserve">
После активации ульты, вся команда на 15сек. Получает 60мс</t>
        </r>
      </text>
    </comment>
    <comment ref="C13" authorId="0" shapeId="0" xr:uid="{63849568-B4C3-4F48-BC85-CDCE9C66BDC3}">
      <text>
        <r>
          <rPr>
            <b/>
            <sz val="9"/>
            <color indexed="81"/>
            <rFont val="Tahoma"/>
            <family val="2"/>
            <charset val="204"/>
          </rPr>
          <t>FildBreaker:</t>
        </r>
        <r>
          <rPr>
            <sz val="9"/>
            <color indexed="81"/>
            <rFont val="Tahoma"/>
            <family val="2"/>
            <charset val="204"/>
          </rPr>
          <t xml:space="preserve">
От 1 до 15 в прокачке таланта</t>
        </r>
      </text>
    </comment>
    <comment ref="H13" authorId="0" shapeId="0" xr:uid="{81926C3C-802D-4516-8F2B-79842A72B827}">
      <text>
        <r>
          <rPr>
            <b/>
            <sz val="9"/>
            <color indexed="81"/>
            <rFont val="Tahoma"/>
            <family val="2"/>
            <charset val="204"/>
          </rPr>
          <t>FildBreaker:</t>
        </r>
        <r>
          <rPr>
            <sz val="9"/>
            <color indexed="81"/>
            <rFont val="Tahoma"/>
            <family val="2"/>
            <charset val="204"/>
          </rPr>
          <t xml:space="preserve">
От 1 до 15 в прокачке таланта</t>
        </r>
      </text>
    </comment>
    <comment ref="M13" authorId="0" shapeId="0" xr:uid="{58E4EAB5-DF32-407A-9951-9223F23C3073}">
      <text>
        <r>
          <rPr>
            <b/>
            <sz val="9"/>
            <color indexed="81"/>
            <rFont val="Tahoma"/>
            <family val="2"/>
            <charset val="204"/>
          </rPr>
          <t>FildBreaker:</t>
        </r>
        <r>
          <rPr>
            <sz val="9"/>
            <color indexed="81"/>
            <rFont val="Tahoma"/>
            <family val="2"/>
            <charset val="204"/>
          </rPr>
          <t xml:space="preserve">
От 1 до 15 в прокачке таланта</t>
        </r>
      </text>
    </comment>
    <comment ref="U13" authorId="0" shapeId="0" xr:uid="{9E0C7529-C03F-45DD-8754-0F9658777771}">
      <text>
        <r>
          <rPr>
            <b/>
            <sz val="9"/>
            <color indexed="81"/>
            <rFont val="Tahoma"/>
            <family val="2"/>
            <charset val="204"/>
          </rPr>
          <t>FildBreaker:</t>
        </r>
        <r>
          <rPr>
            <sz val="9"/>
            <color indexed="81"/>
            <rFont val="Tahoma"/>
            <family val="2"/>
            <charset val="204"/>
          </rPr>
          <t xml:space="preserve">
Мины навыка Прыг-скок бомба уменьшают защиту коснувшихся их врагов на 23% в течение 10 сек.</t>
        </r>
      </text>
    </comment>
    <comment ref="AB13" authorId="0" shapeId="0" xr:uid="{ECF79F9A-0465-4EC6-B0D6-D12DF775796B}">
      <text>
        <r>
          <rPr>
            <b/>
            <sz val="9"/>
            <color indexed="81"/>
            <rFont val="Tahoma"/>
            <family val="2"/>
            <charset val="204"/>
          </rPr>
          <t>FildBreaker:</t>
        </r>
        <r>
          <rPr>
            <sz val="9"/>
            <color indexed="81"/>
            <rFont val="Tahoma"/>
            <family val="2"/>
            <charset val="204"/>
          </rPr>
          <t xml:space="preserve">
Понижает Крио сопротивление врагов, получивших урон от Духовного лезвия, на 10% в течение 8 сек.</t>
        </r>
      </text>
    </comment>
    <comment ref="AI13" authorId="0" shapeId="0" xr:uid="{9DBFC284-3D50-4CFA-8F68-6D01E55E6C11}">
      <text>
        <r>
          <rPr>
            <b/>
            <sz val="9"/>
            <color indexed="81"/>
            <rFont val="Tahoma"/>
            <family val="2"/>
            <charset val="204"/>
          </rPr>
          <t>FildBreaker:</t>
        </r>
        <r>
          <rPr>
            <sz val="9"/>
            <color indexed="81"/>
            <rFont val="Tahoma"/>
            <family val="2"/>
            <charset val="204"/>
          </rPr>
          <t xml:space="preserve">
Попадание по врагу тотемом с ешки Яэ Мико, даёт всей команде 20% электро урона на 5 сек.</t>
        </r>
      </text>
    </comment>
    <comment ref="AP13" authorId="0" shapeId="0" xr:uid="{9D9EBC66-73F9-4F5D-A4CD-4D6ADC84C34B}">
      <text>
        <r>
          <rPr>
            <b/>
            <sz val="9"/>
            <color indexed="81"/>
            <rFont val="Tahoma"/>
            <family val="2"/>
            <charset val="204"/>
          </rPr>
          <t>FildBreaker:</t>
        </r>
        <r>
          <rPr>
            <sz val="9"/>
            <color indexed="81"/>
            <rFont val="Tahoma"/>
            <family val="2"/>
            <charset val="204"/>
          </rPr>
          <t xml:space="preserve">
На 15 сек. после применения взрыва стихии 
Точный водоохладитель урон реакций Заряжен, Бутонизация, Лунный заряд и Лунная бутонизация активного персонажа поблизости увеличивается на 15%.
Лунное знамение - Высшее сияние: урон этих реакций дополнительно повышается на 20%.</t>
        </r>
      </text>
    </comment>
    <comment ref="AQ13" authorId="0" shapeId="0" xr:uid="{D4AFEAA8-9A58-40EC-9914-BE999A7A175A}">
      <text>
        <r>
          <rPr>
            <b/>
            <sz val="9"/>
            <color indexed="81"/>
            <rFont val="Tahoma"/>
            <family val="2"/>
            <charset val="204"/>
          </rPr>
          <t>FildBreaker:</t>
        </r>
        <r>
          <rPr>
            <sz val="9"/>
            <color indexed="81"/>
            <rFont val="Tahoma"/>
            <family val="2"/>
            <charset val="204"/>
          </rPr>
          <t xml:space="preserve">
Кол-во персонажей из Нод-Края в отряде</t>
        </r>
      </text>
    </comment>
    <comment ref="BD13" authorId="0" shapeId="0" xr:uid="{C17BA344-2404-487A-8EFC-5BC59734D9D8}">
      <text>
        <r>
          <rPr>
            <b/>
            <sz val="9"/>
            <color indexed="81"/>
            <rFont val="Tahoma"/>
            <family val="2"/>
            <charset val="204"/>
          </rPr>
          <t>FildBreaker:</t>
        </r>
        <r>
          <rPr>
            <sz val="9"/>
            <color indexed="81"/>
            <rFont val="Tahoma"/>
            <family val="2"/>
            <charset val="204"/>
          </rPr>
          <t xml:space="preserve">
Увеличивает урон дендро ядер при активации ульты</t>
        </r>
      </text>
    </comment>
    <comment ref="U14" authorId="0" shapeId="0" xr:uid="{EEB61E8E-CE96-4F1B-84AE-192E7971D1A8}">
      <text>
        <r>
          <rPr>
            <b/>
            <sz val="9"/>
            <color indexed="81"/>
            <rFont val="Tahoma"/>
            <family val="2"/>
            <charset val="204"/>
          </rPr>
          <t>FildBreaker:</t>
        </r>
        <r>
          <rPr>
            <sz val="9"/>
            <color indexed="81"/>
            <rFont val="Tahoma"/>
            <family val="2"/>
            <charset val="204"/>
          </rPr>
          <t xml:space="preserve">
Активация навыка Грохот и искры даёт всем членам отряда 10% бонус Пиро урона на 25 сек.</t>
        </r>
      </text>
    </comment>
    <comment ref="AI14" authorId="0" shapeId="0" xr:uid="{C996D150-09FE-47F8-B1AE-46F99323CB34}">
      <text>
        <r>
          <rPr>
            <b/>
            <sz val="9"/>
            <color indexed="81"/>
            <rFont val="Tahoma"/>
            <family val="2"/>
            <charset val="204"/>
          </rPr>
          <t>FildBreaker:</t>
        </r>
        <r>
          <rPr>
            <sz val="9"/>
            <color indexed="81"/>
            <rFont val="Tahoma"/>
            <family val="2"/>
            <charset val="204"/>
          </rPr>
          <t xml:space="preserve">
Когда персонажи отряда активируют реакцию Заряжен, она превращается в Лунный заряд, а базовый урон реакции Лунный заряд увеличивается на 0,7% за каждые 100 ед. силы атаки Флинса. Максимальное увеличение урона, которое можно получить таким образом, составляет 14%.</t>
        </r>
      </text>
    </comment>
    <comment ref="BD14" authorId="0" shapeId="0" xr:uid="{37689387-E5F1-497E-B61C-753C05D3723A}">
      <text>
        <r>
          <rPr>
            <b/>
            <sz val="9"/>
            <color indexed="81"/>
            <rFont val="Tahoma"/>
            <family val="2"/>
            <charset val="204"/>
          </rPr>
          <t>FildBreaker:</t>
        </r>
        <r>
          <rPr>
            <sz val="9"/>
            <color indexed="81"/>
            <rFont val="Tahoma"/>
            <family val="2"/>
            <charset val="204"/>
          </rPr>
          <t xml:space="preserve">
Бонус урона дендро ядер увеличивается на 60%</t>
        </r>
      </text>
    </comment>
    <comment ref="C15" authorId="0" shapeId="0" xr:uid="{73A5AA83-8D09-4912-9440-F7FE9CA3909A}">
      <text>
        <r>
          <rPr>
            <b/>
            <sz val="9"/>
            <color indexed="81"/>
            <rFont val="Tahoma"/>
            <family val="2"/>
            <charset val="204"/>
          </rPr>
          <t>FildBreaker:</t>
        </r>
        <r>
          <rPr>
            <sz val="9"/>
            <color indexed="81"/>
            <rFont val="Tahoma"/>
            <family val="2"/>
            <charset val="204"/>
          </rPr>
          <t xml:space="preserve">
При с0 = фанфар не больше 300
При с1 и больше, не больше 400</t>
        </r>
      </text>
    </comment>
    <comment ref="U15" authorId="0" shapeId="0" xr:uid="{91F93B27-2751-409C-95D8-79A517E3BE23}">
      <text>
        <r>
          <rPr>
            <b/>
            <sz val="9"/>
            <color indexed="81"/>
            <rFont val="Tahoma"/>
            <family val="2"/>
            <charset val="204"/>
          </rPr>
          <t>FildBreaker:</t>
        </r>
        <r>
          <rPr>
            <sz val="9"/>
            <color indexed="81"/>
            <rFont val="Tahoma"/>
            <family val="2"/>
            <charset val="204"/>
          </rPr>
          <t xml:space="preserve">
Использование навыка Камнеломка Рюкин увеличивает силу атаки ближайших членов отряда (кроме Ёимии) на 10% в течение 15 сек. Имеющиеся на момент активирования навыка Камнеломка Рюкин уровни складывания «Трюков нарушителя порядка» Ёимии дополнительно повышают бонус силы атаки. Каждый уровень повышает бонус силы атаки на 1%.</t>
        </r>
      </text>
    </comment>
    <comment ref="Y15" authorId="0" shapeId="0" xr:uid="{56A578B3-6F64-4EC1-ADC9-165F0D57A46A}">
      <text>
        <r>
          <rPr>
            <b/>
            <sz val="9"/>
            <color indexed="81"/>
            <rFont val="Tahoma"/>
            <family val="2"/>
            <charset val="204"/>
          </rPr>
          <t>FildBreaker:</t>
        </r>
        <r>
          <rPr>
            <sz val="9"/>
            <color indexed="81"/>
            <rFont val="Tahoma"/>
            <family val="2"/>
            <charset val="204"/>
          </rPr>
          <t xml:space="preserve">
уровни складывания «Трюков нарушителя порядка»</t>
        </r>
      </text>
    </comment>
    <comment ref="AI15" authorId="0" shapeId="0" xr:uid="{B33A2D52-A134-4BDE-A502-275A7026EE9E}">
      <text>
        <r>
          <rPr>
            <b/>
            <sz val="9"/>
            <color indexed="81"/>
            <rFont val="Tahoma"/>
            <family val="2"/>
            <charset val="204"/>
          </rPr>
          <t>FildBreaker:</t>
        </r>
        <r>
          <rPr>
            <sz val="9"/>
            <color indexed="81"/>
            <rFont val="Tahoma"/>
            <family val="2"/>
            <charset val="204"/>
          </rPr>
          <t xml:space="preserve">
В зависимости от Лунного знамения отряда Флинс получает соответствующие усиления.
Лунное знамение - Высшее сияние: урон реакции Лунный заряд Флинса увеличивается на 20%.</t>
        </r>
      </text>
    </comment>
    <comment ref="U16" authorId="0" shapeId="0" xr:uid="{D1BD7A91-0AEB-44CD-BDB3-EEA29126252B}">
      <text>
        <r>
          <rPr>
            <b/>
            <sz val="9"/>
            <color indexed="81"/>
            <rFont val="Tahoma"/>
            <family val="2"/>
            <charset val="204"/>
          </rPr>
          <t>FildBreaker:</t>
        </r>
        <r>
          <rPr>
            <sz val="9"/>
            <color indexed="81"/>
            <rFont val="Tahoma"/>
            <family val="2"/>
            <charset val="204"/>
          </rPr>
          <t xml:space="preserve">
После активации взрыва стихии Час пылающих небес урон активного персонажа повышается на 0.2% за каждое очко Боевого духа, имеющееся на момент его применения. Максимальное увеличение урона активного персонажа отряда, которое можно получить таким способом, составляет 40%. Этот эффект длится 20 сек. и в течение этого времени постепенно убывает, пока не достигнет 0.</t>
        </r>
      </text>
    </comment>
    <comment ref="Y16" authorId="0" shapeId="0" xr:uid="{78F5D231-C267-4F4E-B9E9-32AE4642F1B3}">
      <text>
        <r>
          <rPr>
            <b/>
            <sz val="9"/>
            <color indexed="81"/>
            <rFont val="Tahoma"/>
            <family val="2"/>
            <charset val="204"/>
          </rPr>
          <t>FildBreaker:</t>
        </r>
        <r>
          <rPr>
            <sz val="9"/>
            <color indexed="81"/>
            <rFont val="Tahoma"/>
            <family val="2"/>
            <charset val="204"/>
          </rPr>
          <t xml:space="preserve">
Кол-во секунд с начала активации баффа
от 1 до 20сек
</t>
        </r>
      </text>
    </comment>
    <comment ref="AI16" authorId="0" shapeId="0" xr:uid="{708AA325-DE8B-4B39-B065-4B8BF321DB86}">
      <text>
        <r>
          <rPr>
            <b/>
            <sz val="9"/>
            <color indexed="81"/>
            <rFont val="Tahoma"/>
            <family val="2"/>
            <charset val="204"/>
          </rPr>
          <t>FildBreaker:</t>
        </r>
        <r>
          <rPr>
            <sz val="9"/>
            <color indexed="81"/>
            <rFont val="Tahoma"/>
            <family val="2"/>
            <charset val="204"/>
          </rPr>
          <t xml:space="preserve">
Лунное знамение - Высшее сияние: когда Флинс на поле, а его Электро атаки поражают врага, Электро сопротивление этого врага снижается на 25% на 7 сек.</t>
        </r>
      </text>
    </comment>
    <comment ref="H17" authorId="0" shapeId="0" xr:uid="{AE7A781B-630B-4F63-B418-FF396966ABD6}">
      <text>
        <r>
          <rPr>
            <b/>
            <sz val="9"/>
            <color indexed="81"/>
            <rFont val="Tahoma"/>
            <family val="2"/>
            <charset val="204"/>
          </rPr>
          <t>FildBreaker: Q</t>
        </r>
        <r>
          <rPr>
            <sz val="9"/>
            <color indexed="81"/>
            <rFont val="Tahoma"/>
            <family val="2"/>
            <charset val="204"/>
          </rPr>
          <t xml:space="preserve">
</t>
        </r>
      </text>
    </comment>
    <comment ref="U17" authorId="0" shapeId="0" xr:uid="{2AC3B198-A484-4B9F-9A39-FAB19EAFB49E}">
      <text>
        <r>
          <rPr>
            <b/>
            <sz val="9"/>
            <color indexed="81"/>
            <rFont val="Tahoma"/>
            <family val="2"/>
            <charset val="204"/>
          </rPr>
          <t>FildBreaker:</t>
        </r>
        <r>
          <rPr>
            <sz val="9"/>
            <color indexed="81"/>
            <rFont val="Tahoma"/>
            <family val="2"/>
            <charset val="204"/>
          </rPr>
          <t xml:space="preserve">
Кольцо испепеляющего сияния: защита врагов поблизости снижается на 20%.</t>
        </r>
      </text>
    </comment>
    <comment ref="AI17" authorId="0" shapeId="0" xr:uid="{0B8CDB4C-5CC8-4F1E-980C-7FA83ACFD33C}">
      <text>
        <r>
          <rPr>
            <b/>
            <sz val="9"/>
            <color indexed="81"/>
            <rFont val="Tahoma"/>
            <family val="2"/>
            <charset val="204"/>
          </rPr>
          <t>FildBreaker:</t>
        </r>
        <r>
          <rPr>
            <sz val="9"/>
            <color indexed="81"/>
            <rFont val="Tahoma"/>
            <family val="2"/>
            <charset val="204"/>
          </rPr>
          <t xml:space="preserve">
Лунное знамение - Высшее сияние: урон Лунного заряда членов отряда поблизости возвышается на 10%.</t>
        </r>
      </text>
    </comment>
    <comment ref="H18" authorId="0" shapeId="0" xr:uid="{6E4AFC23-B6B5-4520-BD43-F3B6860801C5}">
      <text>
        <r>
          <rPr>
            <b/>
            <sz val="9"/>
            <color indexed="81"/>
            <rFont val="Tahoma"/>
            <family val="2"/>
            <charset val="204"/>
          </rPr>
          <t xml:space="preserve">FildBreaker: C4 </t>
        </r>
        <r>
          <rPr>
            <sz val="9"/>
            <color indexed="81"/>
            <rFont val="Tahoma"/>
            <family val="2"/>
            <charset val="204"/>
          </rPr>
          <t xml:space="preserve">
Попадания любого члена вашего отряда по врагу со статусом Омен увеличивают шанс крит. попадания на 15%. </t>
        </r>
      </text>
    </comment>
    <comment ref="M18" authorId="0" shapeId="0" xr:uid="{EE948910-35F1-4E0D-B898-A5B852E999B0}">
      <text>
        <r>
          <rPr>
            <b/>
            <sz val="9"/>
            <color indexed="81"/>
            <rFont val="Tahoma"/>
            <family val="2"/>
            <charset val="204"/>
          </rPr>
          <t>FildBreaker:</t>
        </r>
        <r>
          <rPr>
            <sz val="9"/>
            <color indexed="81"/>
            <rFont val="Tahoma"/>
            <family val="2"/>
            <charset val="204"/>
          </rPr>
          <t xml:space="preserve">
Исходные сэмплы Гео Шилонен всегда активны. Когда Исходные сэмплы Шилонен активны, все члены отряда поблизости, чей элемент соответствует элементу Исходного сэмпла, получают следующие эффекты:
· Гео: наносимый урон увеличивается на 50%.
· Пиро: сила атаки увеличивается на 45%.
· Гидро: макс. HP увеличивается на 45%.
· Крио: крит. урон увеличивается на 60%.
· Электро: восстанавливает 25 ед. энергии, а также сокращает откат взрыва стихии на 6 сек.</t>
        </r>
      </text>
    </comment>
    <comment ref="N18" authorId="0" shapeId="0" xr:uid="{DC861420-898F-4D1C-9530-33B951814E4F}">
      <text>
        <r>
          <rPr>
            <b/>
            <sz val="9"/>
            <color indexed="81"/>
            <rFont val="Tahoma"/>
            <family val="2"/>
            <charset val="204"/>
          </rPr>
          <t>FildBreaker:</t>
        </r>
        <r>
          <rPr>
            <sz val="9"/>
            <color indexed="81"/>
            <rFont val="Tahoma"/>
            <family val="2"/>
            <charset val="204"/>
          </rPr>
          <t xml:space="preserve">
Впиши элемент активного персонажа.
Гео ==</t>
        </r>
        <r>
          <rPr>
            <b/>
            <sz val="9"/>
            <color indexed="81"/>
            <rFont val="Tahoma"/>
            <family val="2"/>
            <charset val="204"/>
          </rPr>
          <t xml:space="preserve"> 1</t>
        </r>
        <r>
          <rPr>
            <sz val="9"/>
            <color indexed="81"/>
            <rFont val="Tahoma"/>
            <family val="2"/>
            <charset val="204"/>
          </rPr>
          <t xml:space="preserve">
Пиро == </t>
        </r>
        <r>
          <rPr>
            <b/>
            <sz val="9"/>
            <color indexed="81"/>
            <rFont val="Tahoma"/>
            <family val="2"/>
            <charset val="204"/>
          </rPr>
          <t>2</t>
        </r>
        <r>
          <rPr>
            <sz val="9"/>
            <color indexed="81"/>
            <rFont val="Tahoma"/>
            <family val="2"/>
            <charset val="204"/>
          </rPr>
          <t xml:space="preserve">
Гидро == </t>
        </r>
        <r>
          <rPr>
            <b/>
            <sz val="9"/>
            <color indexed="81"/>
            <rFont val="Tahoma"/>
            <family val="2"/>
            <charset val="204"/>
          </rPr>
          <t>3</t>
        </r>
        <r>
          <rPr>
            <sz val="9"/>
            <color indexed="81"/>
            <rFont val="Tahoma"/>
            <family val="2"/>
            <charset val="204"/>
          </rPr>
          <t xml:space="preserve">
Крио ==</t>
        </r>
        <r>
          <rPr>
            <b/>
            <sz val="9"/>
            <color indexed="81"/>
            <rFont val="Tahoma"/>
            <family val="2"/>
            <charset val="204"/>
          </rPr>
          <t xml:space="preserve"> 4</t>
        </r>
        <r>
          <rPr>
            <sz val="9"/>
            <color indexed="81"/>
            <rFont val="Tahoma"/>
            <family val="2"/>
            <charset val="204"/>
          </rPr>
          <t xml:space="preserve">
Электро (смысла нет т.к. он урон увеличивает косвенно)</t>
        </r>
      </text>
    </comment>
    <comment ref="U18" authorId="0" shapeId="0" xr:uid="{23066952-D911-4E2D-90C0-9BA378B18896}">
      <text>
        <r>
          <rPr>
            <b/>
            <sz val="9"/>
            <color indexed="81"/>
            <rFont val="Tahoma"/>
            <family val="2"/>
            <charset val="204"/>
          </rPr>
          <t>FildBreaker:</t>
        </r>
        <r>
          <rPr>
            <sz val="9"/>
            <color indexed="81"/>
            <rFont val="Tahoma"/>
            <family val="2"/>
            <charset val="204"/>
          </rPr>
          <t xml:space="preserve">
Увеличение урона, получаемое после использования взрыва стихии Час пылающих небес, больше со временем не убывает, а также дополнительно даётся 10% бонус урона.</t>
        </r>
      </text>
    </comment>
    <comment ref="AI18" authorId="0" shapeId="0" xr:uid="{C8A38588-C342-4761-860C-3D6FDCD8DEC5}">
      <text>
        <r>
          <rPr>
            <b/>
            <sz val="9"/>
            <color indexed="81"/>
            <rFont val="Tahoma"/>
            <family val="2"/>
            <charset val="204"/>
          </rPr>
          <t>FildBreaker:</t>
        </r>
        <r>
          <rPr>
            <sz val="9"/>
            <color indexed="81"/>
            <rFont val="Tahoma"/>
            <family val="2"/>
            <charset val="204"/>
          </rPr>
          <t xml:space="preserve">
Во время применения взрыва стихии Высшая команда: Циклонический истребитель все персонажи вашего отряда получают эффект Параметрического преобразования: мастерство стихий Инеффы и вашего активного персонажа на 20 сек. повышается на 6% от силы атаки Инеффы.</t>
        </r>
      </text>
    </comment>
    <comment ref="AJ18" authorId="0" shapeId="0" xr:uid="{8F922D17-45CC-4751-82A8-156992C756C4}">
      <text>
        <r>
          <rPr>
            <b/>
            <sz val="9"/>
            <color indexed="81"/>
            <rFont val="Tahoma"/>
            <family val="2"/>
            <charset val="204"/>
          </rPr>
          <t>FildBreaker:</t>
        </r>
        <r>
          <rPr>
            <sz val="9"/>
            <color indexed="81"/>
            <rFont val="Tahoma"/>
            <family val="2"/>
            <charset val="204"/>
          </rPr>
          <t xml:space="preserve">
Атк Инефф
</t>
        </r>
      </text>
    </comment>
    <comment ref="H19" authorId="0" shapeId="0" xr:uid="{8033D8DD-3AF4-4CE2-BE98-96DB8575A327}">
      <text>
        <r>
          <rPr>
            <b/>
            <sz val="9"/>
            <color indexed="81"/>
            <rFont val="Tahoma"/>
            <family val="2"/>
            <charset val="204"/>
          </rPr>
          <t>FildBreaker: C1</t>
        </r>
        <r>
          <rPr>
            <sz val="9"/>
            <color indexed="81"/>
            <rFont val="Tahoma"/>
            <family val="2"/>
            <charset val="204"/>
          </rPr>
          <t xml:space="preserve">
Увеличивает урон реакций Заряжен, Лунный заряд, Пар и Гидро рассеивание на 15%;</t>
        </r>
      </text>
    </comment>
    <comment ref="M19" authorId="0" shapeId="0" xr:uid="{88B2743C-D413-41BC-A2C1-EA9ACF60BC86}">
      <text>
        <r>
          <rPr>
            <b/>
            <sz val="9"/>
            <color indexed="81"/>
            <rFont val="Tahoma"/>
            <family val="2"/>
            <charset val="204"/>
          </rPr>
          <t>FildBreaker:</t>
        </r>
        <r>
          <rPr>
            <sz val="9"/>
            <color indexed="81"/>
            <rFont val="Tahoma"/>
            <family val="2"/>
            <charset val="204"/>
          </rPr>
          <t xml:space="preserve">
После того как Шилонен использует Скретч Йоуаль, она на 15 сек. наделяет всех персонажей отряда поблизости Цветущей милостью.
Обычные атаки, заряженные атаки и атаки в падении персонажей с Цветущей милостью наносят урон, повышенный на 65% от защиты Шилонен. Эффект отменяется после того как активируется 6 раз или когда заканчивается время его действия.
Если одновременно поразить нескольких врагов, количество активаций подсчитывается согласно числу поражённых врагов. Цветущая милость рассчитывается для всех членов отряда отдельно.</t>
        </r>
      </text>
    </comment>
    <comment ref="U19" authorId="0" shapeId="0" xr:uid="{9A58CA95-6582-48A2-9D61-ADAED5088AC5}">
      <text>
        <r>
          <rPr>
            <b/>
            <sz val="9"/>
            <color indexed="81"/>
            <rFont val="Tahoma"/>
            <family val="2"/>
            <charset val="204"/>
          </rPr>
          <t>FildBreaker:</t>
        </r>
        <r>
          <rPr>
            <sz val="9"/>
            <color indexed="81"/>
            <rFont val="Tahoma"/>
            <family val="2"/>
            <charset val="204"/>
          </rPr>
          <t xml:space="preserve">
После окончания навыка Атака Гобы на месте его исчезновения остаётся перец. Этот перец увеличивает силу атаки на 10% в течение 10 сек.</t>
        </r>
      </text>
    </comment>
    <comment ref="AI19" authorId="0" shapeId="0" xr:uid="{1DD14F93-CC55-4331-8961-0ACCCDF8BFE9}">
      <text>
        <r>
          <rPr>
            <b/>
            <sz val="9"/>
            <color indexed="81"/>
            <rFont val="Tahoma"/>
            <family val="2"/>
            <charset val="204"/>
          </rPr>
          <t>FildBreaker:</t>
        </r>
        <r>
          <rPr>
            <sz val="9"/>
            <color indexed="81"/>
            <rFont val="Tahoma"/>
            <family val="2"/>
            <charset val="204"/>
          </rPr>
          <t xml:space="preserve">
Когда персонажи отряда активируют реакцию Заряжен, она превращается в Лунный заряд, а базовый урон реакции Лунный заряд увеличивается на 0,7% за каждые 100 ед. силы атаки Инеффы. Максимальное увеличение урона, которое можно получить таким образом, составляет 14%.</t>
        </r>
      </text>
    </comment>
    <comment ref="AI20" authorId="0" shapeId="0" xr:uid="{9BF17CA8-E673-4228-83C8-E3A587B3A9F0}">
      <text>
        <r>
          <rPr>
            <b/>
            <sz val="9"/>
            <color indexed="81"/>
            <rFont val="Tahoma"/>
            <family val="2"/>
            <charset val="204"/>
          </rPr>
          <t>FildBreaker:</t>
        </r>
        <r>
          <rPr>
            <sz val="9"/>
            <color indexed="81"/>
            <rFont val="Tahoma"/>
            <family val="2"/>
            <charset val="204"/>
          </rPr>
          <t xml:space="preserve">
Когда Инеффа развёртывает Барьер оптического потока, все персонажи отряда поблизости на 20 сек. наделяются эффектом Токонесущего композита, который увеличивает урон реакции Лунный заряд на 2,5% за каждые 100 ед. силы атаки Инеффы. Максимальное увеличение урона, которое можно получить таким образом, составляет 50%.</t>
        </r>
      </text>
    </comment>
    <comment ref="C23" authorId="0" shapeId="0" xr:uid="{0D8804E1-DD56-49E8-99E0-B53678402F5F}">
      <text>
        <r>
          <rPr>
            <b/>
            <sz val="9"/>
            <color indexed="81"/>
            <rFont val="Tahoma"/>
            <family val="2"/>
            <charset val="204"/>
          </rPr>
          <t>FildBreaker:</t>
        </r>
        <r>
          <rPr>
            <sz val="9"/>
            <color indexed="81"/>
            <rFont val="Tahoma"/>
            <family val="2"/>
            <charset val="204"/>
          </rPr>
          <t xml:space="preserve">
Мс Кадзухи</t>
        </r>
      </text>
    </comment>
    <comment ref="H23" authorId="0" shapeId="0" xr:uid="{84B770A0-09FA-420A-B222-85283EE5D8B9}">
      <text>
        <r>
          <rPr>
            <b/>
            <sz val="9"/>
            <color indexed="81"/>
            <rFont val="Tahoma"/>
            <family val="2"/>
            <charset val="204"/>
          </rPr>
          <t>FildBreaker:</t>
        </r>
        <r>
          <rPr>
            <sz val="9"/>
            <color indexed="81"/>
            <rFont val="Tahoma"/>
            <family val="2"/>
            <charset val="204"/>
          </rPr>
          <t xml:space="preserve">
Мс Сахарозы</t>
        </r>
      </text>
    </comment>
    <comment ref="M23" authorId="0" shapeId="0" xr:uid="{DBDC30CE-549F-47E8-9813-7909A1272DAA}">
      <text>
        <r>
          <rPr>
            <b/>
            <sz val="9"/>
            <color indexed="81"/>
            <rFont val="Tahoma"/>
            <family val="2"/>
            <charset val="204"/>
          </rPr>
          <t>FildBreaker:</t>
        </r>
        <r>
          <rPr>
            <sz val="9"/>
            <color indexed="81"/>
            <rFont val="Tahoma"/>
            <family val="2"/>
            <charset val="204"/>
          </rPr>
          <t xml:space="preserve">
Мс Ситлали
</t>
        </r>
      </text>
    </comment>
    <comment ref="C27" authorId="0" shapeId="0" xr:uid="{AAD0D752-ECE2-45B2-A1CC-129C995D91A4}">
      <text>
        <r>
          <rPr>
            <b/>
            <sz val="9"/>
            <color indexed="81"/>
            <rFont val="Tahoma"/>
            <family val="2"/>
            <charset val="204"/>
          </rPr>
          <t>FildBreaker:</t>
        </r>
        <r>
          <rPr>
            <sz val="9"/>
            <color indexed="81"/>
            <rFont val="Tahoma"/>
            <family val="2"/>
            <charset val="204"/>
          </rPr>
          <t xml:space="preserve">
Вызывая реакцию Рассеивания, Кадзуха даёт остальным членам отряда 0,04% бонус элементального урона соответствующего элемента за каждую единицу собственного мастерства стихий в течение 8 сек. Полученные этим способом бонусы разных элементов могут совмещаться.</t>
        </r>
      </text>
    </comment>
    <comment ref="D27" authorId="0" shapeId="0" xr:uid="{679DF252-A57F-4DE3-BDE8-0D523F2BE802}">
      <text>
        <r>
          <rPr>
            <b/>
            <sz val="9"/>
            <color indexed="81"/>
            <rFont val="Tahoma"/>
            <family val="2"/>
            <charset val="204"/>
          </rPr>
          <t>FildBreaker:</t>
        </r>
        <r>
          <rPr>
            <sz val="9"/>
            <color indexed="81"/>
            <rFont val="Tahoma"/>
            <family val="2"/>
            <charset val="204"/>
          </rPr>
          <t xml:space="preserve">
Выберете элемент, который баффает Кадзуха
Пиро == 1
Гидро == 2
Электро == 3
Крио == 4</t>
        </r>
      </text>
    </comment>
    <comment ref="H27" authorId="0" shapeId="0" xr:uid="{1D121F78-FA38-4413-BB80-BE4E5B0D38B9}">
      <text>
        <r>
          <rPr>
            <b/>
            <sz val="9"/>
            <color indexed="81"/>
            <rFont val="Tahoma"/>
            <family val="2"/>
            <charset val="204"/>
          </rPr>
          <t>FildBreaker:</t>
        </r>
        <r>
          <rPr>
            <sz val="9"/>
            <color indexed="81"/>
            <rFont val="Tahoma"/>
            <family val="2"/>
            <charset val="204"/>
          </rPr>
          <t xml:space="preserve">
При попадании навыками «Эксперимент №6308» или «Запретно! Изомер 75 / Тип II» увеличивает мастерство стихий остальных членов отряда (но не у Сахарозы) на 20% от мастерства стихий Сахарозы в течение 8 сек.</t>
        </r>
      </text>
    </comment>
    <comment ref="M27" authorId="0" shapeId="0" xr:uid="{3A7DFAD6-DC34-43EF-AD4A-86703025E731}">
      <text>
        <r>
          <rPr>
            <b/>
            <sz val="9"/>
            <color indexed="81"/>
            <rFont val="Tahoma"/>
            <family val="2"/>
            <charset val="204"/>
          </rPr>
          <t>FildBreaker:</t>
        </r>
        <r>
          <rPr>
            <sz val="9"/>
            <color indexed="81"/>
            <rFont val="Tahoma"/>
            <family val="2"/>
            <charset val="204"/>
          </rPr>
          <t xml:space="preserve">
Когда Ицпапа находится на поле боя, а члены отряда поблизости активируют реакции Заморозка или Таяние, то Пиро и Гидро сопротивление поражённых ими противников снижается на 20% на 12 сек. Кроме того, Ситлали восстанавливает 16 очков Ночного духа. Восстанавливать очки Ночного духа таким способом можно один раз в 8 сек.</t>
        </r>
      </text>
    </comment>
    <comment ref="C28" authorId="0" shapeId="0" xr:uid="{F4DEB914-5C9D-4E8B-B15A-9F15E6AF9A3B}">
      <text>
        <r>
          <rPr>
            <b/>
            <sz val="9"/>
            <color indexed="81"/>
            <rFont val="Tahoma"/>
            <family val="2"/>
            <charset val="204"/>
          </rPr>
          <t>FildBreaker:</t>
        </r>
        <r>
          <rPr>
            <sz val="9"/>
            <color indexed="81"/>
            <rFont val="Tahoma"/>
            <family val="2"/>
            <charset val="204"/>
          </rPr>
          <t xml:space="preserve">
Поле Осеннего вихря, созданное навыком Удар Кадзухи, имеет следующие свойства:
· Увеличивает мастерство стихий Кадзухи на 200 ед.
· Увеличивает мастерство стихий персонажей внутри поля на 200 ед.
Эффекты увеличения мастерства стихий этого созвездия не складываются.</t>
        </r>
      </text>
    </comment>
    <comment ref="H28" authorId="0" shapeId="0" xr:uid="{1A87DF66-FE12-4C17-B6FD-31DB99BF46B4}">
      <text>
        <r>
          <rPr>
            <b/>
            <sz val="9"/>
            <color indexed="81"/>
            <rFont val="Tahoma"/>
            <family val="2"/>
            <charset val="204"/>
          </rPr>
          <t>FildBreaker:</t>
        </r>
        <r>
          <rPr>
            <sz val="9"/>
            <color indexed="81"/>
            <rFont val="Tahoma"/>
            <family val="2"/>
            <charset val="204"/>
          </rPr>
          <t xml:space="preserve">
Если навык Запретно! Изомер 75 / Тип II активировал поглощение стихий, все члены отряда получают 20% бонус урона соответствующего элемента на время действия навыка.</t>
        </r>
      </text>
    </comment>
    <comment ref="I28" authorId="0" shapeId="0" xr:uid="{FDACCCF1-D6FB-4BC8-A640-2E9EAEC10F1C}">
      <text>
        <r>
          <rPr>
            <b/>
            <sz val="9"/>
            <color indexed="81"/>
            <rFont val="Tahoma"/>
            <family val="2"/>
            <charset val="204"/>
          </rPr>
          <t>FildBreaker:</t>
        </r>
        <r>
          <rPr>
            <sz val="9"/>
            <color indexed="81"/>
            <rFont val="Tahoma"/>
            <family val="2"/>
            <charset val="204"/>
          </rPr>
          <t xml:space="preserve">
Выберете элемент, который баффает Сахароза
Пиро == 1
Гидро == 2
Электро == 3
Крио == 4</t>
        </r>
      </text>
    </comment>
    <comment ref="M28" authorId="0" shapeId="0" xr:uid="{C79EAAC1-A9A1-48CD-8129-DF476830569E}">
      <text>
        <r>
          <rPr>
            <b/>
            <sz val="9"/>
            <color indexed="81"/>
            <rFont val="Tahoma"/>
            <family val="2"/>
            <charset val="204"/>
          </rPr>
          <t>FildBreaker:</t>
        </r>
        <r>
          <rPr>
            <sz val="9"/>
            <color indexed="81"/>
            <rFont val="Tahoma"/>
            <family val="2"/>
            <charset val="204"/>
          </rPr>
          <t xml:space="preserve">
При использовании элементального навыка Тёмная звезда утреннего инея Ситлали до тех пор, пока Ицпапа не покинет поле боя, обретает эффект Одеяния опаловой звезды: во время его действия Ситлали получает 10 уровней Звёздных клинков. Когда активный персонаж поблизости за исключением Ситлали наносит урон обычной атакой, заряженной атакой, атакой в падении, элементальным навыком или взрывом стихии, 1 уровень Звёздных клинков расходуется и повышает наносимый урон на 200% от мастерства стихий Ситлали.
После того как персонажи отряда поблизости активируют реакции Заморозка или Таяние, Ситлали дополнительно получает 3 уровня Звёздных клинков. Такой эффект может возникнуть один раз в 8 сек.
При использовании элементального навыка Тёмная звезда утреннего инея количество уровней Звёздных клинков сбрасывается.</t>
        </r>
      </text>
    </comment>
    <comment ref="M29" authorId="0" shapeId="0" xr:uid="{3877D20B-9796-4107-AA53-8E3FF701D21B}">
      <text>
        <r>
          <rPr>
            <b/>
            <sz val="9"/>
            <color indexed="81"/>
            <rFont val="Tahoma"/>
            <family val="2"/>
            <charset val="204"/>
          </rPr>
          <t>FildBreaker:</t>
        </r>
        <r>
          <rPr>
            <sz val="9"/>
            <color indexed="81"/>
            <rFont val="Tahoma"/>
            <family val="2"/>
            <charset val="204"/>
          </rPr>
          <t xml:space="preserve">
Мастерство стихий Ситлали увеличивается на 125 ед., а персонажей, которые защищены её Опаловым щитом или за которыми следует Ицпапа, - на 250 ед.
Вдобавок во время использования элементального навыка Тёмная звезда утреннего инея активные персонажи поблизости также наделяются Опаловым щитом.
Кроме того, усиливается эффект пассивного таланта Холодного дождя Мамалоако:
Когда Ицпапа находится на поле боя, а члены отряда поблизости активируют реакции Заморозка или Таяние, Пиро и Гидро сопротивление подверженных им противников дополнительно снижается на 20% на 12 сек. Требуется разблокировать пассивный талант Холодный дождь Мамалоако.</t>
        </r>
      </text>
    </comment>
    <comment ref="M30" authorId="0" shapeId="0" xr:uid="{6D02FB85-F3D0-4F26-A509-4EDB3BFD14ED}">
      <text>
        <r>
          <rPr>
            <b/>
            <sz val="9"/>
            <color indexed="81"/>
            <rFont val="Tahoma"/>
            <family val="2"/>
            <charset val="204"/>
          </rPr>
          <t>FildBreaker:</t>
        </r>
        <r>
          <rPr>
            <sz val="9"/>
            <color indexed="81"/>
            <rFont val="Tahoma"/>
            <family val="2"/>
            <charset val="204"/>
          </rPr>
          <t xml:space="preserve">
Ицпапа, призванный элементальным навыком Тёмная звезда утреннего инея, всегда будет пребывать в состоянии Белого пламени, а когда очки Ночного духа исчерпаются, это состояние не завершится.
Кроме того, во время использования элементального навыка Тёмная звезда утреннего инея Ицпапа израсходует все очки Ночного духа, а во время своего существования будет непрерывно расходовать очки Ночного духа. За каждое очко Ночного духа, потраченное таким способом, Ситлали будет получать 1 очко Свода тайных законов.
Максимум очков Свода тайных законов составляет 40. За каждое очко Свода тайных законов все персонажи поблизости получают 1.5% бонуса Пиро и Гидро урона, а наносимый урон Ситлали повышается на 2.5%.
Когда Ицпапа покидает поле боя или ещё раз используется элементальный навык, все очки Свода тайных законов Ситлали исчезают.</t>
        </r>
      </text>
    </comment>
    <comment ref="N30" authorId="0" shapeId="0" xr:uid="{E71B3106-0E3C-4096-847F-68344B7FE87E}">
      <text>
        <r>
          <rPr>
            <b/>
            <sz val="9"/>
            <color indexed="81"/>
            <rFont val="Tahoma"/>
            <family val="2"/>
            <charset val="204"/>
          </rPr>
          <t>FildBreaker:</t>
        </r>
        <r>
          <rPr>
            <sz val="9"/>
            <color indexed="81"/>
            <rFont val="Tahoma"/>
            <family val="2"/>
            <charset val="204"/>
          </rPr>
          <t xml:space="preserve">
Очки свода тайных законов
От 0 до 40</t>
        </r>
      </text>
    </comment>
    <comment ref="C33" authorId="0" shapeId="0" xr:uid="{53EDA0DE-5BB9-4070-85F9-71A4C8859255}">
      <text>
        <r>
          <rPr>
            <b/>
            <sz val="9"/>
            <color indexed="81"/>
            <rFont val="Tahoma"/>
            <family val="2"/>
            <charset val="204"/>
          </rPr>
          <t>FildBreaker:</t>
        </r>
        <r>
          <rPr>
            <sz val="9"/>
            <color indexed="81"/>
            <rFont val="Tahoma"/>
            <family val="2"/>
            <charset val="204"/>
          </rPr>
          <t xml:space="preserve">
Атк Шэнь Хэ общее</t>
        </r>
      </text>
    </comment>
    <comment ref="H33" authorId="0" shapeId="0" xr:uid="{C467F92F-E148-4F96-815F-778F07C12E04}">
      <text>
        <r>
          <rPr>
            <b/>
            <sz val="9"/>
            <color indexed="81"/>
            <rFont val="Tahoma"/>
            <family val="2"/>
            <charset val="204"/>
          </rPr>
          <t>FildBreaker:</t>
        </r>
        <r>
          <rPr>
            <sz val="9"/>
            <color indexed="81"/>
            <rFont val="Tahoma"/>
            <family val="2"/>
            <charset val="204"/>
          </rPr>
          <t xml:space="preserve">
От 1 до 15 прокачка таланта</t>
        </r>
      </text>
    </comment>
    <comment ref="M33" authorId="0" shapeId="0" xr:uid="{ABF1BBC7-0DA0-44FF-8D6D-9623611A0364}">
      <text>
        <r>
          <rPr>
            <b/>
            <sz val="9"/>
            <color indexed="81"/>
            <rFont val="Tahoma"/>
            <family val="2"/>
            <charset val="204"/>
          </rPr>
          <t xml:space="preserve">Базовая атака Фарузан
</t>
        </r>
        <r>
          <rPr>
            <sz val="9"/>
            <color indexed="81"/>
            <rFont val="Tahoma"/>
            <family val="2"/>
            <charset val="204"/>
          </rPr>
          <t xml:space="preserve">Небесное крыло - </t>
        </r>
        <r>
          <rPr>
            <b/>
            <sz val="9"/>
            <color indexed="81"/>
            <rFont val="Tahoma"/>
            <family val="2"/>
            <charset val="204"/>
          </rPr>
          <t xml:space="preserve">857
</t>
        </r>
        <r>
          <rPr>
            <sz val="9"/>
            <color indexed="81"/>
            <rFont val="Tahoma"/>
            <family val="2"/>
            <charset val="204"/>
          </rPr>
          <t xml:space="preserve">Амос / Элегия </t>
        </r>
        <r>
          <rPr>
            <b/>
            <sz val="9"/>
            <color indexed="81"/>
            <rFont val="Tahoma"/>
            <family val="2"/>
            <charset val="204"/>
          </rPr>
          <t xml:space="preserve">- 791
</t>
        </r>
        <r>
          <rPr>
            <sz val="9"/>
            <color indexed="81"/>
            <rFont val="Tahoma"/>
            <family val="2"/>
            <charset val="204"/>
          </rPr>
          <t>Фавоний</t>
        </r>
        <r>
          <rPr>
            <b/>
            <sz val="9"/>
            <color indexed="81"/>
            <rFont val="Tahoma"/>
            <family val="2"/>
            <charset val="204"/>
          </rPr>
          <t xml:space="preserve"> - 637
</t>
        </r>
      </text>
    </comment>
    <comment ref="H35" authorId="0" shapeId="0" xr:uid="{3211149E-CBBF-4657-A9B4-653B2E234864}">
      <text>
        <r>
          <rPr>
            <b/>
            <sz val="9"/>
            <color indexed="81"/>
            <rFont val="Tahoma"/>
            <family val="2"/>
            <charset val="204"/>
          </rPr>
          <t>FildBreaker:</t>
        </r>
        <r>
          <rPr>
            <sz val="9"/>
            <color indexed="81"/>
            <rFont val="Tahoma"/>
            <family val="2"/>
            <charset val="204"/>
          </rPr>
          <t xml:space="preserve">
Кол-во гео в отряде
1/2/3</t>
        </r>
      </text>
    </comment>
    <comment ref="M37" authorId="0" shapeId="0" xr:uid="{ED50392F-8077-420F-BD6D-D7CE7AAE66A6}">
      <text>
        <r>
          <rPr>
            <b/>
            <sz val="9"/>
            <color indexed="81"/>
            <rFont val="Tahoma"/>
            <family val="2"/>
            <charset val="204"/>
          </rPr>
          <t>FildBreaker:</t>
        </r>
        <r>
          <rPr>
            <sz val="9"/>
            <color indexed="81"/>
            <rFont val="Tahoma"/>
            <family val="2"/>
            <charset val="204"/>
          </rPr>
          <t xml:space="preserve">
При попадании Штормовая волна накладывает на противников поблизости Бич коварных ветров, который снижает их Анемо сопротивление.</t>
        </r>
      </text>
    </comment>
    <comment ref="H38" authorId="0" shapeId="0" xr:uid="{375C6E31-9BA0-4B0A-B273-1489267D076B}">
      <text>
        <r>
          <rPr>
            <b/>
            <sz val="9"/>
            <color indexed="81"/>
            <rFont val="Tahoma"/>
            <family val="2"/>
            <charset val="204"/>
          </rPr>
          <t>FildBreaker:</t>
        </r>
        <r>
          <rPr>
            <sz val="9"/>
            <color indexed="81"/>
            <rFont val="Tahoma"/>
            <family val="2"/>
            <charset val="204"/>
          </rPr>
          <t xml:space="preserve">
В течение 12 сек. после запуска навыка Дзюга: Вперёд к победе защита всех членов отряда поблизости увеличивается на 25%.</t>
        </r>
      </text>
    </comment>
    <comment ref="M38" authorId="0" shapeId="0" xr:uid="{9BAD2986-1485-48DB-82A8-754BD6F628FB}">
      <text>
        <r>
          <rPr>
            <b/>
            <sz val="9"/>
            <color indexed="81"/>
            <rFont val="Tahoma"/>
            <family val="2"/>
            <charset val="204"/>
          </rPr>
          <t>FildBreaker:</t>
        </r>
        <r>
          <rPr>
            <sz val="9"/>
            <color indexed="81"/>
            <rFont val="Tahoma"/>
            <family val="2"/>
            <charset val="204"/>
          </rPr>
          <t xml:space="preserve">
Штормовая волна накладывает на персонажей поблизости Дар молитвенного ветра, предоставляя им Бонус Анемо урона.</t>
        </r>
      </text>
    </comment>
    <comment ref="M39" authorId="0" shapeId="0" xr:uid="{BE924534-5895-4571-B84E-ECE92B1EB8E7}">
      <text>
        <r>
          <rPr>
            <b/>
            <sz val="9"/>
            <color indexed="81"/>
            <rFont val="Tahoma"/>
            <family val="2"/>
            <charset val="204"/>
          </rPr>
          <t>FildBreaker:</t>
        </r>
        <r>
          <rPr>
            <sz val="9"/>
            <color indexed="81"/>
            <rFont val="Tahoma"/>
            <family val="2"/>
            <charset val="204"/>
          </rPr>
          <t xml:space="preserve">
Когда персонажи под воздействием Дара молитвенного ветра навыка Тайные тропы ветров наносят Анемо урон обычными атаками, заряженными атаками, атаками в падении, а также элементальными навыками и взрывом стихии, они получают Покровительство ураганов: наносимый урон увеличивается на 32% от базовой атаки Фарузан. Этот эффект возникает не чаще одного раза в 0,8 сек. и после завершения Дара молитвенного ветра или однократной активации эффект исчезает.</t>
        </r>
      </text>
    </comment>
    <comment ref="C40" authorId="0" shapeId="0" xr:uid="{434EB65E-092E-48FE-A45D-DA44463EA4D2}">
      <text>
        <r>
          <rPr>
            <b/>
            <sz val="9"/>
            <color indexed="81"/>
            <rFont val="Tahoma"/>
            <family val="2"/>
            <charset val="204"/>
          </rPr>
          <t>FildBreaker:</t>
        </r>
        <r>
          <rPr>
            <sz val="9"/>
            <color indexed="81"/>
            <rFont val="Tahoma"/>
            <family val="2"/>
            <charset val="204"/>
          </rPr>
          <t xml:space="preserve">
Длительность эффекта навыка Таинство освобождения увеличивается на 6 сек. Активные члены отряда, находящиеся в области навыка, наносят на 15% больше крит. Крио урона.</t>
        </r>
      </text>
    </comment>
    <comment ref="M40" authorId="0" shapeId="0" xr:uid="{AEECFECD-147C-459B-B2AC-B661B295597A}">
      <text>
        <r>
          <rPr>
            <b/>
            <sz val="9"/>
            <color indexed="81"/>
            <rFont val="Tahoma"/>
            <family val="2"/>
            <charset val="204"/>
          </rPr>
          <t>FildBreaker:</t>
        </r>
        <r>
          <rPr>
            <sz val="9"/>
            <color indexed="81"/>
            <rFont val="Tahoma"/>
            <family val="2"/>
            <charset val="204"/>
          </rPr>
          <t xml:space="preserve">
Когда персонажи под воздействием Дара молитвенного ветра навыка Тайные тропы ветров наносят Анемо урон, их крит. урон повышается на 40%.</t>
        </r>
      </text>
    </comment>
    <comment ref="H43" authorId="0" shapeId="0" xr:uid="{E4268E82-8945-42D2-A740-F15490951B46}">
      <text>
        <r>
          <rPr>
            <b/>
            <sz val="9"/>
            <color indexed="81"/>
            <rFont val="Tahoma"/>
            <family val="2"/>
            <charset val="204"/>
          </rPr>
          <t>FildBreaker:</t>
        </r>
        <r>
          <rPr>
            <sz val="9"/>
            <color indexed="81"/>
            <rFont val="Tahoma"/>
            <family val="2"/>
            <charset val="204"/>
          </rPr>
          <t xml:space="preserve">
От 1 до 15 прокачка таланта</t>
        </r>
      </text>
    </comment>
    <comment ref="M43" authorId="0" shapeId="0" xr:uid="{3F227653-31C4-4C71-A8CA-70D951CE92B6}">
      <text>
        <r>
          <rPr>
            <b/>
            <sz val="9"/>
            <color indexed="81"/>
            <rFont val="Tahoma"/>
            <family val="2"/>
            <charset val="204"/>
          </rPr>
          <t>FildBreaker:</t>
        </r>
        <r>
          <rPr>
            <sz val="9"/>
            <color indexed="81"/>
            <rFont val="Tahoma"/>
            <family val="2"/>
            <charset val="204"/>
          </rPr>
          <t xml:space="preserve">
От 1 до 15 прокачка таланта</t>
        </r>
      </text>
    </comment>
    <comment ref="N43" authorId="0" shapeId="0" xr:uid="{4EC612B9-8B4F-496C-81F5-A41562A95F6B}">
      <text>
        <r>
          <rPr>
            <b/>
            <sz val="9"/>
            <color indexed="81"/>
            <rFont val="Tahoma"/>
            <family val="2"/>
            <charset val="204"/>
          </rPr>
          <t>FildBreaker:</t>
        </r>
        <r>
          <rPr>
            <sz val="9"/>
            <color indexed="81"/>
            <rFont val="Tahoma"/>
            <family val="2"/>
            <charset val="204"/>
          </rPr>
          <t xml:space="preserve">
Хп Сидживин с 30000 до 65000</t>
        </r>
      </text>
    </comment>
    <comment ref="D45" authorId="0" shapeId="0" xr:uid="{97D606E0-8190-45E3-A0CD-64D131E0D897}">
      <text>
        <r>
          <rPr>
            <b/>
            <sz val="9"/>
            <color indexed="81"/>
            <rFont val="Tahoma"/>
            <family val="2"/>
            <charset val="204"/>
          </rPr>
          <t>FildBreaker:</t>
        </r>
        <r>
          <rPr>
            <sz val="9"/>
            <color indexed="81"/>
            <rFont val="Tahoma"/>
            <family val="2"/>
            <charset val="204"/>
          </rPr>
          <t xml:space="preserve">
Кол-во задетых врагов ешкой. От 1 до 5</t>
        </r>
      </text>
    </comment>
    <comment ref="M47" authorId="0" shapeId="0" xr:uid="{79868A41-AB74-4515-96CB-B3F7CE678B61}">
      <text>
        <r>
          <rPr>
            <b/>
            <sz val="9"/>
            <color indexed="81"/>
            <rFont val="Tahoma"/>
            <family val="2"/>
            <charset val="204"/>
          </rPr>
          <t>FildBreaker:</t>
        </r>
        <r>
          <rPr>
            <sz val="9"/>
            <color indexed="81"/>
            <rFont val="Tahoma"/>
            <family val="2"/>
            <charset val="204"/>
          </rPr>
          <t xml:space="preserve">
Когда элементальные навыки неактивных персонажей вашего отряда поблизости (за исключением Сиджвин) наносят урон, расходуется 1 уровень Выздоровления, и урон данного элементального навыка увеличивается. За каждые 1000 ед. макс. HP свыше 30 000 ед. макс. HP Сиджвин урон увеличивается на 80 ед. Урон применяемого элементального навыка таким способом можно увеличить не более чем на 2 800 ед.</t>
        </r>
      </text>
    </comment>
    <comment ref="H48" authorId="0" shapeId="0" xr:uid="{4099F12B-82AC-4996-92DA-374E4FD4FA39}">
      <text>
        <r>
          <rPr>
            <b/>
            <sz val="9"/>
            <color indexed="81"/>
            <rFont val="Tahoma"/>
            <family val="2"/>
            <charset val="204"/>
          </rPr>
          <t>FildBreaker:</t>
        </r>
        <r>
          <rPr>
            <sz val="9"/>
            <color indexed="81"/>
            <rFont val="Tahoma"/>
            <family val="2"/>
            <charset val="204"/>
          </rPr>
          <t xml:space="preserve">
позволяет повышать бонус Пиро, Гидро, Крио и Электро урона всему отряду на 0,04% за каждую единицу мастерства стихий Мидзуки. </t>
        </r>
      </text>
    </comment>
    <comment ref="M48" authorId="0" shapeId="0" xr:uid="{8E44B45A-E607-4C5C-B593-1D0AE81C0380}">
      <text>
        <r>
          <rPr>
            <b/>
            <sz val="9"/>
            <color indexed="81"/>
            <rFont val="Tahoma"/>
            <family val="2"/>
            <charset val="204"/>
          </rPr>
          <t>FildBreaker:</t>
        </r>
        <r>
          <rPr>
            <sz val="9"/>
            <color indexed="81"/>
            <rFont val="Tahoma"/>
            <family val="2"/>
            <charset val="204"/>
          </rPr>
          <t xml:space="preserve">
Кроме того, после того как Бодрящий пузырёк Прыгучей гидротерапии или Сверхнасыщенная инъекция попадают во врага, его Гидро сопротивление на 8 сек. снижается на 35%.</t>
        </r>
      </text>
    </comment>
    <comment ref="H49" authorId="0" shapeId="0" xr:uid="{378DA0F2-E30C-4785-8EAC-297ED53A232B}">
      <text>
        <r>
          <rPr>
            <b/>
            <sz val="9"/>
            <color indexed="81"/>
            <rFont val="Tahoma"/>
            <family val="2"/>
            <charset val="204"/>
          </rPr>
          <t>FildBreaker:</t>
        </r>
        <r>
          <rPr>
            <sz val="9"/>
            <color indexed="81"/>
            <rFont val="Tahoma"/>
            <family val="2"/>
            <charset val="204"/>
          </rPr>
          <t xml:space="preserve">
Когда Юмэмидзуки Мидзуки пребывает в состоянии Парящей по сновидениям, урон реакции Рассеивание, вызываемой членами отряда поблизости, может наносить критический урон. Шанс крит. попадания составляет 30%, а крит. урон - 100%.</t>
        </r>
      </text>
    </comment>
    <comment ref="R55" authorId="0" shapeId="0" xr:uid="{8672D0DB-B3BF-49B5-805E-81931EDA2BA5}">
      <text>
        <r>
          <rPr>
            <b/>
            <sz val="9"/>
            <color indexed="81"/>
            <rFont val="Tahoma"/>
            <family val="2"/>
            <charset val="204"/>
          </rPr>
          <t>FildBreaker:</t>
        </r>
        <r>
          <rPr>
            <sz val="9"/>
            <color indexed="81"/>
            <rFont val="Tahoma"/>
            <family val="2"/>
            <charset val="204"/>
          </rPr>
          <t xml:space="preserve">
Кш
</t>
        </r>
      </text>
    </comment>
    <comment ref="S55" authorId="0" shapeId="0" xr:uid="{CE7467EA-F41A-4EC8-8D68-D307CF250DBC}">
      <text>
        <r>
          <rPr>
            <b/>
            <sz val="9"/>
            <color indexed="81"/>
            <rFont val="Tahoma"/>
            <family val="2"/>
            <charset val="204"/>
          </rPr>
          <t>FildBreaker:</t>
        </r>
        <r>
          <rPr>
            <sz val="9"/>
            <color indexed="81"/>
            <rFont val="Tahoma"/>
            <family val="2"/>
            <charset val="204"/>
          </rPr>
          <t xml:space="preserve">
Ку</t>
        </r>
      </text>
    </comment>
    <comment ref="H57" authorId="0" shapeId="0" xr:uid="{AFEC4609-AC21-4D74-B32C-2EB9BC723778}">
      <text>
        <r>
          <rPr>
            <b/>
            <sz val="9"/>
            <color indexed="81"/>
            <rFont val="Tahoma"/>
            <family val="2"/>
            <charset val="204"/>
          </rPr>
          <t>FildBreaker:</t>
        </r>
        <r>
          <rPr>
            <sz val="9"/>
            <color indexed="81"/>
            <rFont val="Tahoma"/>
            <family val="2"/>
            <charset val="204"/>
          </rPr>
          <t xml:space="preserve">
После того как Шеврёз выстреливает Перегруженным зарядом Быстрого преграждающего выстрела вблизи, сила атаки персонажей Пиро и Электро в отряде поблизости на 30 сек. увеличится на 1% за каждые 1 000 ед. макс. HP Шеврёз. Силу атаки этим способом можно повысить максимум на 40%.</t>
        </r>
      </text>
    </comment>
    <comment ref="M57" authorId="0" shapeId="0" xr:uid="{1D541C99-EE1D-4D44-A384-89E26B338EA6}">
      <text>
        <r>
          <rPr>
            <b/>
            <sz val="9"/>
            <color indexed="81"/>
            <rFont val="Tahoma"/>
            <family val="2"/>
            <charset val="204"/>
          </rPr>
          <t>FildBreaker:</t>
        </r>
        <r>
          <rPr>
            <sz val="9"/>
            <color indexed="81"/>
            <rFont val="Tahoma"/>
            <family val="2"/>
            <charset val="204"/>
          </rPr>
          <t xml:space="preserve">
Когда противникам наносится урон обычной атаки, они получают бонусный урон, который зависит от текущей защиты Юнь Цзинь.</t>
        </r>
      </text>
    </comment>
    <comment ref="H58" authorId="0" shapeId="0" xr:uid="{68D01284-10A3-4970-8A77-5F55ACAA7370}">
      <text>
        <r>
          <rPr>
            <b/>
            <sz val="9"/>
            <color indexed="81"/>
            <rFont val="Tahoma"/>
            <family val="2"/>
            <charset val="204"/>
          </rPr>
          <t>FildBreaker:</t>
        </r>
        <r>
          <rPr>
            <sz val="9"/>
            <color indexed="81"/>
            <rFont val="Tahoma"/>
            <family val="2"/>
            <charset val="204"/>
          </rPr>
          <t xml:space="preserve">
Если отряд полностью состоит из Пиро и Электро персонажей и в отряде есть хотя бы по одному персонажу Электро или Пиро:
Шеврёз наделяет персонажей поблизости Согласованной тактикой: когда персонаж активирует реакцию Перегрузка, Пиро и Электро сопротивление противника, который был поражён данной реакцией, понижается на 40% на 6 сек.
Если элементы персонажей отряда не соответствуют требованиям этого пассивного навыка, все существующие эффекты Согласованной тактики прерываются.</t>
        </r>
      </text>
    </comment>
    <comment ref="M58" authorId="0" shapeId="0" xr:uid="{CB46C118-5941-4F9A-A8DA-11D963C532E0}">
      <text>
        <r>
          <rPr>
            <b/>
            <sz val="9"/>
            <color indexed="81"/>
            <rFont val="Tahoma"/>
            <family val="2"/>
            <charset val="204"/>
          </rPr>
          <t>FildBreaker:</t>
        </r>
        <r>
          <rPr>
            <sz val="9"/>
            <color indexed="81"/>
            <rFont val="Tahoma"/>
            <family val="2"/>
            <charset val="204"/>
          </rPr>
          <t xml:space="preserve">
При применении Стяга разрушителя скал урон обычной атаки всех ближайших членов отряда увеличивается на 15% на 12 сек.</t>
        </r>
      </text>
    </comment>
    <comment ref="H59" authorId="0" shapeId="0" xr:uid="{AE6F8BC5-7C3E-49FB-B46B-B26A08E037D3}">
      <text>
        <r>
          <rPr>
            <b/>
            <sz val="9"/>
            <color indexed="81"/>
            <rFont val="Tahoma"/>
            <family val="2"/>
            <charset val="204"/>
          </rPr>
          <t>FildBreaker:</t>
        </r>
        <r>
          <rPr>
            <sz val="9"/>
            <color indexed="81"/>
            <rFont val="Tahoma"/>
            <family val="2"/>
            <charset val="204"/>
          </rPr>
          <t xml:space="preserve">
После 12 сек. действия эффекта лечения навыка Быстрый преграждающий выстрел вблизи все окружающие члены отряда один раз восстанавливают HP в размере 10% от макс. HP Шеврёз.
После получения лечения Быстрого преграждающего выстрела вблизи персонаж отряда на 8 сек. наделяется 20% бонусом Пиро и Электро урона. Этот эффект может складываться до 3 раз. Длительность каждого уровня рассчитывается отдельно.</t>
        </r>
      </text>
    </comment>
    <comment ref="I59" authorId="0" shapeId="0" xr:uid="{9A558C71-9BF6-4F18-BAB2-76C4D6AF9881}">
      <text>
        <r>
          <rPr>
            <b/>
            <sz val="9"/>
            <color indexed="81"/>
            <rFont val="Tahoma"/>
            <family val="2"/>
            <charset val="204"/>
          </rPr>
          <t>FildBreaker:</t>
        </r>
        <r>
          <rPr>
            <sz val="9"/>
            <color indexed="81"/>
            <rFont val="Tahoma"/>
            <family val="2"/>
            <charset val="204"/>
          </rPr>
          <t xml:space="preserve">
Кол-во тиков хилла
от 0 до 3</t>
        </r>
      </text>
    </comment>
    <comment ref="M59" authorId="0" shapeId="0" xr:uid="{E0A29711-BD4E-4E44-93E3-148BF842476C}">
      <text>
        <r>
          <rPr>
            <b/>
            <sz val="9"/>
            <color indexed="81"/>
            <rFont val="Tahoma"/>
            <family val="2"/>
            <charset val="204"/>
          </rPr>
          <t>FildBreaker:</t>
        </r>
        <r>
          <rPr>
            <sz val="9"/>
            <color indexed="81"/>
            <rFont val="Tahoma"/>
            <family val="2"/>
            <charset val="204"/>
          </rPr>
          <t xml:space="preserve">
Бонус урона обычной атаки от эффекта Строй облачных флагов дополнительно увеличивается на 2.5/5/7.5/11.5% от защиты Юнь Цзинь, если в отряде есть персонажи 1/2/3/4 типов элементов.</t>
        </r>
      </text>
    </comment>
    <comment ref="N59" authorId="0" shapeId="0" xr:uid="{0DA03D75-82C4-440F-B5D7-C53F71C48C4E}">
      <text>
        <r>
          <rPr>
            <b/>
            <sz val="9"/>
            <color indexed="81"/>
            <rFont val="Tahoma"/>
            <family val="2"/>
            <charset val="204"/>
          </rPr>
          <t>FildBreaker:</t>
        </r>
        <r>
          <rPr>
            <sz val="9"/>
            <color indexed="81"/>
            <rFont val="Tahoma"/>
            <family val="2"/>
            <charset val="204"/>
          </rPr>
          <t xml:space="preserve">
Кол-во элементов в отряде. От 1 до 4</t>
        </r>
      </text>
    </comment>
    <comment ref="I63" authorId="0" shapeId="0" xr:uid="{71DAC785-3501-4A88-8544-BCCFB791D130}">
      <text>
        <r>
          <rPr>
            <b/>
            <sz val="9"/>
            <color indexed="81"/>
            <rFont val="Tahoma"/>
            <family val="2"/>
            <charset val="204"/>
          </rPr>
          <t>FildBreaker:</t>
        </r>
        <r>
          <rPr>
            <sz val="9"/>
            <color indexed="81"/>
            <rFont val="Tahoma"/>
            <family val="2"/>
            <charset val="204"/>
          </rPr>
          <t xml:space="preserve">
Наибольшее значение мс в отряде</t>
        </r>
      </text>
    </comment>
    <comment ref="N63" authorId="0" shapeId="0" xr:uid="{761EB5DE-ECE9-4D75-AAB9-287658996AB2}">
      <text>
        <r>
          <rPr>
            <b/>
            <sz val="9"/>
            <color indexed="81"/>
            <rFont val="Tahoma"/>
            <family val="2"/>
            <charset val="204"/>
          </rPr>
          <t>FildBreaker:</t>
        </r>
        <r>
          <rPr>
            <sz val="9"/>
            <color indexed="81"/>
            <rFont val="Tahoma"/>
            <family val="2"/>
            <charset val="204"/>
          </rPr>
          <t xml:space="preserve">
Наибольшее значение мс в отряде</t>
        </r>
      </text>
    </comment>
    <comment ref="C67" authorId="0" shapeId="0" xr:uid="{92E4333D-8526-41F2-A5CE-1431CF1E7812}">
      <text>
        <r>
          <rPr>
            <b/>
            <sz val="9"/>
            <color indexed="81"/>
            <rFont val="Tahoma"/>
            <family val="2"/>
            <charset val="204"/>
          </rPr>
          <t>FildBreaker:</t>
        </r>
        <r>
          <rPr>
            <sz val="9"/>
            <color indexed="81"/>
            <rFont val="Tahoma"/>
            <family val="2"/>
            <charset val="204"/>
          </rPr>
          <t xml:space="preserve">
Когда в отряде есть 1/2/3/4 Гидро или Крио персонажа, то элементальный навык Готовка на малом огне или взрыв стихии Приём нарезки Эскофье, поражая врага, снижают его Гидро и Крио сопротивление на 5/10/15/55% на 12 сек.</t>
        </r>
      </text>
    </comment>
    <comment ref="D67" authorId="0" shapeId="0" xr:uid="{6FBDF802-0426-4507-9CCE-6E7A9B422FE5}">
      <text>
        <r>
          <rPr>
            <b/>
            <sz val="9"/>
            <color indexed="81"/>
            <rFont val="Tahoma"/>
            <family val="2"/>
            <charset val="204"/>
          </rPr>
          <t>FildBreaker:</t>
        </r>
        <r>
          <rPr>
            <sz val="9"/>
            <color indexed="81"/>
            <rFont val="Tahoma"/>
            <family val="2"/>
            <charset val="204"/>
          </rPr>
          <t xml:space="preserve">
Кол-во гидро/крио персонажей в отряде
от 1 до 4</t>
        </r>
      </text>
    </comment>
    <comment ref="C68" authorId="0" shapeId="0" xr:uid="{6628E356-019C-443C-BAA1-105B4B3909B1}">
      <text>
        <r>
          <rPr>
            <b/>
            <sz val="9"/>
            <color indexed="81"/>
            <rFont val="Tahoma"/>
            <family val="2"/>
            <charset val="204"/>
          </rPr>
          <t>FildBreaker:</t>
        </r>
        <r>
          <rPr>
            <sz val="9"/>
            <color indexed="81"/>
            <rFont val="Tahoma"/>
            <family val="2"/>
            <charset val="204"/>
          </rPr>
          <t xml:space="preserve">
Если в отряде 4 персонажа Гидро или Крио, то после того как Эскофье использует элементальный навык Готовка на малом огне или взрыв стихии Приём нарезки, крит. урон Крио атак всех членов отряда поблизости повышается на 60% на 15 сек.
Требуется разблокировать пассивный талант Вдохновение в пряностях.</t>
        </r>
      </text>
    </comment>
    <comment ref="H68" authorId="0" shapeId="0" xr:uid="{28D04555-F3DC-4B15-9B43-B39AAADC8240}">
      <text>
        <r>
          <rPr>
            <b/>
            <sz val="9"/>
            <color indexed="81"/>
            <rFont val="Tahoma"/>
            <family val="2"/>
            <charset val="204"/>
          </rPr>
          <t>FildBreaker:</t>
        </r>
        <r>
          <rPr>
            <sz val="9"/>
            <color indexed="81"/>
            <rFont val="Tahoma"/>
            <family val="2"/>
            <charset val="204"/>
          </rPr>
          <t xml:space="preserve">
Полученный урон от реакций Горение, Бутонизация, Вегетация и Цветение может становиться критическим. Шанс крит. попадания составляет 20%, а крит. урон - 100%.
В течение 8 сек. после воздействия реакций Стимуляция, Обострение и Разрастание защита понижается на 30%.</t>
        </r>
      </text>
    </comment>
    <comment ref="I68" authorId="0" shapeId="0" xr:uid="{3DDA0651-6793-432C-A955-E5D7D04D4536}">
      <text>
        <r>
          <rPr>
            <b/>
            <sz val="9"/>
            <color indexed="81"/>
            <rFont val="Tahoma"/>
            <family val="2"/>
            <charset val="204"/>
          </rPr>
          <t>FildBreaker:</t>
        </r>
        <r>
          <rPr>
            <sz val="9"/>
            <color indexed="81"/>
            <rFont val="Tahoma"/>
            <family val="2"/>
            <charset val="204"/>
          </rPr>
          <t xml:space="preserve">
Кш%</t>
        </r>
      </text>
    </comment>
    <comment ref="C69" authorId="0" shapeId="0" xr:uid="{5831E2F4-BD4C-4478-87FA-5F8969FB3B78}">
      <text>
        <r>
          <rPr>
            <b/>
            <sz val="9"/>
            <color indexed="81"/>
            <rFont val="Tahoma"/>
            <family val="2"/>
            <charset val="204"/>
          </rPr>
          <t>FildBreaker:</t>
        </r>
        <r>
          <rPr>
            <sz val="9"/>
            <color indexed="81"/>
            <rFont val="Tahoma"/>
            <family val="2"/>
            <charset val="204"/>
          </rPr>
          <t xml:space="preserve">
Когда Эскофье активирует кулинарного мека в режиме холодильника, она на 15 сек. получает эффект Свежего яства: на время его действия Эскофье наделяется 5 уровнями Холодных закусок. Когда активный персонаж поблизости, за исключением Эскофье, в это время наносит врагам обычной атакой, заряженной атакой, атакой в падении, элементальным навыком или взрывом стихии Крио урон, расходуется 1 уровень Холодных закусок и повышает наносимый урон на 240% от силы атаки Эскофье.
Если урон одной и той же Крио атаки поражает нескольких противников одновременно, то уровни Холодных закусок будут вычтены согласно количеству поражённых противников.</t>
        </r>
      </text>
    </comment>
    <comment ref="I69" authorId="0" shapeId="0" xr:uid="{BD5A3016-91A9-4E93-AF46-082D6E447FFB}">
      <text>
        <r>
          <rPr>
            <b/>
            <sz val="9"/>
            <color indexed="81"/>
            <rFont val="Tahoma"/>
            <family val="2"/>
            <charset val="204"/>
          </rPr>
          <t>FildBreaker:</t>
        </r>
        <r>
          <rPr>
            <sz val="9"/>
            <color indexed="81"/>
            <rFont val="Tahoma"/>
            <family val="2"/>
            <charset val="204"/>
          </rPr>
          <t xml:space="preserve">
Ку%
</t>
        </r>
      </text>
    </comment>
    <comment ref="I70" authorId="0" shapeId="0" xr:uid="{B7AC02FD-658A-495F-B429-9D04D8CFDD84}">
      <text>
        <r>
          <rPr>
            <b/>
            <sz val="9"/>
            <color indexed="81"/>
            <rFont val="Tahoma"/>
            <family val="2"/>
            <charset val="204"/>
          </rPr>
          <t>FildBreaker:</t>
        </r>
        <r>
          <rPr>
            <sz val="9"/>
            <color indexed="81"/>
            <rFont val="Tahoma"/>
            <family val="2"/>
            <charset val="204"/>
          </rPr>
          <t xml:space="preserve">
Срез.защиты%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FildBreaker</author>
  </authors>
  <commentList>
    <comment ref="I2" authorId="0" shapeId="0" xr:uid="{7B6E09B5-B65B-46A3-936C-AA846250661B}">
      <text>
        <r>
          <rPr>
            <b/>
            <sz val="9"/>
            <color indexed="81"/>
            <rFont val="Tahoma"/>
            <family val="2"/>
            <charset val="204"/>
          </rPr>
          <t>FildBreaker:</t>
        </r>
        <r>
          <rPr>
            <sz val="9"/>
            <color indexed="81"/>
            <rFont val="Tahoma"/>
            <family val="2"/>
            <charset val="204"/>
          </rPr>
          <t xml:space="preserve">
Гидро по пиро
</t>
        </r>
      </text>
    </comment>
    <comment ref="L2" authorId="0" shapeId="0" xr:uid="{8462E966-B1C0-447F-BB4F-839A09036CAF}">
      <text>
        <r>
          <rPr>
            <b/>
            <sz val="9"/>
            <color indexed="81"/>
            <rFont val="Tahoma"/>
            <family val="2"/>
            <charset val="204"/>
          </rPr>
          <t>FildBreaker:</t>
        </r>
        <r>
          <rPr>
            <sz val="9"/>
            <color indexed="81"/>
            <rFont val="Tahoma"/>
            <family val="2"/>
            <charset val="204"/>
          </rPr>
          <t xml:space="preserve">
Гидро по пиро
</t>
        </r>
      </text>
    </comment>
    <comment ref="O2" authorId="0" shapeId="0" xr:uid="{490CC79B-927E-4800-8625-DFF36B151F84}">
      <text>
        <r>
          <rPr>
            <b/>
            <sz val="9"/>
            <color indexed="81"/>
            <rFont val="Tahoma"/>
            <family val="2"/>
            <charset val="204"/>
          </rPr>
          <t>FildBreaker:</t>
        </r>
        <r>
          <rPr>
            <sz val="9"/>
            <color indexed="81"/>
            <rFont val="Tahoma"/>
            <family val="2"/>
            <charset val="204"/>
          </rPr>
          <t xml:space="preserve">
Алгоритм полуизвечной матрицы оператора наблюдения</t>
        </r>
      </text>
    </comment>
    <comment ref="A3" authorId="0" shapeId="0" xr:uid="{DD512FE7-39A6-4D0B-B92F-A662EFE874C3}">
      <text>
        <r>
          <rPr>
            <b/>
            <sz val="9"/>
            <color indexed="81"/>
            <rFont val="Tahoma"/>
            <family val="2"/>
            <charset val="204"/>
          </rPr>
          <t>FildBreaker:</t>
        </r>
        <r>
          <rPr>
            <sz val="9"/>
            <color indexed="81"/>
            <rFont val="Tahoma"/>
            <family val="2"/>
            <charset val="204"/>
          </rPr>
          <t xml:space="preserve">
Активация статусов Горение, Стимуляция, Обострение, Разрастание, Бутонизация, Вегетация и Цветение создают рядом с персонажем Семя сознания, которое существует 10 сек. Мастерство стихий подобравшего его персонажа повышается на 60 ед. на 12 сек. Семя сознания может возникнуть раз в 20 сек. Этот эффект срабатывает, даже если экипированный персонаж не на поле боя. Эффект Семени сознания не суммируется.</t>
        </r>
      </text>
    </comment>
    <comment ref="I3" authorId="0" shapeId="0" xr:uid="{48D07F7F-907A-4989-A6BB-EFE2B19159FA}">
      <text>
        <r>
          <rPr>
            <b/>
            <sz val="9"/>
            <color indexed="81"/>
            <rFont val="Tahoma"/>
            <family val="2"/>
            <charset val="204"/>
          </rPr>
          <t>FildBreaker:</t>
        </r>
        <r>
          <rPr>
            <sz val="9"/>
            <color indexed="81"/>
            <rFont val="Tahoma"/>
            <family val="2"/>
            <charset val="204"/>
          </rPr>
          <t xml:space="preserve">
Пиро по гидро</t>
        </r>
      </text>
    </comment>
    <comment ref="L3" authorId="0" shapeId="0" xr:uid="{4192C5D1-A2F5-41AF-815F-E7CFBEFE560B}">
      <text>
        <r>
          <rPr>
            <b/>
            <sz val="9"/>
            <color indexed="81"/>
            <rFont val="Tahoma"/>
            <family val="2"/>
            <charset val="204"/>
          </rPr>
          <t>FildBreaker:</t>
        </r>
        <r>
          <rPr>
            <sz val="9"/>
            <color indexed="81"/>
            <rFont val="Tahoma"/>
            <family val="2"/>
            <charset val="204"/>
          </rPr>
          <t xml:space="preserve">
Пиро по гидро</t>
        </r>
      </text>
    </comment>
    <comment ref="A4" authorId="0" shapeId="0" xr:uid="{E590DC2B-E06A-482C-BE95-ED2EB3B23B65}">
      <text>
        <r>
          <rPr>
            <b/>
            <sz val="9"/>
            <color indexed="81"/>
            <rFont val="Tahoma"/>
            <family val="2"/>
            <charset val="204"/>
          </rPr>
          <t>FildBreaker:</t>
        </r>
        <r>
          <rPr>
            <sz val="9"/>
            <color indexed="81"/>
            <rFont val="Tahoma"/>
            <family val="2"/>
            <charset val="204"/>
          </rPr>
          <t xml:space="preserve">
Каждые 10 сек. срабатывает следующий эффект: восстановление энергии экипированного этим оружием персонажа увеличивается на 0.036% за каждую единицу собственного мастерства стихий на 12 сек. Члены отряда поблизости получат 30% этого эффекта. Если этим оружием обладают и другие члены отряда, эффект суммируется. Этот эффект срабатывает, даже если экипированный персонаж не на поле боя.</t>
        </r>
      </text>
    </comment>
    <comment ref="D4" authorId="0" shapeId="0" xr:uid="{B1B48700-1A4D-4C42-8CE2-4403127966D8}">
      <text>
        <r>
          <rPr>
            <b/>
            <sz val="9"/>
            <color indexed="81"/>
            <rFont val="Tahoma"/>
            <family val="2"/>
            <charset val="204"/>
          </rPr>
          <t>FildBreaker:</t>
        </r>
        <r>
          <rPr>
            <sz val="9"/>
            <color indexed="81"/>
            <rFont val="Tahoma"/>
            <family val="2"/>
            <charset val="204"/>
          </rPr>
          <t xml:space="preserve">
Мс носителя
</t>
        </r>
      </text>
    </comment>
    <comment ref="I4" authorId="0" shapeId="0" xr:uid="{8FF76B3F-12B4-4EE4-937C-11F0908D1699}">
      <text>
        <r>
          <rPr>
            <b/>
            <sz val="9"/>
            <color indexed="81"/>
            <rFont val="Tahoma"/>
            <family val="2"/>
            <charset val="204"/>
          </rPr>
          <t>FildBreaker:</t>
        </r>
        <r>
          <rPr>
            <sz val="9"/>
            <color indexed="81"/>
            <rFont val="Tahoma"/>
            <family val="2"/>
            <charset val="204"/>
          </rPr>
          <t xml:space="preserve">
Пиро по крио</t>
        </r>
      </text>
    </comment>
    <comment ref="L4" authorId="0" shapeId="0" xr:uid="{A1ECDFEC-ECCE-4192-A260-299C9333E1CD}">
      <text>
        <r>
          <rPr>
            <b/>
            <sz val="9"/>
            <color indexed="81"/>
            <rFont val="Tahoma"/>
            <family val="2"/>
            <charset val="204"/>
          </rPr>
          <t>FildBreaker:</t>
        </r>
        <r>
          <rPr>
            <sz val="9"/>
            <color indexed="81"/>
            <rFont val="Tahoma"/>
            <family val="2"/>
            <charset val="204"/>
          </rPr>
          <t xml:space="preserve">
Пиро по крио</t>
        </r>
      </text>
    </comment>
    <comment ref="A5" authorId="0" shapeId="0" xr:uid="{55A6A707-A9BE-4DB2-B89F-4AF8C8F2CAEA}">
      <text>
        <r>
          <rPr>
            <b/>
            <sz val="9"/>
            <color indexed="81"/>
            <rFont val="Tahoma"/>
            <family val="2"/>
            <charset val="204"/>
          </rPr>
          <t>FildBreaker:</t>
        </r>
        <r>
          <rPr>
            <sz val="9"/>
            <color indexed="81"/>
            <rFont val="Tahoma"/>
            <family val="2"/>
            <charset val="204"/>
          </rPr>
          <t xml:space="preserve">
Когда этот эффект достигает второго уровня или длительность второго уровня обновляется, за каждую 1000 ед. защиты экипированного персонажа бонус урона всеми элементами всех членов отряда поблизости увеличивается на 8% на 15 сек. Максимальное увеличение составляет 25.6%.</t>
        </r>
      </text>
    </comment>
    <comment ref="D5" authorId="0" shapeId="0" xr:uid="{51481D0B-2C68-480B-B8E0-DD474DF8800C}">
      <text>
        <r>
          <rPr>
            <b/>
            <sz val="9"/>
            <color indexed="81"/>
            <rFont val="Tahoma"/>
            <family val="2"/>
            <charset val="204"/>
          </rPr>
          <t>FildBreaker:</t>
        </r>
        <r>
          <rPr>
            <sz val="9"/>
            <color indexed="81"/>
            <rFont val="Tahoma"/>
            <family val="2"/>
            <charset val="204"/>
          </rPr>
          <t xml:space="preserve">
Защита носителя
</t>
        </r>
      </text>
    </comment>
    <comment ref="I5" authorId="0" shapeId="0" xr:uid="{9855EC87-8717-4DB3-BC7C-951C0EE13358}">
      <text>
        <r>
          <rPr>
            <b/>
            <sz val="9"/>
            <color indexed="81"/>
            <rFont val="Tahoma"/>
            <family val="2"/>
            <charset val="204"/>
          </rPr>
          <t>FildBreaker:</t>
        </r>
        <r>
          <rPr>
            <sz val="9"/>
            <color indexed="81"/>
            <rFont val="Tahoma"/>
            <family val="2"/>
            <charset val="204"/>
          </rPr>
          <t xml:space="preserve">
Крио по пиро</t>
        </r>
      </text>
    </comment>
    <comment ref="L5" authorId="0" shapeId="0" xr:uid="{CC7BD379-57E6-410A-820B-3EF6B1684A0D}">
      <text>
        <r>
          <rPr>
            <b/>
            <sz val="9"/>
            <color indexed="81"/>
            <rFont val="Tahoma"/>
            <family val="2"/>
            <charset val="204"/>
          </rPr>
          <t>FildBreaker:</t>
        </r>
        <r>
          <rPr>
            <sz val="9"/>
            <color indexed="81"/>
            <rFont val="Tahoma"/>
            <family val="2"/>
            <charset val="204"/>
          </rPr>
          <t xml:space="preserve">
Крио по пиро</t>
        </r>
      </text>
    </comment>
    <comment ref="A6" authorId="0" shapeId="0" xr:uid="{05D08430-C997-4636-BDA3-89B4452D3E5D}">
      <text>
        <r>
          <rPr>
            <b/>
            <sz val="9"/>
            <color indexed="81"/>
            <rFont val="Tahoma"/>
            <family val="2"/>
            <charset val="204"/>
          </rPr>
          <t>FildBreaker:</t>
        </r>
        <r>
          <rPr>
            <sz val="9"/>
            <color indexed="81"/>
            <rFont val="Tahoma"/>
            <family val="2"/>
            <charset val="204"/>
          </rPr>
          <t xml:space="preserve">
После получения 3 уровней или обновления длительности 3 уровня мастерство стихий всех персонажей поблизости увеличится на 0.2% от макс. HP экипированного этим оружием персонажа на 20 сек.</t>
        </r>
      </text>
    </comment>
    <comment ref="D6" authorId="0" shapeId="0" xr:uid="{EFD981CD-FE62-4E5A-B86D-47C844666C5C}">
      <text>
        <r>
          <rPr>
            <b/>
            <sz val="9"/>
            <color indexed="81"/>
            <rFont val="Tahoma"/>
            <family val="2"/>
            <charset val="204"/>
          </rPr>
          <t>FildBreaker:</t>
        </r>
        <r>
          <rPr>
            <sz val="9"/>
            <color indexed="81"/>
            <rFont val="Tahoma"/>
            <family val="2"/>
            <charset val="204"/>
          </rPr>
          <t xml:space="preserve">
Хп носителя
</t>
        </r>
      </text>
    </comment>
    <comment ref="A7" authorId="0" shapeId="0" xr:uid="{61E9978F-DAFD-41F3-90DE-A4F5167C33F6}">
      <text>
        <r>
          <rPr>
            <b/>
            <sz val="9"/>
            <color indexed="81"/>
            <rFont val="Tahoma"/>
            <family val="2"/>
            <charset val="204"/>
          </rPr>
          <t>FildBreaker:</t>
        </r>
        <r>
          <rPr>
            <sz val="9"/>
            <color indexed="81"/>
            <rFont val="Tahoma"/>
            <family val="2"/>
            <charset val="204"/>
          </rPr>
          <t xml:space="preserve">
Увеличивает урон, наносимый обычной атакой, заряженной атакой и атакой в падении, на 16%, а силу атаки - на 20%. В течение 20 сек. после активации эффекта Талисманы воодушевления появляться не будут. Тысячелетняя симфония с эффектами, влияющими на те же навыки, не складывается.
</t>
        </r>
      </text>
    </comment>
    <comment ref="A8" authorId="0" shapeId="0" xr:uid="{A839750F-CD3C-4DE5-A3B3-9748D4AD44A6}">
      <text>
        <r>
          <rPr>
            <b/>
            <sz val="9"/>
            <color indexed="81"/>
            <rFont val="Tahoma"/>
            <family val="2"/>
            <charset val="204"/>
          </rPr>
          <t>FildBreaker:</t>
        </r>
        <r>
          <rPr>
            <sz val="9"/>
            <color indexed="81"/>
            <rFont val="Tahoma"/>
            <family val="2"/>
            <charset val="204"/>
          </rPr>
          <t xml:space="preserve">
При попадании по цели с HP меньше 30% увеличивает силу атаки всех членов отряда на 40-80% в течение 12 сек. Может возникнуть не чаще 1 раза за 30 сек.</t>
        </r>
      </text>
    </comment>
    <comment ref="A9" authorId="0" shapeId="0" xr:uid="{E90B1D7E-D54C-4ADF-BA61-0538BF4E228D}">
      <text>
        <r>
          <rPr>
            <b/>
            <sz val="9"/>
            <color indexed="81"/>
            <rFont val="Tahoma"/>
            <family val="2"/>
            <charset val="204"/>
          </rPr>
          <t>FildBreaker:</t>
        </r>
        <r>
          <rPr>
            <sz val="9"/>
            <color indexed="81"/>
            <rFont val="Tahoma"/>
            <family val="2"/>
            <charset val="204"/>
          </rPr>
          <t xml:space="preserve">
после любой реакции, вызванной элементом Дендро, на поле появляется Семя познания. Подобравший его персонаж увеличит Мастерство стихий на 60-120 единиц в течение 12 секунд. Возникновение Семени происходит не чаще, чем раз в 20 секунд.</t>
        </r>
      </text>
    </comment>
    <comment ref="A10" authorId="0" shapeId="0" xr:uid="{7A9759AD-8744-4369-9DA3-187F796FAB2B}">
      <text>
        <r>
          <rPr>
            <b/>
            <sz val="9"/>
            <color indexed="81"/>
            <rFont val="Tahoma"/>
            <family val="2"/>
            <charset val="204"/>
          </rPr>
          <t>FildBreaker:</t>
        </r>
        <r>
          <rPr>
            <sz val="9"/>
            <color indexed="81"/>
            <rFont val="Tahoma"/>
            <family val="2"/>
            <charset val="204"/>
          </rPr>
          <t xml:space="preserve">
сила атаки владельца оружия увеличивается на 24-48% от показателя мастерства стихий. Эффект также распространяется на других членов отряда, но в размере 30% от полной прибавки.</t>
        </r>
      </text>
    </comment>
    <comment ref="D10" authorId="0" shapeId="0" xr:uid="{B3B0F9ED-5D16-443D-B46F-B8B110F72172}">
      <text>
        <r>
          <rPr>
            <b/>
            <sz val="9"/>
            <color indexed="81"/>
            <rFont val="Tahoma"/>
            <family val="2"/>
            <charset val="204"/>
          </rPr>
          <t>FildBreaker:</t>
        </r>
        <r>
          <rPr>
            <sz val="9"/>
            <color indexed="81"/>
            <rFont val="Tahoma"/>
            <family val="2"/>
            <charset val="204"/>
          </rPr>
          <t xml:space="preserve">
Мс носителя
</t>
        </r>
      </text>
    </comment>
    <comment ref="A11" authorId="0" shapeId="0" xr:uid="{7CF38860-9C49-4111-A98A-884042547ABE}">
      <text>
        <r>
          <rPr>
            <b/>
            <sz val="9"/>
            <color indexed="81"/>
            <rFont val="Tahoma"/>
            <family val="2"/>
            <charset val="204"/>
          </rPr>
          <t>FildBreaker:</t>
        </r>
        <r>
          <rPr>
            <sz val="9"/>
            <color indexed="81"/>
            <rFont val="Tahoma"/>
            <family val="2"/>
            <charset val="204"/>
          </rPr>
          <t xml:space="preserve">
После 4 попаданий ешкой или ультой. Увеличивает мс отряда на 100-200ед. И повышает атаку на 20-40%</t>
        </r>
      </text>
    </comment>
    <comment ref="A12" authorId="0" shapeId="0" xr:uid="{2660BA17-3CD5-4AE3-BA09-8ED0A5BA1463}">
      <text>
        <r>
          <rPr>
            <b/>
            <sz val="9"/>
            <color indexed="81"/>
            <rFont val="Tahoma"/>
            <family val="2"/>
            <charset val="204"/>
          </rPr>
          <t>FildBreaker:</t>
        </r>
        <r>
          <rPr>
            <sz val="9"/>
            <color indexed="81"/>
            <rFont val="Tahoma"/>
            <family val="2"/>
            <charset val="204"/>
          </rPr>
          <t xml:space="preserve">
При переключении персонажа увеличивает силу атаки вошедшего на поле боя персонажа на 24-48% в течение 10 сек. Может возникнуть раз в 20 сек.</t>
        </r>
      </text>
    </comment>
    <comment ref="A13" authorId="0" shapeId="0" xr:uid="{0C255C82-8AC1-4011-96B2-C51BAA20C744}">
      <text>
        <r>
          <rPr>
            <b/>
            <sz val="9"/>
            <color indexed="81"/>
            <rFont val="Tahoma"/>
            <family val="2"/>
            <charset val="204"/>
          </rPr>
          <t>FildBreaker:</t>
        </r>
        <r>
          <rPr>
            <sz val="9"/>
            <color indexed="81"/>
            <rFont val="Tahoma"/>
            <family val="2"/>
            <charset val="204"/>
          </rPr>
          <t xml:space="preserve">
Мастерство стихий всех персонажей отряда поблизости (кроме экипированного этим оружием персонажа) увеличивается на 40 ед. Если этим оружием обладают и другие члены отряда, эффект суммируется.
</t>
        </r>
      </text>
    </comment>
    <comment ref="A14" authorId="0" shapeId="0" xr:uid="{6F187EB4-9D5A-494A-B716-274ABDC1983C}">
      <text>
        <r>
          <rPr>
            <b/>
            <sz val="9"/>
            <color indexed="81"/>
            <rFont val="Tahoma"/>
            <family val="2"/>
            <charset val="204"/>
          </rPr>
          <t>FildBreaker:</t>
        </r>
        <r>
          <rPr>
            <sz val="9"/>
            <color indexed="81"/>
            <rFont val="Tahoma"/>
            <family val="2"/>
            <charset val="204"/>
          </rPr>
          <t xml:space="preserve">
Каждые 10 сек. срабатывает следующий эффект: сила атаки экипированного этим оружием персонажа увеличивается на 24% от мастерства стихий на 12 сек. Члены отряда поблизости получают 30% этого эффекта. Если этим оружием обладают и другие члены отряда, эффект суммируется. Этот эффект срабатывает, даже если экипированный персонаж не на поле боя.</t>
        </r>
      </text>
    </comment>
    <comment ref="D14" authorId="0" shapeId="0" xr:uid="{2958B27F-30EF-4409-8D67-2E5BC3D13CB5}">
      <text>
        <r>
          <rPr>
            <b/>
            <sz val="9"/>
            <color indexed="81"/>
            <rFont val="Tahoma"/>
            <family val="2"/>
            <charset val="204"/>
          </rPr>
          <t>FildBreaker:</t>
        </r>
        <r>
          <rPr>
            <sz val="9"/>
            <color indexed="81"/>
            <rFont val="Tahoma"/>
            <family val="2"/>
            <charset val="204"/>
          </rPr>
          <t xml:space="preserve">
Мс носителя
</t>
        </r>
      </text>
    </comment>
    <comment ref="A15" authorId="0" shapeId="0" xr:uid="{4BF38AFB-43D1-40C6-A06E-3CEA3A683B1F}">
      <text>
        <r>
          <rPr>
            <b/>
            <sz val="9"/>
            <color indexed="81"/>
            <rFont val="Tahoma"/>
            <family val="2"/>
            <charset val="204"/>
          </rPr>
          <t>FildBreaker:</t>
        </r>
        <r>
          <rPr>
            <sz val="9"/>
            <color indexed="81"/>
            <rFont val="Tahoma"/>
            <family val="2"/>
            <charset val="204"/>
          </rPr>
          <t xml:space="preserve">
Когда персонаж, экипированный этим оружием, вызывает реакцию, связанную с элементом Электро, все находящиеся рядом члены отряда, чей элемент соответствует этой реакции, получают 10% бонус урона к своему элементу на 6 сек. Элементальные бонусы урона, полученные таким образом, не суммируются.</t>
        </r>
      </text>
    </comment>
    <comment ref="A16" authorId="0" shapeId="0" xr:uid="{5F123DFD-9457-4A8D-AB78-335DD7BEC2CC}">
      <text>
        <r>
          <rPr>
            <b/>
            <sz val="9"/>
            <color indexed="81"/>
            <rFont val="Tahoma"/>
            <family val="2"/>
            <charset val="204"/>
          </rPr>
          <t>FildBreaker:</t>
        </r>
        <r>
          <rPr>
            <sz val="9"/>
            <color indexed="81"/>
            <rFont val="Tahoma"/>
            <family val="2"/>
            <charset val="204"/>
          </rPr>
          <t xml:space="preserve">
После того как атака в падении экипированного персонажа поражает врага, урон атак в падении членов отряда поблизости повышается на 28-80% на 20 сек.</t>
        </r>
      </text>
    </comment>
    <comment ref="A17" authorId="0" shapeId="0" xr:uid="{2ABF222B-BD9E-4B7C-BDEB-B86554581690}">
      <text>
        <r>
          <rPr>
            <b/>
            <sz val="9"/>
            <color indexed="81"/>
            <rFont val="Tahoma"/>
            <family val="2"/>
            <charset val="204"/>
          </rPr>
          <t>FildBreaker:</t>
        </r>
        <r>
          <rPr>
            <sz val="9"/>
            <color indexed="81"/>
            <rFont val="Tahoma"/>
            <family val="2"/>
            <charset val="204"/>
          </rPr>
          <t xml:space="preserve">
После того как экипированный персонаж создаёт щит, на 15 сек. он получает эффект Зеркала ночи: урон активного персонажа вашего отряда по врагам поблизости повышается на 28%. </t>
        </r>
      </text>
    </comment>
    <comment ref="A18" authorId="0" shapeId="0" xr:uid="{A14D50DA-5514-4965-B48F-73A7EC589999}">
      <text>
        <r>
          <rPr>
            <b/>
            <sz val="9"/>
            <color indexed="81"/>
            <rFont val="Tahoma"/>
            <family val="2"/>
            <charset val="204"/>
          </rPr>
          <t>FildBreaker:</t>
        </r>
        <r>
          <rPr>
            <sz val="9"/>
            <color indexed="81"/>
            <rFont val="Tahoma"/>
            <family val="2"/>
            <charset val="204"/>
          </rPr>
          <t xml:space="preserve">
При осуществлении лечения экипированный и получающий лечение персонажи получают эффект Шансон де бе: сила атаки повышается на 32% на 3 сек. Этот эффект срабатывает, даже когда экипированный персонаж не на поле боя.</t>
        </r>
      </text>
    </comment>
    <comment ref="A19" authorId="0" shapeId="0" xr:uid="{9BA3AB47-5609-416F-92DB-84AF7EB5B13F}">
      <text>
        <r>
          <rPr>
            <b/>
            <sz val="9"/>
            <color indexed="81"/>
            <rFont val="Tahoma"/>
            <family val="2"/>
            <charset val="204"/>
          </rPr>
          <t>FildBreaker:</t>
        </r>
        <r>
          <rPr>
            <sz val="9"/>
            <color indexed="81"/>
            <rFont val="Tahoma"/>
            <family val="2"/>
            <charset val="204"/>
          </rPr>
          <t xml:space="preserve">
Если экипированный персонаж в это время создаёт щит, то на 20 сек. он получает эффект Электризующего эдикта: урон реакции Лунный заряд всех членов отряда поблизости увеличивается на 40%.</t>
        </r>
      </text>
    </comment>
    <comment ref="L19" authorId="0" shapeId="0" xr:uid="{236CA617-ECA0-42C1-AE5F-A36DC83FBF8F}">
      <text>
        <r>
          <rPr>
            <b/>
            <sz val="9"/>
            <color indexed="81"/>
            <rFont val="Tahoma"/>
            <family val="2"/>
            <charset val="204"/>
          </rPr>
          <t>FildBreaker:</t>
        </r>
        <r>
          <rPr>
            <sz val="9"/>
            <color indexed="81"/>
            <rFont val="Tahoma"/>
            <family val="2"/>
            <charset val="204"/>
          </rPr>
          <t xml:space="preserve">
Плоская прибавка</t>
        </r>
      </text>
    </comment>
    <comment ref="L20" authorId="0" shapeId="0" xr:uid="{76EAAD5E-2283-46FA-B848-0AB73C26DA27}">
      <text>
        <r>
          <rPr>
            <b/>
            <sz val="9"/>
            <color indexed="81"/>
            <rFont val="Tahoma"/>
            <family val="2"/>
            <charset val="204"/>
          </rPr>
          <t>FildBreaker:</t>
        </r>
        <r>
          <rPr>
            <sz val="9"/>
            <color indexed="81"/>
            <rFont val="Tahoma"/>
            <family val="2"/>
            <charset val="204"/>
          </rPr>
          <t xml:space="preserve">
Плоская прибавка</t>
        </r>
      </text>
    </comment>
    <comment ref="M23" authorId="0" shapeId="0" xr:uid="{646210D0-5A3C-4D66-9B09-F128A7B7D48A}">
      <text>
        <r>
          <rPr>
            <b/>
            <sz val="9"/>
            <color indexed="81"/>
            <rFont val="Tahoma"/>
            <family val="2"/>
            <charset val="204"/>
          </rPr>
          <t>FildBreaker:</t>
        </r>
        <r>
          <rPr>
            <sz val="9"/>
            <color indexed="81"/>
            <rFont val="Tahoma"/>
            <family val="2"/>
            <charset val="204"/>
          </rPr>
          <t xml:space="preserve">
C2 Нахида
Лаума</t>
        </r>
      </text>
    </comment>
    <comment ref="M29" authorId="0" shapeId="0" xr:uid="{94023BC7-C6B9-4ABE-B226-45E36091024F}">
      <text>
        <r>
          <rPr>
            <b/>
            <sz val="9"/>
            <color indexed="81"/>
            <rFont val="Tahoma"/>
            <family val="2"/>
            <charset val="204"/>
          </rPr>
          <t>FildBreaker:</t>
        </r>
        <r>
          <rPr>
            <sz val="9"/>
            <color indexed="81"/>
            <rFont val="Tahoma"/>
            <family val="2"/>
            <charset val="204"/>
          </rPr>
          <t xml:space="preserve">
C6 Мидзуки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<sst xmlns="http://schemas.openxmlformats.org/spreadsheetml/2006/main" count="1502" uniqueCount="468">
  <si>
    <t>Базовые характеристики</t>
  </si>
  <si>
    <t>Уровень:</t>
  </si>
  <si>
    <t>Атк%</t>
  </si>
  <si>
    <t>Оружие</t>
  </si>
  <si>
    <t>Дополнительные бонусы</t>
  </si>
  <si>
    <t>Дополнительный стат:</t>
  </si>
  <si>
    <t>Базовая атк:</t>
  </si>
  <si>
    <t>Базовое хп:</t>
  </si>
  <si>
    <t>Базовое атк:</t>
  </si>
  <si>
    <t>Базовая защита:</t>
  </si>
  <si>
    <t>Возвышение:</t>
  </si>
  <si>
    <t>Базовое шк:</t>
  </si>
  <si>
    <t>Базовое ку:</t>
  </si>
  <si>
    <t>Артефакты</t>
  </si>
  <si>
    <t>Цветок:</t>
  </si>
  <si>
    <t>Перо:</t>
  </si>
  <si>
    <t>Часы:</t>
  </si>
  <si>
    <t>Кубок:</t>
  </si>
  <si>
    <t>Корона:</t>
  </si>
  <si>
    <t>Мейнстат</t>
  </si>
  <si>
    <t>Стаки</t>
  </si>
  <si>
    <t>ХП</t>
  </si>
  <si>
    <t>АТК</t>
  </si>
  <si>
    <t>Нижние статы:</t>
  </si>
  <si>
    <t>Хп</t>
  </si>
  <si>
    <t>Хп%</t>
  </si>
  <si>
    <t>Атк</t>
  </si>
  <si>
    <t>Атк:</t>
  </si>
  <si>
    <t>Защита</t>
  </si>
  <si>
    <t>Защита%</t>
  </si>
  <si>
    <t>Вэ%</t>
  </si>
  <si>
    <t>Мс</t>
  </si>
  <si>
    <t>Крит.шанс</t>
  </si>
  <si>
    <t>Крит.урон</t>
  </si>
  <si>
    <t>-</t>
  </si>
  <si>
    <t>Итоговые характеристики</t>
  </si>
  <si>
    <t>Бонус.урона</t>
  </si>
  <si>
    <t>Хп:</t>
  </si>
  <si>
    <t>Защита:</t>
  </si>
  <si>
    <t>Вэ:</t>
  </si>
  <si>
    <t>Мс:</t>
  </si>
  <si>
    <t>Крит.шанс:</t>
  </si>
  <si>
    <t>Крит.урон:</t>
  </si>
  <si>
    <t>Базовое вэ:</t>
  </si>
  <si>
    <t>Тип баффа</t>
  </si>
  <si>
    <t>Эл.урон</t>
  </si>
  <si>
    <t>Срез.рез</t>
  </si>
  <si>
    <t>Песнь былых времён</t>
  </si>
  <si>
    <t>Плоск.бафф</t>
  </si>
  <si>
    <t>МС</t>
  </si>
  <si>
    <t>Противник</t>
  </si>
  <si>
    <t>Имя:</t>
  </si>
  <si>
    <t>Сопр.гидро</t>
  </si>
  <si>
    <t>Сопр.пиро</t>
  </si>
  <si>
    <t>Сопр.электро:</t>
  </si>
  <si>
    <t>Сопр.Дендро:</t>
  </si>
  <si>
    <t>Сопр.Крио:</t>
  </si>
  <si>
    <t>Сопр.физ:</t>
  </si>
  <si>
    <t>Сопр.анемо:</t>
  </si>
  <si>
    <t>Сопр.гео:</t>
  </si>
  <si>
    <t>(В примечании)</t>
  </si>
  <si>
    <t>Отдельные Характеристики</t>
  </si>
  <si>
    <t>Сопротивление (физ)</t>
  </si>
  <si>
    <t>Сопротивление (эл)</t>
  </si>
  <si>
    <t>Снижение урона:</t>
  </si>
  <si>
    <t>Модификатор урона:</t>
  </si>
  <si>
    <t>Бонус реакции:</t>
  </si>
  <si>
    <t>Пар</t>
  </si>
  <si>
    <t>Таяние</t>
  </si>
  <si>
    <t>Перегрузка</t>
  </si>
  <si>
    <t>Обострение</t>
  </si>
  <si>
    <t>Разрастание</t>
  </si>
  <si>
    <t>Раскол</t>
  </si>
  <si>
    <t>Сверхпроводник</t>
  </si>
  <si>
    <t>Рассеивание</t>
  </si>
  <si>
    <t>Бонус реакции</t>
  </si>
  <si>
    <t>Бутонизация</t>
  </si>
  <si>
    <t>Вегетация</t>
  </si>
  <si>
    <t>Цветение</t>
  </si>
  <si>
    <t>Горение</t>
  </si>
  <si>
    <t>Базовая атака</t>
  </si>
  <si>
    <t>Название</t>
  </si>
  <si>
    <t>% урона</t>
  </si>
  <si>
    <t>Скейл</t>
  </si>
  <si>
    <t>Кол-во ударов</t>
  </si>
  <si>
    <t>доп. % урона</t>
  </si>
  <si>
    <t>Элементальный навык</t>
  </si>
  <si>
    <t>Сверхспособность</t>
  </si>
  <si>
    <t>Крит.удар</t>
  </si>
  <si>
    <t>Не крит.удар</t>
  </si>
  <si>
    <t>Средний урон</t>
  </si>
  <si>
    <t>Пояснения:</t>
  </si>
  <si>
    <t>NA</t>
  </si>
  <si>
    <t>Обычная атака</t>
  </si>
  <si>
    <t>HA</t>
  </si>
  <si>
    <t>Заряженная атака</t>
  </si>
  <si>
    <t>HAF</t>
  </si>
  <si>
    <t>Финальная заряженная атака</t>
  </si>
  <si>
    <t>PD</t>
  </si>
  <si>
    <t>Удар в падении</t>
  </si>
  <si>
    <t>PDH</t>
  </si>
  <si>
    <t>Удар в падении (Высокий)</t>
  </si>
  <si>
    <t>PDD</t>
  </si>
  <si>
    <t>Удар в падении (Низкий)</t>
  </si>
  <si>
    <t>NA1</t>
  </si>
  <si>
    <t>Таланты (10 уровень)</t>
  </si>
  <si>
    <t>Заряжен</t>
  </si>
  <si>
    <t>Множитель реакций</t>
  </si>
  <si>
    <t>Базовый урон реакций</t>
  </si>
  <si>
    <t>Урон реакций</t>
  </si>
  <si>
    <t>Основа персонажа</t>
  </si>
  <si>
    <t>Верхние статы:</t>
  </si>
  <si>
    <t>Возвышение</t>
  </si>
  <si>
    <t>4*</t>
  </si>
  <si>
    <t>5*</t>
  </si>
  <si>
    <t>ЗАЩ</t>
  </si>
  <si>
    <t>КУ</t>
  </si>
  <si>
    <t>КШ</t>
  </si>
  <si>
    <t>ВЭ</t>
  </si>
  <si>
    <t>Физ.урон</t>
  </si>
  <si>
    <t>КМ артов:</t>
  </si>
  <si>
    <t>Бонус лечения</t>
  </si>
  <si>
    <t>Бонусы артефактов</t>
  </si>
  <si>
    <t>Бледный огонь</t>
  </si>
  <si>
    <t>Бафф реакций</t>
  </si>
  <si>
    <t>Шк</t>
  </si>
  <si>
    <t>Золотая труппа</t>
  </si>
  <si>
    <t>Защ%</t>
  </si>
  <si>
    <t>Бафф NA</t>
  </si>
  <si>
    <t>Незаконченные грёзы</t>
  </si>
  <si>
    <t>Бафф NA/HA</t>
  </si>
  <si>
    <t>Позолоченные сны</t>
  </si>
  <si>
    <t>Бафф HA</t>
  </si>
  <si>
    <t>Сердце глубин</t>
  </si>
  <si>
    <t>Бафф E/Q</t>
  </si>
  <si>
    <t>E</t>
  </si>
  <si>
    <t>Q</t>
  </si>
  <si>
    <t>Бафф Q</t>
  </si>
  <si>
    <t>Пиро</t>
  </si>
  <si>
    <t>Гидро</t>
  </si>
  <si>
    <t>Крио</t>
  </si>
  <si>
    <t>Гео</t>
  </si>
  <si>
    <t>Дендро</t>
  </si>
  <si>
    <t>Срез.сопры</t>
  </si>
  <si>
    <t>Без реакций</t>
  </si>
  <si>
    <t xml:space="preserve">Сохранения </t>
  </si>
  <si>
    <t>%</t>
  </si>
  <si>
    <t>Итоговый урон за ротацию:</t>
  </si>
  <si>
    <t>Итоговый урон персонажа</t>
  </si>
  <si>
    <t>Итерация 1</t>
  </si>
  <si>
    <t>Итерация 2</t>
  </si>
  <si>
    <t>Итерация 3</t>
  </si>
  <si>
    <t>Итерация 4</t>
  </si>
  <si>
    <t>Итерация 5</t>
  </si>
  <si>
    <t>Итерация 6</t>
  </si>
  <si>
    <t>Итерация 7</t>
  </si>
  <si>
    <t>Итерация 8</t>
  </si>
  <si>
    <t>Итерация 9</t>
  </si>
  <si>
    <t>Итерация 10</t>
  </si>
  <si>
    <t>Бонус резонанса/реакции</t>
  </si>
  <si>
    <t>Пиро рассеивание</t>
  </si>
  <si>
    <t>Гидро рассеивание</t>
  </si>
  <si>
    <t>Электро рассеивание</t>
  </si>
  <si>
    <t>Крио рассеивание</t>
  </si>
  <si>
    <t>Перекрёстное пиро таяние</t>
  </si>
  <si>
    <t>Перекрёстное крио таяние</t>
  </si>
  <si>
    <t>Перекрёстный пар</t>
  </si>
  <si>
    <t>Рассеивание + обострение</t>
  </si>
  <si>
    <t>Распределение проков в артефактах</t>
  </si>
  <si>
    <t>1 уровень</t>
  </si>
  <si>
    <t xml:space="preserve">2 уровень </t>
  </si>
  <si>
    <t>3 уровень</t>
  </si>
  <si>
    <t>4 уровень</t>
  </si>
  <si>
    <t>Ку</t>
  </si>
  <si>
    <t>Вэ</t>
  </si>
  <si>
    <t>Защ</t>
  </si>
  <si>
    <t>Кубок</t>
  </si>
  <si>
    <t>Часы</t>
  </si>
  <si>
    <t>Корона</t>
  </si>
  <si>
    <t>Кш</t>
  </si>
  <si>
    <t>Бонус.лечения</t>
  </si>
  <si>
    <t>HA2</t>
  </si>
  <si>
    <t>NA2</t>
  </si>
  <si>
    <t>NA3</t>
  </si>
  <si>
    <t>NA4</t>
  </si>
  <si>
    <t>NA5</t>
  </si>
  <si>
    <t>NA6</t>
  </si>
  <si>
    <t>NA7</t>
  </si>
  <si>
    <t>NA8</t>
  </si>
  <si>
    <t>NA9</t>
  </si>
  <si>
    <t>Прямой пар (Пиро по гидро)</t>
  </si>
  <si>
    <t>Обратный пар (Гидро по пиро)</t>
  </si>
  <si>
    <t>Прямое таяние (Крио по пиро)</t>
  </si>
  <si>
    <t>Обратное таяние (Пиро по крио)</t>
  </si>
  <si>
    <t>Реакции, влияющие на урон</t>
  </si>
  <si>
    <t>Саппорт оружие</t>
  </si>
  <si>
    <t>Деремянный клинок</t>
  </si>
  <si>
    <t>Песнь патруля пиков</t>
  </si>
  <si>
    <t>Ключ Хадж-Нисут</t>
  </si>
  <si>
    <t>Клятва свободы</t>
  </si>
  <si>
    <t>Наложение</t>
  </si>
  <si>
    <t>Бафф</t>
  </si>
  <si>
    <t>Волчья погибель</t>
  </si>
  <si>
    <t>Регалия леса</t>
  </si>
  <si>
    <t>Аквамарин Махайры</t>
  </si>
  <si>
    <t>Элегия погибели</t>
  </si>
  <si>
    <t>Эпос о драконоборцах</t>
  </si>
  <si>
    <t>Сновидений 1000 ночей</t>
  </si>
  <si>
    <t>Скитающаяся звезда</t>
  </si>
  <si>
    <t>Кольцо Хакуссин</t>
  </si>
  <si>
    <t>Звонкий клич журавля</t>
  </si>
  <si>
    <t>Бдение взывающего к звёздам</t>
  </si>
  <si>
    <t>Лунное сияние ксифоса</t>
  </si>
  <si>
    <t>Персонажи</t>
  </si>
  <si>
    <t>Имя</t>
  </si>
  <si>
    <t>Стихия</t>
  </si>
  <si>
    <t>Эмбер (с6)</t>
  </si>
  <si>
    <t>Театр Воображариум</t>
  </si>
  <si>
    <t>Лиза (а4)</t>
  </si>
  <si>
    <t>Электро</t>
  </si>
  <si>
    <t>Пиро гг (с1)</t>
  </si>
  <si>
    <t>Тома (с6)</t>
  </si>
  <si>
    <t>Синь Янь (а4)</t>
  </si>
  <si>
    <t>Синь Янь (с4)</t>
  </si>
  <si>
    <t>Сян Лин (с1)</t>
  </si>
  <si>
    <t>Сян Лин (с6)</t>
  </si>
  <si>
    <t>Ху Тао (а4)</t>
  </si>
  <si>
    <t>Ху Тао (с4)</t>
  </si>
  <si>
    <t>Лини (с4)</t>
  </si>
  <si>
    <t>Кли (с2)</t>
  </si>
  <si>
    <t>Кли (с6)</t>
  </si>
  <si>
    <t>Ёимия (а4)</t>
  </si>
  <si>
    <t>Мавуика (а4)</t>
  </si>
  <si>
    <t>Мавуика (с2)</t>
  </si>
  <si>
    <t>Мавуика (с4)</t>
  </si>
  <si>
    <t>Розария (а4)</t>
  </si>
  <si>
    <t>Розария (с6)</t>
  </si>
  <si>
    <t>Лайла (с4)</t>
  </si>
  <si>
    <t>Гань Юй (а4)</t>
  </si>
  <si>
    <t>Гань Юй (с1)</t>
  </si>
  <si>
    <t>Гань Юй (с4)</t>
  </si>
  <si>
    <t>Аяка (с4)</t>
  </si>
  <si>
    <t>Диона (с6)</t>
  </si>
  <si>
    <t>Элой (а1)</t>
  </si>
  <si>
    <t>Эола (а4)</t>
  </si>
  <si>
    <t>Чун Юнь (а4)</t>
  </si>
  <si>
    <t>Дори (с4)</t>
  </si>
  <si>
    <t>Бэй Доу (с6)</t>
  </si>
  <si>
    <t>Оророн (с6)</t>
  </si>
  <si>
    <t>Электро гг (Е)</t>
  </si>
  <si>
    <t>Электро гг (с2)</t>
  </si>
  <si>
    <t>Райден (Е)</t>
  </si>
  <si>
    <t>Райден (с4)</t>
  </si>
  <si>
    <t>Рэйзор (с4)</t>
  </si>
  <si>
    <t>Сетос (с4)</t>
  </si>
  <si>
    <t>Яэ Мико (с4)</t>
  </si>
  <si>
    <t>Аято (Q)</t>
  </si>
  <si>
    <t>Барбара (с2)</t>
  </si>
  <si>
    <t>Е Лань (Q)</t>
  </si>
  <si>
    <t>Е Лань (с4)</t>
  </si>
  <si>
    <t>Кандакия (а4)</t>
  </si>
  <si>
    <t>Нилу</t>
  </si>
  <si>
    <t>Нилу (а1)</t>
  </si>
  <si>
    <t>Нилу (с2)</t>
  </si>
  <si>
    <t>Син Цю (с2)</t>
  </si>
  <si>
    <t>*?*</t>
  </si>
  <si>
    <t>Активация</t>
  </si>
  <si>
    <t>Сян Лин (а4)</t>
  </si>
  <si>
    <t>Количество</t>
  </si>
  <si>
    <t>Область усиления</t>
  </si>
  <si>
    <t>Качина (с4)</t>
  </si>
  <si>
    <t>Альбедо (а4)</t>
  </si>
  <si>
    <t>Альбедо (с4)</t>
  </si>
  <si>
    <t>Альбедо (с6)</t>
  </si>
  <si>
    <t>Итто (с4)</t>
  </si>
  <si>
    <t>Навия (с4)</t>
  </si>
  <si>
    <t>Нин Гуан (а4)</t>
  </si>
  <si>
    <t>Гео гг (с1)</t>
  </si>
  <si>
    <t>Джун Ли (Е)</t>
  </si>
  <si>
    <t>Яо Яо (с1)</t>
  </si>
  <si>
    <t>Дендро гг (с6)</t>
  </si>
  <si>
    <t>Кирара (с6)</t>
  </si>
  <si>
    <t>Коллеи (с4)</t>
  </si>
  <si>
    <t>Эмилия (с2)</t>
  </si>
  <si>
    <t>Тигнари (с4)</t>
  </si>
  <si>
    <t>Кинич (с2)</t>
  </si>
  <si>
    <t>Аль-Хайтам (с4)</t>
  </si>
  <si>
    <t>Бай Джу (а4)</t>
  </si>
  <si>
    <t>Бай Джу (с4)</t>
  </si>
  <si>
    <t>Кавех (Q)</t>
  </si>
  <si>
    <t>Кавех (с4)</t>
  </si>
  <si>
    <t>Анемо</t>
  </si>
  <si>
    <t>Джинн (с4)</t>
  </si>
  <si>
    <t>Линнет (а1)</t>
  </si>
  <si>
    <t>Лань Янь (с4)</t>
  </si>
  <si>
    <t>Хэйдзо (а4)</t>
  </si>
  <si>
    <t>Анемо гг (с6)</t>
  </si>
  <si>
    <t>Венти (с2)</t>
  </si>
  <si>
    <t>Венти (с6)</t>
  </si>
  <si>
    <t>Автоатаки</t>
  </si>
  <si>
    <t>Эл.навык</t>
  </si>
  <si>
    <t>Ультимейт</t>
  </si>
  <si>
    <t>Распределение урона</t>
  </si>
  <si>
    <t>{"hash":"8dd1499fc3bd53e8f81af4bb1e9bebce2bbdac2e2ffe3bdbe6bdc8c897a02c7c","version":1,"value":"[[\"=SUM(E16:E21)\"]]"}</t>
  </si>
  <si>
    <t>Доп%</t>
  </si>
  <si>
    <t>Основной %</t>
  </si>
  <si>
    <t>Доп.скейл</t>
  </si>
  <si>
    <t>Плоские прибавки к урону</t>
  </si>
  <si>
    <t>Тип.урона</t>
  </si>
  <si>
    <t>dmg.bonus</t>
  </si>
  <si>
    <t>flat.bonus</t>
  </si>
  <si>
    <t>Адми</t>
  </si>
  <si>
    <t>Кол-во баффа</t>
  </si>
  <si>
    <t>Состояние</t>
  </si>
  <si>
    <t>Изгнанник</t>
  </si>
  <si>
    <t>Инструктор</t>
  </si>
  <si>
    <t>Стойкость
Миллелита</t>
  </si>
  <si>
    <t>Заблудший в
метели</t>
  </si>
  <si>
    <t>Бонус урона (эл)</t>
  </si>
  <si>
    <t>Бонус урона (физ)</t>
  </si>
  <si>
    <t>Бафф сетов (Саппорт)</t>
  </si>
  <si>
    <t>Бафф сетов (Дд)</t>
  </si>
  <si>
    <t>Конец
гладиатора</t>
  </si>
  <si>
    <t>Странствующий
ансамбль</t>
  </si>
  <si>
    <t>Рыцарь
крови</t>
  </si>
  <si>
    <t>Бафф НA</t>
  </si>
  <si>
    <t>Встречная
комета</t>
  </si>
  <si>
    <t>Прочность щита</t>
  </si>
  <si>
    <t>Усмиряющий
гром</t>
  </si>
  <si>
    <t>Ступающий по
лаве</t>
  </si>
  <si>
    <t>Изумрудная тень</t>
  </si>
  <si>
    <t>Срез
резистов</t>
  </si>
  <si>
    <t>Другое:</t>
  </si>
  <si>
    <t>Срез резистов (эл)</t>
  </si>
  <si>
    <t>Срез резистов (физ)</t>
  </si>
  <si>
    <t>Архаичный камень</t>
  </si>
  <si>
    <t>Возлюбленная юная дева</t>
  </si>
  <si>
    <t>Воспоминания симэнавы</t>
  </si>
  <si>
    <t>Горящая алая ведьма</t>
  </si>
  <si>
    <t>Громогласный рёв ярости</t>
  </si>
  <si>
    <t>Кокон сладких грёз</t>
  </si>
  <si>
    <t>Моллюск морских красок</t>
  </si>
  <si>
    <t>Обсидиановый фолиант</t>
  </si>
  <si>
    <t>Отголоски подношения</t>
  </si>
  <si>
    <t>Свиток героя сожжённого города</t>
  </si>
  <si>
    <t>Сон нимфы</t>
  </si>
  <si>
    <t>Фрагмент гармонической фантазии</t>
  </si>
  <si>
    <t>Цветок потерянного рая</t>
  </si>
  <si>
    <t>Церемония древней знати</t>
  </si>
  <si>
    <t>Воспоминания 
дремучего леса</t>
  </si>
  <si>
    <t>Урон пузыря</t>
  </si>
  <si>
    <t>Взрыв.пузырь</t>
  </si>
  <si>
    <t>Получ.хилл</t>
  </si>
  <si>
    <t>Внешний доп.урон</t>
  </si>
  <si>
    <t>Кол-во допустимых проков (всего)</t>
  </si>
  <si>
    <t>Прибавки статов общие %</t>
  </si>
  <si>
    <t>Прибавки статов общие (плоск)</t>
  </si>
  <si>
    <t>% прибавки к типам урона</t>
  </si>
  <si>
    <t>Получ.лечение</t>
  </si>
  <si>
    <t>Бафф.реакц</t>
  </si>
  <si>
    <t xml:space="preserve">Вегетация </t>
  </si>
  <si>
    <t>Бафф NA/HA/PD</t>
  </si>
  <si>
    <t>Эмблема рассечёной судьбы</t>
  </si>
  <si>
    <t>Киноварное загробие</t>
  </si>
  <si>
    <t>Хроники чертогов в пустыне</t>
  </si>
  <si>
    <t>Сияние вурукаши</t>
  </si>
  <si>
    <t>Охотник сумеречного двора</t>
  </si>
  <si>
    <t>Кш%</t>
  </si>
  <si>
    <t>Бафф Е</t>
  </si>
  <si>
    <t>Ночной шёпот в лесу</t>
  </si>
  <si>
    <t>Бафф.урона</t>
  </si>
  <si>
    <t>Шк%</t>
  </si>
  <si>
    <t>Клятва долгой ночи</t>
  </si>
  <si>
    <t>Бафф PD</t>
  </si>
  <si>
    <t>Финал галерей глубин</t>
  </si>
  <si>
    <t>Бафф NA или Q</t>
  </si>
  <si>
    <t>Беннет</t>
  </si>
  <si>
    <t>Уровень</t>
  </si>
  <si>
    <t>Созвездие</t>
  </si>
  <si>
    <t>Баз.Атк</t>
  </si>
  <si>
    <t>Ульта</t>
  </si>
  <si>
    <t>Бафф.Атк</t>
  </si>
  <si>
    <t>Серенада шёлковой луны</t>
  </si>
  <si>
    <t>Лунное сияние</t>
  </si>
  <si>
    <t>Ночь открытия неба</t>
  </si>
  <si>
    <t>Пиро.урон</t>
  </si>
  <si>
    <t>Бонус урона (Пиро)</t>
  </si>
  <si>
    <t>Бонус урона (Гидро)</t>
  </si>
  <si>
    <t>Бонус урона (Анемо)</t>
  </si>
  <si>
    <t>Бонус урона (Гео)</t>
  </si>
  <si>
    <t>Бонус урона (Электро)</t>
  </si>
  <si>
    <t>Бонус урона (Дендро)</t>
  </si>
  <si>
    <t>Бонус урона (Крио)</t>
  </si>
  <si>
    <t>Сара</t>
  </si>
  <si>
    <t>Иансан</t>
  </si>
  <si>
    <t>Ку% (электро)</t>
  </si>
  <si>
    <t>Бафф.атк</t>
  </si>
  <si>
    <t>Бафф.атк%</t>
  </si>
  <si>
    <t>Ночной дух</t>
  </si>
  <si>
    <t>Фурина</t>
  </si>
  <si>
    <t>Мона</t>
  </si>
  <si>
    <t>Шилонен</t>
  </si>
  <si>
    <t>Фанфары</t>
  </si>
  <si>
    <t>Получ.леч</t>
  </si>
  <si>
    <t>Cрез.рез</t>
  </si>
  <si>
    <t>Ешка</t>
  </si>
  <si>
    <t>С2</t>
  </si>
  <si>
    <t>С4</t>
  </si>
  <si>
    <t>С1</t>
  </si>
  <si>
    <t>Кадзуха</t>
  </si>
  <si>
    <t>Сахароза</t>
  </si>
  <si>
    <t>Ситлали</t>
  </si>
  <si>
    <t>Лунный заряд</t>
  </si>
  <si>
    <t>С6</t>
  </si>
  <si>
    <t>Шэнь Хэ</t>
  </si>
  <si>
    <t>Горо</t>
  </si>
  <si>
    <t>Фарузан</t>
  </si>
  <si>
    <t>Мика</t>
  </si>
  <si>
    <t>Мидзуки</t>
  </si>
  <si>
    <t>Сидживин</t>
  </si>
  <si>
    <t>Сянь Юнь</t>
  </si>
  <si>
    <t>Шеврёз</t>
  </si>
  <si>
    <t>Юнь Дзинь</t>
  </si>
  <si>
    <t>Эскофье</t>
  </si>
  <si>
    <t>Нахида</t>
  </si>
  <si>
    <t>Лаума</t>
  </si>
  <si>
    <t>Перья</t>
  </si>
  <si>
    <t>C2</t>
  </si>
  <si>
    <t>Кол-во гео</t>
  </si>
  <si>
    <t>Ку%</t>
  </si>
  <si>
    <t>Гео.урон</t>
  </si>
  <si>
    <t>Баз.атк</t>
  </si>
  <si>
    <t>Анемо.урон</t>
  </si>
  <si>
    <t>Плоск.баф</t>
  </si>
  <si>
    <t>Кол-во враг</t>
  </si>
  <si>
    <t>Бафф.расс</t>
  </si>
  <si>
    <t>Бафф.PD</t>
  </si>
  <si>
    <t>C6</t>
  </si>
  <si>
    <t>Бафф.NA</t>
  </si>
  <si>
    <t>NA%</t>
  </si>
  <si>
    <t>А4</t>
  </si>
  <si>
    <t>Бафф.мс</t>
  </si>
  <si>
    <t>Срез.защиты</t>
  </si>
  <si>
    <t>Внешние прибавки к урону. Трогать не рекомендую</t>
  </si>
  <si>
    <t>Тип.урон</t>
  </si>
  <si>
    <t>Симфонист ароматов</t>
  </si>
  <si>
    <t>Рассеяный свет</t>
  </si>
  <si>
    <t>Лунный урон</t>
  </si>
  <si>
    <t>LD</t>
  </si>
  <si>
    <t>Бафф базового урона лунного заряда</t>
  </si>
  <si>
    <t>Бафф реакций (%)</t>
  </si>
  <si>
    <t>Ручной ввод характеристик и баффов</t>
  </si>
  <si>
    <t>Доп.стат</t>
  </si>
  <si>
    <t>Кол-во Нод</t>
  </si>
  <si>
    <t>Зеркало прядильщицы ночи</t>
  </si>
  <si>
    <t>Лунная бутонизация</t>
  </si>
  <si>
    <t>Ешка/ульта</t>
  </si>
  <si>
    <t>Флинс (а4)</t>
  </si>
  <si>
    <t>Бафф базового урона лунной Бутанизации</t>
  </si>
  <si>
    <t>Флинс (C2)</t>
  </si>
  <si>
    <t>Флинс (C6)</t>
  </si>
  <si>
    <t>Инеффа (а1)</t>
  </si>
  <si>
    <t>Инеффа (а4)</t>
  </si>
  <si>
    <t>Инеффа (с1)</t>
  </si>
  <si>
    <t>Ифа (а1)</t>
  </si>
  <si>
    <t>Ифа (c2)</t>
  </si>
  <si>
    <t>Айно (с1)</t>
  </si>
  <si>
    <t>Айно (c6)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</si>
</sst>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
  </numFmts>
  <fonts count="47" x14ac:knownFonts="1">
    <font>
      <sz val="11"/>
      <color theme="1"/>
      <name val="Calibri"/>
      <family val="2"/>
      <scheme val="minor"/>
    </font>
    <font>
      <b/>
      <sz val="11"/>
      <color theme="1"/>
      <name val="Calibri"/>
      <family val="2"/>
      <charset val="204"/>
      <scheme val="minor"/>
    </font>
    <font>
      <sz val="11"/>
      <name val="Calibri"/>
      <family val="2"/>
      <scheme val="minor"/>
    </font>
    <font>
      <sz val="9"/>
      <color indexed="81"/>
      <name val="Tahoma"/>
      <family val="2"/>
      <charset val="204"/>
    </font>
    <font>
      <b/>
      <sz val="9"/>
      <color indexed="81"/>
      <name val="Tahoma"/>
      <family val="2"/>
      <charset val="204"/>
    </font>
    <font>
      <sz val="8"/>
      <color rgb="FF000000"/>
      <name val="Segoe UI"/>
      <family val="2"/>
      <charset val="204"/>
    </font>
    <font>
      <sz val="20"/>
      <color theme="1"/>
      <name val="Cascadia Code"/>
      <family val="3"/>
      <charset val="204"/>
    </font>
    <font>
      <sz val="11"/>
      <color theme="1"/>
      <name val="Cascadia Code"/>
      <family val="3"/>
      <charset val="204"/>
    </font>
    <font>
      <b/>
      <sz val="11"/>
      <name val="Cascadia Code"/>
      <family val="3"/>
      <charset val="204"/>
    </font>
    <font>
      <sz val="11"/>
      <name val="Cascadia Code"/>
      <family val="3"/>
      <charset val="204"/>
    </font>
    <font>
      <b/>
      <sz val="11"/>
      <color theme="1"/>
      <name val="Cascadia Code"/>
      <family val="3"/>
      <charset val="204"/>
    </font>
    <font>
      <i/>
      <sz val="11"/>
      <color theme="1"/>
      <name val="Cascadia Code"/>
      <family val="3"/>
      <charset val="204"/>
    </font>
    <font>
      <sz val="12"/>
      <color theme="1"/>
      <name val="Cascadia Code"/>
      <family val="3"/>
      <charset val="204"/>
    </font>
    <font>
      <i/>
      <sz val="12"/>
      <color theme="1"/>
      <name val="Cascadia Code"/>
      <family val="3"/>
      <charset val="204"/>
    </font>
    <font>
      <b/>
      <i/>
      <sz val="11"/>
      <color theme="1"/>
      <name val="Cascadia Code"/>
      <family val="3"/>
      <charset val="204"/>
    </font>
    <font>
      <b/>
      <i/>
      <sz val="12"/>
      <name val="Cascadia Code"/>
      <family val="3"/>
      <charset val="204"/>
    </font>
    <font>
      <b/>
      <i/>
      <sz val="11"/>
      <name val="Cascadia Code"/>
      <family val="3"/>
      <charset val="204"/>
    </font>
    <font>
      <sz val="8"/>
      <name val="Calibri"/>
      <family val="2"/>
      <scheme val="minor"/>
    </font>
    <font>
      <sz val="16"/>
      <color theme="1"/>
      <name val="Algerian"/>
      <family val="5"/>
    </font>
    <font>
      <i/>
      <sz val="12"/>
      <color theme="1"/>
      <name val="Calibri"/>
      <family val="2"/>
      <charset val="204"/>
      <scheme val="minor"/>
    </font>
    <font>
      <sz val="11"/>
      <color theme="0"/>
      <name val="Calibri"/>
      <family val="2"/>
      <scheme val="minor"/>
    </font>
    <font>
      <b/>
      <sz val="10"/>
      <color theme="1"/>
      <name val="Cascadia Code"/>
      <family val="3"/>
      <charset val="204"/>
    </font>
    <font>
      <b/>
      <sz val="11"/>
      <color theme="0"/>
      <name val="Cascadia Code"/>
      <family val="3"/>
      <charset val="204"/>
    </font>
    <font>
      <b/>
      <sz val="10"/>
      <color theme="0"/>
      <name val="Cascadia Code"/>
      <family val="3"/>
      <charset val="204"/>
    </font>
    <font>
      <sz val="10"/>
      <color theme="1"/>
      <name val="Cascadia Code"/>
      <family val="3"/>
      <charset val="204"/>
    </font>
    <font>
      <b/>
      <sz val="10"/>
      <color theme="0" tint="-0.14999847407452621"/>
      <name val="Cascadia Code"/>
      <family val="3"/>
      <charset val="204"/>
    </font>
    <font>
      <b/>
      <sz val="9"/>
      <color indexed="18"/>
      <name val="Tahoma"/>
      <family val="2"/>
      <charset val="204"/>
    </font>
    <font>
      <b/>
      <sz val="9"/>
      <color indexed="32"/>
      <name val="Tahoma"/>
      <family val="2"/>
      <charset val="204"/>
    </font>
    <font>
      <b/>
      <i/>
      <sz val="9"/>
      <color indexed="37"/>
      <name val="Tahoma"/>
      <family val="2"/>
      <charset val="204"/>
    </font>
    <font>
      <sz val="9"/>
      <color theme="1"/>
      <name val="Cascadia Code"/>
      <family val="3"/>
      <charset val="204"/>
    </font>
    <font>
      <sz val="11"/>
      <color theme="1"/>
      <name val="Bahnschrift"/>
      <family val="2"/>
      <charset val="204"/>
    </font>
    <font>
      <sz val="11"/>
      <name val="Bahnschrift"/>
      <family val="2"/>
      <charset val="204"/>
    </font>
    <font>
      <b/>
      <sz val="11"/>
      <color theme="0" tint="-0.14999847407452621"/>
      <name val="Cascadia Code"/>
      <family val="3"/>
      <charset val="204"/>
    </font>
    <font>
      <b/>
      <i/>
      <sz val="9"/>
      <color indexed="60"/>
      <name val="Tahoma"/>
      <family val="2"/>
      <charset val="204"/>
    </font>
    <font>
      <sz val="9"/>
      <color indexed="62"/>
      <name val="Tahoma"/>
      <family val="2"/>
      <charset val="204"/>
    </font>
    <font>
      <b/>
      <sz val="9"/>
      <color indexed="62"/>
      <name val="Tahoma"/>
      <family val="2"/>
      <charset val="204"/>
    </font>
    <font>
      <b/>
      <sz val="9"/>
      <color theme="1"/>
      <name val="Cascadia Code"/>
      <family val="3"/>
      <charset val="204"/>
    </font>
    <font>
      <i/>
      <sz val="9"/>
      <color indexed="81"/>
      <name val="Tahoma"/>
      <family val="2"/>
      <charset val="204"/>
    </font>
    <font>
      <b/>
      <sz val="8"/>
      <color theme="1"/>
      <name val="Cascadia Code"/>
      <family val="3"/>
      <charset val="204"/>
    </font>
    <font>
      <sz val="11"/>
      <color theme="7" tint="0.59999389629810485"/>
      <name val="Calibri"/>
      <family val="2"/>
      <scheme val="minor"/>
    </font>
    <font>
      <sz val="8"/>
      <color theme="1"/>
      <name val="Calibri"/>
      <family val="2"/>
      <scheme val="minor"/>
    </font>
    <font>
      <sz val="10"/>
      <color theme="1"/>
      <name val="Calibri"/>
      <family val="2"/>
      <scheme val="minor"/>
    </font>
    <font>
      <sz val="20"/>
      <color theme="0"/>
      <name val="Cascadia Code"/>
      <family val="3"/>
      <charset val="204"/>
    </font>
    <font>
      <sz val="11"/>
      <color theme="0"/>
      <name val="Cascadia Code"/>
      <family val="3"/>
      <charset val="204"/>
    </font>
    <font>
      <sz val="11"/>
      <color theme="0" tint="-4.9989318521683403E-2"/>
      <name val="Calibri"/>
      <family val="2"/>
      <scheme val="minor"/>
    </font>
    <font>
      <b/>
      <sz val="11"/>
      <color theme="0" tint="-4.9989318521683403E-2"/>
      <name val="Calibri"/>
      <family val="2"/>
      <scheme val="minor"/>
    </font>
    <font>
      <sz val="11"/>
      <color indexed="81"/>
      <name val="Tahoma"/>
      <family val="2"/>
      <charset val="204"/>
    </font>
  </fonts>
  <fills count="27">
    <fill>
      <patternFill patternType="none"/>
    </fill>
    <fill>
      <patternFill patternType="gray125"/>
    </fill>
    <fill>
      <patternFill patternType="solid">
        <fgColor theme="0" tint="-0.249977111117893"/>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ACFAF4"/>
        <bgColor indexed="64"/>
      </patternFill>
    </fill>
    <fill>
      <patternFill patternType="solid">
        <fgColor rgb="FFF0C1FB"/>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0"/>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rgb="FF666699"/>
        <bgColor indexed="64"/>
      </patternFill>
    </fill>
    <fill>
      <patternFill patternType="solid">
        <fgColor rgb="FF00B0F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0" tint="-4.9989318521683403E-2"/>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Dashed">
        <color indexed="64"/>
      </right>
      <top style="medium">
        <color indexed="64"/>
      </top>
      <bottom style="mediumDashed">
        <color indexed="64"/>
      </bottom>
      <diagonal/>
    </border>
    <border>
      <left style="mediumDashed">
        <color indexed="64"/>
      </left>
      <right style="mediumDashed">
        <color indexed="64"/>
      </right>
      <top style="medium">
        <color indexed="64"/>
      </top>
      <bottom style="mediumDashed">
        <color indexed="64"/>
      </bottom>
      <diagonal/>
    </border>
    <border>
      <left style="mediumDashed">
        <color indexed="64"/>
      </left>
      <right style="medium">
        <color indexed="64"/>
      </right>
      <top style="medium">
        <color indexed="64"/>
      </top>
      <bottom style="mediumDashed">
        <color indexed="64"/>
      </bottom>
      <diagonal/>
    </border>
    <border>
      <left style="medium">
        <color indexed="64"/>
      </left>
      <right style="mediumDashed">
        <color indexed="64"/>
      </right>
      <top style="mediumDashed">
        <color indexed="64"/>
      </top>
      <bottom style="medium">
        <color indexed="64"/>
      </bottom>
      <diagonal/>
    </border>
    <border>
      <left style="mediumDashed">
        <color indexed="64"/>
      </left>
      <right style="mediumDashed">
        <color indexed="64"/>
      </right>
      <top style="mediumDashed">
        <color indexed="64"/>
      </top>
      <bottom style="medium">
        <color indexed="64"/>
      </bottom>
      <diagonal/>
    </border>
    <border>
      <left style="mediumDashed">
        <color indexed="64"/>
      </left>
      <right style="medium">
        <color indexed="64"/>
      </right>
      <top style="mediumDashed">
        <color indexed="64"/>
      </top>
      <bottom style="medium">
        <color indexed="64"/>
      </bottom>
      <diagonal/>
    </border>
    <border>
      <left style="medium">
        <color indexed="64"/>
      </left>
      <right style="mediumDashed">
        <color indexed="64"/>
      </right>
      <top/>
      <bottom style="mediumDashed">
        <color indexed="64"/>
      </bottom>
      <diagonal/>
    </border>
    <border>
      <left style="mediumDashed">
        <color indexed="64"/>
      </left>
      <right style="mediumDashed">
        <color indexed="64"/>
      </right>
      <top/>
      <bottom style="mediumDashed">
        <color indexed="64"/>
      </bottom>
      <diagonal/>
    </border>
    <border>
      <left style="mediumDashed">
        <color indexed="64"/>
      </left>
      <right style="medium">
        <color indexed="64"/>
      </right>
      <top/>
      <bottom style="mediumDashed">
        <color indexed="64"/>
      </bottom>
      <diagonal/>
    </border>
    <border>
      <left style="mediumDashed">
        <color indexed="64"/>
      </left>
      <right style="mediumDashed">
        <color indexed="64"/>
      </right>
      <top/>
      <bottom style="medium">
        <color indexed="64"/>
      </bottom>
      <diagonal/>
    </border>
    <border>
      <left style="mediumDashed">
        <color indexed="64"/>
      </left>
      <right style="mediumDashed">
        <color indexed="64"/>
      </right>
      <top style="medium">
        <color indexed="64"/>
      </top>
      <bottom/>
      <diagonal/>
    </border>
    <border>
      <left style="medium">
        <color indexed="64"/>
      </left>
      <right style="mediumDashed">
        <color indexed="64"/>
      </right>
      <top style="medium">
        <color indexed="64"/>
      </top>
      <bottom/>
      <diagonal/>
    </border>
    <border>
      <left style="medium">
        <color indexed="64"/>
      </left>
      <right style="mediumDashed">
        <color indexed="64"/>
      </right>
      <top/>
      <bottom style="medium">
        <color indexed="64"/>
      </bottom>
      <diagonal/>
    </border>
    <border>
      <left style="mediumDashed">
        <color indexed="64"/>
      </left>
      <right style="medium">
        <color indexed="64"/>
      </right>
      <top style="medium">
        <color indexed="64"/>
      </top>
      <bottom/>
      <diagonal/>
    </border>
    <border>
      <left style="mediumDashed">
        <color indexed="64"/>
      </left>
      <right style="medium">
        <color indexed="64"/>
      </right>
      <top/>
      <bottom style="medium">
        <color indexed="64"/>
      </bottom>
      <diagonal/>
    </border>
    <border>
      <left style="medium">
        <color indexed="64"/>
      </left>
      <right/>
      <top style="medium">
        <color indexed="64"/>
      </top>
      <bottom style="mediumDashed">
        <color indexed="64"/>
      </bottom>
      <diagonal/>
    </border>
    <border>
      <left style="medium">
        <color indexed="64"/>
      </left>
      <right/>
      <top style="mediumDashed">
        <color indexed="64"/>
      </top>
      <bottom style="medium">
        <color indexed="64"/>
      </bottom>
      <diagonal/>
    </border>
    <border>
      <left style="mediumDashed">
        <color indexed="64"/>
      </left>
      <right style="mediumDashed">
        <color indexed="64"/>
      </right>
      <top/>
      <bottom/>
      <diagonal/>
    </border>
    <border>
      <left style="mediumDashed">
        <color indexed="64"/>
      </left>
      <right/>
      <top style="medium">
        <color indexed="64"/>
      </top>
      <bottom style="mediumDashed">
        <color indexed="64"/>
      </bottom>
      <diagonal/>
    </border>
    <border>
      <left style="mediumDashed">
        <color indexed="64"/>
      </left>
      <right/>
      <top/>
      <bottom style="mediumDashed">
        <color indexed="64"/>
      </bottom>
      <diagonal/>
    </border>
    <border>
      <left/>
      <right style="mediumDashed">
        <color indexed="64"/>
      </right>
      <top style="mediumDashed">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392">
    <xf numFmtId="0" fontId="0" fillId="0" borderId="0" xfId="0"/>
    <xf numFmtId="0" fontId="1" fillId="0" borderId="1" xfId="0" applyFont="1" applyBorder="1" applyAlignment="1">
      <alignment horizontal="center"/>
    </xf>
    <xf numFmtId="0" fontId="0" fillId="0" borderId="1" xfId="0" applyBorder="1" applyAlignment="1">
      <alignment horizontal="center"/>
    </xf>
    <xf numFmtId="0" fontId="0" fillId="0" borderId="1" xfId="0" applyBorder="1"/>
    <xf numFmtId="9" fontId="0" fillId="0" borderId="0" xfId="0" applyNumberFormat="1" applyAlignment="1">
      <alignment horizontal="center"/>
    </xf>
    <xf numFmtId="0" fontId="1" fillId="0" borderId="0" xfId="0" applyFont="1" applyAlignment="1">
      <alignment horizontal="center"/>
    </xf>
    <xf numFmtId="0" fontId="0" fillId="0" borderId="0" xfId="0" applyAlignment="1">
      <alignment horizontal="center"/>
    </xf>
    <xf numFmtId="10" fontId="0" fillId="0" borderId="1" xfId="0" applyNumberFormat="1" applyBorder="1" applyAlignment="1">
      <alignment horizontal="center"/>
    </xf>
    <xf numFmtId="1" fontId="0" fillId="0" borderId="0" xfId="0" applyNumberFormat="1"/>
    <xf numFmtId="0" fontId="0" fillId="15" borderId="1" xfId="0" applyFill="1" applyBorder="1" applyAlignment="1">
      <alignment horizontal="center"/>
    </xf>
    <xf numFmtId="0" fontId="7" fillId="0" borderId="0" xfId="0" applyFont="1"/>
    <xf numFmtId="0" fontId="8" fillId="0" borderId="1" xfId="0" applyFont="1" applyBorder="1" applyAlignment="1">
      <alignment horizontal="center"/>
    </xf>
    <xf numFmtId="0" fontId="10" fillId="8" borderId="1" xfId="0" applyFont="1" applyFill="1" applyBorder="1" applyAlignment="1">
      <alignment horizontal="center"/>
    </xf>
    <xf numFmtId="0" fontId="7" fillId="8" borderId="1" xfId="0" applyFont="1" applyFill="1" applyBorder="1" applyAlignment="1">
      <alignment horizontal="center"/>
    </xf>
    <xf numFmtId="0" fontId="10" fillId="7" borderId="1" xfId="0" applyFont="1" applyFill="1" applyBorder="1" applyAlignment="1">
      <alignment horizontal="center"/>
    </xf>
    <xf numFmtId="1" fontId="7" fillId="7" borderId="1" xfId="0" applyNumberFormat="1" applyFont="1" applyFill="1" applyBorder="1" applyAlignment="1">
      <alignment horizontal="center"/>
    </xf>
    <xf numFmtId="0" fontId="8" fillId="7" borderId="1" xfId="0" applyFont="1" applyFill="1" applyBorder="1" applyAlignment="1">
      <alignment horizontal="center"/>
    </xf>
    <xf numFmtId="0" fontId="9" fillId="7" borderId="1" xfId="0" applyFont="1" applyFill="1" applyBorder="1" applyAlignment="1">
      <alignment horizontal="center"/>
    </xf>
    <xf numFmtId="0" fontId="10" fillId="0" borderId="1" xfId="0" applyFont="1" applyBorder="1" applyAlignment="1">
      <alignment horizontal="center"/>
    </xf>
    <xf numFmtId="9" fontId="7" fillId="0" borderId="1" xfId="0" applyNumberFormat="1" applyFont="1" applyBorder="1" applyAlignment="1">
      <alignment horizontal="center"/>
    </xf>
    <xf numFmtId="1" fontId="7" fillId="8" borderId="1" xfId="0" applyNumberFormat="1" applyFont="1" applyFill="1" applyBorder="1" applyAlignment="1">
      <alignment horizontal="center"/>
    </xf>
    <xf numFmtId="0" fontId="8" fillId="8" borderId="1" xfId="0" applyFont="1" applyFill="1" applyBorder="1" applyAlignment="1">
      <alignment horizontal="center"/>
    </xf>
    <xf numFmtId="0" fontId="9" fillId="8" borderId="1" xfId="0" applyFont="1" applyFill="1" applyBorder="1" applyAlignment="1">
      <alignment horizontal="center"/>
    </xf>
    <xf numFmtId="0" fontId="7" fillId="4" borderId="1" xfId="0" applyFont="1" applyFill="1" applyBorder="1" applyAlignment="1">
      <alignment horizontal="center"/>
    </xf>
    <xf numFmtId="0" fontId="10" fillId="5" borderId="1" xfId="0" applyFont="1" applyFill="1" applyBorder="1" applyAlignment="1">
      <alignment horizontal="center"/>
    </xf>
    <xf numFmtId="0" fontId="8" fillId="5" borderId="1" xfId="0" applyFont="1" applyFill="1" applyBorder="1" applyAlignment="1">
      <alignment horizontal="center"/>
    </xf>
    <xf numFmtId="0" fontId="9" fillId="5" borderId="1" xfId="0" applyFont="1" applyFill="1" applyBorder="1" applyAlignment="1">
      <alignment horizontal="center"/>
    </xf>
    <xf numFmtId="0" fontId="7" fillId="0" borderId="1" xfId="0" applyFont="1" applyBorder="1" applyAlignment="1">
      <alignment horizontal="center"/>
    </xf>
    <xf numFmtId="0" fontId="10" fillId="6" borderId="1" xfId="0" applyFont="1" applyFill="1" applyBorder="1" applyAlignment="1">
      <alignment horizontal="center"/>
    </xf>
    <xf numFmtId="0" fontId="10" fillId="9" borderId="1" xfId="0" applyFont="1" applyFill="1" applyBorder="1" applyAlignment="1">
      <alignment horizontal="center"/>
    </xf>
    <xf numFmtId="9" fontId="7" fillId="9" borderId="1" xfId="0" applyNumberFormat="1" applyFont="1" applyFill="1" applyBorder="1" applyAlignment="1">
      <alignment horizontal="center"/>
    </xf>
    <xf numFmtId="0" fontId="8" fillId="10" borderId="1" xfId="0" applyFont="1" applyFill="1" applyBorder="1" applyAlignment="1">
      <alignment horizontal="center"/>
    </xf>
    <xf numFmtId="0" fontId="10" fillId="11" borderId="1" xfId="0" applyFont="1" applyFill="1" applyBorder="1" applyAlignment="1">
      <alignment horizontal="center"/>
    </xf>
    <xf numFmtId="0" fontId="8" fillId="11" borderId="1" xfId="0" applyFont="1" applyFill="1" applyBorder="1" applyAlignment="1">
      <alignment horizontal="center"/>
    </xf>
    <xf numFmtId="9" fontId="7" fillId="11" borderId="1" xfId="0" applyNumberFormat="1" applyFont="1" applyFill="1" applyBorder="1" applyAlignment="1">
      <alignment horizontal="center"/>
    </xf>
    <xf numFmtId="10" fontId="7" fillId="0" borderId="1" xfId="0" applyNumberFormat="1" applyFont="1" applyBorder="1" applyAlignment="1">
      <alignment horizontal="center"/>
    </xf>
    <xf numFmtId="0" fontId="11" fillId="0" borderId="1" xfId="0" applyFont="1" applyBorder="1" applyAlignment="1">
      <alignment horizontal="center"/>
    </xf>
    <xf numFmtId="2" fontId="7" fillId="0" borderId="1" xfId="0" applyNumberFormat="1" applyFont="1" applyBorder="1" applyAlignment="1">
      <alignment horizontal="center"/>
    </xf>
    <xf numFmtId="0" fontId="7" fillId="0" borderId="0" xfId="0" applyFont="1" applyAlignment="1">
      <alignment horizontal="center"/>
    </xf>
    <xf numFmtId="0" fontId="14" fillId="0" borderId="0" xfId="0" applyFont="1" applyAlignment="1">
      <alignment horizontal="right"/>
    </xf>
    <xf numFmtId="0" fontId="7" fillId="0" borderId="1" xfId="0" applyFont="1" applyBorder="1" applyAlignment="1">
      <alignment horizontal="center" vertical="center"/>
    </xf>
    <xf numFmtId="0" fontId="10" fillId="0" borderId="0" xfId="0" applyFont="1" applyAlignment="1">
      <alignment horizontal="center"/>
    </xf>
    <xf numFmtId="0" fontId="13" fillId="3" borderId="1" xfId="0" applyFont="1" applyFill="1" applyBorder="1" applyAlignment="1">
      <alignment horizontal="center"/>
    </xf>
    <xf numFmtId="1" fontId="7" fillId="0" borderId="1" xfId="0" applyNumberFormat="1" applyFont="1" applyBorder="1" applyAlignment="1">
      <alignment horizontal="center"/>
    </xf>
    <xf numFmtId="1" fontId="7" fillId="15" borderId="1" xfId="0" applyNumberFormat="1" applyFont="1" applyFill="1" applyBorder="1" applyAlignment="1">
      <alignment horizontal="center"/>
    </xf>
    <xf numFmtId="0" fontId="7" fillId="15" borderId="1" xfId="0" applyFont="1" applyFill="1" applyBorder="1" applyAlignment="1">
      <alignment horizontal="center"/>
    </xf>
    <xf numFmtId="0" fontId="10" fillId="12" borderId="1" xfId="0" applyFont="1" applyFill="1" applyBorder="1" applyAlignment="1">
      <alignment horizontal="center"/>
    </xf>
    <xf numFmtId="9" fontId="7" fillId="14" borderId="1" xfId="0" applyNumberFormat="1" applyFont="1" applyFill="1" applyBorder="1" applyAlignment="1">
      <alignment horizontal="center"/>
    </xf>
    <xf numFmtId="164" fontId="7" fillId="14" borderId="1" xfId="0" applyNumberFormat="1" applyFont="1" applyFill="1" applyBorder="1" applyAlignment="1">
      <alignment horizontal="center"/>
    </xf>
    <xf numFmtId="0" fontId="10" fillId="13" borderId="1" xfId="0" applyFont="1" applyFill="1" applyBorder="1" applyAlignment="1">
      <alignment horizontal="center"/>
    </xf>
    <xf numFmtId="164" fontId="7" fillId="0" borderId="1" xfId="0" applyNumberFormat="1" applyFont="1" applyBorder="1" applyAlignment="1">
      <alignment horizontal="center"/>
    </xf>
    <xf numFmtId="1" fontId="7" fillId="0" borderId="0" xfId="0" applyNumberFormat="1" applyFont="1"/>
    <xf numFmtId="2" fontId="7" fillId="15" borderId="1" xfId="0" applyNumberFormat="1" applyFont="1" applyFill="1" applyBorder="1" applyAlignment="1">
      <alignment horizontal="center"/>
    </xf>
    <xf numFmtId="0" fontId="7" fillId="16" borderId="1" xfId="0" applyFont="1" applyFill="1" applyBorder="1" applyAlignment="1">
      <alignment horizontal="center"/>
    </xf>
    <xf numFmtId="1" fontId="7" fillId="19" borderId="1" xfId="0" applyNumberFormat="1" applyFont="1" applyFill="1" applyBorder="1" applyAlignment="1">
      <alignment horizont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0" fontId="7" fillId="0" borderId="0" xfId="0" applyFont="1" applyAlignment="1">
      <alignment horizontal="center" vertical="center"/>
    </xf>
    <xf numFmtId="164" fontId="7" fillId="0" borderId="0" xfId="0" applyNumberFormat="1" applyFont="1"/>
    <xf numFmtId="0" fontId="9" fillId="0" borderId="1" xfId="0" applyFont="1" applyBorder="1" applyAlignment="1">
      <alignment horizontal="center"/>
    </xf>
    <xf numFmtId="0" fontId="19" fillId="0" borderId="0" xfId="0" applyFont="1" applyAlignment="1">
      <alignment horizontal="right"/>
    </xf>
    <xf numFmtId="0" fontId="8" fillId="19" borderId="1" xfId="0" applyFont="1" applyFill="1" applyBorder="1" applyAlignment="1">
      <alignment horizontal="center"/>
    </xf>
    <xf numFmtId="0" fontId="9" fillId="19" borderId="1" xfId="0" applyFont="1" applyFill="1" applyBorder="1" applyAlignment="1">
      <alignment horizontal="center"/>
    </xf>
    <xf numFmtId="0" fontId="10" fillId="19" borderId="1" xfId="0" applyFont="1" applyFill="1" applyBorder="1" applyAlignment="1">
      <alignment horizontal="center"/>
    </xf>
    <xf numFmtId="0" fontId="10" fillId="0" borderId="4" xfId="0" applyFont="1" applyBorder="1" applyAlignment="1">
      <alignment horizontal="center"/>
    </xf>
    <xf numFmtId="2" fontId="0" fillId="0" borderId="0" xfId="0" applyNumberFormat="1"/>
    <xf numFmtId="2" fontId="0" fillId="0" borderId="0" xfId="0" applyNumberFormat="1" applyAlignment="1">
      <alignment horizontal="center"/>
    </xf>
    <xf numFmtId="10" fontId="0" fillId="0" borderId="0" xfId="0" applyNumberFormat="1"/>
    <xf numFmtId="0" fontId="7" fillId="0" borderId="1" xfId="0" applyFont="1" applyBorder="1"/>
    <xf numFmtId="0" fontId="1" fillId="15" borderId="1" xfId="0" applyFont="1" applyFill="1" applyBorder="1" applyAlignment="1">
      <alignment horizontal="center"/>
    </xf>
    <xf numFmtId="0" fontId="0" fillId="17" borderId="1" xfId="0" applyFill="1" applyBorder="1" applyAlignment="1">
      <alignment horizontal="center"/>
    </xf>
    <xf numFmtId="0" fontId="0" fillId="21" borderId="1" xfId="0" applyFill="1" applyBorder="1" applyAlignment="1">
      <alignment horizontal="center"/>
    </xf>
    <xf numFmtId="0" fontId="0" fillId="22" borderId="1" xfId="0" applyFill="1" applyBorder="1" applyAlignment="1">
      <alignment horizontal="center"/>
    </xf>
    <xf numFmtId="0" fontId="0" fillId="23" borderId="1" xfId="0" applyFill="1" applyBorder="1" applyAlignment="1">
      <alignment horizontal="center"/>
    </xf>
    <xf numFmtId="9" fontId="0" fillId="0" borderId="0" xfId="0" applyNumberFormat="1"/>
    <xf numFmtId="165" fontId="0" fillId="0" borderId="0" xfId="0" applyNumberFormat="1"/>
    <xf numFmtId="0" fontId="1" fillId="0" borderId="0" xfId="0" applyFont="1"/>
    <xf numFmtId="10" fontId="7" fillId="11" borderId="1" xfId="0" applyNumberFormat="1" applyFont="1" applyFill="1" applyBorder="1" applyAlignment="1">
      <alignment horizontal="center"/>
    </xf>
    <xf numFmtId="10" fontId="7" fillId="6" borderId="1" xfId="0" applyNumberFormat="1" applyFont="1" applyFill="1" applyBorder="1" applyAlignment="1">
      <alignment horizontal="center"/>
    </xf>
    <xf numFmtId="9" fontId="7" fillId="14" borderId="12" xfId="0" applyNumberFormat="1" applyFont="1" applyFill="1" applyBorder="1" applyAlignment="1">
      <alignment horizontal="center"/>
    </xf>
    <xf numFmtId="9" fontId="7" fillId="14" borderId="13" xfId="0" applyNumberFormat="1" applyFont="1" applyFill="1" applyBorder="1" applyAlignment="1">
      <alignment horizontal="center"/>
    </xf>
    <xf numFmtId="0" fontId="7" fillId="0" borderId="12" xfId="0" applyFont="1" applyBorder="1" applyAlignment="1">
      <alignment horizontal="center"/>
    </xf>
    <xf numFmtId="165" fontId="7" fillId="0" borderId="13" xfId="0" applyNumberFormat="1" applyFont="1" applyBorder="1" applyAlignment="1">
      <alignment horizontal="center"/>
    </xf>
    <xf numFmtId="164" fontId="0" fillId="0" borderId="13" xfId="0" applyNumberFormat="1" applyBorder="1" applyAlignment="1">
      <alignment horizontal="center"/>
    </xf>
    <xf numFmtId="0" fontId="0" fillId="0" borderId="14" xfId="0" applyBorder="1"/>
    <xf numFmtId="0" fontId="0" fillId="0" borderId="15" xfId="0" applyBorder="1"/>
    <xf numFmtId="0" fontId="1" fillId="0" borderId="12" xfId="0" applyFont="1" applyBorder="1" applyAlignment="1">
      <alignment horizontal="center"/>
    </xf>
    <xf numFmtId="10" fontId="0" fillId="0" borderId="13" xfId="0" applyNumberFormat="1" applyBorder="1" applyAlignment="1">
      <alignment horizontal="center"/>
    </xf>
    <xf numFmtId="0" fontId="10" fillId="0" borderId="12" xfId="0" applyFont="1" applyBorder="1" applyAlignment="1">
      <alignment horizontal="center"/>
    </xf>
    <xf numFmtId="0" fontId="7" fillId="0" borderId="13" xfId="0" applyFont="1" applyBorder="1" applyAlignment="1">
      <alignment horizontal="center"/>
    </xf>
    <xf numFmtId="0" fontId="10" fillId="5" borderId="12" xfId="0" applyFont="1" applyFill="1" applyBorder="1" applyAlignment="1">
      <alignment horizontal="center"/>
    </xf>
    <xf numFmtId="0" fontId="7" fillId="5" borderId="13" xfId="0" applyFont="1" applyFill="1" applyBorder="1" applyAlignment="1">
      <alignment horizontal="center"/>
    </xf>
    <xf numFmtId="9" fontId="7" fillId="0" borderId="13" xfId="0" applyNumberFormat="1" applyFont="1" applyBorder="1" applyAlignment="1">
      <alignment horizontal="center"/>
    </xf>
    <xf numFmtId="0" fontId="10" fillId="0" borderId="16" xfId="0" applyFont="1" applyBorder="1" applyAlignment="1">
      <alignment horizontal="center"/>
    </xf>
    <xf numFmtId="9" fontId="7" fillId="0" borderId="17" xfId="0" applyNumberFormat="1" applyFont="1" applyBorder="1" applyAlignment="1">
      <alignment horizontal="center"/>
    </xf>
    <xf numFmtId="0" fontId="0" fillId="24" borderId="1" xfId="0" applyFill="1" applyBorder="1" applyAlignment="1">
      <alignment horizontal="center"/>
    </xf>
    <xf numFmtId="1" fontId="7" fillId="5" borderId="1" xfId="0" applyNumberFormat="1" applyFont="1" applyFill="1" applyBorder="1" applyAlignment="1">
      <alignment horizontal="center"/>
    </xf>
    <xf numFmtId="166" fontId="0" fillId="0" borderId="0" xfId="0" applyNumberFormat="1"/>
    <xf numFmtId="0" fontId="20" fillId="0" borderId="0" xfId="0" applyFont="1"/>
    <xf numFmtId="0" fontId="2" fillId="0" borderId="0" xfId="0" applyFont="1"/>
    <xf numFmtId="0" fontId="0" fillId="13" borderId="1" xfId="0" applyFill="1" applyBorder="1" applyAlignment="1">
      <alignment horizontal="center"/>
    </xf>
    <xf numFmtId="165" fontId="7" fillId="0" borderId="0" xfId="0" applyNumberFormat="1" applyFont="1" applyAlignment="1">
      <alignment horizontal="left"/>
    </xf>
    <xf numFmtId="0" fontId="0" fillId="25" borderId="1" xfId="0" applyFill="1" applyBorder="1" applyAlignment="1">
      <alignment horizontal="center"/>
    </xf>
    <xf numFmtId="0" fontId="0" fillId="0" borderId="0" xfId="0" applyAlignment="1">
      <alignment horizontal="left"/>
    </xf>
    <xf numFmtId="0" fontId="20" fillId="0" borderId="0" xfId="0" applyFont="1" applyAlignment="1">
      <alignment horizontal="left"/>
    </xf>
    <xf numFmtId="49" fontId="0" fillId="0" borderId="0" xfId="0" applyNumberFormat="1"/>
    <xf numFmtId="0" fontId="20" fillId="0" borderId="0" xfId="0" applyFont="1" applyAlignment="1">
      <alignment horizontal="center"/>
    </xf>
    <xf numFmtId="0" fontId="10" fillId="26" borderId="1" xfId="0" applyFont="1" applyFill="1" applyBorder="1" applyAlignment="1">
      <alignment horizontal="center"/>
    </xf>
    <xf numFmtId="0" fontId="10" fillId="2" borderId="1" xfId="0" applyFont="1" applyFill="1" applyBorder="1" applyAlignment="1">
      <alignment horizontal="center"/>
    </xf>
    <xf numFmtId="0" fontId="10" fillId="3" borderId="1" xfId="0" applyFont="1" applyFill="1" applyBorder="1" applyAlignment="1">
      <alignment horizontal="center"/>
    </xf>
    <xf numFmtId="0" fontId="10" fillId="24" borderId="1" xfId="0" applyFont="1" applyFill="1" applyBorder="1" applyAlignment="1">
      <alignment horizontal="center"/>
    </xf>
    <xf numFmtId="0" fontId="10" fillId="24" borderId="12" xfId="0" applyFont="1" applyFill="1" applyBorder="1" applyAlignment="1">
      <alignment horizontal="center"/>
    </xf>
    <xf numFmtId="0" fontId="7" fillId="24" borderId="13" xfId="0" applyFont="1" applyFill="1" applyBorder="1" applyAlignment="1">
      <alignment horizontal="center"/>
    </xf>
    <xf numFmtId="164" fontId="10" fillId="0" borderId="0" xfId="0" applyNumberFormat="1" applyFont="1" applyAlignment="1">
      <alignment horizontal="center" vertical="center"/>
    </xf>
    <xf numFmtId="164" fontId="8" fillId="0" borderId="0" xfId="0" applyNumberFormat="1" applyFont="1" applyAlignment="1">
      <alignment horizontal="center" vertical="center"/>
    </xf>
    <xf numFmtId="164" fontId="0" fillId="0" borderId="0" xfId="0" applyNumberFormat="1" applyAlignment="1">
      <alignment horizontal="center"/>
    </xf>
    <xf numFmtId="0" fontId="0" fillId="0" borderId="0" xfId="0" applyAlignment="1">
      <alignment vertical="center"/>
    </xf>
    <xf numFmtId="0" fontId="0" fillId="0" borderId="0" xfId="0" applyAlignment="1">
      <alignment horizontal="center" vertical="center"/>
    </xf>
    <xf numFmtId="0" fontId="7" fillId="8" borderId="1" xfId="0" applyFont="1" applyFill="1" applyBorder="1" applyAlignment="1">
      <alignment horizontal="center" vertical="center"/>
    </xf>
    <xf numFmtId="0" fontId="13" fillId="3" borderId="1" xfId="0" applyFont="1" applyFill="1" applyBorder="1" applyAlignment="1">
      <alignment horizontal="center" vertical="center"/>
    </xf>
    <xf numFmtId="0" fontId="9" fillId="7" borderId="1" xfId="0" applyFont="1" applyFill="1" applyBorder="1" applyAlignment="1">
      <alignment horizontal="center" vertical="center"/>
    </xf>
    <xf numFmtId="0" fontId="7" fillId="5" borderId="1" xfId="0" applyFont="1" applyFill="1" applyBorder="1" applyAlignment="1">
      <alignment horizontal="center" vertical="center"/>
    </xf>
    <xf numFmtId="0" fontId="9" fillId="11" borderId="1" xfId="0" applyFont="1" applyFill="1" applyBorder="1" applyAlignment="1">
      <alignment horizontal="center" vertical="center"/>
    </xf>
    <xf numFmtId="0" fontId="7" fillId="10" borderId="1" xfId="0" applyFont="1" applyFill="1" applyBorder="1" applyAlignment="1">
      <alignment horizontal="center" vertical="center"/>
    </xf>
    <xf numFmtId="0" fontId="9" fillId="9" borderId="1" xfId="0" applyFont="1" applyFill="1" applyBorder="1" applyAlignment="1">
      <alignment horizontal="center" vertical="center"/>
    </xf>
    <xf numFmtId="0" fontId="12" fillId="0" borderId="0" xfId="0" applyFont="1" applyAlignment="1">
      <alignment horizontal="center" vertical="center"/>
    </xf>
    <xf numFmtId="0" fontId="13" fillId="4" borderId="1" xfId="0" applyFont="1" applyFill="1" applyBorder="1" applyAlignment="1">
      <alignment horizontal="center" vertical="center"/>
    </xf>
    <xf numFmtId="10" fontId="0" fillId="0" borderId="0" xfId="0" applyNumberFormat="1" applyAlignment="1">
      <alignment vertical="center"/>
    </xf>
    <xf numFmtId="0" fontId="8" fillId="7" borderId="1" xfId="0" applyFont="1" applyFill="1" applyBorder="1" applyAlignment="1">
      <alignment horizontal="center" vertical="center"/>
    </xf>
    <xf numFmtId="0" fontId="7" fillId="7" borderId="1" xfId="0" applyFont="1" applyFill="1" applyBorder="1" applyAlignment="1">
      <alignment horizontal="center" vertical="center"/>
    </xf>
    <xf numFmtId="0" fontId="11" fillId="7" borderId="1" xfId="0" applyFont="1" applyFill="1" applyBorder="1" applyAlignment="1">
      <alignment horizontal="center" vertical="center"/>
    </xf>
    <xf numFmtId="0" fontId="8" fillId="8" borderId="1" xfId="0" applyFont="1" applyFill="1" applyBorder="1" applyAlignment="1">
      <alignment horizontal="center" vertical="center"/>
    </xf>
    <xf numFmtId="0" fontId="11" fillId="8" borderId="1" xfId="0" applyFont="1" applyFill="1" applyBorder="1" applyAlignment="1">
      <alignment horizontal="center" vertical="center"/>
    </xf>
    <xf numFmtId="0" fontId="8" fillId="0" borderId="8" xfId="0" applyFont="1" applyBorder="1" applyAlignment="1">
      <alignment horizontal="center" vertical="center"/>
    </xf>
    <xf numFmtId="0" fontId="11" fillId="0" borderId="0" xfId="0" applyFont="1" applyAlignment="1">
      <alignment horizontal="center" vertical="center"/>
    </xf>
    <xf numFmtId="10" fontId="7" fillId="0" borderId="0" xfId="0" applyNumberFormat="1" applyFont="1" applyAlignment="1">
      <alignment horizontal="center" vertical="center"/>
    </xf>
    <xf numFmtId="0" fontId="7" fillId="0" borderId="0" xfId="0" applyFont="1" applyAlignment="1">
      <alignment vertical="center"/>
    </xf>
    <xf numFmtId="0" fontId="7" fillId="0" borderId="7" xfId="0" applyFont="1" applyBorder="1" applyAlignment="1">
      <alignment horizontal="center" vertical="center"/>
    </xf>
    <xf numFmtId="164" fontId="7" fillId="7" borderId="1" xfId="0" applyNumberFormat="1" applyFont="1" applyFill="1" applyBorder="1" applyAlignment="1">
      <alignment horizontal="center" vertical="center"/>
    </xf>
    <xf numFmtId="164" fontId="7" fillId="8" borderId="1" xfId="0" applyNumberFormat="1" applyFont="1" applyFill="1" applyBorder="1" applyAlignment="1">
      <alignment horizontal="center" vertical="center"/>
    </xf>
    <xf numFmtId="0" fontId="8" fillId="5" borderId="1" xfId="0" applyFont="1" applyFill="1" applyBorder="1" applyAlignment="1">
      <alignment horizontal="center" vertical="center"/>
    </xf>
    <xf numFmtId="164" fontId="7" fillId="5" borderId="1" xfId="0" applyNumberFormat="1" applyFont="1" applyFill="1" applyBorder="1" applyAlignment="1">
      <alignment horizontal="center" vertical="center"/>
    </xf>
    <xf numFmtId="0" fontId="8" fillId="9" borderId="1" xfId="0" applyFont="1" applyFill="1" applyBorder="1" applyAlignment="1">
      <alignment horizontal="center" vertical="center"/>
    </xf>
    <xf numFmtId="164" fontId="7" fillId="9" borderId="1" xfId="0" applyNumberFormat="1" applyFont="1" applyFill="1" applyBorder="1" applyAlignment="1">
      <alignment horizontal="center" vertical="center"/>
    </xf>
    <xf numFmtId="0" fontId="8" fillId="10" borderId="1" xfId="0" applyFont="1" applyFill="1" applyBorder="1" applyAlignment="1">
      <alignment horizontal="center" vertical="center"/>
    </xf>
    <xf numFmtId="0" fontId="8" fillId="11" borderId="1" xfId="0" applyFont="1" applyFill="1" applyBorder="1" applyAlignment="1">
      <alignment horizontal="center" vertical="center"/>
    </xf>
    <xf numFmtId="164" fontId="7" fillId="11" borderId="1" xfId="0" applyNumberFormat="1" applyFont="1" applyFill="1" applyBorder="1" applyAlignment="1">
      <alignment horizontal="center" vertical="center"/>
    </xf>
    <xf numFmtId="0" fontId="14" fillId="0" borderId="5" xfId="0" applyFont="1" applyBorder="1" applyAlignment="1">
      <alignment horizontal="left" vertical="center"/>
    </xf>
    <xf numFmtId="1" fontId="7" fillId="18" borderId="9" xfId="0" applyNumberFormat="1" applyFont="1" applyFill="1" applyBorder="1" applyAlignment="1">
      <alignment horizontal="center" vertical="center"/>
    </xf>
    <xf numFmtId="9" fontId="7" fillId="0" borderId="31" xfId="0" applyNumberFormat="1" applyFont="1" applyBorder="1" applyAlignment="1">
      <alignment horizontal="center" vertical="center"/>
    </xf>
    <xf numFmtId="0" fontId="7" fillId="0" borderId="31" xfId="0" applyFont="1" applyBorder="1" applyAlignment="1">
      <alignment horizontal="center" vertical="center"/>
    </xf>
    <xf numFmtId="0" fontId="24" fillId="0" borderId="31" xfId="0" applyFont="1" applyBorder="1" applyAlignment="1">
      <alignment horizontal="center" vertical="center"/>
    </xf>
    <xf numFmtId="9" fontId="7" fillId="0" borderId="28" xfId="0" applyNumberFormat="1" applyFont="1" applyBorder="1" applyAlignment="1">
      <alignment horizontal="center" vertical="center"/>
    </xf>
    <xf numFmtId="0" fontId="7" fillId="0" borderId="28" xfId="0" applyFont="1" applyBorder="1" applyAlignment="1">
      <alignment horizontal="center" vertical="center"/>
    </xf>
    <xf numFmtId="9" fontId="7" fillId="0" borderId="25" xfId="0" applyNumberFormat="1" applyFont="1" applyBorder="1" applyAlignment="1">
      <alignment horizontal="center" vertical="center"/>
    </xf>
    <xf numFmtId="0" fontId="7" fillId="0" borderId="25" xfId="0" applyFont="1" applyBorder="1" applyAlignment="1">
      <alignment horizontal="center" vertical="center"/>
    </xf>
    <xf numFmtId="9" fontId="7" fillId="0" borderId="33" xfId="0" applyNumberFormat="1" applyFont="1" applyBorder="1" applyAlignment="1">
      <alignment horizontal="center" vertical="center"/>
    </xf>
    <xf numFmtId="0" fontId="7" fillId="0" borderId="33" xfId="0" applyFont="1" applyBorder="1" applyAlignment="1">
      <alignment horizontal="center" vertical="center"/>
    </xf>
    <xf numFmtId="9" fontId="7" fillId="14" borderId="25" xfId="0" applyNumberFormat="1" applyFont="1" applyFill="1" applyBorder="1" applyAlignment="1">
      <alignment horizontal="center" vertical="center"/>
    </xf>
    <xf numFmtId="0" fontId="7" fillId="14" borderId="25" xfId="0" applyFont="1" applyFill="1" applyBorder="1" applyAlignment="1">
      <alignment horizontal="center" vertical="center"/>
    </xf>
    <xf numFmtId="9" fontId="7" fillId="14" borderId="33" xfId="0" applyNumberFormat="1" applyFont="1" applyFill="1" applyBorder="1" applyAlignment="1">
      <alignment horizontal="center" vertical="center"/>
    </xf>
    <xf numFmtId="0" fontId="7" fillId="14" borderId="33" xfId="0" applyFont="1" applyFill="1" applyBorder="1" applyAlignment="1">
      <alignment horizontal="center" vertical="center"/>
    </xf>
    <xf numFmtId="1" fontId="7" fillId="0" borderId="25" xfId="0" applyNumberFormat="1" applyFont="1" applyBorder="1" applyAlignment="1">
      <alignment horizontal="center" vertical="center"/>
    </xf>
    <xf numFmtId="0" fontId="29" fillId="0" borderId="25" xfId="0" applyFont="1" applyBorder="1" applyAlignment="1">
      <alignment horizontal="center" vertical="center"/>
    </xf>
    <xf numFmtId="164" fontId="0" fillId="0" borderId="1" xfId="0" applyNumberFormat="1" applyBorder="1" applyAlignment="1">
      <alignment horizontal="center"/>
    </xf>
    <xf numFmtId="165" fontId="7" fillId="0" borderId="1" xfId="0" applyNumberFormat="1" applyFont="1" applyBorder="1" applyAlignment="1">
      <alignment horizontal="center"/>
    </xf>
    <xf numFmtId="0" fontId="29" fillId="14" borderId="25" xfId="0" applyFont="1" applyFill="1" applyBorder="1" applyAlignment="1">
      <alignment horizontal="center" vertical="center"/>
    </xf>
    <xf numFmtId="0" fontId="30" fillId="0" borderId="0" xfId="0" applyFont="1"/>
    <xf numFmtId="0" fontId="30" fillId="0" borderId="0" xfId="0" applyFont="1" applyAlignment="1">
      <alignment vertical="center"/>
    </xf>
    <xf numFmtId="0" fontId="31" fillId="0" borderId="0" xfId="0" applyFont="1"/>
    <xf numFmtId="0" fontId="14" fillId="0" borderId="5" xfId="0" applyFont="1" applyBorder="1" applyAlignment="1">
      <alignment horizontal="right" vertical="center"/>
    </xf>
    <xf numFmtId="0" fontId="14" fillId="0" borderId="0" xfId="0" applyFont="1" applyAlignment="1">
      <alignment horizontal="right" vertical="center"/>
    </xf>
    <xf numFmtId="2" fontId="0" fillId="0" borderId="1" xfId="0" applyNumberFormat="1" applyBorder="1" applyAlignment="1">
      <alignment horizontal="center"/>
    </xf>
    <xf numFmtId="1" fontId="7" fillId="0" borderId="33" xfId="0" applyNumberFormat="1" applyFont="1" applyBorder="1" applyAlignment="1">
      <alignment horizontal="center" vertical="center"/>
    </xf>
    <xf numFmtId="9" fontId="7" fillId="14" borderId="42" xfId="0" applyNumberFormat="1" applyFont="1" applyFill="1" applyBorder="1" applyAlignment="1">
      <alignment horizontal="center" vertical="center"/>
    </xf>
    <xf numFmtId="9" fontId="7" fillId="14" borderId="43" xfId="0" applyNumberFormat="1" applyFont="1" applyFill="1" applyBorder="1" applyAlignment="1">
      <alignment horizontal="center" vertical="center"/>
    </xf>
    <xf numFmtId="0" fontId="0" fillId="0" borderId="15" xfId="0" applyBorder="1" applyAlignment="1">
      <alignment vertical="center"/>
    </xf>
    <xf numFmtId="9" fontId="0" fillId="0" borderId="1" xfId="0" applyNumberFormat="1" applyBorder="1" applyAlignment="1">
      <alignment horizontal="center"/>
    </xf>
    <xf numFmtId="164" fontId="7" fillId="0" borderId="25" xfId="0" applyNumberFormat="1" applyFont="1" applyBorder="1" applyAlignment="1">
      <alignment horizontal="center" vertical="center"/>
    </xf>
    <xf numFmtId="1" fontId="7" fillId="14" borderId="33" xfId="0" applyNumberFormat="1" applyFont="1" applyFill="1" applyBorder="1" applyAlignment="1">
      <alignment horizontal="center" vertical="center"/>
    </xf>
    <xf numFmtId="9" fontId="29" fillId="14" borderId="33" xfId="0" applyNumberFormat="1" applyFont="1" applyFill="1" applyBorder="1" applyAlignment="1">
      <alignment horizontal="center" vertical="center"/>
    </xf>
    <xf numFmtId="165" fontId="7" fillId="14" borderId="33" xfId="0" applyNumberFormat="1" applyFont="1" applyFill="1" applyBorder="1" applyAlignment="1">
      <alignment horizontal="center" vertical="center"/>
    </xf>
    <xf numFmtId="9" fontId="29" fillId="0" borderId="28" xfId="0" applyNumberFormat="1" applyFont="1" applyBorder="1" applyAlignment="1">
      <alignment horizontal="center" vertical="center"/>
    </xf>
    <xf numFmtId="0" fontId="10" fillId="7" borderId="12" xfId="0" applyFont="1" applyFill="1" applyBorder="1" applyAlignment="1">
      <alignment horizontal="center"/>
    </xf>
    <xf numFmtId="1" fontId="7" fillId="7" borderId="13" xfId="0" applyNumberFormat="1" applyFont="1" applyFill="1" applyBorder="1" applyAlignment="1">
      <alignment horizontal="center"/>
    </xf>
    <xf numFmtId="0" fontId="10" fillId="8" borderId="12" xfId="0" applyFont="1" applyFill="1" applyBorder="1" applyAlignment="1">
      <alignment horizontal="center"/>
    </xf>
    <xf numFmtId="0" fontId="10" fillId="8" borderId="13" xfId="0" applyFont="1" applyFill="1" applyBorder="1" applyAlignment="1">
      <alignment horizontal="center"/>
    </xf>
    <xf numFmtId="0" fontId="10" fillId="5" borderId="13" xfId="0" applyFont="1" applyFill="1" applyBorder="1" applyAlignment="1">
      <alignment horizontal="center"/>
    </xf>
    <xf numFmtId="0" fontId="10" fillId="6" borderId="12" xfId="0" applyFont="1" applyFill="1" applyBorder="1" applyAlignment="1">
      <alignment horizontal="center"/>
    </xf>
    <xf numFmtId="9" fontId="10" fillId="6" borderId="13" xfId="0" applyNumberFormat="1" applyFont="1" applyFill="1" applyBorder="1" applyAlignment="1">
      <alignment horizontal="center"/>
    </xf>
    <xf numFmtId="0" fontId="8" fillId="10" borderId="12" xfId="0" applyFont="1" applyFill="1" applyBorder="1" applyAlignment="1">
      <alignment horizontal="center"/>
    </xf>
    <xf numFmtId="0" fontId="8" fillId="10" borderId="13" xfId="0" applyFont="1" applyFill="1" applyBorder="1" applyAlignment="1">
      <alignment horizontal="center"/>
    </xf>
    <xf numFmtId="0" fontId="10" fillId="11" borderId="12" xfId="0" applyFont="1" applyFill="1" applyBorder="1" applyAlignment="1">
      <alignment horizontal="center"/>
    </xf>
    <xf numFmtId="9" fontId="10" fillId="11" borderId="13" xfId="0" applyNumberFormat="1" applyFont="1" applyFill="1" applyBorder="1" applyAlignment="1">
      <alignment horizontal="center"/>
    </xf>
    <xf numFmtId="9" fontId="10" fillId="0" borderId="13" xfId="0" applyNumberFormat="1" applyFont="1" applyBorder="1" applyAlignment="1">
      <alignment horizontal="center"/>
    </xf>
    <xf numFmtId="9" fontId="10" fillId="0" borderId="17" xfId="0" applyNumberFormat="1" applyFont="1" applyBorder="1" applyAlignment="1">
      <alignment horizontal="center"/>
    </xf>
    <xf numFmtId="0" fontId="0" fillId="16" borderId="1" xfId="0" applyFill="1" applyBorder="1" applyAlignment="1">
      <alignment horizontal="center"/>
    </xf>
    <xf numFmtId="0" fontId="0" fillId="20" borderId="1" xfId="0" applyFill="1" applyBorder="1" applyAlignment="1">
      <alignment horizontal="center"/>
    </xf>
    <xf numFmtId="1" fontId="7" fillId="14" borderId="42" xfId="0" applyNumberFormat="1" applyFont="1" applyFill="1" applyBorder="1" applyAlignment="1">
      <alignment horizontal="center" vertical="center"/>
    </xf>
    <xf numFmtId="10" fontId="20" fillId="0" borderId="0" xfId="0" applyNumberFormat="1" applyFont="1"/>
    <xf numFmtId="9" fontId="0" fillId="20" borderId="1" xfId="0" applyNumberFormat="1" applyFill="1" applyBorder="1" applyAlignment="1">
      <alignment horizontal="center"/>
    </xf>
    <xf numFmtId="0" fontId="0" fillId="24" borderId="1" xfId="0" quotePrefix="1" applyFill="1" applyBorder="1" applyAlignment="1">
      <alignment horizontal="center"/>
    </xf>
    <xf numFmtId="0" fontId="39" fillId="24" borderId="1" xfId="0" applyFont="1" applyFill="1" applyBorder="1" applyAlignment="1">
      <alignment horizontal="center"/>
    </xf>
    <xf numFmtId="0" fontId="40" fillId="20" borderId="1" xfId="0" applyFont="1" applyFill="1" applyBorder="1" applyAlignment="1">
      <alignment horizontal="center"/>
    </xf>
    <xf numFmtId="2" fontId="0" fillId="20" borderId="1" xfId="0" applyNumberFormat="1" applyFill="1" applyBorder="1" applyAlignment="1">
      <alignment horizontal="center"/>
    </xf>
    <xf numFmtId="9" fontId="20" fillId="0" borderId="0" xfId="0" applyNumberFormat="1" applyFont="1"/>
    <xf numFmtId="1" fontId="0" fillId="20" borderId="1" xfId="0" applyNumberFormat="1" applyFill="1"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13" fillId="3" borderId="4" xfId="0" applyFont="1" applyFill="1" applyBorder="1" applyAlignment="1">
      <alignment horizontal="center"/>
    </xf>
    <xf numFmtId="0" fontId="11" fillId="3" borderId="2" xfId="0" applyFont="1" applyFill="1" applyBorder="1" applyAlignment="1">
      <alignment horizontal="center"/>
    </xf>
    <xf numFmtId="0" fontId="11" fillId="3" borderId="3" xfId="0" applyFont="1" applyFill="1" applyBorder="1" applyAlignment="1">
      <alignment horizontal="center"/>
    </xf>
    <xf numFmtId="0" fontId="11" fillId="3" borderId="4" xfId="0" applyFont="1" applyFill="1" applyBorder="1" applyAlignment="1">
      <alignment horizontal="center"/>
    </xf>
    <xf numFmtId="0" fontId="11" fillId="3" borderId="1" xfId="0" applyFont="1" applyFill="1" applyBorder="1" applyAlignment="1">
      <alignment horizontal="center"/>
    </xf>
    <xf numFmtId="0" fontId="16" fillId="2" borderId="1" xfId="0" applyFont="1" applyFill="1" applyBorder="1" applyAlignment="1">
      <alignment horizontal="center"/>
    </xf>
    <xf numFmtId="165" fontId="0" fillId="20" borderId="1" xfId="0" applyNumberFormat="1" applyFill="1" applyBorder="1" applyAlignment="1">
      <alignment horizontal="center"/>
    </xf>
    <xf numFmtId="164" fontId="20" fillId="0" borderId="0" xfId="0" applyNumberFormat="1" applyFont="1"/>
    <xf numFmtId="1" fontId="0" fillId="16" borderId="1" xfId="0" applyNumberFormat="1" applyFill="1" applyBorder="1" applyAlignment="1">
      <alignment horizontal="center"/>
    </xf>
    <xf numFmtId="164" fontId="0" fillId="20" borderId="1" xfId="0" applyNumberFormat="1" applyFill="1" applyBorder="1" applyAlignment="1">
      <alignment horizontal="center"/>
    </xf>
    <xf numFmtId="0" fontId="41" fillId="20" borderId="1" xfId="0" applyFont="1" applyFill="1" applyBorder="1" applyAlignment="1">
      <alignment horizontal="center"/>
    </xf>
    <xf numFmtId="1" fontId="0" fillId="0" borderId="0" xfId="0" applyNumberFormat="1" applyAlignment="1">
      <alignment horizontal="center"/>
    </xf>
    <xf numFmtId="0" fontId="20" fillId="0" borderId="2" xfId="0" applyFont="1" applyBorder="1" applyAlignment="1">
      <alignment horizontal="center"/>
    </xf>
    <xf numFmtId="0" fontId="20" fillId="0" borderId="4" xfId="0" applyFont="1" applyBorder="1" applyAlignment="1">
      <alignment horizontal="center"/>
    </xf>
    <xf numFmtId="0" fontId="20" fillId="0" borderId="1" xfId="0" applyFont="1" applyBorder="1" applyAlignment="1">
      <alignment horizontal="center"/>
    </xf>
    <xf numFmtId="0" fontId="42" fillId="0" borderId="0" xfId="0" applyFont="1" applyAlignment="1">
      <alignment vertical="center"/>
    </xf>
    <xf numFmtId="1" fontId="7" fillId="0" borderId="0" xfId="0" applyNumberFormat="1" applyFont="1" applyAlignment="1">
      <alignment horizontal="center"/>
    </xf>
    <xf numFmtId="9" fontId="7" fillId="0" borderId="0" xfId="0" applyNumberFormat="1" applyFont="1" applyAlignment="1">
      <alignment horizontal="center"/>
    </xf>
    <xf numFmtId="0" fontId="13" fillId="0" borderId="0" xfId="0" applyFont="1" applyAlignment="1">
      <alignment horizontal="center"/>
    </xf>
    <xf numFmtId="0" fontId="8" fillId="0" borderId="0" xfId="0" applyFont="1" applyAlignment="1">
      <alignment horizontal="center"/>
    </xf>
    <xf numFmtId="164" fontId="7" fillId="0" borderId="0" xfId="0" applyNumberFormat="1" applyFont="1" applyAlignment="1">
      <alignment horizontal="center"/>
    </xf>
    <xf numFmtId="0" fontId="15" fillId="0" borderId="0" xfId="0" applyFont="1"/>
    <xf numFmtId="164" fontId="0" fillId="0" borderId="0" xfId="0" applyNumberFormat="1"/>
    <xf numFmtId="0" fontId="10" fillId="24" borderId="4" xfId="0" applyFont="1" applyFill="1" applyBorder="1" applyAlignment="1">
      <alignment horizontal="center"/>
    </xf>
    <xf numFmtId="0" fontId="10" fillId="2" borderId="4" xfId="0" applyFont="1" applyFill="1" applyBorder="1" applyAlignment="1">
      <alignment horizontal="center"/>
    </xf>
    <xf numFmtId="0" fontId="10" fillId="3" borderId="4" xfId="0" applyFont="1" applyFill="1" applyBorder="1" applyAlignment="1">
      <alignment horizontal="center"/>
    </xf>
    <xf numFmtId="0" fontId="16" fillId="0" borderId="0" xfId="0" applyFont="1" applyAlignment="1">
      <alignment horizontal="center"/>
    </xf>
    <xf numFmtId="2" fontId="7" fillId="0" borderId="0" xfId="0" applyNumberFormat="1" applyFont="1" applyAlignment="1">
      <alignment horizontal="center"/>
    </xf>
    <xf numFmtId="9" fontId="7" fillId="14" borderId="33" xfId="0" applyNumberFormat="1" applyFont="1" applyFill="1" applyBorder="1" applyAlignment="1">
      <alignment horizontal="center" vertical="center" wrapText="1"/>
    </xf>
    <xf numFmtId="0" fontId="16" fillId="0" borderId="0" xfId="0" applyFont="1"/>
    <xf numFmtId="2" fontId="7" fillId="0" borderId="13" xfId="0" applyNumberFormat="1" applyFont="1" applyBorder="1" applyAlignment="1">
      <alignment horizontal="center"/>
    </xf>
    <xf numFmtId="0" fontId="0" fillId="0" borderId="12" xfId="0" applyBorder="1"/>
    <xf numFmtId="0" fontId="0" fillId="0" borderId="13" xfId="0" applyBorder="1"/>
    <xf numFmtId="2" fontId="0" fillId="0" borderId="13" xfId="0" applyNumberFormat="1" applyBorder="1" applyAlignment="1">
      <alignment horizontal="center"/>
    </xf>
    <xf numFmtId="9" fontId="0" fillId="0" borderId="13" xfId="0" applyNumberFormat="1" applyBorder="1" applyAlignment="1">
      <alignment horizontal="center"/>
    </xf>
    <xf numFmtId="10" fontId="0" fillId="0" borderId="0" xfId="0" applyNumberFormat="1" applyAlignment="1">
      <alignment horizontal="center"/>
    </xf>
    <xf numFmtId="0" fontId="7" fillId="0" borderId="45" xfId="0" applyFont="1" applyBorder="1" applyAlignment="1">
      <alignment horizontal="center"/>
    </xf>
    <xf numFmtId="164" fontId="0" fillId="0" borderId="48" xfId="0" applyNumberFormat="1" applyBorder="1" applyAlignment="1">
      <alignment horizontal="center"/>
    </xf>
    <xf numFmtId="0" fontId="0" fillId="0" borderId="49" xfId="0" applyBorder="1"/>
    <xf numFmtId="0" fontId="0" fillId="0" borderId="50" xfId="0" applyBorder="1"/>
    <xf numFmtId="0" fontId="1" fillId="0" borderId="49" xfId="0" applyFont="1" applyBorder="1" applyAlignment="1">
      <alignment horizontal="center"/>
    </xf>
    <xf numFmtId="0" fontId="0" fillId="0" borderId="50" xfId="0" applyBorder="1" applyAlignment="1">
      <alignment horizontal="center"/>
    </xf>
    <xf numFmtId="0" fontId="43" fillId="0" borderId="1" xfId="0" applyFont="1" applyBorder="1" applyAlignment="1">
      <alignment horizontal="center"/>
    </xf>
    <xf numFmtId="0" fontId="43" fillId="0" borderId="1" xfId="0" applyFont="1" applyBorder="1"/>
    <xf numFmtId="1" fontId="0" fillId="0" borderId="13" xfId="0" applyNumberFormat="1" applyBorder="1" applyAlignment="1">
      <alignment horizontal="center"/>
    </xf>
    <xf numFmtId="0" fontId="44" fillId="20" borderId="1" xfId="0" applyFont="1" applyFill="1" applyBorder="1"/>
    <xf numFmtId="0" fontId="45" fillId="20" borderId="1" xfId="0" applyFont="1" applyFill="1" applyBorder="1" applyAlignment="1">
      <alignment horizontal="center"/>
    </xf>
    <xf numFmtId="1" fontId="9" fillId="10" borderId="1" xfId="0" applyNumberFormat="1" applyFont="1" applyFill="1" applyBorder="1" applyAlignment="1">
      <alignment horizontal="center"/>
    </xf>
    <xf numFmtId="0" fontId="14" fillId="0" borderId="0" xfId="0" applyFont="1" applyAlignment="1">
      <alignment horizontal="center"/>
    </xf>
    <xf numFmtId="0" fontId="18" fillId="0" borderId="0" xfId="0" applyFont="1"/>
    <xf numFmtId="165" fontId="7" fillId="0" borderId="0" xfId="0" applyNumberFormat="1" applyFont="1" applyAlignment="1">
      <alignment horizontal="center"/>
    </xf>
    <xf numFmtId="0" fontId="11" fillId="0" borderId="0" xfId="0" applyFont="1" applyAlignment="1">
      <alignment horizontal="center"/>
    </xf>
    <xf numFmtId="9" fontId="9" fillId="0" borderId="1" xfId="0" applyNumberFormat="1" applyFont="1" applyBorder="1" applyAlignment="1">
      <alignment horizontal="center"/>
    </xf>
    <xf numFmtId="9" fontId="7" fillId="24" borderId="12" xfId="0" applyNumberFormat="1" applyFont="1" applyFill="1" applyBorder="1" applyAlignment="1">
      <alignment horizontal="center"/>
    </xf>
    <xf numFmtId="0" fontId="16" fillId="0" borderId="0" xfId="0" applyFont="1" applyAlignment="1">
      <alignment horizontal="center"/>
    </xf>
    <xf numFmtId="0" fontId="6" fillId="16" borderId="10" xfId="0" applyFont="1" applyFill="1" applyBorder="1" applyAlignment="1">
      <alignment horizontal="center" vertical="center"/>
    </xf>
    <xf numFmtId="0" fontId="7" fillId="16" borderId="52" xfId="0" applyFont="1" applyFill="1" applyBorder="1" applyAlignment="1">
      <alignment horizontal="center" vertical="center"/>
    </xf>
    <xf numFmtId="0" fontId="7" fillId="16" borderId="11" xfId="0" applyFont="1" applyFill="1" applyBorder="1" applyAlignment="1">
      <alignment horizontal="center" vertical="center"/>
    </xf>
    <xf numFmtId="0" fontId="7" fillId="16" borderId="16" xfId="0" applyFont="1" applyFill="1" applyBorder="1" applyAlignment="1">
      <alignment horizontal="center" vertical="center"/>
    </xf>
    <xf numFmtId="0" fontId="7" fillId="16" borderId="51" xfId="0" applyFont="1" applyFill="1" applyBorder="1" applyAlignment="1">
      <alignment horizontal="center" vertical="center"/>
    </xf>
    <xf numFmtId="0" fontId="7" fillId="16" borderId="17" xfId="0" applyFont="1" applyFill="1" applyBorder="1" applyAlignment="1">
      <alignment horizontal="center" vertical="center"/>
    </xf>
    <xf numFmtId="0" fontId="15" fillId="2" borderId="1" xfId="0" applyFont="1" applyFill="1" applyBorder="1" applyAlignment="1">
      <alignment horizontal="center"/>
    </xf>
    <xf numFmtId="0" fontId="13" fillId="3" borderId="1" xfId="0" applyFont="1" applyFill="1" applyBorder="1" applyAlignment="1">
      <alignment horizontal="center"/>
    </xf>
    <xf numFmtId="0" fontId="15" fillId="2" borderId="2" xfId="0" applyFont="1" applyFill="1" applyBorder="1" applyAlignment="1">
      <alignment horizontal="center"/>
    </xf>
    <xf numFmtId="0" fontId="15" fillId="2" borderId="4" xfId="0" applyFont="1" applyFill="1" applyBorder="1" applyAlignment="1">
      <alignment horizontal="center"/>
    </xf>
    <xf numFmtId="0" fontId="16" fillId="2" borderId="12" xfId="0" applyFont="1" applyFill="1" applyBorder="1" applyAlignment="1">
      <alignment horizontal="center"/>
    </xf>
    <xf numFmtId="0" fontId="16" fillId="2" borderId="13" xfId="0" applyFont="1" applyFill="1" applyBorder="1" applyAlignment="1">
      <alignment horizontal="center"/>
    </xf>
    <xf numFmtId="0" fontId="16" fillId="2" borderId="2" xfId="0" applyFont="1" applyFill="1" applyBorder="1" applyAlignment="1">
      <alignment horizontal="center"/>
    </xf>
    <xf numFmtId="0" fontId="16" fillId="2" borderId="3" xfId="0" applyFont="1" applyFill="1" applyBorder="1" applyAlignment="1">
      <alignment horizontal="center"/>
    </xf>
    <xf numFmtId="0" fontId="16" fillId="2" borderId="4" xfId="0" applyFont="1" applyFill="1" applyBorder="1" applyAlignment="1">
      <alignment horizontal="center"/>
    </xf>
    <xf numFmtId="0" fontId="11" fillId="3" borderId="0" xfId="0" applyFont="1" applyFill="1" applyAlignment="1">
      <alignment horizontal="center"/>
    </xf>
    <xf numFmtId="0" fontId="0" fillId="0" borderId="0" xfId="0" applyAlignment="1">
      <alignment horizontal="center"/>
    </xf>
    <xf numFmtId="0" fontId="16" fillId="15" borderId="1" xfId="0" applyFont="1" applyFill="1" applyBorder="1" applyAlignment="1">
      <alignment horizontal="center"/>
    </xf>
    <xf numFmtId="0" fontId="11" fillId="3" borderId="1" xfId="0" applyFont="1" applyFill="1" applyBorder="1" applyAlignment="1">
      <alignment horizontal="center"/>
    </xf>
    <xf numFmtId="0" fontId="16" fillId="2" borderId="10" xfId="0" applyFont="1" applyFill="1" applyBorder="1" applyAlignment="1">
      <alignment horizontal="center"/>
    </xf>
    <xf numFmtId="0" fontId="16" fillId="2" borderId="11" xfId="0" applyFont="1" applyFill="1" applyBorder="1" applyAlignment="1">
      <alignment horizontal="center"/>
    </xf>
    <xf numFmtId="0" fontId="16" fillId="2" borderId="46" xfId="0" applyFont="1" applyFill="1" applyBorder="1" applyAlignment="1">
      <alignment horizontal="center"/>
    </xf>
    <xf numFmtId="0" fontId="16" fillId="2" borderId="47" xfId="0" applyFont="1" applyFill="1" applyBorder="1" applyAlignment="1">
      <alignment horizontal="center"/>
    </xf>
    <xf numFmtId="0" fontId="0" fillId="26" borderId="49" xfId="0" applyFill="1" applyBorder="1" applyAlignment="1">
      <alignment horizontal="center"/>
    </xf>
    <xf numFmtId="0" fontId="0" fillId="26" borderId="53" xfId="0" applyFill="1" applyBorder="1" applyAlignment="1">
      <alignment horizontal="center"/>
    </xf>
    <xf numFmtId="0" fontId="11" fillId="3" borderId="2" xfId="0" applyFont="1" applyFill="1" applyBorder="1" applyAlignment="1">
      <alignment horizontal="center"/>
    </xf>
    <xf numFmtId="0" fontId="11" fillId="3" borderId="3" xfId="0" applyFont="1" applyFill="1" applyBorder="1" applyAlignment="1">
      <alignment horizontal="center"/>
    </xf>
    <xf numFmtId="0" fontId="11" fillId="3" borderId="4" xfId="0" applyFont="1" applyFill="1" applyBorder="1" applyAlignment="1">
      <alignment horizontal="center"/>
    </xf>
    <xf numFmtId="0" fontId="16" fillId="16" borderId="54" xfId="0" applyFont="1" applyFill="1" applyBorder="1" applyAlignment="1">
      <alignment horizontal="center"/>
    </xf>
    <xf numFmtId="0" fontId="16" fillId="16" borderId="55" xfId="0" applyFont="1" applyFill="1" applyBorder="1" applyAlignment="1">
      <alignment horizontal="center"/>
    </xf>
    <xf numFmtId="0" fontId="16" fillId="16" borderId="10" xfId="0" applyFont="1" applyFill="1" applyBorder="1" applyAlignment="1">
      <alignment horizontal="center"/>
    </xf>
    <xf numFmtId="0" fontId="16" fillId="16" borderId="11" xfId="0" applyFont="1" applyFill="1" applyBorder="1" applyAlignment="1">
      <alignment horizontal="center"/>
    </xf>
    <xf numFmtId="0" fontId="16" fillId="16" borderId="46" xfId="0" applyFont="1" applyFill="1" applyBorder="1" applyAlignment="1">
      <alignment horizontal="center"/>
    </xf>
    <xf numFmtId="0" fontId="16" fillId="16" borderId="47" xfId="0" applyFont="1" applyFill="1" applyBorder="1" applyAlignment="1">
      <alignment horizontal="center"/>
    </xf>
    <xf numFmtId="0" fontId="0" fillId="0" borderId="56" xfId="0" applyBorder="1" applyAlignment="1">
      <alignment horizontal="center"/>
    </xf>
    <xf numFmtId="0" fontId="0" fillId="0" borderId="57" xfId="0" applyBorder="1" applyAlignment="1">
      <alignment horizontal="center"/>
    </xf>
    <xf numFmtId="0" fontId="25" fillId="15" borderId="26" xfId="0" applyFont="1" applyFill="1" applyBorder="1" applyAlignment="1">
      <alignment horizontal="center" vertical="center"/>
    </xf>
    <xf numFmtId="0" fontId="25" fillId="15" borderId="29" xfId="0" applyFont="1" applyFill="1" applyBorder="1" applyAlignment="1">
      <alignment horizontal="center" vertical="center"/>
    </xf>
    <xf numFmtId="0" fontId="36" fillId="15" borderId="24" xfId="0" applyFont="1" applyFill="1" applyBorder="1" applyAlignment="1">
      <alignment horizontal="center" vertical="center" wrapText="1"/>
    </xf>
    <xf numFmtId="0" fontId="36" fillId="15" borderId="27" xfId="0" applyFont="1" applyFill="1" applyBorder="1" applyAlignment="1">
      <alignment horizontal="center" vertical="center"/>
    </xf>
    <xf numFmtId="0" fontId="25" fillId="14" borderId="26" xfId="0" applyFont="1" applyFill="1" applyBorder="1" applyAlignment="1">
      <alignment horizontal="center" vertical="center"/>
    </xf>
    <xf numFmtId="0" fontId="25" fillId="14" borderId="29" xfId="0" applyFont="1" applyFill="1" applyBorder="1" applyAlignment="1">
      <alignment horizontal="center" vertical="center"/>
    </xf>
    <xf numFmtId="0" fontId="6" fillId="17" borderId="18" xfId="0" applyFont="1" applyFill="1" applyBorder="1" applyAlignment="1">
      <alignment horizontal="center" vertical="center"/>
    </xf>
    <xf numFmtId="0" fontId="6" fillId="17" borderId="19" xfId="0" applyFont="1" applyFill="1" applyBorder="1" applyAlignment="1">
      <alignment horizontal="center" vertical="center"/>
    </xf>
    <xf numFmtId="0" fontId="6" fillId="17" borderId="20" xfId="0" applyFont="1" applyFill="1" applyBorder="1" applyAlignment="1">
      <alignment horizontal="center" vertical="center"/>
    </xf>
    <xf numFmtId="0" fontId="6" fillId="17" borderId="21" xfId="0" applyFont="1" applyFill="1" applyBorder="1" applyAlignment="1">
      <alignment horizontal="center" vertical="center"/>
    </xf>
    <xf numFmtId="0" fontId="6" fillId="17" borderId="22" xfId="0" applyFont="1" applyFill="1" applyBorder="1" applyAlignment="1">
      <alignment horizontal="center" vertical="center"/>
    </xf>
    <xf numFmtId="0" fontId="6" fillId="17" borderId="23" xfId="0" applyFont="1" applyFill="1" applyBorder="1" applyAlignment="1">
      <alignment horizontal="center" vertical="center"/>
    </xf>
    <xf numFmtId="0" fontId="36" fillId="19" borderId="24" xfId="0" applyFont="1" applyFill="1" applyBorder="1" applyAlignment="1">
      <alignment horizontal="center" vertical="center" wrapText="1"/>
    </xf>
    <xf numFmtId="0" fontId="36" fillId="19" borderId="27" xfId="0" applyFont="1" applyFill="1" applyBorder="1" applyAlignment="1">
      <alignment horizontal="center" vertical="center"/>
    </xf>
    <xf numFmtId="0" fontId="23" fillId="19" borderId="26" xfId="0" applyFont="1" applyFill="1" applyBorder="1" applyAlignment="1">
      <alignment horizontal="center" vertical="center"/>
    </xf>
    <xf numFmtId="0" fontId="23" fillId="19" borderId="29" xfId="0" applyFont="1" applyFill="1" applyBorder="1" applyAlignment="1">
      <alignment horizontal="center" vertical="center"/>
    </xf>
    <xf numFmtId="0" fontId="15" fillId="2" borderId="10" xfId="0" applyFont="1" applyFill="1" applyBorder="1" applyAlignment="1">
      <alignment horizontal="center"/>
    </xf>
    <xf numFmtId="0" fontId="15" fillId="2" borderId="11" xfId="0" applyFont="1" applyFill="1" applyBorder="1" applyAlignment="1">
      <alignment horizontal="center"/>
    </xf>
    <xf numFmtId="0" fontId="38" fillId="19" borderId="24" xfId="0" applyFont="1" applyFill="1" applyBorder="1" applyAlignment="1">
      <alignment horizontal="center" vertical="center" wrapText="1"/>
    </xf>
    <xf numFmtId="0" fontId="38" fillId="19" borderId="27" xfId="0" applyFont="1" applyFill="1" applyBorder="1" applyAlignment="1">
      <alignment horizontal="center" vertical="center"/>
    </xf>
    <xf numFmtId="0" fontId="21" fillId="19" borderId="24" xfId="0" applyFont="1" applyFill="1" applyBorder="1" applyAlignment="1">
      <alignment horizontal="center" vertical="center" wrapText="1"/>
    </xf>
    <xf numFmtId="0" fontId="21" fillId="19" borderId="27" xfId="0" applyFont="1" applyFill="1" applyBorder="1" applyAlignment="1">
      <alignment horizontal="center" vertical="center"/>
    </xf>
    <xf numFmtId="0" fontId="21" fillId="15" borderId="35" xfId="0" applyFont="1" applyFill="1" applyBorder="1" applyAlignment="1">
      <alignment horizontal="center" vertical="center" wrapText="1"/>
    </xf>
    <xf numFmtId="0" fontId="21" fillId="15" borderId="36" xfId="0" applyFont="1" applyFill="1" applyBorder="1" applyAlignment="1">
      <alignment horizontal="center" vertical="center" wrapText="1"/>
    </xf>
    <xf numFmtId="9" fontId="24" fillId="19" borderId="34" xfId="0" applyNumberFormat="1" applyFont="1" applyFill="1" applyBorder="1" applyAlignment="1">
      <alignment horizontal="center" vertical="center"/>
    </xf>
    <xf numFmtId="9" fontId="24" fillId="19" borderId="33" xfId="0" applyNumberFormat="1" applyFont="1" applyFill="1" applyBorder="1" applyAlignment="1">
      <alignment horizontal="center" vertical="center"/>
    </xf>
    <xf numFmtId="9" fontId="24" fillId="15" borderId="34" xfId="0" applyNumberFormat="1" applyFont="1" applyFill="1" applyBorder="1" applyAlignment="1">
      <alignment horizontal="center" vertical="center"/>
    </xf>
    <xf numFmtId="9" fontId="24" fillId="15" borderId="33" xfId="0" applyNumberFormat="1" applyFont="1" applyFill="1" applyBorder="1" applyAlignment="1">
      <alignment horizontal="center" vertical="center"/>
    </xf>
    <xf numFmtId="1" fontId="24" fillId="15" borderId="34" xfId="0" applyNumberFormat="1" applyFont="1" applyFill="1" applyBorder="1" applyAlignment="1">
      <alignment horizontal="center" vertical="center"/>
    </xf>
    <xf numFmtId="1" fontId="24" fillId="15" borderId="33" xfId="0" applyNumberFormat="1" applyFont="1" applyFill="1" applyBorder="1" applyAlignment="1">
      <alignment horizontal="center" vertical="center"/>
    </xf>
    <xf numFmtId="0" fontId="24" fillId="0" borderId="34" xfId="0" applyFont="1" applyBorder="1" applyAlignment="1">
      <alignment horizontal="center" vertical="center"/>
    </xf>
    <xf numFmtId="0" fontId="24" fillId="0" borderId="33" xfId="0" applyFont="1" applyBorder="1" applyAlignment="1">
      <alignment horizontal="center" vertical="center"/>
    </xf>
    <xf numFmtId="1" fontId="24" fillId="19" borderId="34" xfId="0" applyNumberFormat="1" applyFont="1" applyFill="1" applyBorder="1" applyAlignment="1">
      <alignment horizontal="center" vertical="center"/>
    </xf>
    <xf numFmtId="1" fontId="24" fillId="19" borderId="33" xfId="0" applyNumberFormat="1" applyFont="1" applyFill="1" applyBorder="1" applyAlignment="1">
      <alignment horizontal="center" vertical="center"/>
    </xf>
    <xf numFmtId="0" fontId="21" fillId="0" borderId="35" xfId="0" applyFont="1" applyBorder="1" applyAlignment="1">
      <alignment horizontal="center" vertical="center" wrapText="1"/>
    </xf>
    <xf numFmtId="0" fontId="21" fillId="0" borderId="36" xfId="0" applyFont="1" applyBorder="1" applyAlignment="1">
      <alignment horizontal="center" vertical="center" wrapText="1"/>
    </xf>
    <xf numFmtId="0" fontId="24" fillId="15" borderId="34" xfId="0" applyFont="1" applyFill="1" applyBorder="1" applyAlignment="1">
      <alignment horizontal="center" vertical="center"/>
    </xf>
    <xf numFmtId="0" fontId="24" fillId="15" borderId="33" xfId="0" applyFont="1" applyFill="1" applyBorder="1" applyAlignment="1">
      <alignment horizontal="center" vertical="center"/>
    </xf>
    <xf numFmtId="9" fontId="24" fillId="19" borderId="34" xfId="0" applyNumberFormat="1" applyFont="1" applyFill="1" applyBorder="1" applyAlignment="1">
      <alignment horizontal="center" vertical="center" wrapText="1"/>
    </xf>
    <xf numFmtId="9" fontId="24" fillId="19" borderId="33" xfId="0" applyNumberFormat="1" applyFont="1" applyFill="1" applyBorder="1" applyAlignment="1">
      <alignment horizontal="center" vertical="center" wrapText="1"/>
    </xf>
    <xf numFmtId="0" fontId="21" fillId="15" borderId="24" xfId="0" applyFont="1" applyFill="1" applyBorder="1" applyAlignment="1">
      <alignment horizontal="center" vertical="center" wrapText="1"/>
    </xf>
    <xf numFmtId="0" fontId="21" fillId="15" borderId="27" xfId="0" applyFont="1" applyFill="1" applyBorder="1" applyAlignment="1">
      <alignment horizontal="center" vertical="center"/>
    </xf>
    <xf numFmtId="0" fontId="23" fillId="0" borderId="26" xfId="0" applyFont="1" applyBorder="1" applyAlignment="1">
      <alignment horizontal="center" vertical="center"/>
    </xf>
    <xf numFmtId="0" fontId="23" fillId="0" borderId="29" xfId="0" applyFont="1" applyBorder="1" applyAlignment="1">
      <alignment horizontal="center" vertical="center"/>
    </xf>
    <xf numFmtId="9" fontId="24" fillId="15" borderId="34" xfId="0" applyNumberFormat="1" applyFont="1" applyFill="1" applyBorder="1" applyAlignment="1">
      <alignment horizontal="center" vertical="center" wrapText="1"/>
    </xf>
    <xf numFmtId="9" fontId="24" fillId="15" borderId="33" xfId="0" applyNumberFormat="1" applyFont="1" applyFill="1" applyBorder="1" applyAlignment="1">
      <alignment horizontal="center" vertical="center" wrapText="1"/>
    </xf>
    <xf numFmtId="0" fontId="21" fillId="0" borderId="24" xfId="0" applyFont="1" applyBorder="1" applyAlignment="1">
      <alignment horizontal="center" vertical="center" wrapText="1"/>
    </xf>
    <xf numFmtId="0" fontId="21" fillId="0" borderId="27" xfId="0" applyFont="1" applyBorder="1" applyAlignment="1">
      <alignment horizontal="center" vertical="center"/>
    </xf>
    <xf numFmtId="0" fontId="21" fillId="14" borderId="24" xfId="0" applyFont="1" applyFill="1" applyBorder="1" applyAlignment="1">
      <alignment horizontal="center" vertical="center" wrapText="1"/>
    </xf>
    <xf numFmtId="0" fontId="21" fillId="14" borderId="27" xfId="0" applyFont="1" applyFill="1" applyBorder="1" applyAlignment="1">
      <alignment horizontal="center" vertical="center"/>
    </xf>
    <xf numFmtId="0" fontId="22" fillId="19" borderId="37" xfId="0" applyFont="1" applyFill="1" applyBorder="1" applyAlignment="1">
      <alignment horizontal="center" vertical="center"/>
    </xf>
    <xf numFmtId="0" fontId="22" fillId="19" borderId="38" xfId="0" applyFont="1" applyFill="1" applyBorder="1" applyAlignment="1">
      <alignment horizontal="center" vertical="center"/>
    </xf>
    <xf numFmtId="9" fontId="24" fillId="0" borderId="34" xfId="0" applyNumberFormat="1" applyFont="1" applyBorder="1" applyAlignment="1">
      <alignment horizontal="center" vertical="center"/>
    </xf>
    <xf numFmtId="9" fontId="24" fillId="0" borderId="33" xfId="0" applyNumberFormat="1" applyFont="1" applyBorder="1" applyAlignment="1">
      <alignment horizontal="center" vertical="center"/>
    </xf>
    <xf numFmtId="1" fontId="7" fillId="15" borderId="34" xfId="0" applyNumberFormat="1" applyFont="1" applyFill="1" applyBorder="1" applyAlignment="1">
      <alignment horizontal="center" vertical="center"/>
    </xf>
    <xf numFmtId="1" fontId="7" fillId="15" borderId="33" xfId="0" applyNumberFormat="1" applyFont="1" applyFill="1" applyBorder="1" applyAlignment="1">
      <alignment horizontal="center" vertical="center"/>
    </xf>
    <xf numFmtId="9" fontId="24" fillId="15" borderId="41" xfId="0" applyNumberFormat="1" applyFont="1" applyFill="1" applyBorder="1" applyAlignment="1">
      <alignment horizontal="center" vertical="center"/>
    </xf>
    <xf numFmtId="0" fontId="13" fillId="3" borderId="1" xfId="0" applyFont="1" applyFill="1" applyBorder="1" applyAlignment="1">
      <alignment horizontal="center" vertical="center"/>
    </xf>
    <xf numFmtId="0" fontId="15" fillId="2" borderId="1" xfId="0" applyFont="1" applyFill="1" applyBorder="1" applyAlignment="1">
      <alignment horizontal="center" vertical="center"/>
    </xf>
    <xf numFmtId="0" fontId="21" fillId="0" borderId="30" xfId="0" applyFont="1" applyBorder="1" applyAlignment="1">
      <alignment horizontal="center" vertical="center" wrapText="1"/>
    </xf>
    <xf numFmtId="0" fontId="23" fillId="0" borderId="32" xfId="0" applyFont="1" applyBorder="1" applyAlignment="1">
      <alignment horizontal="center" vertical="center"/>
    </xf>
    <xf numFmtId="0" fontId="21" fillId="0" borderId="39" xfId="0" applyFont="1" applyBorder="1" applyAlignment="1">
      <alignment horizontal="center" vertical="center" wrapText="1"/>
    </xf>
    <xf numFmtId="0" fontId="21" fillId="0" borderId="40" xfId="0" applyFont="1" applyBorder="1" applyAlignment="1">
      <alignment horizontal="center" vertical="center"/>
    </xf>
    <xf numFmtId="0" fontId="21" fillId="14" borderId="44" xfId="0" applyFont="1" applyFill="1" applyBorder="1" applyAlignment="1">
      <alignment horizontal="center" vertical="center"/>
    </xf>
    <xf numFmtId="0" fontId="15" fillId="2" borderId="2" xfId="0" applyFont="1" applyFill="1" applyBorder="1" applyAlignment="1">
      <alignment horizontal="center" vertical="center"/>
    </xf>
    <xf numFmtId="0" fontId="15" fillId="2" borderId="3" xfId="0" applyFont="1" applyFill="1" applyBorder="1" applyAlignment="1">
      <alignment horizontal="center" vertical="center"/>
    </xf>
    <xf numFmtId="0" fontId="15" fillId="2" borderId="4" xfId="0" applyFont="1" applyFill="1" applyBorder="1" applyAlignment="1">
      <alignment horizontal="center" vertical="center"/>
    </xf>
    <xf numFmtId="0" fontId="32" fillId="15" borderId="37" xfId="0" applyFont="1" applyFill="1" applyBorder="1" applyAlignment="1">
      <alignment horizontal="center" vertical="center"/>
    </xf>
    <xf numFmtId="0" fontId="32" fillId="15" borderId="38" xfId="0" applyFont="1" applyFill="1" applyBorder="1" applyAlignment="1">
      <alignment horizontal="center" vertical="center"/>
    </xf>
    <xf numFmtId="1" fontId="7" fillId="0" borderId="34" xfId="0" applyNumberFormat="1" applyFont="1" applyBorder="1" applyAlignment="1">
      <alignment horizontal="center" vertical="center"/>
    </xf>
    <xf numFmtId="1" fontId="7" fillId="0" borderId="33" xfId="0" applyNumberFormat="1" applyFont="1" applyBorder="1" applyAlignment="1">
      <alignment horizontal="center" vertical="center"/>
    </xf>
    <xf numFmtId="0" fontId="15" fillId="2" borderId="3" xfId="0" applyFont="1" applyFill="1" applyBorder="1" applyAlignment="1">
      <alignment horizontal="center"/>
    </xf>
    <xf numFmtId="0" fontId="20" fillId="0" borderId="2" xfId="0" applyFont="1" applyBorder="1" applyAlignment="1">
      <alignment horizontal="center"/>
    </xf>
    <xf numFmtId="0" fontId="20" fillId="0" borderId="4" xfId="0" applyFont="1" applyBorder="1" applyAlignment="1">
      <alignment horizontal="center"/>
    </xf>
    <xf numFmtId="0" fontId="13" fillId="3" borderId="2" xfId="0" applyFont="1" applyFill="1" applyBorder="1" applyAlignment="1">
      <alignment horizontal="center"/>
    </xf>
    <xf numFmtId="0" fontId="13" fillId="3" borderId="4" xfId="0" applyFont="1" applyFill="1"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20" fillId="0" borderId="1" xfId="0" applyFont="1" applyBorder="1" applyAlignment="1">
      <alignment horizontal="center"/>
    </xf>
    <xf numFmtId="0" fontId="16" fillId="2" borderId="6" xfId="0" applyFont="1" applyFill="1" applyBorder="1" applyAlignment="1">
      <alignment horizontal="center"/>
    </xf>
    <xf numFmtId="0" fontId="16" fillId="2" borderId="7" xfId="0" applyFont="1" applyFill="1" applyBorder="1" applyAlignment="1">
      <alignment horizontal="center"/>
    </xf>
    <xf numFmtId="0" fontId="16" fillId="2" borderId="1" xfId="0" applyFont="1" applyFill="1" applyBorder="1" applyAlignment="1">
      <alignment horizontal="center"/>
    </xf>
    <xf numFmtId="1" fontId="7" fillId="0" borderId="0" xfId="0" applyNumberFormat="1" applyFont="1" applyAlignment="1">
      <alignment horizontal="left"/>
    </xf>
    <xf numFmtId="0" fontId="20" fillId="0" borderId="0" xfId="0" applyFont="1" applyFill="1"/>
    <xf numFmtId="10" fontId="20" fillId="0" borderId="0" xfId="0" applyNumberFormat="1" applyFont="1" applyFill="1"/>
    <xf numFmtId="164" fontId="20" fillId="0" borderId="0" xfId="0" applyNumberFormat="1" applyFont="1" applyFill="1"/>
    <xf numFmtId="9" fontId="20" fillId="0" borderId="0" xfId="0" applyNumberFormat="1" applyFont="1" applyFill="1"/>
    <xf numFmtId="0" fontId="0" fillId="0" borderId="0" xfId="0" applyFill="1" applyBorder="1"/>
    <xf numFmtId="0" fontId="10" fillId="0" borderId="0" xfId="0" applyFont="1" applyFill="1" applyBorder="1" applyAlignment="1">
      <alignment horizontal="center"/>
    </xf>
    <xf numFmtId="165" fontId="20" fillId="0" borderId="0" xfId="0" applyNumberFormat="1" applyFont="1"/>
    <xf numFmtId="0" fontId="1" fillId="0" borderId="1" xfId="0" applyFont="1" applyFill="1" applyBorder="1" applyAlignment="1">
      <alignment horizontal="center"/>
    </xf>
    <xf numFmtId="0" fontId="36" fillId="0" borderId="1" xfId="0" applyFont="1" applyBorder="1" applyAlignment="1">
      <alignment horizontal="center"/>
    </xf>
  </cellXfs>
  <cellStyles count="1">
    <cellStyle name="Обычный" xfId="0" builtinId="0"/>
  </cellStyles>
  <dxfs count="13">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auto="1"/>
      </font>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strike val="0"/>
      </font>
      <fill>
        <patternFill>
          <bgColor theme="9" tint="0.39994506668294322"/>
        </patternFill>
      </fill>
      <border>
        <vertical/>
        <horizontal/>
      </border>
    </dxf>
    <dxf>
      <fill>
        <patternFill>
          <bgColor theme="9" tint="0.39994506668294322"/>
        </patternFill>
      </fill>
    </dxf>
    <dxf>
      <fill>
        <patternFill>
          <bgColor theme="9" tint="0.39994506668294322"/>
        </patternFill>
      </fill>
    </dxf>
  </dxfs>
  <tableStyles count="0" defaultTableStyle="TableStyleMedium2" defaultPivotStyle="PivotStyleLight16"/>
  <colors>
    <mruColors>
      <color rgb="FF666699"/>
      <color rgb="FF8EC26A"/>
      <color rgb="FFABF5FB"/>
      <color rgb="FFF0C1FB"/>
      <color rgb="FFACFA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ru-RU"/>
              <a:t>Распределение урона</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ru-RU"/>
        </a:p>
      </c:txPr>
    </c:title>
    <c:autoTitleDeleted val="0"/>
    <c:plotArea>
      <c:layout/>
      <c:pie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FF4-4A6B-B555-2B7D0B042087}"/>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FF4-4A6B-B555-2B7D0B042087}"/>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FF4-4A6B-B555-2B7D0B042087}"/>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1FF4-4A6B-B555-2B7D0B042087}"/>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1832-4023-ACB6-7FF20DAF0D27}"/>
              </c:ext>
            </c:extLst>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1832-4023-ACB6-7FF20DAF0D27}"/>
              </c:ext>
            </c:extLst>
          </c:dPt>
          <c:dPt>
            <c:idx val="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1832-4023-ACB6-7FF20DAF0D27}"/>
              </c:ext>
            </c:extLst>
          </c:dPt>
          <c:dPt>
            <c:idx val="7"/>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1832-4023-ACB6-7FF20DAF0D27}"/>
              </c:ext>
            </c:extLst>
          </c:dPt>
          <c:dPt>
            <c:idx val="8"/>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1832-4023-ACB6-7FF20DAF0D27}"/>
              </c:ext>
            </c:extLst>
          </c:dPt>
          <c:dPt>
            <c:idx val="9"/>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1832-4023-ACB6-7FF20DAF0D27}"/>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ru-RU"/>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'Статы персонажа'!$Z$36:$Z$46</c:f>
              <c:strCache>
                <c:ptCount val="3"/>
                <c:pt idx="0">
                  <c:v>Автоатаки</c:v>
                </c:pt>
                <c:pt idx="1">
                  <c:v>Эл.навык</c:v>
                </c:pt>
                <c:pt idx="2">
                  <c:v>Ультимейт</c:v>
                </c:pt>
              </c:strCache>
            </c:strRef>
          </c:cat>
          <c:val>
            <c:numRef>
              <c:f>'Статы персонажа'!$AA$36:$AA$45</c:f>
              <c:numCache>
                <c:formatCode>General</c:formatCode>
                <c:ptCount val="10"/>
              </c:numCache>
            </c:numRef>
          </c:val>
          <c:extLst>
            <c:ext xmlns:c16="http://schemas.microsoft.com/office/drawing/2014/chart" uri="{C3380CC4-5D6E-409C-BE32-E72D297353CC}">
              <c16:uniqueId val="{00000000-B17D-4E81-8A01-D94CA497EC34}"/>
            </c:ext>
          </c:extLst>
        </c:ser>
        <c:dLbls>
          <c:showLegendKey val="0"/>
          <c:showVal val="0"/>
          <c:showCatName val="1"/>
          <c:showSerName val="0"/>
          <c:showPercent val="1"/>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ru-RU"/>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fmlaLink="$B$17" lockText="1" noThreeD="1"/>
</file>

<file path=xl/ctrlProps/ctrlProp2.xml><?xml version="1.0" encoding="utf-8"?>
<formControlPr xmlns="http://schemas.microsoft.com/office/spreadsheetml/2009/9/main" objectType="CheckBox" fmlaLink="$C$17" lockText="1" noThreeD="1"/>
</file>

<file path=xl/ctrlProps/ctrlProp3.xml><?xml version="1.0" encoding="utf-8"?>
<formControlPr xmlns="http://schemas.microsoft.com/office/spreadsheetml/2009/9/main" objectType="CheckBox" fmlaLink="$B$18" lockText="1" noThreeD="1"/>
</file>

<file path=xl/ctrlProps/ctrlProp4.xml><?xml version="1.0" encoding="utf-8"?>
<formControlPr xmlns="http://schemas.microsoft.com/office/spreadsheetml/2009/9/main" objectType="CheckBox" fmlaLink="$C$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C$19" lockText="1" noThreeD="1"/>
</file>

<file path=xl/ctrlProps/ctrlProp7.xml><?xml version="1.0" encoding="utf-8"?>
<formControlPr xmlns="http://schemas.microsoft.com/office/spreadsheetml/2009/9/main" objectType="CheckBox" fmlaLink="$C$20" lockText="1" noThreeD="1"/>
</file>

<file path=xl/ctrlProps/ctrlProp8.xml><?xml version="1.0" encoding="utf-8"?>
<formControlPr xmlns="http://schemas.microsoft.com/office/spreadsheetml/2009/9/main" objectType="CheckBox" fmlaLink="$C$21" lockText="1" noThreeD="1"/>
</file>

<file path=xl/ctrlProps/ctrlProp9.xml><?xml version="1.0" encoding="utf-8"?>
<formControlPr xmlns="http://schemas.microsoft.com/office/spreadsheetml/2009/9/main" objectType="CheckBox" fmlaLink="$B$22" lockText="1" noThreeD="1"/>
</file>

<file path=xl/ctrlProps/ctrlProp10.xml><?xml version="1.0" encoding="utf-8"?>
<formControlPr xmlns="http://schemas.microsoft.com/office/spreadsheetml/2009/9/main" objectType="CheckBox" fmlaLink="$C$22" lockText="1" noThreeD="1"/>
</file>

<file path=xl/ctrlProps/ctrlProp11.xml><?xml version="1.0" encoding="utf-8"?>
<formControlPr xmlns="http://schemas.microsoft.com/office/spreadsheetml/2009/9/main" objectType="CheckBox" fmlaLink="$B$23" lockText="1" noThreeD="1"/>
</file>

<file path=xl/ctrlProps/ctrlProp12.xml><?xml version="1.0" encoding="utf-8"?>
<formControlPr xmlns="http://schemas.microsoft.com/office/spreadsheetml/2009/9/main" objectType="CheckBox" fmlaLink="$C$23" lockText="1" noThreeD="1"/>
</file>

<file path=xl/ctrlProps/ctrlProp13.xml><?xml version="1.0" encoding="utf-8"?>
<formControlPr xmlns="http://schemas.microsoft.com/office/spreadsheetml/2009/9/main" objectType="CheckBox" fmlaLink="$B$24" lockText="1" noThreeD="1"/>
</file>

<file path=xl/ctrlProps/ctrlProp14.xml><?xml version="1.0" encoding="utf-8"?>
<formControlPr xmlns="http://schemas.microsoft.com/office/spreadsheetml/2009/9/main" objectType="CheckBox" fmlaLink="$C$24" lockText="1" noThreeD="1"/>
</file>

<file path=xl/ctrlProps/ctrlProp15.xml><?xml version="1.0" encoding="utf-8"?>
<formControlPr xmlns="http://schemas.microsoft.com/office/spreadsheetml/2009/9/main" objectType="CheckBox" fmlaLink="$C$25" lockText="1" noThreeD="1"/>
</file>

<file path=xl/ctrlProps/ctrlProp16.xml><?xml version="1.0" encoding="utf-8"?>
<formControlPr xmlns="http://schemas.microsoft.com/office/spreadsheetml/2009/9/main" objectType="CheckBox" fmlaLink="$C$26" lockText="1" noThreeD="1"/>
</file>

<file path=xl/ctrlProps/ctrlProp17.xml><?xml version="1.0" encoding="utf-8"?>
<formControlPr xmlns="http://schemas.microsoft.com/office/spreadsheetml/2009/9/main" objectType="CheckBox" fmlaLink="$B$26" lockText="1" noThreeD="1"/>
</file>

<file path=xl/ctrlProps/ctrlProp18.xml><?xml version="1.0" encoding="utf-8"?>
<formControlPr xmlns="http://schemas.microsoft.com/office/spreadsheetml/2009/9/main" objectType="CheckBox" fmlaLink="$J$25" lockText="1" noThreeD="1"/>
</file>

<file path=xl/ctrlProps/ctrlProp19.xml><?xml version="1.0" encoding="utf-8"?>
<formControlPr xmlns="http://schemas.microsoft.com/office/spreadsheetml/2009/9/main" objectType="CheckBox" fmlaLink="$J$29" lockText="1" noThreeD="1"/>
</file>

<file path=xl/ctrlProps/ctrlProp20.xml><?xml version="1.0" encoding="utf-8"?>
<formControlPr xmlns="http://schemas.microsoft.com/office/spreadsheetml/2009/9/main" objectType="CheckBox" fmlaLink="$J$30" lockText="1" noThreeD="1"/>
</file>

<file path=xl/ctrlProps/ctrlProp21.xml><?xml version="1.0" encoding="utf-8"?>
<formControlPr xmlns="http://schemas.microsoft.com/office/spreadsheetml/2009/9/main" objectType="CheckBox" fmlaLink="$J$31" lockText="1" noThreeD="1"/>
</file>

<file path=xl/ctrlProps/ctrlProp22.xml><?xml version="1.0" encoding="utf-8"?>
<formControlPr xmlns="http://schemas.microsoft.com/office/spreadsheetml/2009/9/main" objectType="CheckBox" fmlaLink="$J$28" lockText="1" noThreeD="1"/>
</file>

<file path=xl/ctrlProps/ctrlProp23.xml><?xml version="1.0" encoding="utf-8"?>
<formControlPr xmlns="http://schemas.microsoft.com/office/spreadsheetml/2009/9/main" objectType="CheckBox" fmlaLink="$C$29" lockText="1" noThreeD="1"/>
</file>

<file path=xl/ctrlProps/ctrlProp24.xml><?xml version="1.0" encoding="utf-8"?>
<formControlPr xmlns="http://schemas.microsoft.com/office/spreadsheetml/2009/9/main" objectType="Radio" checked="Checked" firstButton="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CheckBox" fmlaLink="$J$26" lockText="1" noThreeD="1"/>
</file>

<file path=xl/ctrlProps/ctrlProp48.xml><?xml version="1.0" encoding="utf-8"?>
<formControlPr xmlns="http://schemas.microsoft.com/office/spreadsheetml/2009/9/main" objectType="CheckBox" fmlaLink="$J$27" lockText="1" noThreeD="1"/>
</file>

<file path=xl/ctrlProps/ctrlProp49.xml><?xml version="1.0" encoding="utf-8"?>
<formControlPr xmlns="http://schemas.microsoft.com/office/spreadsheetml/2009/9/main" objectType="CheckBox" fmlaLink="$B$118" noThreeD="1"/>
</file>

<file path=xl/ctrlProps/ctrlProp50.xml><?xml version="1.0" encoding="utf-8"?>
<formControlPr xmlns="http://schemas.microsoft.com/office/spreadsheetml/2009/9/main" objectType="CheckBox" fmlaLink="$B$119" noThreeD="1"/>
</file>

<file path=xl/ctrlProps/ctrlProp51.xml><?xml version="1.0" encoding="utf-8"?>
<formControlPr xmlns="http://schemas.microsoft.com/office/spreadsheetml/2009/9/main" objectType="CheckBox" fmlaLink="$B$120" noThreeD="1"/>
</file>

<file path=xl/ctrlProps/ctrlProp52.xml><?xml version="1.0" encoding="utf-8"?>
<formControlPr xmlns="http://schemas.microsoft.com/office/spreadsheetml/2009/9/main" objectType="CheckBox" fmlaLink="$B$121" noThreeD="1"/>
</file>

<file path=xl/ctrlProps/ctrlProp53.xml><?xml version="1.0" encoding="utf-8"?>
<formControlPr xmlns="http://schemas.microsoft.com/office/spreadsheetml/2009/9/main" objectType="CheckBox" fmlaLink="$B$122" noThreeD="1"/>
</file>

<file path=xl/ctrlProps/ctrlProp54.xml><?xml version="1.0" encoding="utf-8"?>
<formControlPr xmlns="http://schemas.microsoft.com/office/spreadsheetml/2009/9/main" objectType="CheckBox" fmlaLink="$B$125" noThreeD="1"/>
</file>

<file path=xl/ctrlProps/ctrlProp55.xml><?xml version="1.0" encoding="utf-8"?>
<formControlPr xmlns="http://schemas.microsoft.com/office/spreadsheetml/2009/9/main" objectType="CheckBox" fmlaLink="$B$123" noThreeD="1"/>
</file>

<file path=xl/ctrlProps/ctrlProp56.xml><?xml version="1.0" encoding="utf-8"?>
<formControlPr xmlns="http://schemas.microsoft.com/office/spreadsheetml/2009/9/main" objectType="CheckBox" fmlaLink="$C$126" noThreeD="1"/>
</file>

<file path=xl/ctrlProps/ctrlProp57.xml><?xml version="1.0" encoding="utf-8"?>
<formControlPr xmlns="http://schemas.microsoft.com/office/spreadsheetml/2009/9/main" objectType="CheckBox" fmlaLink="$C$127" noThreeD="1"/>
</file>

<file path=xl/ctrlProps/ctrlProp58.xml><?xml version="1.0" encoding="utf-8"?>
<formControlPr xmlns="http://schemas.microsoft.com/office/spreadsheetml/2009/9/main" objectType="CheckBox" fmlaLink="$C$120" noThreeD="1"/>
</file>

<file path=xl/ctrlProps/ctrlProp59.xml><?xml version="1.0" encoding="utf-8"?>
<formControlPr xmlns="http://schemas.microsoft.com/office/spreadsheetml/2009/9/main" objectType="CheckBox" fmlaLink="$D$120" noThreeD="1"/>
</file>

<file path=xl/ctrlProps/ctrlProp60.xml><?xml version="1.0" encoding="utf-8"?>
<formControlPr xmlns="http://schemas.microsoft.com/office/spreadsheetml/2009/9/main" objectType="CheckBox" fmlaLink="$C$121" noThreeD="1"/>
</file>

<file path=xl/ctrlProps/ctrlProp61.xml><?xml version="1.0" encoding="utf-8"?>
<formControlPr xmlns="http://schemas.microsoft.com/office/spreadsheetml/2009/9/main" objectType="CheckBox" fmlaLink="$D$121" noThreeD="1"/>
</file>

<file path=xl/ctrlProps/ctrlProp62.xml><?xml version="1.0" encoding="utf-8"?>
<formControlPr xmlns="http://schemas.microsoft.com/office/spreadsheetml/2009/9/main" objectType="CheckBox" fmlaLink="$C$122" noThreeD="1"/>
</file>

<file path=xl/ctrlProps/ctrlProp63.xml><?xml version="1.0" encoding="utf-8"?>
<formControlPr xmlns="http://schemas.microsoft.com/office/spreadsheetml/2009/9/main" objectType="CheckBox" fmlaLink="$D$122" noThreeD="1"/>
</file>

<file path=xl/ctrlProps/ctrlProp64.xml><?xml version="1.0" encoding="utf-8"?>
<formControlPr xmlns="http://schemas.microsoft.com/office/spreadsheetml/2009/9/main" objectType="CheckBox" fmlaLink="$C$123" noThreeD="1"/>
</file>

<file path=xl/ctrlProps/ctrlProp65.xml><?xml version="1.0" encoding="utf-8"?>
<formControlPr xmlns="http://schemas.microsoft.com/office/spreadsheetml/2009/9/main" objectType="CheckBox" fmlaLink="$D$123" noThreeD="1"/>
</file>

<file path=xl/ctrlProps/ctrlProp66.xml><?xml version="1.0" encoding="utf-8"?>
<formControlPr xmlns="http://schemas.microsoft.com/office/spreadsheetml/2009/9/main" objectType="CheckBox" fmlaLink="$D$124" noThreeD="1"/>
</file>

<file path=xl/ctrlProps/ctrlProp67.xml><?xml version="1.0" encoding="utf-8"?>
<formControlPr xmlns="http://schemas.microsoft.com/office/spreadsheetml/2009/9/main" objectType="CheckBox" fmlaLink="O6" lockText="1" noThreeD="1"/>
</file>

<file path=xl/ctrlProps/ctrlProp68.xml><?xml version="1.0" encoding="utf-8"?>
<formControlPr xmlns="http://schemas.microsoft.com/office/spreadsheetml/2009/9/main" objectType="CheckBox" fmlaLink="O8" lockText="1" noThreeD="1"/>
</file>

<file path=xl/ctrlProps/ctrlProp69.xml><?xml version="1.0" encoding="utf-8"?>
<formControlPr xmlns="http://schemas.microsoft.com/office/spreadsheetml/2009/9/main" objectType="CheckBox" fmlaLink="O10" lockText="1" noThreeD="1"/>
</file>

<file path=xl/ctrlProps/ctrlProp70.xml><?xml version="1.0" encoding="utf-8"?>
<formControlPr xmlns="http://schemas.microsoft.com/office/spreadsheetml/2009/9/main" objectType="CheckBox" fmlaLink="O14" lockText="1" noThreeD="1"/>
</file>

<file path=xl/ctrlProps/ctrlProp71.xml><?xml version="1.0" encoding="utf-8"?>
<formControlPr xmlns="http://schemas.microsoft.com/office/spreadsheetml/2009/9/main" objectType="CheckBox" fmlaLink="O12" lockText="1" noThreeD="1"/>
</file>

<file path=xl/ctrlProps/ctrlProp72.xml><?xml version="1.0" encoding="utf-8"?>
<formControlPr xmlns="http://schemas.microsoft.com/office/spreadsheetml/2009/9/main" objectType="CheckBox" fmlaLink="U14" lockText="1" noThreeD="1"/>
</file>

<file path=xl/ctrlProps/ctrlProp73.xml><?xml version="1.0" encoding="utf-8"?>
<formControlPr xmlns="http://schemas.microsoft.com/office/spreadsheetml/2009/9/main" objectType="CheckBox" fmlaLink="U26" lockText="1" noThreeD="1"/>
</file>

<file path=xl/ctrlProps/ctrlProp74.xml><?xml version="1.0" encoding="utf-8"?>
<formControlPr xmlns="http://schemas.microsoft.com/office/spreadsheetml/2009/9/main" objectType="CheckBox" fmlaLink="U12" lockText="1" noThreeD="1"/>
</file>

<file path=xl/ctrlProps/ctrlProp75.xml><?xml version="1.0" encoding="utf-8"?>
<formControlPr xmlns="http://schemas.microsoft.com/office/spreadsheetml/2009/9/main" objectType="CheckBox" fmlaLink="U16" lockText="1" noThreeD="1"/>
</file>

<file path=xl/ctrlProps/ctrlProp76.xml><?xml version="1.0" encoding="utf-8"?>
<formControlPr xmlns="http://schemas.microsoft.com/office/spreadsheetml/2009/9/main" objectType="CheckBox" fmlaLink="U6" lockText="1" noThreeD="1"/>
</file>

<file path=xl/ctrlProps/ctrlProp77.xml><?xml version="1.0" encoding="utf-8"?>
<formControlPr xmlns="http://schemas.microsoft.com/office/spreadsheetml/2009/9/main" objectType="CheckBox" fmlaLink="U8" lockText="1" noThreeD="1"/>
</file>

<file path=xl/ctrlProps/ctrlProp78.xml><?xml version="1.0" encoding="utf-8"?>
<formControlPr xmlns="http://schemas.microsoft.com/office/spreadsheetml/2009/9/main" objectType="CheckBox" fmlaLink="U10" lockText="1" noThreeD="1"/>
</file>

<file path=xl/ctrlProps/ctrlProp79.xml><?xml version="1.0" encoding="utf-8"?>
<formControlPr xmlns="http://schemas.microsoft.com/office/spreadsheetml/2009/9/main" objectType="CheckBox" fmlaLink="U18" lockText="1" noThreeD="1"/>
</file>

<file path=xl/ctrlProps/ctrlProp80.xml><?xml version="1.0" encoding="utf-8"?>
<formControlPr xmlns="http://schemas.microsoft.com/office/spreadsheetml/2009/9/main" objectType="CheckBox" fmlaLink="U20" lockText="1" noThreeD="1"/>
</file>

<file path=xl/ctrlProps/ctrlProp81.xml><?xml version="1.0" encoding="utf-8"?>
<formControlPr xmlns="http://schemas.microsoft.com/office/spreadsheetml/2009/9/main" objectType="CheckBox" fmlaLink="U22" lockText="1" noThreeD="1"/>
</file>

<file path=xl/ctrlProps/ctrlProp82.xml><?xml version="1.0" encoding="utf-8"?>
<formControlPr xmlns="http://schemas.microsoft.com/office/spreadsheetml/2009/9/main" objectType="CheckBox" fmlaLink="O16" lockText="1" noThreeD="1"/>
</file>

<file path=xl/ctrlProps/ctrlProp83.xml><?xml version="1.0" encoding="utf-8"?>
<formControlPr xmlns="http://schemas.microsoft.com/office/spreadsheetml/2009/9/main" objectType="CheckBox" fmlaLink="O18" lockText="1" noThreeD="1"/>
</file>

<file path=xl/ctrlProps/ctrlProp84.xml><?xml version="1.0" encoding="utf-8"?>
<formControlPr xmlns="http://schemas.microsoft.com/office/spreadsheetml/2009/9/main" objectType="CheckBox" fmlaLink="O20" lockText="1" noThreeD="1"/>
</file>

<file path=xl/ctrlProps/ctrlProp85.xml><?xml version="1.0" encoding="utf-8"?>
<formControlPr xmlns="http://schemas.microsoft.com/office/spreadsheetml/2009/9/main" objectType="CheckBox" fmlaLink="O22" lockText="1" noThreeD="1"/>
</file>

<file path=xl/ctrlProps/ctrlProp86.xml><?xml version="1.0" encoding="utf-8"?>
<formControlPr xmlns="http://schemas.microsoft.com/office/spreadsheetml/2009/9/main" objectType="CheckBox" fmlaLink="O24" lockText="1" noThreeD="1"/>
</file>

<file path=xl/ctrlProps/ctrlProp87.xml><?xml version="1.0" encoding="utf-8"?>
<formControlPr xmlns="http://schemas.microsoft.com/office/spreadsheetml/2009/9/main" objectType="CheckBox" fmlaLink="O26" lockText="1" noThreeD="1"/>
</file>

<file path=xl/ctrlProps/ctrlProp88.xml><?xml version="1.0" encoding="utf-8"?>
<formControlPr xmlns="http://schemas.microsoft.com/office/spreadsheetml/2009/9/main" objectType="CheckBox" fmlaLink="O28" lockText="1" noThreeD="1"/>
</file>

<file path=xl/ctrlProps/ctrlProp89.xml><?xml version="1.0" encoding="utf-8"?>
<formControlPr xmlns="http://schemas.microsoft.com/office/spreadsheetml/2009/9/main" objectType="CheckBox" fmlaLink="O30" lockText="1" noThreeD="1"/>
</file>

<file path=xl/ctrlProps/ctrlProp90.xml><?xml version="1.0" encoding="utf-8"?>
<formControlPr xmlns="http://schemas.microsoft.com/office/spreadsheetml/2009/9/main" objectType="CheckBox" fmlaLink="O32" lockText="1" noThreeD="1"/>
</file>

<file path=xl/ctrlProps/ctrlProp91.xml><?xml version="1.0" encoding="utf-8"?>
<formControlPr xmlns="http://schemas.microsoft.com/office/spreadsheetml/2009/9/main" objectType="CheckBox" fmlaLink="O34" lockText="1" noThreeD="1"/>
</file>

<file path=xl/ctrlProps/ctrlProp92.xml><?xml version="1.0" encoding="utf-8"?>
<formControlPr xmlns="http://schemas.microsoft.com/office/spreadsheetml/2009/9/main" objectType="CheckBox" fmlaLink="O36" lockText="1" noThreeD="1"/>
</file>

<file path=xl/ctrlProps/ctrlProp93.xml><?xml version="1.0" encoding="utf-8"?>
<formControlPr xmlns="http://schemas.microsoft.com/office/spreadsheetml/2009/9/main" objectType="CheckBox" fmlaLink="O44" lockText="1" noThreeD="1"/>
</file>

<file path=xl/ctrlProps/ctrlProp94.xml><?xml version="1.0" encoding="utf-8"?>
<formControlPr xmlns="http://schemas.microsoft.com/office/spreadsheetml/2009/9/main" objectType="CheckBox" fmlaLink="O38" lockText="1" noThreeD="1"/>
</file>

<file path=xl/ctrlProps/ctrlProp95.xml><?xml version="1.0" encoding="utf-8"?>
<formControlPr xmlns="http://schemas.microsoft.com/office/spreadsheetml/2009/9/main" objectType="CheckBox" fmlaLink="O40" lockText="1" noThreeD="1"/>
</file>

<file path=xl/ctrlProps/ctrlProp96.xml><?xml version="1.0" encoding="utf-8"?>
<formControlPr xmlns="http://schemas.microsoft.com/office/spreadsheetml/2009/9/main" objectType="CheckBox" fmlaLink="O46" lockText="1" noThreeD="1"/>
</file>

<file path=xl/ctrlProps/ctrlProp97.xml><?xml version="1.0" encoding="utf-8"?>
<formControlPr xmlns="http://schemas.microsoft.com/office/spreadsheetml/2009/9/main" objectType="CheckBox" fmlaLink="O48" lockText="1" noThreeD="1"/>
</file>

<file path=xl/ctrlProps/ctrlProp98.xml><?xml version="1.0" encoding="utf-8"?>
<formControlPr xmlns="http://schemas.microsoft.com/office/spreadsheetml/2009/9/main" objectType="CheckBox" fmlaLink="O54" lockText="1" noThreeD="1"/>
</file>

<file path=xl/ctrlProps/ctrlProp99.xml><?xml version="1.0" encoding="utf-8"?>
<formControlPr xmlns="http://schemas.microsoft.com/office/spreadsheetml/2009/9/main" objectType="CheckBox" fmlaLink="O52" lockText="1" noThreeD="1"/>
</file>

<file path=xl/ctrlProps/ctrlProp100.xml><?xml version="1.0" encoding="utf-8"?>
<formControlPr xmlns="http://schemas.microsoft.com/office/spreadsheetml/2009/9/main" objectType="CheckBox" fmlaLink="O50" lockText="1" noThreeD="1"/>
</file>

<file path=xl/ctrlProps/ctrlProp101.xml><?xml version="1.0" encoding="utf-8"?>
<formControlPr xmlns="http://schemas.microsoft.com/office/spreadsheetml/2009/9/main" objectType="CheckBox" fmlaLink="O58" lockText="1" noThreeD="1"/>
</file>

<file path=xl/ctrlProps/ctrlProp102.xml><?xml version="1.0" encoding="utf-8"?>
<formControlPr xmlns="http://schemas.microsoft.com/office/spreadsheetml/2009/9/main" objectType="CheckBox" fmlaLink="O56" lockText="1" noThreeD="1"/>
</file>

<file path=xl/ctrlProps/ctrlProp103.xml><?xml version="1.0" encoding="utf-8"?>
<formControlPr xmlns="http://schemas.microsoft.com/office/spreadsheetml/2009/9/main" objectType="CheckBox" fmlaLink="O42" lockText="1" noThreeD="1"/>
</file>

<file path=xl/ctrlProps/ctrlProp104.xml><?xml version="1.0" encoding="utf-8"?>
<formControlPr xmlns="http://schemas.microsoft.com/office/spreadsheetml/2009/9/main" objectType="CheckBox" fmlaLink="O62" lockText="1" noThreeD="1"/>
</file>

<file path=xl/ctrlProps/ctrlProp105.xml><?xml version="1.0" encoding="utf-8"?>
<formControlPr xmlns="http://schemas.microsoft.com/office/spreadsheetml/2009/9/main" objectType="CheckBox" fmlaLink="U24" lockText="1" noThreeD="1"/>
</file>

<file path=xl/ctrlProps/ctrlProp106.xml><?xml version="1.0" encoding="utf-8"?>
<formControlPr xmlns="http://schemas.microsoft.com/office/spreadsheetml/2009/9/main" objectType="CheckBox" fmlaLink="U28" lockText="1" noThreeD="1"/>
</file>

<file path=xl/ctrlProps/ctrlProp107.xml><?xml version="1.0" encoding="utf-8"?>
<formControlPr xmlns="http://schemas.microsoft.com/office/spreadsheetml/2009/9/main" objectType="CheckBox" fmlaLink="O60" lockText="1" noThreeD="1"/>
</file>

<file path=xl/ctrlProps/ctrlProp108.xml><?xml version="1.0" encoding="utf-8"?>
<formControlPr xmlns="http://schemas.microsoft.com/office/spreadsheetml/2009/9/main" objectType="CheckBox" fmlaLink="O64" lockText="1" noThreeD="1"/>
</file>

<file path=xl/ctrlProps/ctrlProp109.xml><?xml version="1.0" encoding="utf-8"?>
<formControlPr xmlns="http://schemas.microsoft.com/office/spreadsheetml/2009/9/main" objectType="CheckBox" fmlaLink="I6" lockText="1" noThreeD="1"/>
</file>

<file path=xl/ctrlProps/ctrlProp110.xml><?xml version="1.0" encoding="utf-8"?>
<formControlPr xmlns="http://schemas.microsoft.com/office/spreadsheetml/2009/9/main" objectType="CheckBox" fmlaLink="N7" lockText="1" noThreeD="1"/>
</file>

<file path=xl/ctrlProps/ctrlProp111.xml><?xml version="1.0" encoding="utf-8"?>
<formControlPr xmlns="http://schemas.microsoft.com/office/spreadsheetml/2009/9/main" objectType="CheckBox" fmlaLink="D6" lockText="1" noThreeD="1"/>
</file>

<file path=xl/ctrlProps/ctrlProp112.xml><?xml version="1.0" encoding="utf-8"?>
<formControlPr xmlns="http://schemas.microsoft.com/office/spreadsheetml/2009/9/main" objectType="CheckBox" fmlaLink="I16" lockText="1" noThreeD="1"/>
</file>

<file path=xl/ctrlProps/ctrlProp113.xml><?xml version="1.0" encoding="utf-8"?>
<formControlPr xmlns="http://schemas.microsoft.com/office/spreadsheetml/2009/9/main" objectType="CheckBox" fmlaLink="N16" lockText="1" noThreeD="1"/>
</file>

<file path=xl/ctrlProps/ctrlProp114.xml><?xml version="1.0" encoding="utf-8"?>
<formControlPr xmlns="http://schemas.microsoft.com/office/spreadsheetml/2009/9/main" objectType="CheckBox" fmlaLink="D16" lockText="1" noThreeD="1"/>
</file>

<file path=xl/ctrlProps/ctrlProp115.xml><?xml version="1.0" encoding="utf-8"?>
<formControlPr xmlns="http://schemas.microsoft.com/office/spreadsheetml/2009/9/main" objectType="CheckBox" fmlaLink="D26" lockText="1" noThreeD="1"/>
</file>

<file path=xl/ctrlProps/ctrlProp116.xml><?xml version="1.0" encoding="utf-8"?>
<formControlPr xmlns="http://schemas.microsoft.com/office/spreadsheetml/2009/9/main" objectType="CheckBox" fmlaLink="I26" lockText="1" noThreeD="1"/>
</file>

<file path=xl/ctrlProps/ctrlProp117.xml><?xml version="1.0" encoding="utf-8"?>
<formControlPr xmlns="http://schemas.microsoft.com/office/spreadsheetml/2009/9/main" objectType="CheckBox" fmlaLink="N26" lockText="1" noThreeD="1"/>
</file>

<file path=xl/ctrlProps/ctrlProp118.xml><?xml version="1.0" encoding="utf-8"?>
<formControlPr xmlns="http://schemas.microsoft.com/office/spreadsheetml/2009/9/main" objectType="CheckBox" fmlaLink="D36" lockText="1" noThreeD="1"/>
</file>

<file path=xl/ctrlProps/ctrlProp119.xml><?xml version="1.0" encoding="utf-8"?>
<formControlPr xmlns="http://schemas.microsoft.com/office/spreadsheetml/2009/9/main" objectType="CheckBox" fmlaLink="I36" lockText="1" noThreeD="1"/>
</file>

<file path=xl/ctrlProps/ctrlProp120.xml><?xml version="1.0" encoding="utf-8"?>
<formControlPr xmlns="http://schemas.microsoft.com/office/spreadsheetml/2009/9/main" objectType="CheckBox" fmlaLink="$N$36" lockText="1" noThreeD="1"/>
</file>

<file path=xl/ctrlProps/ctrlProp121.xml><?xml version="1.0" encoding="utf-8"?>
<formControlPr xmlns="http://schemas.microsoft.com/office/spreadsheetml/2009/9/main" objectType="CheckBox" fmlaLink="D46" lockText="1" noThreeD="1"/>
</file>

<file path=xl/ctrlProps/ctrlProp122.xml><?xml version="1.0" encoding="utf-8"?>
<formControlPr xmlns="http://schemas.microsoft.com/office/spreadsheetml/2009/9/main" objectType="CheckBox" fmlaLink="I46" lockText="1" noThreeD="1"/>
</file>

<file path=xl/ctrlProps/ctrlProp123.xml><?xml version="1.0" encoding="utf-8"?>
<formControlPr xmlns="http://schemas.microsoft.com/office/spreadsheetml/2009/9/main" objectType="CheckBox" fmlaLink="N46" lockText="1" noThreeD="1"/>
</file>

<file path=xl/ctrlProps/ctrlProp124.xml><?xml version="1.0" encoding="utf-8"?>
<formControlPr xmlns="http://schemas.microsoft.com/office/spreadsheetml/2009/9/main" objectType="CheckBox" fmlaLink="D56" lockText="1" noThreeD="1"/>
</file>

<file path=xl/ctrlProps/ctrlProp125.xml><?xml version="1.0" encoding="utf-8"?>
<formControlPr xmlns="http://schemas.microsoft.com/office/spreadsheetml/2009/9/main" objectType="CheckBox" fmlaLink="$I$56" lockText="1" noThreeD="1"/>
</file>

<file path=xl/ctrlProps/ctrlProp126.xml><?xml version="1.0" encoding="utf-8"?>
<formControlPr xmlns="http://schemas.microsoft.com/office/spreadsheetml/2009/9/main" objectType="CheckBox" fmlaLink="$N$56" lockText="1" noThreeD="1"/>
</file>

<file path=xl/ctrlProps/ctrlProp127.xml><?xml version="1.0" encoding="utf-8"?>
<formControlPr xmlns="http://schemas.microsoft.com/office/spreadsheetml/2009/9/main" objectType="CheckBox" fmlaLink="$N$66" lockText="1" noThreeD="1"/>
</file>

<file path=xl/ctrlProps/ctrlProp128.xml><?xml version="1.0" encoding="utf-8"?>
<formControlPr xmlns="http://schemas.microsoft.com/office/spreadsheetml/2009/9/main" objectType="CheckBox" fmlaLink="$I$66" lockText="1" noThreeD="1"/>
</file>

<file path=xl/ctrlProps/ctrlProp129.xml><?xml version="1.0" encoding="utf-8"?>
<formControlPr xmlns="http://schemas.microsoft.com/office/spreadsheetml/2009/9/main" objectType="CheckBox" fmlaLink="$D$66" lockText="1" noThreeD="1"/>
</file>

<file path=xl/ctrlProps/ctrlProp130.xml><?xml version="1.0" encoding="utf-8"?>
<formControlPr xmlns="http://schemas.microsoft.com/office/spreadsheetml/2009/9/main" objectType="CheckBox" fmlaLink="$W$3" lockText="1" noThreeD="1"/>
</file>

<file path=xl/ctrlProps/ctrlProp131.xml><?xml version="1.0" encoding="utf-8"?>
<formControlPr xmlns="http://schemas.microsoft.com/office/spreadsheetml/2009/9/main" objectType="CheckBox" fmlaLink="$W$4" lockText="1" noThreeD="1"/>
</file>

<file path=xl/ctrlProps/ctrlProp132.xml><?xml version="1.0" encoding="utf-8"?>
<formControlPr xmlns="http://schemas.microsoft.com/office/spreadsheetml/2009/9/main" objectType="CheckBox" fmlaLink="$Y$4" lockText="1" noThreeD="1"/>
</file>

<file path=xl/ctrlProps/ctrlProp133.xml><?xml version="1.0" encoding="utf-8"?>
<formControlPr xmlns="http://schemas.microsoft.com/office/spreadsheetml/2009/9/main" objectType="CheckBox" fmlaLink="$W$5" lockText="1" noThreeD="1"/>
</file>

<file path=xl/ctrlProps/ctrlProp134.xml><?xml version="1.0" encoding="utf-8"?>
<formControlPr xmlns="http://schemas.microsoft.com/office/spreadsheetml/2009/9/main" objectType="CheckBox" fmlaLink="$W$6" lockText="1" noThreeD="1"/>
</file>

<file path=xl/ctrlProps/ctrlProp135.xml><?xml version="1.0" encoding="utf-8"?>
<formControlPr xmlns="http://schemas.microsoft.com/office/spreadsheetml/2009/9/main" objectType="CheckBox" fmlaLink="$W$7" lockText="1" noThreeD="1"/>
</file>

<file path=xl/ctrlProps/ctrlProp136.xml><?xml version="1.0" encoding="utf-8"?>
<formControlPr xmlns="http://schemas.microsoft.com/office/spreadsheetml/2009/9/main" objectType="CheckBox" fmlaLink="$W$8" lockText="1" noThreeD="1"/>
</file>

<file path=xl/ctrlProps/ctrlProp137.xml><?xml version="1.0" encoding="utf-8"?>
<formControlPr xmlns="http://schemas.microsoft.com/office/spreadsheetml/2009/9/main" objectType="CheckBox" fmlaLink="$W$9" lockText="1" noThreeD="1"/>
</file>

<file path=xl/ctrlProps/ctrlProp138.xml><?xml version="1.0" encoding="utf-8"?>
<formControlPr xmlns="http://schemas.microsoft.com/office/spreadsheetml/2009/9/main" objectType="CheckBox" fmlaLink="$W$10" lockText="1" noThreeD="1"/>
</file>

<file path=xl/ctrlProps/ctrlProp139.xml><?xml version="1.0" encoding="utf-8"?>
<formControlPr xmlns="http://schemas.microsoft.com/office/spreadsheetml/2009/9/main" objectType="CheckBox" fmlaLink="$W$11" lockText="1" noThreeD="1"/>
</file>

<file path=xl/ctrlProps/ctrlProp140.xml><?xml version="1.0" encoding="utf-8"?>
<formControlPr xmlns="http://schemas.microsoft.com/office/spreadsheetml/2009/9/main" objectType="CheckBox" fmlaLink="$W$12" lockText="1" noThreeD="1"/>
</file>

<file path=xl/ctrlProps/ctrlProp141.xml><?xml version="1.0" encoding="utf-8"?>
<formControlPr xmlns="http://schemas.microsoft.com/office/spreadsheetml/2009/9/main" objectType="CheckBox" fmlaLink="$W$13" lockText="1" noThreeD="1"/>
</file>

<file path=xl/ctrlProps/ctrlProp142.xml><?xml version="1.0" encoding="utf-8"?>
<formControlPr xmlns="http://schemas.microsoft.com/office/spreadsheetml/2009/9/main" objectType="CheckBox" fmlaLink="$W$14" lockText="1" noThreeD="1"/>
</file>

<file path=xl/ctrlProps/ctrlProp143.xml><?xml version="1.0" encoding="utf-8"?>
<formControlPr xmlns="http://schemas.microsoft.com/office/spreadsheetml/2009/9/main" objectType="CheckBox" fmlaLink="$W$15" lockText="1" noThreeD="1"/>
</file>

<file path=xl/ctrlProps/ctrlProp144.xml><?xml version="1.0" encoding="utf-8"?>
<formControlPr xmlns="http://schemas.microsoft.com/office/spreadsheetml/2009/9/main" objectType="CheckBox" fmlaLink="$W$16" lockText="1" noThreeD="1"/>
</file>

<file path=xl/ctrlProps/ctrlProp145.xml><?xml version="1.0" encoding="utf-8"?>
<formControlPr xmlns="http://schemas.microsoft.com/office/spreadsheetml/2009/9/main" objectType="CheckBox" fmlaLink="$W$17" lockText="1" noThreeD="1"/>
</file>

<file path=xl/ctrlProps/ctrlProp146.xml><?xml version="1.0" encoding="utf-8"?>
<formControlPr xmlns="http://schemas.microsoft.com/office/spreadsheetml/2009/9/main" objectType="CheckBox" fmlaLink="$W$18" lockText="1" noThreeD="1"/>
</file>

<file path=xl/ctrlProps/ctrlProp147.xml><?xml version="1.0" encoding="utf-8"?>
<formControlPr xmlns="http://schemas.microsoft.com/office/spreadsheetml/2009/9/main" objectType="CheckBox" fmlaLink="$W$19" lockText="1" noThreeD="1"/>
</file>

<file path=xl/ctrlProps/ctrlProp148.xml><?xml version="1.0" encoding="utf-8"?>
<formControlPr xmlns="http://schemas.microsoft.com/office/spreadsheetml/2009/9/main" objectType="CheckBox" fmlaLink="$AE$3" lockText="1" noThreeD="1"/>
</file>

<file path=xl/ctrlProps/ctrlProp149.xml><?xml version="1.0" encoding="utf-8"?>
<formControlPr xmlns="http://schemas.microsoft.com/office/spreadsheetml/2009/9/main" objectType="CheckBox" fmlaLink="$AE$4" lockText="1" noThreeD="1"/>
</file>

<file path=xl/ctrlProps/ctrlProp150.xml><?xml version="1.0" encoding="utf-8"?>
<formControlPr xmlns="http://schemas.microsoft.com/office/spreadsheetml/2009/9/main" objectType="CheckBox" fmlaLink="$AE$5" lockText="1" noThreeD="1"/>
</file>

<file path=xl/ctrlProps/ctrlProp151.xml><?xml version="1.0" encoding="utf-8"?>
<formControlPr xmlns="http://schemas.microsoft.com/office/spreadsheetml/2009/9/main" objectType="CheckBox" fmlaLink="AE6" lockText="1" noThreeD="1"/>
</file>

<file path=xl/ctrlProps/ctrlProp152.xml><?xml version="1.0" encoding="utf-8"?>
<formControlPr xmlns="http://schemas.microsoft.com/office/spreadsheetml/2009/9/main" objectType="CheckBox" fmlaLink="AE7" lockText="1" noThreeD="1"/>
</file>

<file path=xl/ctrlProps/ctrlProp153.xml><?xml version="1.0" encoding="utf-8"?>
<formControlPr xmlns="http://schemas.microsoft.com/office/spreadsheetml/2009/9/main" objectType="CheckBox" fmlaLink="AE8" lockText="1" noThreeD="1"/>
</file>

<file path=xl/ctrlProps/ctrlProp154.xml><?xml version="1.0" encoding="utf-8"?>
<formControlPr xmlns="http://schemas.microsoft.com/office/spreadsheetml/2009/9/main" objectType="CheckBox" fmlaLink="AE9" lockText="1" noThreeD="1"/>
</file>

<file path=xl/ctrlProps/ctrlProp155.xml><?xml version="1.0" encoding="utf-8"?>
<formControlPr xmlns="http://schemas.microsoft.com/office/spreadsheetml/2009/9/main" objectType="CheckBox" fmlaLink="AE10" lockText="1" noThreeD="1"/>
</file>

<file path=xl/ctrlProps/ctrlProp156.xml><?xml version="1.0" encoding="utf-8"?>
<formControlPr xmlns="http://schemas.microsoft.com/office/spreadsheetml/2009/9/main" objectType="CheckBox" fmlaLink="AE11" lockText="1" noThreeD="1"/>
</file>

<file path=xl/ctrlProps/ctrlProp157.xml><?xml version="1.0" encoding="utf-8"?>
<formControlPr xmlns="http://schemas.microsoft.com/office/spreadsheetml/2009/9/main" objectType="CheckBox" fmlaLink="AE12" lockText="1" noThreeD="1"/>
</file>

<file path=xl/ctrlProps/ctrlProp158.xml><?xml version="1.0" encoding="utf-8"?>
<formControlPr xmlns="http://schemas.microsoft.com/office/spreadsheetml/2009/9/main" objectType="CheckBox" fmlaLink="AE13" lockText="1" noThreeD="1"/>
</file>

<file path=xl/ctrlProps/ctrlProp159.xml><?xml version="1.0" encoding="utf-8"?>
<formControlPr xmlns="http://schemas.microsoft.com/office/spreadsheetml/2009/9/main" objectType="CheckBox" fmlaLink="$AK$3" lockText="1" noThreeD="1"/>
</file>

<file path=xl/ctrlProps/ctrlProp160.xml><?xml version="1.0" encoding="utf-8"?>
<formControlPr xmlns="http://schemas.microsoft.com/office/spreadsheetml/2009/9/main" objectType="CheckBox" fmlaLink="$AK$4" lockText="1" noThreeD="1"/>
</file>

<file path=xl/ctrlProps/ctrlProp161.xml><?xml version="1.0" encoding="utf-8"?>
<formControlPr xmlns="http://schemas.microsoft.com/office/spreadsheetml/2009/9/main" objectType="CheckBox" fmlaLink="$AK$5" lockText="1" noThreeD="1"/>
</file>

<file path=xl/ctrlProps/ctrlProp162.xml><?xml version="1.0" encoding="utf-8"?>
<formControlPr xmlns="http://schemas.microsoft.com/office/spreadsheetml/2009/9/main" objectType="CheckBox" fmlaLink="$AK$6" lockText="1" noThreeD="1"/>
</file>

<file path=xl/ctrlProps/ctrlProp163.xml><?xml version="1.0" encoding="utf-8"?>
<formControlPr xmlns="http://schemas.microsoft.com/office/spreadsheetml/2009/9/main" objectType="CheckBox" fmlaLink="$AK$7" lockText="1" noThreeD="1"/>
</file>

<file path=xl/ctrlProps/ctrlProp164.xml><?xml version="1.0" encoding="utf-8"?>
<formControlPr xmlns="http://schemas.microsoft.com/office/spreadsheetml/2009/9/main" objectType="CheckBox" fmlaLink="$AK$8" lockText="1" noThreeD="1"/>
</file>

<file path=xl/ctrlProps/ctrlProp165.xml><?xml version="1.0" encoding="utf-8"?>
<formControlPr xmlns="http://schemas.microsoft.com/office/spreadsheetml/2009/9/main" objectType="CheckBox" fmlaLink="$AK$10" lockText="1" noThreeD="1"/>
</file>

<file path=xl/ctrlProps/ctrlProp166.xml><?xml version="1.0" encoding="utf-8"?>
<formControlPr xmlns="http://schemas.microsoft.com/office/spreadsheetml/2009/9/main" objectType="CheckBox" fmlaLink="$AK$11" lockText="1" noThreeD="1"/>
</file>

<file path=xl/ctrlProps/ctrlProp167.xml><?xml version="1.0" encoding="utf-8"?>
<formControlPr xmlns="http://schemas.microsoft.com/office/spreadsheetml/2009/9/main" objectType="CheckBox" fmlaLink="$AK$9" lockText="1" noThreeD="1"/>
</file>

<file path=xl/ctrlProps/ctrlProp168.xml><?xml version="1.0" encoding="utf-8"?>
<formControlPr xmlns="http://schemas.microsoft.com/office/spreadsheetml/2009/9/main" objectType="CheckBox" fmlaLink="$AR$3" lockText="1" noThreeD="1"/>
</file>

<file path=xl/ctrlProps/ctrlProp169.xml><?xml version="1.0" encoding="utf-8"?>
<formControlPr xmlns="http://schemas.microsoft.com/office/spreadsheetml/2009/9/main" objectType="CheckBox" fmlaLink="$AR$4" lockText="1" noThreeD="1"/>
</file>

<file path=xl/ctrlProps/ctrlProp170.xml><?xml version="1.0" encoding="utf-8"?>
<formControlPr xmlns="http://schemas.microsoft.com/office/spreadsheetml/2009/9/main" objectType="CheckBox" fmlaLink="$AR$5" lockText="1" noThreeD="1"/>
</file>

<file path=xl/ctrlProps/ctrlProp171.xml><?xml version="1.0" encoding="utf-8"?>
<formControlPr xmlns="http://schemas.microsoft.com/office/spreadsheetml/2009/9/main" objectType="CheckBox" fmlaLink="$AR$6" lockText="1" noThreeD="1"/>
</file>

<file path=xl/ctrlProps/ctrlProp172.xml><?xml version="1.0" encoding="utf-8"?>
<formControlPr xmlns="http://schemas.microsoft.com/office/spreadsheetml/2009/9/main" objectType="CheckBox" fmlaLink="$AR$7" lockText="1" noThreeD="1"/>
</file>

<file path=xl/ctrlProps/ctrlProp173.xml><?xml version="1.0" encoding="utf-8"?>
<formControlPr xmlns="http://schemas.microsoft.com/office/spreadsheetml/2009/9/main" objectType="CheckBox" fmlaLink="B201" lockText="1" noThreeD="1"/>
</file>

<file path=xl/ctrlProps/ctrlProp174.xml><?xml version="1.0" encoding="utf-8"?>
<formControlPr xmlns="http://schemas.microsoft.com/office/spreadsheetml/2009/9/main" objectType="CheckBox" fmlaLink="$AR$9" lockText="1" noThreeD="1"/>
</file>

<file path=xl/ctrlProps/ctrlProp175.xml><?xml version="1.0" encoding="utf-8"?>
<formControlPr xmlns="http://schemas.microsoft.com/office/spreadsheetml/2009/9/main" objectType="CheckBox" fmlaLink="$AR$10" lockText="1" noThreeD="1"/>
</file>

<file path=xl/ctrlProps/ctrlProp176.xml><?xml version="1.0" encoding="utf-8"?>
<formControlPr xmlns="http://schemas.microsoft.com/office/spreadsheetml/2009/9/main" objectType="CheckBox" fmlaLink="$AR$11" lockText="1" noThreeD="1"/>
</file>

<file path=xl/ctrlProps/ctrlProp177.xml><?xml version="1.0" encoding="utf-8"?>
<formControlPr xmlns="http://schemas.microsoft.com/office/spreadsheetml/2009/9/main" objectType="CheckBox" fmlaLink="$AZ$3" lockText="1" noThreeD="1"/>
</file>

<file path=xl/ctrlProps/ctrlProp178.xml><?xml version="1.0" encoding="utf-8"?>
<formControlPr xmlns="http://schemas.microsoft.com/office/spreadsheetml/2009/9/main" objectType="CheckBox" fmlaLink="$AZ$4" lockText="1" noThreeD="1"/>
</file>

<file path=xl/ctrlProps/ctrlProp179.xml><?xml version="1.0" encoding="utf-8"?>
<formControlPr xmlns="http://schemas.microsoft.com/office/spreadsheetml/2009/9/main" objectType="CheckBox" fmlaLink="$AZ$5" lockText="1" noThreeD="1"/>
</file>

<file path=xl/ctrlProps/ctrlProp180.xml><?xml version="1.0" encoding="utf-8"?>
<formControlPr xmlns="http://schemas.microsoft.com/office/spreadsheetml/2009/9/main" objectType="CheckBox" fmlaLink="$AZ$6" lockText="1" noThreeD="1"/>
</file>

<file path=xl/ctrlProps/ctrlProp181.xml><?xml version="1.0" encoding="utf-8"?>
<formControlPr xmlns="http://schemas.microsoft.com/office/spreadsheetml/2009/9/main" objectType="CheckBox" fmlaLink="$AZ$7" lockText="1" noThreeD="1"/>
</file>

<file path=xl/ctrlProps/ctrlProp182.xml><?xml version="1.0" encoding="utf-8"?>
<formControlPr xmlns="http://schemas.microsoft.com/office/spreadsheetml/2009/9/main" objectType="CheckBox" fmlaLink="$AZ$8" lockText="1" noThreeD="1"/>
</file>

<file path=xl/ctrlProps/ctrlProp183.xml><?xml version="1.0" encoding="utf-8"?>
<formControlPr xmlns="http://schemas.microsoft.com/office/spreadsheetml/2009/9/main" objectType="CheckBox" fmlaLink="$AY$9" lockText="1" noThreeD="1"/>
</file>

<file path=xl/ctrlProps/ctrlProp184.xml><?xml version="1.0" encoding="utf-8"?>
<formControlPr xmlns="http://schemas.microsoft.com/office/spreadsheetml/2009/9/main" objectType="CheckBox" fmlaLink="$AY$10" lockText="1" noThreeD="1"/>
</file>

<file path=xl/ctrlProps/ctrlProp185.xml><?xml version="1.0" encoding="utf-8"?>
<formControlPr xmlns="http://schemas.microsoft.com/office/spreadsheetml/2009/9/main" objectType="CheckBox" fmlaLink="$AY$11" lockText="1" noThreeD="1"/>
</file>

<file path=xl/ctrlProps/ctrlProp186.xml><?xml version="1.0" encoding="utf-8"?>
<formControlPr xmlns="http://schemas.microsoft.com/office/spreadsheetml/2009/9/main" objectType="CheckBox" fmlaLink="$BF$3" lockText="1" noThreeD="1"/>
</file>

<file path=xl/ctrlProps/ctrlProp187.xml><?xml version="1.0" encoding="utf-8"?>
<formControlPr xmlns="http://schemas.microsoft.com/office/spreadsheetml/2009/9/main" objectType="CheckBox" fmlaLink="$BF$4" lockText="1" noThreeD="1"/>
</file>

<file path=xl/ctrlProps/ctrlProp188.xml><?xml version="1.0" encoding="utf-8"?>
<formControlPr xmlns="http://schemas.microsoft.com/office/spreadsheetml/2009/9/main" objectType="CheckBox" fmlaLink="$BF$5" lockText="1" noThreeD="1"/>
</file>

<file path=xl/ctrlProps/ctrlProp189.xml><?xml version="1.0" encoding="utf-8"?>
<formControlPr xmlns="http://schemas.microsoft.com/office/spreadsheetml/2009/9/main" objectType="CheckBox" fmlaLink="$BF$6" lockText="1" noThreeD="1"/>
</file>

<file path=xl/ctrlProps/ctrlProp190.xml><?xml version="1.0" encoding="utf-8"?>
<formControlPr xmlns="http://schemas.microsoft.com/office/spreadsheetml/2009/9/main" objectType="CheckBox" fmlaLink="$BF$7" lockText="1" noThreeD="1"/>
</file>

<file path=xl/ctrlProps/ctrlProp191.xml><?xml version="1.0" encoding="utf-8"?>
<formControlPr xmlns="http://schemas.microsoft.com/office/spreadsheetml/2009/9/main" objectType="CheckBox" fmlaLink="$BF$8" lockText="1" noThreeD="1"/>
</file>

<file path=xl/ctrlProps/ctrlProp192.xml><?xml version="1.0" encoding="utf-8"?>
<formControlPr xmlns="http://schemas.microsoft.com/office/spreadsheetml/2009/9/main" objectType="CheckBox" fmlaLink="$BF$9" lockText="1" noThreeD="1"/>
</file>

<file path=xl/ctrlProps/ctrlProp193.xml><?xml version="1.0" encoding="utf-8"?>
<formControlPr xmlns="http://schemas.microsoft.com/office/spreadsheetml/2009/9/main" objectType="CheckBox" fmlaLink="$BF$10" lockText="1" noThreeD="1"/>
</file>

<file path=xl/ctrlProps/ctrlProp194.xml><?xml version="1.0" encoding="utf-8"?>
<formControlPr xmlns="http://schemas.microsoft.com/office/spreadsheetml/2009/9/main" objectType="CheckBox" fmlaLink="$BG$11" lockText="1" noThreeD="1"/>
</file>

<file path=xl/ctrlProps/ctrlProp195.xml><?xml version="1.0" encoding="utf-8"?>
<formControlPr xmlns="http://schemas.microsoft.com/office/spreadsheetml/2009/9/main" objectType="CheckBox" fmlaLink="$BG$12" lockText="1" noThreeD="1"/>
</file>

<file path=xl/ctrlProps/ctrlProp196.xml><?xml version="1.0" encoding="utf-8"?>
<formControlPr xmlns="http://schemas.microsoft.com/office/spreadsheetml/2009/9/main" objectType="CheckBox" fmlaLink="$BF$13" lockText="1" noThreeD="1"/>
</file>

<file path=xl/ctrlProps/ctrlProp197.xml><?xml version="1.0" encoding="utf-8"?>
<formControlPr xmlns="http://schemas.microsoft.com/office/spreadsheetml/2009/9/main" objectType="CheckBox" fmlaLink="$BG$13" lockText="1" noThreeD="1"/>
</file>

<file path=xl/ctrlProps/ctrlProp198.xml><?xml version="1.0" encoding="utf-8"?>
<formControlPr xmlns="http://schemas.microsoft.com/office/spreadsheetml/2009/9/main" objectType="CheckBox" fmlaLink="$BF$14" lockText="1" noThreeD="1"/>
</file>

<file path=xl/ctrlProps/ctrlProp199.xml><?xml version="1.0" encoding="utf-8"?>
<formControlPr xmlns="http://schemas.microsoft.com/office/spreadsheetml/2009/9/main" objectType="CheckBox" fmlaLink="$BM$3" lockText="1" noThreeD="1"/>
</file>

<file path=xl/ctrlProps/ctrlProp200.xml><?xml version="1.0" encoding="utf-8"?>
<formControlPr xmlns="http://schemas.microsoft.com/office/spreadsheetml/2009/9/main" objectType="CheckBox" fmlaLink="BM4" lockText="1" noThreeD="1"/>
</file>

<file path=xl/ctrlProps/ctrlProp201.xml><?xml version="1.0" encoding="utf-8"?>
<formControlPr xmlns="http://schemas.microsoft.com/office/spreadsheetml/2009/9/main" objectType="CheckBox" fmlaLink="BM5" lockText="1" noThreeD="1"/>
</file>

<file path=xl/ctrlProps/ctrlProp202.xml><?xml version="1.0" encoding="utf-8"?>
<formControlPr xmlns="http://schemas.microsoft.com/office/spreadsheetml/2009/9/main" objectType="CheckBox" fmlaLink="BM6" lockText="1" noThreeD="1"/>
</file>

<file path=xl/ctrlProps/ctrlProp203.xml><?xml version="1.0" encoding="utf-8"?>
<formControlPr xmlns="http://schemas.microsoft.com/office/spreadsheetml/2009/9/main" objectType="CheckBox" fmlaLink="BM7" lockText="1" noThreeD="1"/>
</file>

<file path=xl/ctrlProps/ctrlProp204.xml><?xml version="1.0" encoding="utf-8"?>
<formControlPr xmlns="http://schemas.microsoft.com/office/spreadsheetml/2009/9/main" objectType="CheckBox" fmlaLink="$AK$12" lockText="1" noThreeD="1"/>
</file>

<file path=xl/ctrlProps/ctrlProp205.xml><?xml version="1.0" encoding="utf-8"?>
<formControlPr xmlns="http://schemas.microsoft.com/office/spreadsheetml/2009/9/main" objectType="CheckBox" fmlaLink="$AK$13" lockText="1" noThreeD="1"/>
</file>

<file path=xl/ctrlProps/ctrlProp206.xml><?xml version="1.0" encoding="utf-8"?>
<formControlPr xmlns="http://schemas.microsoft.com/office/spreadsheetml/2009/9/main" objectType="CheckBox" fmlaLink="$AK$14" lockText="1" noThreeD="1"/>
</file>

<file path=xl/ctrlProps/ctrlProp207.xml><?xml version="1.0" encoding="utf-8"?>
<formControlPr xmlns="http://schemas.microsoft.com/office/spreadsheetml/2009/9/main" objectType="CheckBox" fmlaLink="$AK$15" lockText="1" noThreeD="1"/>
</file>

<file path=xl/ctrlProps/ctrlProp208.xml><?xml version="1.0" encoding="utf-8"?>
<formControlPr xmlns="http://schemas.microsoft.com/office/spreadsheetml/2009/9/main" objectType="CheckBox" fmlaLink="$AK$16" lockText="1" noThreeD="1"/>
</file>

<file path=xl/ctrlProps/ctrlProp209.xml><?xml version="1.0" encoding="utf-8"?>
<formControlPr xmlns="http://schemas.microsoft.com/office/spreadsheetml/2009/9/main" objectType="CheckBox" fmlaLink="$AK$17" lockText="1" noThreeD="1"/>
</file>

<file path=xl/ctrlProps/ctrlProp210.xml><?xml version="1.0" encoding="utf-8"?>
<formControlPr xmlns="http://schemas.microsoft.com/office/spreadsheetml/2009/9/main" objectType="CheckBox" fmlaLink="$AK$18" lockText="1" noThreeD="1"/>
</file>

<file path=xl/ctrlProps/ctrlProp211.xml><?xml version="1.0" encoding="utf-8"?>
<formControlPr xmlns="http://schemas.microsoft.com/office/spreadsheetml/2009/9/main" objectType="CheckBox" fmlaLink="$AK$19" lockText="1" noThreeD="1"/>
</file>

<file path=xl/ctrlProps/ctrlProp212.xml><?xml version="1.0" encoding="utf-8"?>
<formControlPr xmlns="http://schemas.microsoft.com/office/spreadsheetml/2009/9/main" objectType="CheckBox" fmlaLink="$AK$20" lockText="1" noThreeD="1"/>
</file>

<file path=xl/ctrlProps/ctrlProp213.xml><?xml version="1.0" encoding="utf-8"?>
<formControlPr xmlns="http://schemas.microsoft.com/office/spreadsheetml/2009/9/main" objectType="CheckBox" fmlaLink="BM8" lockText="1" noThreeD="1"/>
</file>

<file path=xl/ctrlProps/ctrlProp214.xml><?xml version="1.0" encoding="utf-8"?>
<formControlPr xmlns="http://schemas.microsoft.com/office/spreadsheetml/2009/9/main" objectType="CheckBox" fmlaLink="BN8" lockText="1" noThreeD="1"/>
</file>

<file path=xl/ctrlProps/ctrlProp215.xml><?xml version="1.0" encoding="utf-8"?>
<formControlPr xmlns="http://schemas.microsoft.com/office/spreadsheetml/2009/9/main" objectType="CheckBox" fmlaLink="BM9" lockText="1" noThreeD="1"/>
</file>

<file path=xl/ctrlProps/ctrlProp216.xml><?xml version="1.0" encoding="utf-8"?>
<formControlPr xmlns="http://schemas.microsoft.com/office/spreadsheetml/2009/9/main" objectType="CheckBox" fmlaLink="BM10" lockText="1" noThreeD="1"/>
</file>

<file path=xl/ctrlProps/ctrlProp217.xml><?xml version="1.0" encoding="utf-8"?>
<formControlPr xmlns="http://schemas.microsoft.com/office/spreadsheetml/2009/9/main" objectType="CheckBox" fmlaLink="BM11" lockText="1" noThreeD="1"/>
</file>

<file path=xl/ctrlProps/ctrlProp218.xml><?xml version="1.0" encoding="utf-8"?>
<formControlPr xmlns="http://schemas.microsoft.com/office/spreadsheetml/2009/9/main" objectType="CheckBox" fmlaLink="$AR$12" lockText="1" noThreeD="1"/>
</file>

<file path=xl/ctrlProps/ctrlProp219.xml><?xml version="1.0" encoding="utf-8"?>
<formControlPr xmlns="http://schemas.microsoft.com/office/spreadsheetml/2009/9/main" objectType="CheckBox" fmlaLink="$AR$13" lockText="1" noThreeD="1"/>
</file>

<file path=xl/ctrlProps/ctrlProp220.xml><?xml version="1.0" encoding="utf-8"?>
<formControlPr xmlns="http://schemas.microsoft.com/office/spreadsheetml/2009/9/main" objectType="CheckBox" fmlaLink="$E$3" lockText="1" noThreeD="1"/>
</file>

<file path=xl/ctrlProps/ctrlProp221.xml><?xml version="1.0" encoding="utf-8"?>
<formControlPr xmlns="http://schemas.microsoft.com/office/spreadsheetml/2009/9/main" objectType="CheckBox" fmlaLink="$E$4" lockText="1" noThreeD="1"/>
</file>

<file path=xl/ctrlProps/ctrlProp222.xml><?xml version="1.0" encoding="utf-8"?>
<formControlPr xmlns="http://schemas.microsoft.com/office/spreadsheetml/2009/9/main" objectType="CheckBox" fmlaLink="$E$5" lockText="1" noThreeD="1"/>
</file>

<file path=xl/ctrlProps/ctrlProp223.xml><?xml version="1.0" encoding="utf-8"?>
<formControlPr xmlns="http://schemas.microsoft.com/office/spreadsheetml/2009/9/main" objectType="CheckBox" fmlaLink="$E$6" lockText="1" noThreeD="1"/>
</file>

<file path=xl/ctrlProps/ctrlProp224.xml><?xml version="1.0" encoding="utf-8"?>
<formControlPr xmlns="http://schemas.microsoft.com/office/spreadsheetml/2009/9/main" objectType="CheckBox" fmlaLink="$E$7" lockText="1" noThreeD="1"/>
</file>

<file path=xl/ctrlProps/ctrlProp225.xml><?xml version="1.0" encoding="utf-8"?>
<formControlPr xmlns="http://schemas.microsoft.com/office/spreadsheetml/2009/9/main" objectType="CheckBox" fmlaLink="$E$8" lockText="1" noThreeD="1"/>
</file>

<file path=xl/ctrlProps/ctrlProp226.xml><?xml version="1.0" encoding="utf-8"?>
<formControlPr xmlns="http://schemas.microsoft.com/office/spreadsheetml/2009/9/main" objectType="CheckBox" fmlaLink="$E$9" lockText="1" noThreeD="1"/>
</file>

<file path=xl/ctrlProps/ctrlProp227.xml><?xml version="1.0" encoding="utf-8"?>
<formControlPr xmlns="http://schemas.microsoft.com/office/spreadsheetml/2009/9/main" objectType="CheckBox" fmlaLink="$E$10" lockText="1" noThreeD="1"/>
</file>

<file path=xl/ctrlProps/ctrlProp228.xml><?xml version="1.0" encoding="utf-8"?>
<formControlPr xmlns="http://schemas.microsoft.com/office/spreadsheetml/2009/9/main" objectType="CheckBox" fmlaLink="$E$11" lockText="1" noThreeD="1"/>
</file>

<file path=xl/ctrlProps/ctrlProp229.xml><?xml version="1.0" encoding="utf-8"?>
<formControlPr xmlns="http://schemas.microsoft.com/office/spreadsheetml/2009/9/main" objectType="CheckBox" fmlaLink="$E$12" lockText="1" noThreeD="1"/>
</file>

<file path=xl/ctrlProps/ctrlProp230.xml><?xml version="1.0" encoding="utf-8"?>
<formControlPr xmlns="http://schemas.microsoft.com/office/spreadsheetml/2009/9/main" objectType="CheckBox" fmlaLink="$E$13" lockText="1" noThreeD="1"/>
</file>

<file path=xl/ctrlProps/ctrlProp231.xml><?xml version="1.0" encoding="utf-8"?>
<formControlPr xmlns="http://schemas.microsoft.com/office/spreadsheetml/2009/9/main" objectType="CheckBox" fmlaLink="$E$14" lockText="1" noThreeD="1"/>
</file>

<file path=xl/ctrlProps/ctrlProp232.xml><?xml version="1.0" encoding="utf-8"?>
<formControlPr xmlns="http://schemas.microsoft.com/office/spreadsheetml/2009/9/main" objectType="CheckBox" fmlaLink="$E$15" lockText="1" noThreeD="1"/>
</file>

<file path=xl/ctrlProps/ctrlProp233.xml><?xml version="1.0" encoding="utf-8"?>
<formControlPr xmlns="http://schemas.microsoft.com/office/spreadsheetml/2009/9/main" objectType="CheckBox" fmlaLink="$E$16" lockText="1" noThreeD="1"/>
</file>

<file path=xl/ctrlProps/ctrlProp234.xml><?xml version="1.0" encoding="utf-8"?>
<formControlPr xmlns="http://schemas.microsoft.com/office/spreadsheetml/2009/9/main" objectType="CheckBox" fmlaLink="$E$17" lockText="1" noThreeD="1"/>
</file>

<file path=xl/ctrlProps/ctrlProp235.xml><?xml version="1.0" encoding="utf-8"?>
<formControlPr xmlns="http://schemas.microsoft.com/office/spreadsheetml/2009/9/main" objectType="CheckBox" fmlaLink="$R$27" lockText="1" noThreeD="1"/>
</file>

<file path=xl/ctrlProps/ctrlProp236.xml><?xml version="1.0" encoding="utf-8"?>
<formControlPr xmlns="http://schemas.microsoft.com/office/spreadsheetml/2009/9/main" objectType="CheckBox" fmlaLink="$R$28" lockText="1" noThreeD="1"/>
</file>

<file path=xl/ctrlProps/ctrlProp237.xml><?xml version="1.0" encoding="utf-8"?>
<formControlPr xmlns="http://schemas.microsoft.com/office/spreadsheetml/2009/9/main" objectType="CheckBox" fmlaLink="$R$29" lockText="1" noThreeD="1"/>
</file>

<file path=xl/ctrlProps/ctrlProp238.xml><?xml version="1.0" encoding="utf-8"?>
<formControlPr xmlns="http://schemas.microsoft.com/office/spreadsheetml/2009/9/main" objectType="CheckBox" fmlaLink="$R$30" lockText="1" noThreeD="1"/>
</file>

<file path=xl/ctrlProps/ctrlProp239.xml><?xml version="1.0" encoding="utf-8"?>
<formControlPr xmlns="http://schemas.microsoft.com/office/spreadsheetml/2009/9/main" objectType="CheckBox" fmlaLink="$R$31" lockText="1" noThreeD="1"/>
</file>

<file path=xl/ctrlProps/ctrlProp240.xml><?xml version="1.0" encoding="utf-8"?>
<formControlPr xmlns="http://schemas.microsoft.com/office/spreadsheetml/2009/9/main" objectType="CheckBox" fmlaLink="$R$32" lockText="1" noThreeD="1"/>
</file>

<file path=xl/ctrlProps/ctrlProp241.xml><?xml version="1.0" encoding="utf-8"?>
<formControlPr xmlns="http://schemas.microsoft.com/office/spreadsheetml/2009/9/main" objectType="CheckBox" fmlaLink="$R$33" lockText="1" noThreeD="1"/>
</file>

<file path=xl/ctrlProps/ctrlProp242.xml><?xml version="1.0" encoding="utf-8"?>
<formControlPr xmlns="http://schemas.microsoft.com/office/spreadsheetml/2009/9/main" objectType="CheckBox" fmlaLink="$R$34" lockText="1" noThreeD="1"/>
</file>

<file path=xl/ctrlProps/ctrlProp243.xml><?xml version="1.0" encoding="utf-8"?>
<formControlPr xmlns="http://schemas.microsoft.com/office/spreadsheetml/2009/9/main" objectType="CheckBox" fmlaLink="$E$18" lockText="1" noThreeD="1"/>
</file>

<file path=xl/ctrlProps/ctrlProp244.xml><?xml version="1.0" encoding="utf-8"?>
<formControlPr xmlns="http://schemas.microsoft.com/office/spreadsheetml/2009/9/main" objectType="CheckBox" fmlaLink="$E$19" lockText="1" noThreeD="1"/>
</file>

<file path=xl/ctrlProps/ctrlProp245.xml><?xml version="1.0" encoding="utf-8"?>
<formControlPr xmlns="http://schemas.microsoft.com/office/spreadsheetml/2009/9/main" objectType="CheckBox" fmlaLink="$E$20"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s>
</file>

<file path=xl/drawings/_rels/drawing3.xml.rels><?xml version="1.0" encoding="UTF-8" standalone="yes"?>
<Relationships xmlns="http://schemas.openxmlformats.org/package/2006/relationships"><Relationship Id="rId8" Type="http://schemas.openxmlformats.org/officeDocument/2006/relationships/image" Target="../media/image50.jpeg"/><Relationship Id="rId13" Type="http://schemas.openxmlformats.org/officeDocument/2006/relationships/image" Target="../media/image55.jpeg"/><Relationship Id="rId18" Type="http://schemas.openxmlformats.org/officeDocument/2006/relationships/image" Target="../media/image60.jpeg"/><Relationship Id="rId3" Type="http://schemas.openxmlformats.org/officeDocument/2006/relationships/image" Target="../media/image45.jpeg"/><Relationship Id="rId21" Type="http://schemas.openxmlformats.org/officeDocument/2006/relationships/image" Target="../media/image63.png"/><Relationship Id="rId7" Type="http://schemas.openxmlformats.org/officeDocument/2006/relationships/image" Target="../media/image49.jpeg"/><Relationship Id="rId12" Type="http://schemas.openxmlformats.org/officeDocument/2006/relationships/image" Target="../media/image54.jpeg"/><Relationship Id="rId17" Type="http://schemas.openxmlformats.org/officeDocument/2006/relationships/image" Target="../media/image59.jpeg"/><Relationship Id="rId2" Type="http://schemas.openxmlformats.org/officeDocument/2006/relationships/image" Target="../media/image44.jpeg"/><Relationship Id="rId16" Type="http://schemas.openxmlformats.org/officeDocument/2006/relationships/image" Target="../media/image58.jpeg"/><Relationship Id="rId20" Type="http://schemas.openxmlformats.org/officeDocument/2006/relationships/image" Target="../media/image62.jpeg"/><Relationship Id="rId1" Type="http://schemas.openxmlformats.org/officeDocument/2006/relationships/image" Target="../media/image43.jpeg"/><Relationship Id="rId6" Type="http://schemas.openxmlformats.org/officeDocument/2006/relationships/image" Target="../media/image48.jpeg"/><Relationship Id="rId11" Type="http://schemas.openxmlformats.org/officeDocument/2006/relationships/image" Target="../media/image53.jpeg"/><Relationship Id="rId5" Type="http://schemas.openxmlformats.org/officeDocument/2006/relationships/image" Target="../media/image47.jpeg"/><Relationship Id="rId15" Type="http://schemas.openxmlformats.org/officeDocument/2006/relationships/image" Target="../media/image57.jpeg"/><Relationship Id="rId10" Type="http://schemas.openxmlformats.org/officeDocument/2006/relationships/image" Target="../media/image52.jpeg"/><Relationship Id="rId19" Type="http://schemas.openxmlformats.org/officeDocument/2006/relationships/image" Target="../media/image61.jpeg"/><Relationship Id="rId4" Type="http://schemas.openxmlformats.org/officeDocument/2006/relationships/image" Target="../media/image46.jpeg"/><Relationship Id="rId9" Type="http://schemas.openxmlformats.org/officeDocument/2006/relationships/image" Target="../media/image51.png"/><Relationship Id="rId14" Type="http://schemas.openxmlformats.org/officeDocument/2006/relationships/image" Target="../media/image56.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-1974316</xdr:colOff>
          <xdr:row>2</xdr:row>
          <xdr:rowOff>206956</xdr:rowOff>
        </xdr:from>
        <xdr:to>
          <xdr:col>0</xdr:col>
          <xdr:colOff>-1974316</xdr:colOff>
          <xdr:row>2</xdr:row>
          <xdr:rowOff>206956</xdr:rowOff>
        </xdr:to>
        <xdr:grpSp>
          <xdr:nvGrpSpPr>
            <xdr:cNvPr id="3" name="Группа 2">
              <a:extLst>
                <a:ext uri="{FF2B5EF4-FFF2-40B4-BE49-F238E27FC236}">
                  <a16:creationId xmlns:a16="http://schemas.microsoft.com/office/drawing/2014/main" id="{00000000-0008-0000-0000-000003000000}"/>
                </a:ext>
              </a:extLst>
            </xdr:cNvPr>
            <xdr:cNvGrpSpPr/>
          </xdr:nvGrpSpPr>
          <xdr:grpSpPr>
            <a:xfrm>
              <a:off x="-1974316" y="615170"/>
              <a:ext cx="0" cy="0"/>
              <a:chOff x="-1974316" y="61517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32750</xdr:colOff>
          <xdr:row>31</xdr:row>
          <xdr:rowOff>9525</xdr:rowOff>
        </xdr:from>
        <xdr:to>
          <xdr:col>0</xdr:col>
          <xdr:colOff>32750</xdr:colOff>
          <xdr:row>31</xdr:row>
          <xdr:rowOff>9525</xdr:rowOff>
        </xdr:to>
        <xdr:grpSp>
          <xdr:nvGrpSpPr>
            <xdr:cNvPr id="4" name="Группа 3">
              <a:extLst>
                <a:ext uri="{FF2B5EF4-FFF2-40B4-BE49-F238E27FC236}">
                  <a16:creationId xmlns:a16="http://schemas.microsoft.com/office/drawing/2014/main" id="{00000000-0008-0000-0000-000004000000}"/>
                </a:ext>
              </a:extLst>
            </xdr:cNvPr>
            <xdr:cNvGrpSpPr/>
          </xdr:nvGrpSpPr>
          <xdr:grpSpPr>
            <a:xfrm>
              <a:off x="32750" y="6636204"/>
              <a:ext cx="0" cy="0"/>
              <a:chOff x="32750" y="6636204"/>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6</xdr:row>
          <xdr:rowOff>19050</xdr:rowOff>
        </xdr:from>
        <xdr:to>
          <xdr:col>14</xdr:col>
          <xdr:colOff>3464</xdr:colOff>
          <xdr:row>7</xdr:row>
          <xdr:rowOff>19050</xdr:rowOff>
        </xdr:to>
        <xdr:grpSp>
          <xdr:nvGrpSpPr>
            <xdr:cNvPr id="2082" name="Группа 3">
              <a:extLst>
                <a:ext uri="{FF2B5EF4-FFF2-40B4-BE49-F238E27FC236}">
                  <a16:creationId xmlns:a16="http://schemas.microsoft.com/office/drawing/2014/main" id="{00000000-0008-0000-0000-000022080000}"/>
                </a:ext>
              </a:extLst>
            </xdr:cNvPr>
            <xdr:cNvGrpSpPr>
              <a:grpSpLocks/>
            </xdr:cNvGrpSpPr>
          </xdr:nvGrpSpPr>
          <xdr:grpSpPr bwMode="auto">
            <a:xfrm>
              <a:off x="18293443" y="1284514"/>
              <a:ext cx="2052700" cy="217715"/>
              <a:chOff x="14478000" y="2676525"/>
              <a:chExt cx="1438275" cy="19050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5</xdr:row>
          <xdr:rowOff>9525</xdr:rowOff>
        </xdr:from>
        <xdr:to>
          <xdr:col>13</xdr:col>
          <xdr:colOff>666750</xdr:colOff>
          <xdr:row>6</xdr:row>
          <xdr:rowOff>9525</xdr:rowOff>
        </xdr:to>
        <xdr:grpSp>
          <xdr:nvGrpSpPr>
            <xdr:cNvPr id="2104" name="Группа 2">
              <a:extLst>
                <a:ext uri="{FF2B5EF4-FFF2-40B4-BE49-F238E27FC236}">
                  <a16:creationId xmlns:a16="http://schemas.microsoft.com/office/drawing/2014/main" id="{00000000-0008-0000-0000-000038080000}"/>
                </a:ext>
              </a:extLst>
            </xdr:cNvPr>
            <xdr:cNvGrpSpPr>
              <a:grpSpLocks/>
            </xdr:cNvGrpSpPr>
          </xdr:nvGrpSpPr>
          <xdr:grpSpPr bwMode="auto">
            <a:xfrm>
              <a:off x="18293443" y="1057275"/>
              <a:ext cx="1328057" cy="217714"/>
              <a:chOff x="14478000" y="2676525"/>
              <a:chExt cx="1438275" cy="19050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xdr:row>
          <xdr:rowOff>200025</xdr:rowOff>
        </xdr:from>
        <xdr:to>
          <xdr:col>28</xdr:col>
          <xdr:colOff>600075</xdr:colOff>
          <xdr:row>3</xdr:row>
          <xdr:rowOff>28575</xdr:rowOff>
        </xdr:to>
        <xdr:sp macro="" textlink="">
          <xdr:nvSpPr>
            <xdr:cNvPr id="2187" name="Option Button 139" hidden="1">
              <a:extLst>
                <a:ext uri="{63B3BB69-23CF-44E3-9099-C40C66FF867C}">
                  <a14:compatExt spid="_x0000_s2187"/>
                </a:ext>
                <a:ext uri="{FF2B5EF4-FFF2-40B4-BE49-F238E27FC236}">
                  <a16:creationId xmlns:a16="http://schemas.microsoft.com/office/drawing/2014/main" id="{00000000-0008-0000-0000-00008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Сохранить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2</xdr:row>
          <xdr:rowOff>0</xdr:rowOff>
        </xdr:from>
        <xdr:to>
          <xdr:col>29</xdr:col>
          <xdr:colOff>600075</xdr:colOff>
          <xdr:row>3</xdr:row>
          <xdr:rowOff>28575</xdr:rowOff>
        </xdr:to>
        <xdr:sp macro="" textlink="">
          <xdr:nvSpPr>
            <xdr:cNvPr id="2188" name="Option Button 140" hidden="1">
              <a:extLst>
                <a:ext uri="{63B3BB69-23CF-44E3-9099-C40C66FF867C}">
                  <a14:compatExt spid="_x0000_s2188"/>
                </a:ext>
                <a:ext uri="{FF2B5EF4-FFF2-40B4-BE49-F238E27FC236}">
                  <a16:creationId xmlns:a16="http://schemas.microsoft.com/office/drawing/2014/main" id="{00000000-0008-0000-0000-00008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Удалить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xdr:row>
          <xdr:rowOff>200025</xdr:rowOff>
        </xdr:from>
        <xdr:to>
          <xdr:col>28</xdr:col>
          <xdr:colOff>600075</xdr:colOff>
          <xdr:row>4</xdr:row>
          <xdr:rowOff>0</xdr:rowOff>
        </xdr:to>
        <xdr:sp macro="" textlink="">
          <xdr:nvSpPr>
            <xdr:cNvPr id="2189" name="Option Button 141" hidden="1">
              <a:extLst>
                <a:ext uri="{63B3BB69-23CF-44E3-9099-C40C66FF867C}">
                  <a14:compatExt spid="_x0000_s2189"/>
                </a:ext>
                <a:ext uri="{FF2B5EF4-FFF2-40B4-BE49-F238E27FC236}">
                  <a16:creationId xmlns:a16="http://schemas.microsoft.com/office/drawing/2014/main" id="{00000000-0008-0000-0000-00008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Сохранить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3</xdr:row>
          <xdr:rowOff>0</xdr:rowOff>
        </xdr:from>
        <xdr:to>
          <xdr:col>29</xdr:col>
          <xdr:colOff>600075</xdr:colOff>
          <xdr:row>4</xdr:row>
          <xdr:rowOff>28575</xdr:rowOff>
        </xdr:to>
        <xdr:sp macro="" textlink="">
          <xdr:nvSpPr>
            <xdr:cNvPr id="2190" name="Option Button 142" hidden="1">
              <a:extLst>
                <a:ext uri="{63B3BB69-23CF-44E3-9099-C40C66FF867C}">
                  <a14:compatExt spid="_x0000_s2190"/>
                </a:ext>
                <a:ext uri="{FF2B5EF4-FFF2-40B4-BE49-F238E27FC236}">
                  <a16:creationId xmlns:a16="http://schemas.microsoft.com/office/drawing/2014/main" id="{00000000-0008-0000-0000-00008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Удалить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3</xdr:row>
          <xdr:rowOff>180975</xdr:rowOff>
        </xdr:from>
        <xdr:to>
          <xdr:col>28</xdr:col>
          <xdr:colOff>600075</xdr:colOff>
          <xdr:row>4</xdr:row>
          <xdr:rowOff>190500</xdr:rowOff>
        </xdr:to>
        <xdr:sp macro="" textlink="">
          <xdr:nvSpPr>
            <xdr:cNvPr id="2191" name="Option Button 143" hidden="1">
              <a:extLst>
                <a:ext uri="{63B3BB69-23CF-44E3-9099-C40C66FF867C}">
                  <a14:compatExt spid="_x0000_s2191"/>
                </a:ext>
                <a:ext uri="{FF2B5EF4-FFF2-40B4-BE49-F238E27FC236}">
                  <a16:creationId xmlns:a16="http://schemas.microsoft.com/office/drawing/2014/main" id="{00000000-0008-0000-0000-00008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Сохранить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3</xdr:row>
          <xdr:rowOff>190500</xdr:rowOff>
        </xdr:from>
        <xdr:to>
          <xdr:col>29</xdr:col>
          <xdr:colOff>600075</xdr:colOff>
          <xdr:row>5</xdr:row>
          <xdr:rowOff>0</xdr:rowOff>
        </xdr:to>
        <xdr:sp macro="" textlink="">
          <xdr:nvSpPr>
            <xdr:cNvPr id="2192" name="Option Button 144" hidden="1">
              <a:extLst>
                <a:ext uri="{63B3BB69-23CF-44E3-9099-C40C66FF867C}">
                  <a14:compatExt spid="_x0000_s2192"/>
                </a:ext>
                <a:ext uri="{FF2B5EF4-FFF2-40B4-BE49-F238E27FC236}">
                  <a16:creationId xmlns:a16="http://schemas.microsoft.com/office/drawing/2014/main" id="{00000000-0008-0000-0000-00009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Удалить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4</xdr:row>
          <xdr:rowOff>200025</xdr:rowOff>
        </xdr:from>
        <xdr:to>
          <xdr:col>28</xdr:col>
          <xdr:colOff>600075</xdr:colOff>
          <xdr:row>6</xdr:row>
          <xdr:rowOff>0</xdr:rowOff>
        </xdr:to>
        <xdr:sp macro="" textlink="">
          <xdr:nvSpPr>
            <xdr:cNvPr id="2193" name="Option Button 145" hidden="1">
              <a:extLst>
                <a:ext uri="{63B3BB69-23CF-44E3-9099-C40C66FF867C}">
                  <a14:compatExt spid="_x0000_s2193"/>
                </a:ext>
                <a:ext uri="{FF2B5EF4-FFF2-40B4-BE49-F238E27FC236}">
                  <a16:creationId xmlns:a16="http://schemas.microsoft.com/office/drawing/2014/main" id="{00000000-0008-0000-0000-00009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Сохранить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5</xdr:row>
          <xdr:rowOff>0</xdr:rowOff>
        </xdr:from>
        <xdr:to>
          <xdr:col>29</xdr:col>
          <xdr:colOff>600075</xdr:colOff>
          <xdr:row>6</xdr:row>
          <xdr:rowOff>28575</xdr:rowOff>
        </xdr:to>
        <xdr:sp macro="" textlink="">
          <xdr:nvSpPr>
            <xdr:cNvPr id="2194" name="Option Button 146" hidden="1">
              <a:extLst>
                <a:ext uri="{63B3BB69-23CF-44E3-9099-C40C66FF867C}">
                  <a14:compatExt spid="_x0000_s2194"/>
                </a:ext>
                <a:ext uri="{FF2B5EF4-FFF2-40B4-BE49-F238E27FC236}">
                  <a16:creationId xmlns:a16="http://schemas.microsoft.com/office/drawing/2014/main" id="{00000000-0008-0000-0000-00009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Удалить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5</xdr:row>
          <xdr:rowOff>200025</xdr:rowOff>
        </xdr:from>
        <xdr:to>
          <xdr:col>28</xdr:col>
          <xdr:colOff>600075</xdr:colOff>
          <xdr:row>7</xdr:row>
          <xdr:rowOff>0</xdr:rowOff>
        </xdr:to>
        <xdr:sp macro="" textlink="">
          <xdr:nvSpPr>
            <xdr:cNvPr id="2195" name="Option Button 147" hidden="1">
              <a:extLst>
                <a:ext uri="{63B3BB69-23CF-44E3-9099-C40C66FF867C}">
                  <a14:compatExt spid="_x0000_s2195"/>
                </a:ext>
                <a:ext uri="{FF2B5EF4-FFF2-40B4-BE49-F238E27FC236}">
                  <a16:creationId xmlns:a16="http://schemas.microsoft.com/office/drawing/2014/main" id="{00000000-0008-0000-0000-00009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Сохранить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6</xdr:row>
          <xdr:rowOff>0</xdr:rowOff>
        </xdr:from>
        <xdr:to>
          <xdr:col>29</xdr:col>
          <xdr:colOff>600075</xdr:colOff>
          <xdr:row>7</xdr:row>
          <xdr:rowOff>28575</xdr:rowOff>
        </xdr:to>
        <xdr:sp macro="" textlink="">
          <xdr:nvSpPr>
            <xdr:cNvPr id="2196" name="Option Button 148" hidden="1">
              <a:extLst>
                <a:ext uri="{63B3BB69-23CF-44E3-9099-C40C66FF867C}">
                  <a14:compatExt spid="_x0000_s2196"/>
                </a:ext>
                <a:ext uri="{FF2B5EF4-FFF2-40B4-BE49-F238E27FC236}">
                  <a16:creationId xmlns:a16="http://schemas.microsoft.com/office/drawing/2014/main" id="{00000000-0008-0000-0000-00009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Удалить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6</xdr:row>
          <xdr:rowOff>200025</xdr:rowOff>
        </xdr:from>
        <xdr:to>
          <xdr:col>28</xdr:col>
          <xdr:colOff>600075</xdr:colOff>
          <xdr:row>8</xdr:row>
          <xdr:rowOff>0</xdr:rowOff>
        </xdr:to>
        <xdr:sp macro="" textlink="">
          <xdr:nvSpPr>
            <xdr:cNvPr id="2197" name="Option Button 149" hidden="1">
              <a:extLst>
                <a:ext uri="{63B3BB69-23CF-44E3-9099-C40C66FF867C}">
                  <a14:compatExt spid="_x0000_s2197"/>
                </a:ext>
                <a:ext uri="{FF2B5EF4-FFF2-40B4-BE49-F238E27FC236}">
                  <a16:creationId xmlns:a16="http://schemas.microsoft.com/office/drawing/2014/main" id="{00000000-0008-0000-0000-00009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Сохранить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7</xdr:row>
          <xdr:rowOff>0</xdr:rowOff>
        </xdr:from>
        <xdr:to>
          <xdr:col>29</xdr:col>
          <xdr:colOff>600075</xdr:colOff>
          <xdr:row>8</xdr:row>
          <xdr:rowOff>28575</xdr:rowOff>
        </xdr:to>
        <xdr:sp macro="" textlink="">
          <xdr:nvSpPr>
            <xdr:cNvPr id="2198" name="Option Button 150" hidden="1">
              <a:extLst>
                <a:ext uri="{63B3BB69-23CF-44E3-9099-C40C66FF867C}">
                  <a14:compatExt spid="_x0000_s2198"/>
                </a:ext>
                <a:ext uri="{FF2B5EF4-FFF2-40B4-BE49-F238E27FC236}">
                  <a16:creationId xmlns:a16="http://schemas.microsoft.com/office/drawing/2014/main" id="{00000000-0008-0000-0000-00009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Удалить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8</xdr:row>
          <xdr:rowOff>0</xdr:rowOff>
        </xdr:from>
        <xdr:to>
          <xdr:col>28</xdr:col>
          <xdr:colOff>619125</xdr:colOff>
          <xdr:row>9</xdr:row>
          <xdr:rowOff>47625</xdr:rowOff>
        </xdr:to>
        <xdr:sp macro="" textlink="">
          <xdr:nvSpPr>
            <xdr:cNvPr id="2199" name="Option Button 151" hidden="1">
              <a:extLst>
                <a:ext uri="{63B3BB69-23CF-44E3-9099-C40C66FF867C}">
                  <a14:compatExt spid="_x0000_s2199"/>
                </a:ext>
                <a:ext uri="{FF2B5EF4-FFF2-40B4-BE49-F238E27FC236}">
                  <a16:creationId xmlns:a16="http://schemas.microsoft.com/office/drawing/2014/main" id="{00000000-0008-0000-0000-00009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Сохранить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8</xdr:row>
          <xdr:rowOff>9525</xdr:rowOff>
        </xdr:from>
        <xdr:to>
          <xdr:col>29</xdr:col>
          <xdr:colOff>619125</xdr:colOff>
          <xdr:row>9</xdr:row>
          <xdr:rowOff>47625</xdr:rowOff>
        </xdr:to>
        <xdr:sp macro="" textlink="">
          <xdr:nvSpPr>
            <xdr:cNvPr id="2200" name="Option Button 152" hidden="1">
              <a:extLst>
                <a:ext uri="{63B3BB69-23CF-44E3-9099-C40C66FF867C}">
                  <a14:compatExt spid="_x0000_s2200"/>
                </a:ext>
                <a:ext uri="{FF2B5EF4-FFF2-40B4-BE49-F238E27FC236}">
                  <a16:creationId xmlns:a16="http://schemas.microsoft.com/office/drawing/2014/main" id="{00000000-0008-0000-0000-00009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Удалить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8</xdr:row>
          <xdr:rowOff>200025</xdr:rowOff>
        </xdr:from>
        <xdr:to>
          <xdr:col>28</xdr:col>
          <xdr:colOff>619125</xdr:colOff>
          <xdr:row>10</xdr:row>
          <xdr:rowOff>0</xdr:rowOff>
        </xdr:to>
        <xdr:sp macro="" textlink="">
          <xdr:nvSpPr>
            <xdr:cNvPr id="2201" name="Option Button 153" hidden="1">
              <a:extLst>
                <a:ext uri="{63B3BB69-23CF-44E3-9099-C40C66FF867C}">
                  <a14:compatExt spid="_x0000_s2201"/>
                </a:ext>
                <a:ext uri="{FF2B5EF4-FFF2-40B4-BE49-F238E27FC236}">
                  <a16:creationId xmlns:a16="http://schemas.microsoft.com/office/drawing/2014/main" id="{00000000-0008-0000-0000-00009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Сохранить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9</xdr:row>
          <xdr:rowOff>0</xdr:rowOff>
        </xdr:from>
        <xdr:to>
          <xdr:col>29</xdr:col>
          <xdr:colOff>619125</xdr:colOff>
          <xdr:row>10</xdr:row>
          <xdr:rowOff>47625</xdr:rowOff>
        </xdr:to>
        <xdr:sp macro="" textlink="">
          <xdr:nvSpPr>
            <xdr:cNvPr id="2202" name="Option Button 154" hidden="1">
              <a:extLst>
                <a:ext uri="{63B3BB69-23CF-44E3-9099-C40C66FF867C}">
                  <a14:compatExt spid="_x0000_s2202"/>
                </a:ext>
                <a:ext uri="{FF2B5EF4-FFF2-40B4-BE49-F238E27FC236}">
                  <a16:creationId xmlns:a16="http://schemas.microsoft.com/office/drawing/2014/main" id="{00000000-0008-0000-0000-00009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Удалить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9</xdr:row>
          <xdr:rowOff>200025</xdr:rowOff>
        </xdr:from>
        <xdr:to>
          <xdr:col>28</xdr:col>
          <xdr:colOff>619125</xdr:colOff>
          <xdr:row>11</xdr:row>
          <xdr:rowOff>0</xdr:rowOff>
        </xdr:to>
        <xdr:sp macro="" textlink="">
          <xdr:nvSpPr>
            <xdr:cNvPr id="2203" name="Option Button 155" hidden="1">
              <a:extLst>
                <a:ext uri="{63B3BB69-23CF-44E3-9099-C40C66FF867C}">
                  <a14:compatExt spid="_x0000_s2203"/>
                </a:ext>
                <a:ext uri="{FF2B5EF4-FFF2-40B4-BE49-F238E27FC236}">
                  <a16:creationId xmlns:a16="http://schemas.microsoft.com/office/drawing/2014/main" id="{00000000-0008-0000-0000-00009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Сохранить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10</xdr:row>
          <xdr:rowOff>0</xdr:rowOff>
        </xdr:from>
        <xdr:to>
          <xdr:col>29</xdr:col>
          <xdr:colOff>600075</xdr:colOff>
          <xdr:row>11</xdr:row>
          <xdr:rowOff>28575</xdr:rowOff>
        </xdr:to>
        <xdr:sp macro="" textlink="">
          <xdr:nvSpPr>
            <xdr:cNvPr id="2204" name="Option Button 156" hidden="1">
              <a:extLst>
                <a:ext uri="{63B3BB69-23CF-44E3-9099-C40C66FF867C}">
                  <a14:compatExt spid="_x0000_s2204"/>
                </a:ext>
                <a:ext uri="{FF2B5EF4-FFF2-40B4-BE49-F238E27FC236}">
                  <a16:creationId xmlns:a16="http://schemas.microsoft.com/office/drawing/2014/main" id="{00000000-0008-0000-0000-00009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Удалить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10</xdr:row>
          <xdr:rowOff>200025</xdr:rowOff>
        </xdr:from>
        <xdr:to>
          <xdr:col>28</xdr:col>
          <xdr:colOff>600075</xdr:colOff>
          <xdr:row>12</xdr:row>
          <xdr:rowOff>0</xdr:rowOff>
        </xdr:to>
        <xdr:sp macro="" textlink="">
          <xdr:nvSpPr>
            <xdr:cNvPr id="2205" name="Option Button 157" hidden="1">
              <a:extLst>
                <a:ext uri="{63B3BB69-23CF-44E3-9099-C40C66FF867C}">
                  <a14:compatExt spid="_x0000_s2205"/>
                </a:ext>
                <a:ext uri="{FF2B5EF4-FFF2-40B4-BE49-F238E27FC236}">
                  <a16:creationId xmlns:a16="http://schemas.microsoft.com/office/drawing/2014/main" id="{00000000-0008-0000-0000-00009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Сохранить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11</xdr:row>
          <xdr:rowOff>0</xdr:rowOff>
        </xdr:from>
        <xdr:to>
          <xdr:col>29</xdr:col>
          <xdr:colOff>600075</xdr:colOff>
          <xdr:row>12</xdr:row>
          <xdr:rowOff>28575</xdr:rowOff>
        </xdr:to>
        <xdr:sp macro="" textlink="">
          <xdr:nvSpPr>
            <xdr:cNvPr id="2206" name="Option Button 158" hidden="1">
              <a:extLst>
                <a:ext uri="{63B3BB69-23CF-44E3-9099-C40C66FF867C}">
                  <a14:compatExt spid="_x0000_s2206"/>
                </a:ext>
                <a:ext uri="{FF2B5EF4-FFF2-40B4-BE49-F238E27FC236}">
                  <a16:creationId xmlns:a16="http://schemas.microsoft.com/office/drawing/2014/main" id="{00000000-0008-0000-0000-00009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Удалить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571500</xdr:colOff>
          <xdr:row>0</xdr:row>
          <xdr:rowOff>57150</xdr:rowOff>
        </xdr:from>
        <xdr:to>
          <xdr:col>29</xdr:col>
          <xdr:colOff>381000</xdr:colOff>
          <xdr:row>1</xdr:row>
          <xdr:rowOff>95250</xdr:rowOff>
        </xdr:to>
        <xdr:sp macro="" textlink="">
          <xdr:nvSpPr>
            <xdr:cNvPr id="2207" name="Option Button 159" hidden="1">
              <a:extLst>
                <a:ext uri="{63B3BB69-23CF-44E3-9099-C40C66FF867C}">
                  <a14:compatExt spid="_x0000_s2207"/>
                </a:ext>
                <a:ext uri="{FF2B5EF4-FFF2-40B4-BE49-F238E27FC236}">
                  <a16:creationId xmlns:a16="http://schemas.microsoft.com/office/drawing/2014/main" id="{00000000-0008-0000-0000-00009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Удалить всё</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xdr:row>
          <xdr:rowOff>0</xdr:rowOff>
        </xdr:from>
        <xdr:to>
          <xdr:col>31</xdr:col>
          <xdr:colOff>790575</xdr:colOff>
          <xdr:row>2</xdr:row>
          <xdr:rowOff>76200</xdr:rowOff>
        </xdr:to>
        <xdr:sp macro="" textlink="">
          <xdr:nvSpPr>
            <xdr:cNvPr id="2254" name="Option Button 206" hidden="1">
              <a:extLst>
                <a:ext uri="{63B3BB69-23CF-44E3-9099-C40C66FF867C}">
                  <a14:compatExt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Сохранить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2</xdr:row>
          <xdr:rowOff>0</xdr:rowOff>
        </xdr:from>
        <xdr:to>
          <xdr:col>31</xdr:col>
          <xdr:colOff>790575</xdr:colOff>
          <xdr:row>3</xdr:row>
          <xdr:rowOff>28575</xdr:rowOff>
        </xdr:to>
        <xdr:sp macro="" textlink="">
          <xdr:nvSpPr>
            <xdr:cNvPr id="2255" name="Option Button 207" hidden="1">
              <a:extLst>
                <a:ext uri="{63B3BB69-23CF-44E3-9099-C40C66FF867C}">
                  <a14:compatExt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Стереть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15</xdr:row>
          <xdr:rowOff>209550</xdr:rowOff>
        </xdr:from>
        <xdr:to>
          <xdr:col>1</xdr:col>
          <xdr:colOff>866775</xdr:colOff>
          <xdr:row>16</xdr:row>
          <xdr:rowOff>200025</xdr:rowOff>
        </xdr:to>
        <xdr:sp macro="" textlink="">
          <xdr:nvSpPr>
            <xdr:cNvPr id="2276" name="Check Box 228" hidden="1">
              <a:extLst>
                <a:ext uri="{63B3BB69-23CF-44E3-9099-C40C66FF867C}">
                  <a14:compatExt spid="_x0000_s2276"/>
                </a:ext>
                <a:ext uri="{FF2B5EF4-FFF2-40B4-BE49-F238E27FC236}">
                  <a16:creationId xmlns:a16="http://schemas.microsoft.com/office/drawing/2014/main" id="{00000000-0008-0000-0000-0000E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Хп</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15</xdr:row>
          <xdr:rowOff>209550</xdr:rowOff>
        </xdr:from>
        <xdr:to>
          <xdr:col>2</xdr:col>
          <xdr:colOff>628650</xdr:colOff>
          <xdr:row>17</xdr:row>
          <xdr:rowOff>28575</xdr:rowOff>
        </xdr:to>
        <xdr:sp macro="" textlink="">
          <xdr:nvSpPr>
            <xdr:cNvPr id="2277" name="Check Box 229" hidden="1">
              <a:extLst>
                <a:ext uri="{63B3BB69-23CF-44E3-9099-C40C66FF867C}">
                  <a14:compatExt spid="_x0000_s2277"/>
                </a:ext>
                <a:ext uri="{FF2B5EF4-FFF2-40B4-BE49-F238E27FC236}">
                  <a16:creationId xmlns:a16="http://schemas.microsoft.com/office/drawing/2014/main" id="{00000000-0008-0000-0000-0000E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Хп</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17</xdr:row>
          <xdr:rowOff>19050</xdr:rowOff>
        </xdr:from>
        <xdr:to>
          <xdr:col>1</xdr:col>
          <xdr:colOff>866775</xdr:colOff>
          <xdr:row>17</xdr:row>
          <xdr:rowOff>209550</xdr:rowOff>
        </xdr:to>
        <xdr:sp macro="" textlink="">
          <xdr:nvSpPr>
            <xdr:cNvPr id="2278" name="Check Box 230" hidden="1">
              <a:extLst>
                <a:ext uri="{63B3BB69-23CF-44E3-9099-C40C66FF867C}">
                  <a14:compatExt spid="_x0000_s2278"/>
                </a:ext>
                <a:ext uri="{FF2B5EF4-FFF2-40B4-BE49-F238E27FC236}">
                  <a16:creationId xmlns:a16="http://schemas.microsoft.com/office/drawing/2014/main" id="{00000000-0008-0000-0000-0000E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Атк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17</xdr:row>
          <xdr:rowOff>19050</xdr:rowOff>
        </xdr:from>
        <xdr:to>
          <xdr:col>2</xdr:col>
          <xdr:colOff>628650</xdr:colOff>
          <xdr:row>17</xdr:row>
          <xdr:rowOff>209550</xdr:rowOff>
        </xdr:to>
        <xdr:sp macro="" textlink="">
          <xdr:nvSpPr>
            <xdr:cNvPr id="2279" name="Check Box 231" hidden="1">
              <a:extLst>
                <a:ext uri="{63B3BB69-23CF-44E3-9099-C40C66FF867C}">
                  <a14:compatExt spid="_x0000_s2279"/>
                </a:ext>
                <a:ext uri="{FF2B5EF4-FFF2-40B4-BE49-F238E27FC236}">
                  <a16:creationId xmlns:a16="http://schemas.microsoft.com/office/drawing/2014/main" id="{00000000-0008-0000-0000-0000E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Атк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18</xdr:row>
          <xdr:rowOff>9525</xdr:rowOff>
        </xdr:from>
        <xdr:to>
          <xdr:col>1</xdr:col>
          <xdr:colOff>866775</xdr:colOff>
          <xdr:row>18</xdr:row>
          <xdr:rowOff>190500</xdr:rowOff>
        </xdr:to>
        <xdr:sp macro="" textlink="">
          <xdr:nvSpPr>
            <xdr:cNvPr id="2280" name="Check Box 232" hidden="1">
              <a:extLst>
                <a:ext uri="{63B3BB69-23CF-44E3-9099-C40C66FF867C}">
                  <a14:compatExt spid="_x0000_s2280"/>
                </a:ext>
                <a:ext uri="{FF2B5EF4-FFF2-40B4-BE49-F238E27FC236}">
                  <a16:creationId xmlns:a16="http://schemas.microsoft.com/office/drawing/2014/main" id="{00000000-0008-0000-0000-0000E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Защ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18</xdr:row>
          <xdr:rowOff>9525</xdr:rowOff>
        </xdr:from>
        <xdr:to>
          <xdr:col>2</xdr:col>
          <xdr:colOff>628650</xdr:colOff>
          <xdr:row>18</xdr:row>
          <xdr:rowOff>190500</xdr:rowOff>
        </xdr:to>
        <xdr:sp macro="" textlink="">
          <xdr:nvSpPr>
            <xdr:cNvPr id="2281" name="Check Box 233" hidden="1">
              <a:extLst>
                <a:ext uri="{63B3BB69-23CF-44E3-9099-C40C66FF867C}">
                  <a14:compatExt spid="_x0000_s2281"/>
                </a:ext>
                <a:ext uri="{FF2B5EF4-FFF2-40B4-BE49-F238E27FC236}">
                  <a16:creationId xmlns:a16="http://schemas.microsoft.com/office/drawing/2014/main" id="{00000000-0008-0000-0000-0000E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Защ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19</xdr:row>
          <xdr:rowOff>19050</xdr:rowOff>
        </xdr:from>
        <xdr:to>
          <xdr:col>2</xdr:col>
          <xdr:colOff>628650</xdr:colOff>
          <xdr:row>19</xdr:row>
          <xdr:rowOff>209550</xdr:rowOff>
        </xdr:to>
        <xdr:sp macro="" textlink="">
          <xdr:nvSpPr>
            <xdr:cNvPr id="2282" name="Check Box 234" hidden="1">
              <a:extLst>
                <a:ext uri="{63B3BB69-23CF-44E3-9099-C40C66FF867C}">
                  <a14:compatExt spid="_x0000_s2282"/>
                </a:ext>
                <a:ext uri="{FF2B5EF4-FFF2-40B4-BE49-F238E27FC236}">
                  <a16:creationId xmlns:a16="http://schemas.microsoft.com/office/drawing/2014/main" id="{00000000-0008-0000-0000-0000E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Ку</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20</xdr:row>
          <xdr:rowOff>9525</xdr:rowOff>
        </xdr:from>
        <xdr:to>
          <xdr:col>2</xdr:col>
          <xdr:colOff>628650</xdr:colOff>
          <xdr:row>20</xdr:row>
          <xdr:rowOff>190500</xdr:rowOff>
        </xdr:to>
        <xdr:sp macro="" textlink="">
          <xdr:nvSpPr>
            <xdr:cNvPr id="2283" name="Check Box 235" hidden="1">
              <a:extLst>
                <a:ext uri="{63B3BB69-23CF-44E3-9099-C40C66FF867C}">
                  <a14:compatExt spid="_x0000_s2283"/>
                </a:ext>
                <a:ext uri="{FF2B5EF4-FFF2-40B4-BE49-F238E27FC236}">
                  <a16:creationId xmlns:a16="http://schemas.microsoft.com/office/drawing/2014/main" id="{00000000-0008-0000-0000-0000E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Кш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21</xdr:row>
          <xdr:rowOff>9525</xdr:rowOff>
        </xdr:from>
        <xdr:to>
          <xdr:col>1</xdr:col>
          <xdr:colOff>876300</xdr:colOff>
          <xdr:row>21</xdr:row>
          <xdr:rowOff>200025</xdr:rowOff>
        </xdr:to>
        <xdr:sp macro="" textlink="">
          <xdr:nvSpPr>
            <xdr:cNvPr id="2284" name="Check Box 236" hidden="1">
              <a:extLst>
                <a:ext uri="{63B3BB69-23CF-44E3-9099-C40C66FF867C}">
                  <a14:compatExt spid="_x0000_s2284"/>
                </a:ext>
                <a:ext uri="{FF2B5EF4-FFF2-40B4-BE49-F238E27FC236}">
                  <a16:creationId xmlns:a16="http://schemas.microsoft.com/office/drawing/2014/main" id="{00000000-0008-0000-0000-0000E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21</xdr:row>
          <xdr:rowOff>19050</xdr:rowOff>
        </xdr:from>
        <xdr:to>
          <xdr:col>2</xdr:col>
          <xdr:colOff>609600</xdr:colOff>
          <xdr:row>21</xdr:row>
          <xdr:rowOff>209550</xdr:rowOff>
        </xdr:to>
        <xdr:sp macro="" textlink="">
          <xdr:nvSpPr>
            <xdr:cNvPr id="2285" name="Check Box 237" hidden="1">
              <a:extLst>
                <a:ext uri="{63B3BB69-23CF-44E3-9099-C40C66FF867C}">
                  <a14:compatExt spid="_x0000_s2285"/>
                </a:ext>
                <a:ext uri="{FF2B5EF4-FFF2-40B4-BE49-F238E27FC236}">
                  <a16:creationId xmlns:a16="http://schemas.microsoft.com/office/drawing/2014/main" id="{00000000-0008-0000-0000-0000E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22</xdr:row>
          <xdr:rowOff>19050</xdr:rowOff>
        </xdr:from>
        <xdr:to>
          <xdr:col>1</xdr:col>
          <xdr:colOff>876300</xdr:colOff>
          <xdr:row>22</xdr:row>
          <xdr:rowOff>200025</xdr:rowOff>
        </xdr:to>
        <xdr:sp macro="" textlink="">
          <xdr:nvSpPr>
            <xdr:cNvPr id="2286" name="Check Box 238" hidden="1">
              <a:extLst>
                <a:ext uri="{63B3BB69-23CF-44E3-9099-C40C66FF867C}">
                  <a14:compatExt spid="_x0000_s2286"/>
                </a:ext>
                <a:ext uri="{FF2B5EF4-FFF2-40B4-BE49-F238E27FC236}">
                  <a16:creationId xmlns:a16="http://schemas.microsoft.com/office/drawing/2014/main" id="{00000000-0008-0000-0000-0000E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Эл.урон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22</xdr:row>
          <xdr:rowOff>28575</xdr:rowOff>
        </xdr:from>
        <xdr:to>
          <xdr:col>2</xdr:col>
          <xdr:colOff>628650</xdr:colOff>
          <xdr:row>23</xdr:row>
          <xdr:rowOff>0</xdr:rowOff>
        </xdr:to>
        <xdr:sp macro="" textlink="">
          <xdr:nvSpPr>
            <xdr:cNvPr id="2287" name="Check Box 239" hidden="1">
              <a:extLst>
                <a:ext uri="{63B3BB69-23CF-44E3-9099-C40C66FF867C}">
                  <a14:compatExt spid="_x0000_s2287"/>
                </a:ext>
                <a:ext uri="{FF2B5EF4-FFF2-40B4-BE49-F238E27FC236}">
                  <a16:creationId xmlns:a16="http://schemas.microsoft.com/office/drawing/2014/main" id="{00000000-0008-0000-0000-0000E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Эл.урон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23</xdr:row>
          <xdr:rowOff>19050</xdr:rowOff>
        </xdr:from>
        <xdr:to>
          <xdr:col>1</xdr:col>
          <xdr:colOff>1133475</xdr:colOff>
          <xdr:row>23</xdr:row>
          <xdr:rowOff>200025</xdr:rowOff>
        </xdr:to>
        <xdr:sp macro="" textlink="">
          <xdr:nvSpPr>
            <xdr:cNvPr id="2288" name="Check Box 240" hidden="1">
              <a:extLst>
                <a:ext uri="{63B3BB69-23CF-44E3-9099-C40C66FF867C}">
                  <a14:compatExt spid="_x0000_s2288"/>
                </a:ext>
                <a:ext uri="{FF2B5EF4-FFF2-40B4-BE49-F238E27FC236}">
                  <a16:creationId xmlns:a16="http://schemas.microsoft.com/office/drawing/2014/main" id="{00000000-0008-0000-0000-0000F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Физ.урон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23</xdr:row>
          <xdr:rowOff>38100</xdr:rowOff>
        </xdr:from>
        <xdr:to>
          <xdr:col>2</xdr:col>
          <xdr:colOff>800100</xdr:colOff>
          <xdr:row>23</xdr:row>
          <xdr:rowOff>209550</xdr:rowOff>
        </xdr:to>
        <xdr:sp macro="" textlink="">
          <xdr:nvSpPr>
            <xdr:cNvPr id="2289" name="Check Box 241" hidden="1">
              <a:extLst>
                <a:ext uri="{63B3BB69-23CF-44E3-9099-C40C66FF867C}">
                  <a14:compatExt spid="_x0000_s2289"/>
                </a:ext>
                <a:ext uri="{FF2B5EF4-FFF2-40B4-BE49-F238E27FC236}">
                  <a16:creationId xmlns:a16="http://schemas.microsoft.com/office/drawing/2014/main" id="{00000000-0008-0000-0000-0000F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Физ.урон</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24</xdr:row>
          <xdr:rowOff>28575</xdr:rowOff>
        </xdr:from>
        <xdr:to>
          <xdr:col>2</xdr:col>
          <xdr:colOff>1028700</xdr:colOff>
          <xdr:row>24</xdr:row>
          <xdr:rowOff>190500</xdr:rowOff>
        </xdr:to>
        <xdr:sp macro="" textlink="">
          <xdr:nvSpPr>
            <xdr:cNvPr id="2290" name="Check Box 242" hidden="1">
              <a:extLst>
                <a:ext uri="{63B3BB69-23CF-44E3-9099-C40C66FF867C}">
                  <a14:compatExt spid="_x0000_s2290"/>
                </a:ext>
                <a:ext uri="{FF2B5EF4-FFF2-40B4-BE49-F238E27FC236}">
                  <a16:creationId xmlns:a16="http://schemas.microsoft.com/office/drawing/2014/main" id="{00000000-0008-0000-0000-0000F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Бонус.лечения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25</xdr:row>
          <xdr:rowOff>28575</xdr:rowOff>
        </xdr:from>
        <xdr:to>
          <xdr:col>2</xdr:col>
          <xdr:colOff>1028700</xdr:colOff>
          <xdr:row>25</xdr:row>
          <xdr:rowOff>190500</xdr:rowOff>
        </xdr:to>
        <xdr:sp macro="" textlink="">
          <xdr:nvSpPr>
            <xdr:cNvPr id="2291" name="Check Box 243" hidden="1">
              <a:extLst>
                <a:ext uri="{63B3BB69-23CF-44E3-9099-C40C66FF867C}">
                  <a14:compatExt spid="_x0000_s2291"/>
                </a:ext>
                <a:ext uri="{FF2B5EF4-FFF2-40B4-BE49-F238E27FC236}">
                  <a16:creationId xmlns:a16="http://schemas.microsoft.com/office/drawing/2014/main" id="{00000000-0008-0000-0000-0000F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25</xdr:row>
          <xdr:rowOff>19050</xdr:rowOff>
        </xdr:from>
        <xdr:to>
          <xdr:col>1</xdr:col>
          <xdr:colOff>1143000</xdr:colOff>
          <xdr:row>25</xdr:row>
          <xdr:rowOff>200025</xdr:rowOff>
        </xdr:to>
        <xdr:sp macro="" textlink="">
          <xdr:nvSpPr>
            <xdr:cNvPr id="2292" name="Check Box 244" hidden="1">
              <a:extLst>
                <a:ext uri="{63B3BB69-23CF-44E3-9099-C40C66FF867C}">
                  <a14:compatExt spid="_x0000_s2292"/>
                </a:ext>
                <a:ext uri="{FF2B5EF4-FFF2-40B4-BE49-F238E27FC236}">
                  <a16:creationId xmlns:a16="http://schemas.microsoft.com/office/drawing/2014/main" id="{00000000-0008-0000-0000-0000F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9525</xdr:rowOff>
        </xdr:from>
        <xdr:to>
          <xdr:col>9</xdr:col>
          <xdr:colOff>762000</xdr:colOff>
          <xdr:row>25</xdr:row>
          <xdr:rowOff>0</xdr:rowOff>
        </xdr:to>
        <xdr:sp macro="" textlink="">
          <xdr:nvSpPr>
            <xdr:cNvPr id="2344" name="Check Box 296" hidden="1">
              <a:extLst>
                <a:ext uri="{63B3BB69-23CF-44E3-9099-C40C66FF867C}">
                  <a14:compatExt spid="_x0000_s2344"/>
                </a:ext>
                <a:ext uri="{FF2B5EF4-FFF2-40B4-BE49-F238E27FC236}">
                  <a16:creationId xmlns:a16="http://schemas.microsoft.com/office/drawing/2014/main" id="{00000000-0008-0000-0000-000028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9525</xdr:rowOff>
        </xdr:from>
        <xdr:to>
          <xdr:col>9</xdr:col>
          <xdr:colOff>819150</xdr:colOff>
          <xdr:row>26</xdr:row>
          <xdr:rowOff>9525</xdr:rowOff>
        </xdr:to>
        <xdr:sp macro="" textlink="">
          <xdr:nvSpPr>
            <xdr:cNvPr id="2345" name="Check Box 297" hidden="1">
              <a:extLst>
                <a:ext uri="{63B3BB69-23CF-44E3-9099-C40C66FF867C}">
                  <a14:compatExt spid="_x0000_s2345"/>
                </a:ext>
                <a:ext uri="{FF2B5EF4-FFF2-40B4-BE49-F238E27FC236}">
                  <a16:creationId xmlns:a16="http://schemas.microsoft.com/office/drawing/2014/main" id="{00000000-0008-0000-0000-000029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9525</xdr:rowOff>
        </xdr:from>
        <xdr:to>
          <xdr:col>9</xdr:col>
          <xdr:colOff>752475</xdr:colOff>
          <xdr:row>27</xdr:row>
          <xdr:rowOff>19050</xdr:rowOff>
        </xdr:to>
        <xdr:sp macro="" textlink="">
          <xdr:nvSpPr>
            <xdr:cNvPr id="2346" name="Check Box 298" hidden="1">
              <a:extLst>
                <a:ext uri="{63B3BB69-23CF-44E3-9099-C40C66FF867C}">
                  <a14:compatExt spid="_x0000_s2346"/>
                </a:ext>
                <a:ext uri="{FF2B5EF4-FFF2-40B4-BE49-F238E27FC236}">
                  <a16:creationId xmlns:a16="http://schemas.microsoft.com/office/drawing/2014/main" id="{00000000-0008-0000-0000-00002A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27</xdr:row>
          <xdr:rowOff>0</xdr:rowOff>
        </xdr:from>
        <xdr:to>
          <xdr:col>9</xdr:col>
          <xdr:colOff>771525</xdr:colOff>
          <xdr:row>28</xdr:row>
          <xdr:rowOff>28575</xdr:rowOff>
        </xdr:to>
        <xdr:sp macro="" textlink="">
          <xdr:nvSpPr>
            <xdr:cNvPr id="2347" name="Check Box 299" hidden="1">
              <a:extLst>
                <a:ext uri="{63B3BB69-23CF-44E3-9099-C40C66FF867C}">
                  <a14:compatExt spid="_x0000_s2347"/>
                </a:ext>
                <a:ext uri="{FF2B5EF4-FFF2-40B4-BE49-F238E27FC236}">
                  <a16:creationId xmlns:a16="http://schemas.microsoft.com/office/drawing/2014/main" id="{00000000-0008-0000-0000-00002B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27</xdr:row>
          <xdr:rowOff>190500</xdr:rowOff>
        </xdr:from>
        <xdr:to>
          <xdr:col>9</xdr:col>
          <xdr:colOff>695325</xdr:colOff>
          <xdr:row>28</xdr:row>
          <xdr:rowOff>200025</xdr:rowOff>
        </xdr:to>
        <xdr:sp macro="" textlink="">
          <xdr:nvSpPr>
            <xdr:cNvPr id="2348" name="Check Box 300" hidden="1">
              <a:extLst>
                <a:ext uri="{63B3BB69-23CF-44E3-9099-C40C66FF867C}">
                  <a14:compatExt spid="_x0000_s2348"/>
                </a:ext>
                <a:ext uri="{FF2B5EF4-FFF2-40B4-BE49-F238E27FC236}">
                  <a16:creationId xmlns:a16="http://schemas.microsoft.com/office/drawing/2014/main" id="{00000000-0008-0000-0000-00002C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190500</xdr:rowOff>
        </xdr:from>
        <xdr:to>
          <xdr:col>9</xdr:col>
          <xdr:colOff>695325</xdr:colOff>
          <xdr:row>30</xdr:row>
          <xdr:rowOff>19050</xdr:rowOff>
        </xdr:to>
        <xdr:sp macro="" textlink="">
          <xdr:nvSpPr>
            <xdr:cNvPr id="2349" name="Check Box 301" hidden="1">
              <a:extLst>
                <a:ext uri="{63B3BB69-23CF-44E3-9099-C40C66FF867C}">
                  <a14:compatExt spid="_x0000_s2349"/>
                </a:ext>
                <a:ext uri="{FF2B5EF4-FFF2-40B4-BE49-F238E27FC236}">
                  <a16:creationId xmlns:a16="http://schemas.microsoft.com/office/drawing/2014/main" id="{00000000-0008-0000-0000-00002D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29</xdr:row>
          <xdr:rowOff>190500</xdr:rowOff>
        </xdr:from>
        <xdr:to>
          <xdr:col>9</xdr:col>
          <xdr:colOff>723900</xdr:colOff>
          <xdr:row>30</xdr:row>
          <xdr:rowOff>209550</xdr:rowOff>
        </xdr:to>
        <xdr:sp macro="" textlink="">
          <xdr:nvSpPr>
            <xdr:cNvPr id="2350" name="Check Box 302" hidden="1">
              <a:extLst>
                <a:ext uri="{63B3BB69-23CF-44E3-9099-C40C66FF867C}">
                  <a14:compatExt spid="_x0000_s2350"/>
                </a:ext>
                <a:ext uri="{FF2B5EF4-FFF2-40B4-BE49-F238E27FC236}">
                  <a16:creationId xmlns:a16="http://schemas.microsoft.com/office/drawing/2014/main" id="{00000000-0008-0000-0000-00002E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28</xdr:row>
          <xdr:rowOff>0</xdr:rowOff>
        </xdr:from>
        <xdr:to>
          <xdr:col>2</xdr:col>
          <xdr:colOff>1066800</xdr:colOff>
          <xdr:row>29</xdr:row>
          <xdr:rowOff>19050</xdr:rowOff>
        </xdr:to>
        <xdr:sp macro="" textlink="">
          <xdr:nvSpPr>
            <xdr:cNvPr id="2351" name="Check Box 303" hidden="1">
              <a:extLst>
                <a:ext uri="{63B3BB69-23CF-44E3-9099-C40C66FF867C}">
                  <a14:compatExt spid="_x0000_s2351"/>
                </a:ext>
                <a:ext uri="{FF2B5EF4-FFF2-40B4-BE49-F238E27FC236}">
                  <a16:creationId xmlns:a16="http://schemas.microsoft.com/office/drawing/2014/main" id="{00000000-0008-0000-0000-00002F0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xdr:twoCellAnchor>
    <xdr:from>
      <xdr:col>27</xdr:col>
      <xdr:colOff>90147</xdr:colOff>
      <xdr:row>31</xdr:row>
      <xdr:rowOff>22281</xdr:rowOff>
    </xdr:from>
    <xdr:to>
      <xdr:col>30</xdr:col>
      <xdr:colOff>584255</xdr:colOff>
      <xdr:row>43</xdr:row>
      <xdr:rowOff>30616</xdr:rowOff>
    </xdr:to>
    <xdr:graphicFrame macro="">
      <xdr:nvGraphicFramePr>
        <xdr:cNvPr id="2" name="Диаграмма 1">
          <a:extLst>
            <a:ext uri="{FF2B5EF4-FFF2-40B4-BE49-F238E27FC236}">
              <a16:creationId xmlns:a16="http://schemas.microsoft.com/office/drawing/2014/main" id="{8965130E-E1FE-137E-E9D1-101D782F8B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114300</xdr:colOff>
          <xdr:row>8</xdr:row>
          <xdr:rowOff>9525</xdr:rowOff>
        </xdr:from>
        <xdr:to>
          <xdr:col>13</xdr:col>
          <xdr:colOff>666750</xdr:colOff>
          <xdr:row>9</xdr:row>
          <xdr:rowOff>9525</xdr:rowOff>
        </xdr:to>
        <xdr:grpSp>
          <xdr:nvGrpSpPr>
            <xdr:cNvPr id="5" name="Группа 2">
              <a:extLst>
                <a:ext uri="{FF2B5EF4-FFF2-40B4-BE49-F238E27FC236}">
                  <a16:creationId xmlns:a16="http://schemas.microsoft.com/office/drawing/2014/main" id="{1FE30AFF-39A6-4E6D-ACBE-2E1205A222CE}"/>
                </a:ext>
              </a:extLst>
            </xdr:cNvPr>
            <xdr:cNvGrpSpPr>
              <a:grpSpLocks/>
            </xdr:cNvGrpSpPr>
          </xdr:nvGrpSpPr>
          <xdr:grpSpPr bwMode="auto">
            <a:xfrm>
              <a:off x="18293443" y="1710418"/>
              <a:ext cx="1328057" cy="217714"/>
              <a:chOff x="14478000" y="2676525"/>
              <a:chExt cx="1438275" cy="19050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11</xdr:row>
          <xdr:rowOff>9525</xdr:rowOff>
        </xdr:from>
        <xdr:to>
          <xdr:col>13</xdr:col>
          <xdr:colOff>666750</xdr:colOff>
          <xdr:row>12</xdr:row>
          <xdr:rowOff>9525</xdr:rowOff>
        </xdr:to>
        <xdr:grpSp>
          <xdr:nvGrpSpPr>
            <xdr:cNvPr id="6" name="Группа 2">
              <a:extLst>
                <a:ext uri="{FF2B5EF4-FFF2-40B4-BE49-F238E27FC236}">
                  <a16:creationId xmlns:a16="http://schemas.microsoft.com/office/drawing/2014/main" id="{3D1ED2AA-07AF-46E4-AC42-05893B093917}"/>
                </a:ext>
              </a:extLst>
            </xdr:cNvPr>
            <xdr:cNvGrpSpPr>
              <a:grpSpLocks/>
            </xdr:cNvGrpSpPr>
          </xdr:nvGrpSpPr>
          <xdr:grpSpPr bwMode="auto">
            <a:xfrm>
              <a:off x="18293443" y="2363561"/>
              <a:ext cx="1328057" cy="217714"/>
              <a:chOff x="14478000" y="2676525"/>
              <a:chExt cx="1438275" cy="190500"/>
            </a:xfrm>
          </xdr:grpSpPr>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6</xdr:row>
          <xdr:rowOff>19050</xdr:rowOff>
        </xdr:from>
        <xdr:to>
          <xdr:col>4</xdr:col>
          <xdr:colOff>3464</xdr:colOff>
          <xdr:row>7</xdr:row>
          <xdr:rowOff>19050</xdr:rowOff>
        </xdr:to>
        <xdr:grpSp>
          <xdr:nvGrpSpPr>
            <xdr:cNvPr id="2" name="Группа 3">
              <a:extLst>
                <a:ext uri="{FF2B5EF4-FFF2-40B4-BE49-F238E27FC236}">
                  <a16:creationId xmlns:a16="http://schemas.microsoft.com/office/drawing/2014/main" id="{AFA79ADC-2905-4849-AFC6-1294FFA88B50}"/>
                </a:ext>
              </a:extLst>
            </xdr:cNvPr>
            <xdr:cNvGrpSpPr>
              <a:grpSpLocks/>
            </xdr:cNvGrpSpPr>
          </xdr:nvGrpSpPr>
          <xdr:grpSpPr bwMode="auto">
            <a:xfrm>
              <a:off x="2724150" y="1295400"/>
              <a:ext cx="1746539" cy="219075"/>
              <a:chOff x="14478000" y="2676525"/>
              <a:chExt cx="1438275" cy="19050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9525</xdr:rowOff>
        </xdr:from>
        <xdr:to>
          <xdr:col>4</xdr:col>
          <xdr:colOff>0</xdr:colOff>
          <xdr:row>6</xdr:row>
          <xdr:rowOff>9525</xdr:rowOff>
        </xdr:to>
        <xdr:grpSp>
          <xdr:nvGrpSpPr>
            <xdr:cNvPr id="3" name="Группа 2">
              <a:extLst>
                <a:ext uri="{FF2B5EF4-FFF2-40B4-BE49-F238E27FC236}">
                  <a16:creationId xmlns:a16="http://schemas.microsoft.com/office/drawing/2014/main" id="{FE169059-34E6-4388-9FC0-6B02B1BBC1D5}"/>
                </a:ext>
              </a:extLst>
            </xdr:cNvPr>
            <xdr:cNvGrpSpPr>
              <a:grpSpLocks/>
            </xdr:cNvGrpSpPr>
          </xdr:nvGrpSpPr>
          <xdr:grpSpPr bwMode="auto">
            <a:xfrm>
              <a:off x="2724150" y="1066800"/>
              <a:ext cx="1743075" cy="219075"/>
              <a:chOff x="14478000" y="2676525"/>
              <a:chExt cx="1438275" cy="19050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9525</xdr:rowOff>
        </xdr:from>
        <xdr:to>
          <xdr:col>6</xdr:col>
          <xdr:colOff>394608</xdr:colOff>
          <xdr:row>22</xdr:row>
          <xdr:rowOff>1361</xdr:rowOff>
        </xdr:to>
        <xdr:grpSp>
          <xdr:nvGrpSpPr>
            <xdr:cNvPr id="4" name="Группа 3">
              <a:extLst>
                <a:ext uri="{FF2B5EF4-FFF2-40B4-BE49-F238E27FC236}">
                  <a16:creationId xmlns:a16="http://schemas.microsoft.com/office/drawing/2014/main" id="{D3AFE94D-4152-CA6F-062B-A06EA4509B3F}"/>
                </a:ext>
              </a:extLst>
            </xdr:cNvPr>
            <xdr:cNvGrpSpPr/>
          </xdr:nvGrpSpPr>
          <xdr:grpSpPr>
            <a:xfrm>
              <a:off x="1657350" y="4152900"/>
              <a:ext cx="5138058" cy="772886"/>
              <a:chOff x="5495925" y="4152900"/>
              <a:chExt cx="4614179" cy="772880"/>
            </a:xfrm>
          </xdr:grpSpPr>
          <xdr:sp macro="" textlink="">
            <xdr:nvSpPr>
              <xdr:cNvPr id="5121" name="Check Box 1" descr="12"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8486775" y="4638675"/>
                <a:ext cx="693964" cy="277585"/>
              </a:xfrm>
              <a:prstGeom prst="rect">
                <a:avLst/>
              </a:prstGeom>
              <a:solidFill>
                <a:srgbClr val="800080" mc:Ignorable="a14" a14:legacySpreadsheetColorIndex="20">
                  <a:alpha val="45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Крит.урон</a:t>
                </a:r>
              </a:p>
            </xdr:txBody>
          </xdr:sp>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7762875" y="4648201"/>
                <a:ext cx="726622" cy="249011"/>
              </a:xfrm>
              <a:prstGeom prst="rect">
                <a:avLst/>
              </a:prstGeom>
              <a:solidFill>
                <a:srgbClr val="800080" mc:Ignorable="a14" a14:legacySpreadsheetColorIndex="20">
                  <a:alpha val="45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Крит.шанс</a:t>
                </a:r>
              </a:p>
            </xdr:txBody>
          </xdr:sp>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5495925" y="4638675"/>
                <a:ext cx="776968" cy="236765"/>
              </a:xfrm>
              <a:prstGeom prst="rect">
                <a:avLst/>
              </a:prstGeom>
              <a:solidFill>
                <a:srgbClr val="FF6600" mc:Ignorable="a14" a14:legacySpreadsheetColorIndex="53">
                  <a:alpha val="44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Атака%</a:t>
                </a:r>
              </a:p>
            </xdr:txBody>
          </xdr:sp>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6943725" y="4629150"/>
                <a:ext cx="431346" cy="236765"/>
              </a:xfrm>
              <a:prstGeom prst="rect">
                <a:avLst/>
              </a:prstGeom>
              <a:solidFill>
                <a:srgbClr val="99CC00" mc:Ignorable="a14" a14:legacySpreadsheetColorIndex="50">
                  <a:alpha val="38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Хп%</a:t>
                </a:r>
              </a:p>
            </xdr:txBody>
          </xdr:sp>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100-000005140000}"/>
                  </a:ext>
                </a:extLst>
              </xdr:cNvPr>
              <xdr:cNvSpPr/>
            </xdr:nvSpPr>
            <xdr:spPr bwMode="auto">
              <a:xfrm>
                <a:off x="6276975" y="4648201"/>
                <a:ext cx="669471" cy="227240"/>
              </a:xfrm>
              <a:prstGeom prst="rect">
                <a:avLst/>
              </a:prstGeom>
              <a:solidFill>
                <a:srgbClr val="FF0000" mc:Ignorable="a14" a14:legacySpreadsheetColorIndex="10">
                  <a:alpha val="33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Защита%</a:t>
                </a:r>
              </a:p>
            </xdr:txBody>
          </xdr:sp>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9172571" y="4638669"/>
                <a:ext cx="937533" cy="287111"/>
              </a:xfrm>
              <a:prstGeom prst="rect">
                <a:avLst/>
              </a:prstGeom>
              <a:solidFill>
                <a:srgbClr val="969696" mc:Ignorable="a14" a14:legacySpreadsheetColorIndex="55">
                  <a:alpha val="50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Бонус.Лечения</a:t>
                </a:r>
              </a:p>
            </xdr:txBody>
          </xdr:sp>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100-000007140000}"/>
                  </a:ext>
                </a:extLst>
              </xdr:cNvPr>
              <xdr:cNvSpPr/>
            </xdr:nvSpPr>
            <xdr:spPr bwMode="auto">
              <a:xfrm>
                <a:off x="7381875" y="4619625"/>
                <a:ext cx="393246" cy="258536"/>
              </a:xfrm>
              <a:prstGeom prst="rect">
                <a:avLst/>
              </a:prstGeom>
              <a:solidFill>
                <a:srgbClr val="33CCCC" mc:Ignorable="a14" a14:legacySpreadsheetColorIndex="49">
                  <a:alpha val="10001"/>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a:t>
                </a:r>
              </a:p>
            </xdr:txBody>
          </xdr:sp>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100-000008140000}"/>
                  </a:ext>
                </a:extLst>
              </xdr:cNvPr>
              <xdr:cNvSpPr/>
            </xdr:nvSpPr>
            <xdr:spPr bwMode="auto">
              <a:xfrm>
                <a:off x="7781925" y="4391025"/>
                <a:ext cx="593272" cy="246289"/>
              </a:xfrm>
              <a:prstGeom prst="rect">
                <a:avLst/>
              </a:prstGeom>
              <a:solidFill>
                <a:srgbClr val="800080" mc:Ignorable="a14" a14:legacySpreadsheetColorIndex="20">
                  <a:alpha val="13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Эл.урон</a:t>
                </a:r>
              </a:p>
            </xdr:txBody>
          </xdr:sp>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100-000009140000}"/>
                  </a:ext>
                </a:extLst>
              </xdr:cNvPr>
              <xdr:cNvSpPr/>
            </xdr:nvSpPr>
            <xdr:spPr bwMode="auto">
              <a:xfrm>
                <a:off x="8362950" y="4391025"/>
                <a:ext cx="655864" cy="246289"/>
              </a:xfrm>
              <a:prstGeom prst="rect">
                <a:avLst/>
              </a:prstGeom>
              <a:solidFill>
                <a:srgbClr val="800080" mc:Ignorable="a14" a14:legacySpreadsheetColorIndex="20">
                  <a:alpha val="13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Физ.урон</a:t>
                </a:r>
              </a:p>
            </xdr:txBody>
          </xdr:sp>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100-00000A140000}"/>
                  </a:ext>
                </a:extLst>
              </xdr:cNvPr>
              <xdr:cNvSpPr/>
            </xdr:nvSpPr>
            <xdr:spPr bwMode="auto">
              <a:xfrm>
                <a:off x="5495925" y="4400550"/>
                <a:ext cx="786493" cy="236764"/>
              </a:xfrm>
              <a:prstGeom prst="rect">
                <a:avLst/>
              </a:prstGeom>
              <a:solidFill>
                <a:srgbClr val="FF6600" mc:Ignorable="a14" a14:legacySpreadsheetColorIndex="53">
                  <a:alpha val="44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Атака%</a:t>
                </a:r>
              </a:p>
            </xdr:txBody>
          </xdr:sp>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100-00000B140000}"/>
                  </a:ext>
                </a:extLst>
              </xdr:cNvPr>
              <xdr:cNvSpPr/>
            </xdr:nvSpPr>
            <xdr:spPr bwMode="auto">
              <a:xfrm>
                <a:off x="5495925" y="4152900"/>
                <a:ext cx="796018" cy="238125"/>
              </a:xfrm>
              <a:prstGeom prst="rect">
                <a:avLst/>
              </a:prstGeom>
              <a:solidFill>
                <a:srgbClr val="FF6600" mc:Ignorable="a14" a14:legacySpreadsheetColorIndex="53">
                  <a:alpha val="44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Атака%</a:t>
                </a:r>
              </a:p>
            </xdr:txBody>
          </xdr:sp>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100-00000C140000}"/>
                  </a:ext>
                </a:extLst>
              </xdr:cNvPr>
              <xdr:cNvSpPr/>
            </xdr:nvSpPr>
            <xdr:spPr bwMode="auto">
              <a:xfrm>
                <a:off x="6962775" y="4381500"/>
                <a:ext cx="440871" cy="236764"/>
              </a:xfrm>
              <a:prstGeom prst="rect">
                <a:avLst/>
              </a:prstGeom>
              <a:solidFill>
                <a:srgbClr val="99CC00" mc:Ignorable="a14" a14:legacySpreadsheetColorIndex="50">
                  <a:alpha val="38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Хп%</a:t>
                </a:r>
              </a:p>
            </xdr:txBody>
          </xdr:sp>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100-00000D140000}"/>
                  </a:ext>
                </a:extLst>
              </xdr:cNvPr>
              <xdr:cNvSpPr/>
            </xdr:nvSpPr>
            <xdr:spPr bwMode="auto">
              <a:xfrm>
                <a:off x="6981825" y="4162425"/>
                <a:ext cx="431346" cy="228600"/>
              </a:xfrm>
              <a:prstGeom prst="rect">
                <a:avLst/>
              </a:prstGeom>
              <a:solidFill>
                <a:srgbClr val="99CC00" mc:Ignorable="a14" a14:legacySpreadsheetColorIndex="50">
                  <a:alpha val="38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Хп%</a:t>
                </a:r>
              </a:p>
            </xdr:txBody>
          </xdr:sp>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100-00000E140000}"/>
                  </a:ext>
                </a:extLst>
              </xdr:cNvPr>
              <xdr:cNvSpPr/>
            </xdr:nvSpPr>
            <xdr:spPr bwMode="auto">
              <a:xfrm>
                <a:off x="6296025" y="4391025"/>
                <a:ext cx="659946" cy="246289"/>
              </a:xfrm>
              <a:prstGeom prst="rect">
                <a:avLst/>
              </a:prstGeom>
              <a:solidFill>
                <a:srgbClr val="FF0000" mc:Ignorable="a14" a14:legacySpreadsheetColorIndex="10">
                  <a:alpha val="33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Защита%</a:t>
                </a:r>
              </a:p>
            </xdr:txBody>
          </xdr:sp>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100-00000F140000}"/>
                  </a:ext>
                </a:extLst>
              </xdr:cNvPr>
              <xdr:cNvSpPr/>
            </xdr:nvSpPr>
            <xdr:spPr bwMode="auto">
              <a:xfrm>
                <a:off x="6305550" y="4152900"/>
                <a:ext cx="669471" cy="247650"/>
              </a:xfrm>
              <a:prstGeom prst="rect">
                <a:avLst/>
              </a:prstGeom>
              <a:solidFill>
                <a:srgbClr val="FF0000" mc:Ignorable="a14" a14:legacySpreadsheetColorIndex="10">
                  <a:alpha val="33000"/>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Защита%</a:t>
                </a:r>
              </a:p>
            </xdr:txBody>
          </xdr:sp>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100-000010140000}"/>
                  </a:ext>
                </a:extLst>
              </xdr:cNvPr>
              <xdr:cNvSpPr/>
            </xdr:nvSpPr>
            <xdr:spPr bwMode="auto">
              <a:xfrm>
                <a:off x="7410450" y="4371975"/>
                <a:ext cx="374196" cy="246289"/>
              </a:xfrm>
              <a:prstGeom prst="rect">
                <a:avLst/>
              </a:prstGeom>
              <a:solidFill>
                <a:srgbClr val="33CCCC" mc:Ignorable="a14" a14:legacySpreadsheetColorIndex="49">
                  <a:alpha val="10001"/>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a:t>
                </a:r>
              </a:p>
            </xdr:txBody>
          </xdr:sp>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100-000011140000}"/>
                  </a:ext>
                </a:extLst>
              </xdr:cNvPr>
              <xdr:cNvSpPr/>
            </xdr:nvSpPr>
            <xdr:spPr bwMode="auto">
              <a:xfrm>
                <a:off x="7410450" y="4162425"/>
                <a:ext cx="393246" cy="238125"/>
              </a:xfrm>
              <a:prstGeom prst="rect">
                <a:avLst/>
              </a:prstGeom>
              <a:solidFill>
                <a:srgbClr val="33CCCC" mc:Ignorable="a14" a14:legacySpreadsheetColorIndex="49">
                  <a:alpha val="10001"/>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a:t>
                </a:r>
              </a:p>
            </xdr:txBody>
          </xdr:sp>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100-000012140000}"/>
                  </a:ext>
                </a:extLst>
              </xdr:cNvPr>
              <xdr:cNvSpPr/>
            </xdr:nvSpPr>
            <xdr:spPr bwMode="auto">
              <a:xfrm>
                <a:off x="7800975" y="4171950"/>
                <a:ext cx="428625" cy="238125"/>
              </a:xfrm>
              <a:prstGeom prst="rect">
                <a:avLst/>
              </a:prstGeom>
              <a:solidFill>
                <a:srgbClr val="003366" mc:Ignorable="a14" a14:legacySpreadsheetColorIndex="56">
                  <a:alpha val="39999"/>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Вэ%</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13</xdr:row>
          <xdr:rowOff>104775</xdr:rowOff>
        </xdr:from>
        <xdr:to>
          <xdr:col>20</xdr:col>
          <xdr:colOff>638175</xdr:colOff>
          <xdr:row>14</xdr:row>
          <xdr:rowOff>104775</xdr:rowOff>
        </xdr:to>
        <xdr:sp macro="" textlink="">
          <xdr:nvSpPr>
            <xdr:cNvPr id="5223" name="Check Box 103" hidden="1">
              <a:extLst>
                <a:ext uri="{63B3BB69-23CF-44E3-9099-C40C66FF867C}">
                  <a14:compatExt spid="_x0000_s5223"/>
                </a:ext>
                <a:ext uri="{FF2B5EF4-FFF2-40B4-BE49-F238E27FC236}">
                  <a16:creationId xmlns:a16="http://schemas.microsoft.com/office/drawing/2014/main" id="{00000000-0008-0000-0100-00006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15</xdr:row>
          <xdr:rowOff>104775</xdr:rowOff>
        </xdr:from>
        <xdr:to>
          <xdr:col>20</xdr:col>
          <xdr:colOff>638175</xdr:colOff>
          <xdr:row>16</xdr:row>
          <xdr:rowOff>95250</xdr:rowOff>
        </xdr:to>
        <xdr:sp macro="" textlink="">
          <xdr:nvSpPr>
            <xdr:cNvPr id="5228" name="Check Box 108" hidden="1">
              <a:extLst>
                <a:ext uri="{63B3BB69-23CF-44E3-9099-C40C66FF867C}">
                  <a14:compatExt spid="_x0000_s5228"/>
                </a:ext>
                <a:ext uri="{FF2B5EF4-FFF2-40B4-BE49-F238E27FC236}">
                  <a16:creationId xmlns:a16="http://schemas.microsoft.com/office/drawing/2014/main" id="{00000000-0008-0000-0100-00006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23</xdr:row>
          <xdr:rowOff>95250</xdr:rowOff>
        </xdr:from>
        <xdr:to>
          <xdr:col>20</xdr:col>
          <xdr:colOff>657225</xdr:colOff>
          <xdr:row>24</xdr:row>
          <xdr:rowOff>104775</xdr:rowOff>
        </xdr:to>
        <xdr:sp macro="" textlink="">
          <xdr:nvSpPr>
            <xdr:cNvPr id="5233" name="Check Box 113" hidden="1">
              <a:extLst>
                <a:ext uri="{63B3BB69-23CF-44E3-9099-C40C66FF867C}">
                  <a14:compatExt spid="_x0000_s5233"/>
                </a:ext>
                <a:ext uri="{FF2B5EF4-FFF2-40B4-BE49-F238E27FC236}">
                  <a16:creationId xmlns:a16="http://schemas.microsoft.com/office/drawing/2014/main" id="{00000000-0008-0000-0100-00007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5</xdr:row>
          <xdr:rowOff>95250</xdr:rowOff>
        </xdr:from>
        <xdr:to>
          <xdr:col>14</xdr:col>
          <xdr:colOff>647700</xdr:colOff>
          <xdr:row>6</xdr:row>
          <xdr:rowOff>95250</xdr:rowOff>
        </xdr:to>
        <xdr:sp macro="" textlink="">
          <xdr:nvSpPr>
            <xdr:cNvPr id="5236" name="Check Box 116" hidden="1">
              <a:extLst>
                <a:ext uri="{63B3BB69-23CF-44E3-9099-C40C66FF867C}">
                  <a14:compatExt spid="_x0000_s5236"/>
                </a:ext>
                <a:ext uri="{FF2B5EF4-FFF2-40B4-BE49-F238E27FC236}">
                  <a16:creationId xmlns:a16="http://schemas.microsoft.com/office/drawing/2014/main" id="{00000000-0008-0000-0100-00007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1319325</xdr:colOff>
      <xdr:row>5</xdr:row>
      <xdr:rowOff>6568</xdr:rowOff>
    </xdr:from>
    <xdr:to>
      <xdr:col>9</xdr:col>
      <xdr:colOff>1737590</xdr:colOff>
      <xdr:row>6</xdr:row>
      <xdr:rowOff>211740</xdr:rowOff>
    </xdr:to>
    <xdr:pic>
      <xdr:nvPicPr>
        <xdr:cNvPr id="12" name="Рисунок 11" descr="Заблудший в метели genshin impact">
          <a:extLst>
            <a:ext uri="{FF2B5EF4-FFF2-40B4-BE49-F238E27FC236}">
              <a16:creationId xmlns:a16="http://schemas.microsoft.com/office/drawing/2014/main" id="{00BDDAB7-6068-7B9D-7220-E89A83A4AFF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336997" y="1051034"/>
          <a:ext cx="418265" cy="421947"/>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95250</xdr:colOff>
          <xdr:row>7</xdr:row>
          <xdr:rowOff>114300</xdr:rowOff>
        </xdr:from>
        <xdr:to>
          <xdr:col>14</xdr:col>
          <xdr:colOff>666750</xdr:colOff>
          <xdr:row>8</xdr:row>
          <xdr:rowOff>114300</xdr:rowOff>
        </xdr:to>
        <xdr:sp macro="" textlink="">
          <xdr:nvSpPr>
            <xdr:cNvPr id="5246" name="Check Box 126" hidden="1">
              <a:extLst>
                <a:ext uri="{63B3BB69-23CF-44E3-9099-C40C66FF867C}">
                  <a14:compatExt spid="_x0000_s5246"/>
                </a:ext>
                <a:ext uri="{FF2B5EF4-FFF2-40B4-BE49-F238E27FC236}">
                  <a16:creationId xmlns:a16="http://schemas.microsoft.com/office/drawing/2014/main" id="{00000000-0008-0000-0100-00007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1320362</xdr:colOff>
      <xdr:row>7</xdr:row>
      <xdr:rowOff>8660</xdr:rowOff>
    </xdr:from>
    <xdr:to>
      <xdr:col>9</xdr:col>
      <xdr:colOff>1740475</xdr:colOff>
      <xdr:row>8</xdr:row>
      <xdr:rowOff>207999</xdr:rowOff>
    </xdr:to>
    <xdr:pic>
      <xdr:nvPicPr>
        <xdr:cNvPr id="5" name="Рисунок 4" descr="Ностальгия гладиатора">
          <a:extLst>
            <a:ext uri="{FF2B5EF4-FFF2-40B4-BE49-F238E27FC236}">
              <a16:creationId xmlns:a16="http://schemas.microsoft.com/office/drawing/2014/main" id="{18CD1439-8C8F-D11C-47DF-EB427D46C78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338034" y="1486677"/>
          <a:ext cx="420113" cy="41611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95250</xdr:colOff>
          <xdr:row>9</xdr:row>
          <xdr:rowOff>104775</xdr:rowOff>
        </xdr:from>
        <xdr:to>
          <xdr:col>14</xdr:col>
          <xdr:colOff>666750</xdr:colOff>
          <xdr:row>10</xdr:row>
          <xdr:rowOff>104775</xdr:rowOff>
        </xdr:to>
        <xdr:sp macro="" textlink="">
          <xdr:nvSpPr>
            <xdr:cNvPr id="5248" name="Check Box 128" hidden="1">
              <a:extLst>
                <a:ext uri="{63B3BB69-23CF-44E3-9099-C40C66FF867C}">
                  <a14:compatExt spid="_x0000_s5248"/>
                </a:ext>
                <a:ext uri="{FF2B5EF4-FFF2-40B4-BE49-F238E27FC236}">
                  <a16:creationId xmlns:a16="http://schemas.microsoft.com/office/drawing/2014/main" id="{00000000-0008-0000-0100-00008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1318118</xdr:colOff>
      <xdr:row>9</xdr:row>
      <xdr:rowOff>8661</xdr:rowOff>
    </xdr:from>
    <xdr:to>
      <xdr:col>9</xdr:col>
      <xdr:colOff>1740476</xdr:colOff>
      <xdr:row>10</xdr:row>
      <xdr:rowOff>210206</xdr:rowOff>
    </xdr:to>
    <xdr:pic>
      <xdr:nvPicPr>
        <xdr:cNvPr id="7" name="Рисунок 6" descr="Рассвет ансамбля">
          <a:extLst>
            <a:ext uri="{FF2B5EF4-FFF2-40B4-BE49-F238E27FC236}">
              <a16:creationId xmlns:a16="http://schemas.microsoft.com/office/drawing/2014/main" id="{B641E3CB-F312-F176-100B-775D28B854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35790" y="1920230"/>
          <a:ext cx="422358" cy="418322"/>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95250</xdr:colOff>
          <xdr:row>11</xdr:row>
          <xdr:rowOff>114300</xdr:rowOff>
        </xdr:from>
        <xdr:to>
          <xdr:col>14</xdr:col>
          <xdr:colOff>666750</xdr:colOff>
          <xdr:row>12</xdr:row>
          <xdr:rowOff>114300</xdr:rowOff>
        </xdr:to>
        <xdr:sp macro="" textlink="">
          <xdr:nvSpPr>
            <xdr:cNvPr id="5250" name="Check Box 130" hidden="1">
              <a:extLst>
                <a:ext uri="{63B3BB69-23CF-44E3-9099-C40C66FF867C}">
                  <a14:compatExt spid="_x0000_s5250"/>
                </a:ext>
                <a:ext uri="{FF2B5EF4-FFF2-40B4-BE49-F238E27FC236}">
                  <a16:creationId xmlns:a16="http://schemas.microsoft.com/office/drawing/2014/main" id="{00000000-0008-0000-0100-00008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1301750</xdr:colOff>
      <xdr:row>11</xdr:row>
      <xdr:rowOff>8281</xdr:rowOff>
    </xdr:from>
    <xdr:to>
      <xdr:col>9</xdr:col>
      <xdr:colOff>1743490</xdr:colOff>
      <xdr:row>13</xdr:row>
      <xdr:rowOff>0</xdr:rowOff>
    </xdr:to>
    <xdr:pic>
      <xdr:nvPicPr>
        <xdr:cNvPr id="8" name="Рисунок 7" descr="Железное сердце рыцаря крови">
          <a:extLst>
            <a:ext uri="{FF2B5EF4-FFF2-40B4-BE49-F238E27FC236}">
              <a16:creationId xmlns:a16="http://schemas.microsoft.com/office/drawing/2014/main" id="{112BE89A-1977-1F7E-6D58-2B176ADC134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313583" y="2400114"/>
          <a:ext cx="441740" cy="436219"/>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104775</xdr:colOff>
          <xdr:row>13</xdr:row>
          <xdr:rowOff>95250</xdr:rowOff>
        </xdr:from>
        <xdr:to>
          <xdr:col>14</xdr:col>
          <xdr:colOff>676275</xdr:colOff>
          <xdr:row>14</xdr:row>
          <xdr:rowOff>95250</xdr:rowOff>
        </xdr:to>
        <xdr:sp macro="" textlink="">
          <xdr:nvSpPr>
            <xdr:cNvPr id="5254" name="Check Box 134" hidden="1">
              <a:extLst>
                <a:ext uri="{63B3BB69-23CF-44E3-9099-C40C66FF867C}">
                  <a14:compatExt spid="_x0000_s5254"/>
                </a:ext>
                <a:ext uri="{FF2B5EF4-FFF2-40B4-BE49-F238E27FC236}">
                  <a16:creationId xmlns:a16="http://schemas.microsoft.com/office/drawing/2014/main" id="{00000000-0008-0000-0100-00008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1316934</xdr:colOff>
      <xdr:row>13</xdr:row>
      <xdr:rowOff>8283</xdr:rowOff>
    </xdr:from>
    <xdr:to>
      <xdr:col>10</xdr:col>
      <xdr:colOff>231</xdr:colOff>
      <xdr:row>15</xdr:row>
      <xdr:rowOff>0</xdr:rowOff>
    </xdr:to>
    <xdr:pic>
      <xdr:nvPicPr>
        <xdr:cNvPr id="10" name="Рисунок 9" descr="Цветок равноденствия">
          <a:extLst>
            <a:ext uri="{FF2B5EF4-FFF2-40B4-BE49-F238E27FC236}">
              <a16:creationId xmlns:a16="http://schemas.microsoft.com/office/drawing/2014/main" id="{BF17943E-9709-8885-6D3C-8AEC6CC391F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1338891" y="2774674"/>
          <a:ext cx="434838" cy="422413"/>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1318816</xdr:colOff>
      <xdr:row>15</xdr:row>
      <xdr:rowOff>8282</xdr:rowOff>
    </xdr:from>
    <xdr:to>
      <xdr:col>10</xdr:col>
      <xdr:colOff>230</xdr:colOff>
      <xdr:row>16</xdr:row>
      <xdr:rowOff>215348</xdr:rowOff>
    </xdr:to>
    <xdr:pic>
      <xdr:nvPicPr>
        <xdr:cNvPr id="13" name="Рисунок 12" descr="Сердце усмиряющего гром">
          <a:extLst>
            <a:ext uri="{FF2B5EF4-FFF2-40B4-BE49-F238E27FC236}">
              <a16:creationId xmlns:a16="http://schemas.microsoft.com/office/drawing/2014/main" id="{8913C008-1B96-4716-1A24-7EF068941DF4}"/>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340773" y="3205369"/>
          <a:ext cx="432955" cy="438979"/>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114300</xdr:colOff>
          <xdr:row>15</xdr:row>
          <xdr:rowOff>123825</xdr:rowOff>
        </xdr:from>
        <xdr:to>
          <xdr:col>14</xdr:col>
          <xdr:colOff>685800</xdr:colOff>
          <xdr:row>16</xdr:row>
          <xdr:rowOff>104775</xdr:rowOff>
        </xdr:to>
        <xdr:sp macro="" textlink="">
          <xdr:nvSpPr>
            <xdr:cNvPr id="5257" name="Check Box 137" hidden="1">
              <a:extLst>
                <a:ext uri="{63B3BB69-23CF-44E3-9099-C40C66FF867C}">
                  <a14:compatExt spid="_x0000_s5257"/>
                </a:ext>
                <a:ext uri="{FF2B5EF4-FFF2-40B4-BE49-F238E27FC236}">
                  <a16:creationId xmlns:a16="http://schemas.microsoft.com/office/drawing/2014/main" id="{00000000-0008-0000-0100-00008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17</xdr:row>
          <xdr:rowOff>123825</xdr:rowOff>
        </xdr:from>
        <xdr:to>
          <xdr:col>14</xdr:col>
          <xdr:colOff>685800</xdr:colOff>
          <xdr:row>18</xdr:row>
          <xdr:rowOff>114300</xdr:rowOff>
        </xdr:to>
        <xdr:sp macro="" textlink="">
          <xdr:nvSpPr>
            <xdr:cNvPr id="5260" name="Check Box 140" hidden="1">
              <a:extLst>
                <a:ext uri="{63B3BB69-23CF-44E3-9099-C40C66FF867C}">
                  <a14:compatExt spid="_x0000_s5260"/>
                </a:ext>
                <a:ext uri="{FF2B5EF4-FFF2-40B4-BE49-F238E27FC236}">
                  <a16:creationId xmlns:a16="http://schemas.microsoft.com/office/drawing/2014/main" id="{00000000-0008-0000-0100-00008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1316934</xdr:colOff>
      <xdr:row>17</xdr:row>
      <xdr:rowOff>0</xdr:rowOff>
    </xdr:from>
    <xdr:to>
      <xdr:col>10</xdr:col>
      <xdr:colOff>231</xdr:colOff>
      <xdr:row>18</xdr:row>
      <xdr:rowOff>212684</xdr:rowOff>
    </xdr:to>
    <xdr:pic>
      <xdr:nvPicPr>
        <xdr:cNvPr id="15" name="Рисунок 14" descr="Решительность ступающего по лаве">
          <a:extLst>
            <a:ext uri="{FF2B5EF4-FFF2-40B4-BE49-F238E27FC236}">
              <a16:creationId xmlns:a16="http://schemas.microsoft.com/office/drawing/2014/main" id="{281556BF-2EE9-142C-40A2-3DF8F1AA336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338891" y="3660913"/>
          <a:ext cx="434838" cy="428032"/>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20</xdr:col>
          <xdr:colOff>85725</xdr:colOff>
          <xdr:row>11</xdr:row>
          <xdr:rowOff>114300</xdr:rowOff>
        </xdr:from>
        <xdr:to>
          <xdr:col>20</xdr:col>
          <xdr:colOff>657225</xdr:colOff>
          <xdr:row>12</xdr:row>
          <xdr:rowOff>114300</xdr:rowOff>
        </xdr:to>
        <xdr:sp macro="" textlink="">
          <xdr:nvSpPr>
            <xdr:cNvPr id="5269" name="Check Box 149" hidden="1">
              <a:extLst>
                <a:ext uri="{63B3BB69-23CF-44E3-9099-C40C66FF867C}">
                  <a14:compatExt spid="_x0000_s5269"/>
                </a:ext>
                <a:ext uri="{FF2B5EF4-FFF2-40B4-BE49-F238E27FC236}">
                  <a16:creationId xmlns:a16="http://schemas.microsoft.com/office/drawing/2014/main" id="{00000000-0008-0000-0100-00009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25</xdr:row>
          <xdr:rowOff>95250</xdr:rowOff>
        </xdr:from>
        <xdr:to>
          <xdr:col>20</xdr:col>
          <xdr:colOff>657225</xdr:colOff>
          <xdr:row>26</xdr:row>
          <xdr:rowOff>104775</xdr:rowOff>
        </xdr:to>
        <xdr:sp macro="" textlink="">
          <xdr:nvSpPr>
            <xdr:cNvPr id="5270" name="Check Box 150" hidden="1">
              <a:extLst>
                <a:ext uri="{63B3BB69-23CF-44E3-9099-C40C66FF867C}">
                  <a14:compatExt spid="_x0000_s5270"/>
                </a:ext>
                <a:ext uri="{FF2B5EF4-FFF2-40B4-BE49-F238E27FC236}">
                  <a16:creationId xmlns:a16="http://schemas.microsoft.com/office/drawing/2014/main" id="{00000000-0008-0000-0100-00009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xdr:from>
      <xdr:col>15</xdr:col>
      <xdr:colOff>343965</xdr:colOff>
      <xdr:row>15</xdr:row>
      <xdr:rowOff>17638</xdr:rowOff>
    </xdr:from>
    <xdr:to>
      <xdr:col>15</xdr:col>
      <xdr:colOff>763272</xdr:colOff>
      <xdr:row>17</xdr:row>
      <xdr:rowOff>10583</xdr:rowOff>
    </xdr:to>
    <xdr:pic>
      <xdr:nvPicPr>
        <xdr:cNvPr id="9" name="Рисунок 8" descr="Инструктор genshin impact">
          <a:extLst>
            <a:ext uri="{FF2B5EF4-FFF2-40B4-BE49-F238E27FC236}">
              <a16:creationId xmlns:a16="http://schemas.microsoft.com/office/drawing/2014/main" id="{624DC4C8-2737-4C14-890C-A5A89F08C67B}"/>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6779882" y="3298471"/>
          <a:ext cx="419307" cy="458612"/>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338666</xdr:colOff>
      <xdr:row>23</xdr:row>
      <xdr:rowOff>1971</xdr:rowOff>
    </xdr:from>
    <xdr:to>
      <xdr:col>15</xdr:col>
      <xdr:colOff>758662</xdr:colOff>
      <xdr:row>24</xdr:row>
      <xdr:rowOff>201083</xdr:rowOff>
    </xdr:to>
    <xdr:pic>
      <xdr:nvPicPr>
        <xdr:cNvPr id="11" name="Рисунок 10" descr="Стойкость Миллелита genshin impact">
          <a:extLst>
            <a:ext uri="{FF2B5EF4-FFF2-40B4-BE49-F238E27FC236}">
              <a16:creationId xmlns:a16="http://schemas.microsoft.com/office/drawing/2014/main" id="{D97A31AD-6A0F-6C91-92CD-F892F3963F66}"/>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6774583" y="5208971"/>
          <a:ext cx="419996" cy="421362"/>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336241</xdr:colOff>
      <xdr:row>25</xdr:row>
      <xdr:rowOff>593</xdr:rowOff>
    </xdr:from>
    <xdr:to>
      <xdr:col>15</xdr:col>
      <xdr:colOff>761648</xdr:colOff>
      <xdr:row>26</xdr:row>
      <xdr:rowOff>211667</xdr:rowOff>
    </xdr:to>
    <xdr:pic>
      <xdr:nvPicPr>
        <xdr:cNvPr id="18" name="Рисунок 17" descr="Королевский цветок">
          <a:extLst>
            <a:ext uri="{FF2B5EF4-FFF2-40B4-BE49-F238E27FC236}">
              <a16:creationId xmlns:a16="http://schemas.microsoft.com/office/drawing/2014/main" id="{26BCD8A0-2E4B-C15C-9AF1-0F9ED2CEFB34}"/>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6772158" y="5652093"/>
          <a:ext cx="425407" cy="433324"/>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343965</xdr:colOff>
      <xdr:row>11</xdr:row>
      <xdr:rowOff>10584</xdr:rowOff>
    </xdr:from>
    <xdr:to>
      <xdr:col>15</xdr:col>
      <xdr:colOff>766910</xdr:colOff>
      <xdr:row>12</xdr:row>
      <xdr:rowOff>211667</xdr:rowOff>
    </xdr:to>
    <xdr:pic>
      <xdr:nvPicPr>
        <xdr:cNvPr id="20" name="Рисунок 19" descr="Воспоминания об изумрудных лугах">
          <a:extLst>
            <a:ext uri="{FF2B5EF4-FFF2-40B4-BE49-F238E27FC236}">
              <a16:creationId xmlns:a16="http://schemas.microsoft.com/office/drawing/2014/main" id="{1A46CCB8-8487-C411-18ED-CDCBAB740B6C}"/>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6779882" y="2402417"/>
          <a:ext cx="422945" cy="423333"/>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344185</xdr:colOff>
      <xdr:row>12</xdr:row>
      <xdr:rowOff>219922</xdr:rowOff>
    </xdr:from>
    <xdr:to>
      <xdr:col>16</xdr:col>
      <xdr:colOff>800</xdr:colOff>
      <xdr:row>15</xdr:row>
      <xdr:rowOff>0</xdr:rowOff>
    </xdr:to>
    <xdr:pic>
      <xdr:nvPicPr>
        <xdr:cNvPr id="14" name="Рисунок 13" descr="Изгнанник genshin impact">
          <a:extLst>
            <a:ext uri="{FF2B5EF4-FFF2-40B4-BE49-F238E27FC236}">
              <a16:creationId xmlns:a16="http://schemas.microsoft.com/office/drawing/2014/main" id="{6FCD0910-DDEE-4AD0-9ED0-A48D9CEEDE90}"/>
            </a:ext>
          </a:extLst>
        </xdr:cNvPr>
        <xdr:cNvPicPr preferRelativeResize="0">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6780102" y="2834005"/>
          <a:ext cx="429198" cy="446828"/>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332249</xdr:colOff>
      <xdr:row>9</xdr:row>
      <xdr:rowOff>25345</xdr:rowOff>
    </xdr:from>
    <xdr:to>
      <xdr:col>15</xdr:col>
      <xdr:colOff>758987</xdr:colOff>
      <xdr:row>10</xdr:row>
      <xdr:rowOff>218324</xdr:rowOff>
    </xdr:to>
    <xdr:pic>
      <xdr:nvPicPr>
        <xdr:cNvPr id="16" name="Рисунок 15" descr="Далёкая душа юной девы">
          <a:extLst>
            <a:ext uri="{FF2B5EF4-FFF2-40B4-BE49-F238E27FC236}">
              <a16:creationId xmlns:a16="http://schemas.microsoft.com/office/drawing/2014/main" id="{5133FFBB-340E-24EB-62E1-1AEBFBF46672}"/>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6768166" y="1972678"/>
          <a:ext cx="426738" cy="415229"/>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343965</xdr:colOff>
      <xdr:row>5</xdr:row>
      <xdr:rowOff>7937</xdr:rowOff>
    </xdr:from>
    <xdr:to>
      <xdr:col>15</xdr:col>
      <xdr:colOff>772232</xdr:colOff>
      <xdr:row>6</xdr:row>
      <xdr:rowOff>204757</xdr:rowOff>
    </xdr:to>
    <xdr:pic>
      <xdr:nvPicPr>
        <xdr:cNvPr id="17" name="Рисунок 16" descr="Цветок скальных трещин">
          <a:extLst>
            <a:ext uri="{FF2B5EF4-FFF2-40B4-BE49-F238E27FC236}">
              <a16:creationId xmlns:a16="http://schemas.microsoft.com/office/drawing/2014/main" id="{D213F7D6-5DEC-309D-92EC-900F562F7D53}"/>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6779882" y="1066270"/>
          <a:ext cx="428267" cy="41907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343966</xdr:colOff>
      <xdr:row>17</xdr:row>
      <xdr:rowOff>18791</xdr:rowOff>
    </xdr:from>
    <xdr:to>
      <xdr:col>15</xdr:col>
      <xdr:colOff>769571</xdr:colOff>
      <xdr:row>18</xdr:row>
      <xdr:rowOff>208334</xdr:rowOff>
    </xdr:to>
    <xdr:pic>
      <xdr:nvPicPr>
        <xdr:cNvPr id="19" name="Рисунок 18" descr="Цветок морских красок">
          <a:extLst>
            <a:ext uri="{FF2B5EF4-FFF2-40B4-BE49-F238E27FC236}">
              <a16:creationId xmlns:a16="http://schemas.microsoft.com/office/drawing/2014/main" id="{7B57E56C-0768-5900-91FB-87EDC6BC904C}"/>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779883" y="3765291"/>
          <a:ext cx="425605" cy="411793"/>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343199</xdr:colOff>
      <xdr:row>6</xdr:row>
      <xdr:rowOff>217674</xdr:rowOff>
    </xdr:from>
    <xdr:to>
      <xdr:col>15</xdr:col>
      <xdr:colOff>766914</xdr:colOff>
      <xdr:row>9</xdr:row>
      <xdr:rowOff>10584</xdr:rowOff>
    </xdr:to>
    <xdr:pic>
      <xdr:nvPicPr>
        <xdr:cNvPr id="21" name="Рисунок 20" descr="Странник лабиринта">
          <a:extLst>
            <a:ext uri="{FF2B5EF4-FFF2-40B4-BE49-F238E27FC236}">
              <a16:creationId xmlns:a16="http://schemas.microsoft.com/office/drawing/2014/main" id="{B3ACCB56-FAE1-209E-D660-45B19A96D2F5}"/>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6779116" y="1498257"/>
          <a:ext cx="423715" cy="45966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343966</xdr:colOff>
      <xdr:row>19</xdr:row>
      <xdr:rowOff>9</xdr:rowOff>
    </xdr:from>
    <xdr:to>
      <xdr:col>15</xdr:col>
      <xdr:colOff>769572</xdr:colOff>
      <xdr:row>20</xdr:row>
      <xdr:rowOff>262975</xdr:rowOff>
    </xdr:to>
    <xdr:pic>
      <xdr:nvPicPr>
        <xdr:cNvPr id="22" name="Рисунок 21" descr="Забытая клятва былых времён">
          <a:extLst>
            <a:ext uri="{FF2B5EF4-FFF2-40B4-BE49-F238E27FC236}">
              <a16:creationId xmlns:a16="http://schemas.microsoft.com/office/drawing/2014/main" id="{A05C97F7-B3B5-1B1E-88F6-817428DA195B}"/>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6779883" y="4191009"/>
          <a:ext cx="425606" cy="485216"/>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343965</xdr:colOff>
      <xdr:row>21</xdr:row>
      <xdr:rowOff>8781</xdr:rowOff>
    </xdr:from>
    <xdr:to>
      <xdr:col>15</xdr:col>
      <xdr:colOff>764251</xdr:colOff>
      <xdr:row>22</xdr:row>
      <xdr:rowOff>214743</xdr:rowOff>
    </xdr:to>
    <xdr:pic>
      <xdr:nvPicPr>
        <xdr:cNvPr id="23" name="Рисунок 22" descr="Талисман укротителя зверей">
          <a:extLst>
            <a:ext uri="{FF2B5EF4-FFF2-40B4-BE49-F238E27FC236}">
              <a16:creationId xmlns:a16="http://schemas.microsoft.com/office/drawing/2014/main" id="{29C00694-303F-5ACF-13B7-4297023E56BF}"/>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6779882" y="4697198"/>
          <a:ext cx="420286" cy="491712"/>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20</xdr:col>
          <xdr:colOff>66675</xdr:colOff>
          <xdr:row>5</xdr:row>
          <xdr:rowOff>104775</xdr:rowOff>
        </xdr:from>
        <xdr:to>
          <xdr:col>20</xdr:col>
          <xdr:colOff>638175</xdr:colOff>
          <xdr:row>6</xdr:row>
          <xdr:rowOff>104775</xdr:rowOff>
        </xdr:to>
        <xdr:sp macro="" textlink="">
          <xdr:nvSpPr>
            <xdr:cNvPr id="5283" name="Check Box 163" hidden="1">
              <a:extLst>
                <a:ext uri="{63B3BB69-23CF-44E3-9099-C40C66FF867C}">
                  <a14:compatExt spid="_x0000_s5283"/>
                </a:ext>
                <a:ext uri="{FF2B5EF4-FFF2-40B4-BE49-F238E27FC236}">
                  <a16:creationId xmlns:a16="http://schemas.microsoft.com/office/drawing/2014/main" id="{00000000-0008-0000-0100-0000A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7</xdr:row>
          <xdr:rowOff>104775</xdr:rowOff>
        </xdr:from>
        <xdr:to>
          <xdr:col>20</xdr:col>
          <xdr:colOff>647700</xdr:colOff>
          <xdr:row>8</xdr:row>
          <xdr:rowOff>104775</xdr:rowOff>
        </xdr:to>
        <xdr:sp macro="" textlink="">
          <xdr:nvSpPr>
            <xdr:cNvPr id="5284" name="Check Box 164" hidden="1">
              <a:extLst>
                <a:ext uri="{63B3BB69-23CF-44E3-9099-C40C66FF867C}">
                  <a14:compatExt spid="_x0000_s5284"/>
                </a:ext>
                <a:ext uri="{FF2B5EF4-FFF2-40B4-BE49-F238E27FC236}">
                  <a16:creationId xmlns:a16="http://schemas.microsoft.com/office/drawing/2014/main" id="{00000000-0008-0000-0100-0000A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9</xdr:row>
          <xdr:rowOff>104775</xdr:rowOff>
        </xdr:from>
        <xdr:to>
          <xdr:col>20</xdr:col>
          <xdr:colOff>638175</xdr:colOff>
          <xdr:row>10</xdr:row>
          <xdr:rowOff>104775</xdr:rowOff>
        </xdr:to>
        <xdr:sp macro="" textlink="">
          <xdr:nvSpPr>
            <xdr:cNvPr id="5285" name="Check Box 165" hidden="1">
              <a:extLst>
                <a:ext uri="{63B3BB69-23CF-44E3-9099-C40C66FF867C}">
                  <a14:compatExt spid="_x0000_s5285"/>
                </a:ext>
                <a:ext uri="{FF2B5EF4-FFF2-40B4-BE49-F238E27FC236}">
                  <a16:creationId xmlns:a16="http://schemas.microsoft.com/office/drawing/2014/main" id="{00000000-0008-0000-0100-0000A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17</xdr:row>
          <xdr:rowOff>95250</xdr:rowOff>
        </xdr:from>
        <xdr:to>
          <xdr:col>20</xdr:col>
          <xdr:colOff>647700</xdr:colOff>
          <xdr:row>18</xdr:row>
          <xdr:rowOff>95250</xdr:rowOff>
        </xdr:to>
        <xdr:sp macro="" textlink="">
          <xdr:nvSpPr>
            <xdr:cNvPr id="5286" name="Check Box 166" hidden="1">
              <a:extLst>
                <a:ext uri="{63B3BB69-23CF-44E3-9099-C40C66FF867C}">
                  <a14:compatExt spid="_x0000_s5286"/>
                </a:ext>
                <a:ext uri="{FF2B5EF4-FFF2-40B4-BE49-F238E27FC236}">
                  <a16:creationId xmlns:a16="http://schemas.microsoft.com/office/drawing/2014/main" id="{00000000-0008-0000-0100-0000A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19</xdr:row>
          <xdr:rowOff>123825</xdr:rowOff>
        </xdr:from>
        <xdr:to>
          <xdr:col>20</xdr:col>
          <xdr:colOff>657225</xdr:colOff>
          <xdr:row>20</xdr:row>
          <xdr:rowOff>123825</xdr:rowOff>
        </xdr:to>
        <xdr:sp macro="" textlink="">
          <xdr:nvSpPr>
            <xdr:cNvPr id="5287" name="Check Box 167" hidden="1">
              <a:extLst>
                <a:ext uri="{63B3BB69-23CF-44E3-9099-C40C66FF867C}">
                  <a14:compatExt spid="_x0000_s5287"/>
                </a:ext>
                <a:ext uri="{FF2B5EF4-FFF2-40B4-BE49-F238E27FC236}">
                  <a16:creationId xmlns:a16="http://schemas.microsoft.com/office/drawing/2014/main" id="{00000000-0008-0000-0100-0000A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21</xdr:row>
          <xdr:rowOff>123825</xdr:rowOff>
        </xdr:from>
        <xdr:to>
          <xdr:col>20</xdr:col>
          <xdr:colOff>657225</xdr:colOff>
          <xdr:row>22</xdr:row>
          <xdr:rowOff>57150</xdr:rowOff>
        </xdr:to>
        <xdr:sp macro="" textlink="">
          <xdr:nvSpPr>
            <xdr:cNvPr id="5288" name="Check Box 168" hidden="1">
              <a:extLst>
                <a:ext uri="{63B3BB69-23CF-44E3-9099-C40C66FF867C}">
                  <a14:compatExt spid="_x0000_s5288"/>
                </a:ext>
                <a:ext uri="{FF2B5EF4-FFF2-40B4-BE49-F238E27FC236}">
                  <a16:creationId xmlns:a16="http://schemas.microsoft.com/office/drawing/2014/main" id="{00000000-0008-0000-0100-0000A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1301750</xdr:colOff>
      <xdr:row>18</xdr:row>
      <xdr:rowOff>222249</xdr:rowOff>
    </xdr:from>
    <xdr:to>
      <xdr:col>9</xdr:col>
      <xdr:colOff>1742016</xdr:colOff>
      <xdr:row>21</xdr:row>
      <xdr:rowOff>3023</xdr:rowOff>
    </xdr:to>
    <xdr:pic>
      <xdr:nvPicPr>
        <xdr:cNvPr id="6" name="Рисунок 5">
          <a:extLst>
            <a:ext uri="{FF2B5EF4-FFF2-40B4-BE49-F238E27FC236}">
              <a16:creationId xmlns:a16="http://schemas.microsoft.com/office/drawing/2014/main" id="{E5FDC04C-0016-3A0B-F753-FDD76BB37044}"/>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1313583" y="4339166"/>
          <a:ext cx="440266" cy="497417"/>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104775</xdr:colOff>
          <xdr:row>19</xdr:row>
          <xdr:rowOff>142875</xdr:rowOff>
        </xdr:from>
        <xdr:to>
          <xdr:col>14</xdr:col>
          <xdr:colOff>676275</xdr:colOff>
          <xdr:row>20</xdr:row>
          <xdr:rowOff>133350</xdr:rowOff>
        </xdr:to>
        <xdr:sp macro="" textlink="">
          <xdr:nvSpPr>
            <xdr:cNvPr id="5342" name="Check Box 222" hidden="1">
              <a:extLst>
                <a:ext uri="{63B3BB69-23CF-44E3-9099-C40C66FF867C}">
                  <a14:compatExt spid="_x0000_s5342"/>
                </a:ext>
                <a:ext uri="{FF2B5EF4-FFF2-40B4-BE49-F238E27FC236}">
                  <a16:creationId xmlns:a16="http://schemas.microsoft.com/office/drawing/2014/main" id="{00000000-0008-0000-0100-0000D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1301751</xdr:colOff>
      <xdr:row>21</xdr:row>
      <xdr:rowOff>0</xdr:rowOff>
    </xdr:from>
    <xdr:to>
      <xdr:col>9</xdr:col>
      <xdr:colOff>1742016</xdr:colOff>
      <xdr:row>22</xdr:row>
      <xdr:rowOff>222250</xdr:rowOff>
    </xdr:to>
    <xdr:pic>
      <xdr:nvPicPr>
        <xdr:cNvPr id="25" name="Рисунок 24">
          <a:extLst>
            <a:ext uri="{FF2B5EF4-FFF2-40B4-BE49-F238E27FC236}">
              <a16:creationId xmlns:a16="http://schemas.microsoft.com/office/drawing/2014/main" id="{BD4ACB71-59EA-C9C1-A728-65C0DDA358DA}"/>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1313584" y="4836583"/>
          <a:ext cx="440265" cy="50800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95250</xdr:colOff>
          <xdr:row>21</xdr:row>
          <xdr:rowOff>142875</xdr:rowOff>
        </xdr:from>
        <xdr:to>
          <xdr:col>14</xdr:col>
          <xdr:colOff>666750</xdr:colOff>
          <xdr:row>22</xdr:row>
          <xdr:rowOff>66675</xdr:rowOff>
        </xdr:to>
        <xdr:sp macro="" textlink="">
          <xdr:nvSpPr>
            <xdr:cNvPr id="5346" name="Check Box 226" hidden="1">
              <a:extLst>
                <a:ext uri="{63B3BB69-23CF-44E3-9099-C40C66FF867C}">
                  <a14:compatExt spid="_x0000_s5346"/>
                </a:ext>
                <a:ext uri="{FF2B5EF4-FFF2-40B4-BE49-F238E27FC236}">
                  <a16:creationId xmlns:a16="http://schemas.microsoft.com/office/drawing/2014/main" id="{00000000-0008-0000-0100-0000E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23</xdr:row>
          <xdr:rowOff>95250</xdr:rowOff>
        </xdr:from>
        <xdr:to>
          <xdr:col>14</xdr:col>
          <xdr:colOff>666750</xdr:colOff>
          <xdr:row>24</xdr:row>
          <xdr:rowOff>85725</xdr:rowOff>
        </xdr:to>
        <xdr:sp macro="" textlink="">
          <xdr:nvSpPr>
            <xdr:cNvPr id="5349" name="Check Box 229" hidden="1">
              <a:extLst>
                <a:ext uri="{63B3BB69-23CF-44E3-9099-C40C66FF867C}">
                  <a14:compatExt spid="_x0000_s5349"/>
                </a:ext>
                <a:ext uri="{FF2B5EF4-FFF2-40B4-BE49-F238E27FC236}">
                  <a16:creationId xmlns:a16="http://schemas.microsoft.com/office/drawing/2014/main" id="{00000000-0008-0000-0100-0000E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1317217</xdr:colOff>
      <xdr:row>22</xdr:row>
      <xdr:rowOff>232833</xdr:rowOff>
    </xdr:from>
    <xdr:to>
      <xdr:col>10</xdr:col>
      <xdr:colOff>4234</xdr:colOff>
      <xdr:row>25</xdr:row>
      <xdr:rowOff>1</xdr:rowOff>
    </xdr:to>
    <xdr:pic>
      <xdr:nvPicPr>
        <xdr:cNvPr id="26" name="Рисунок 25" descr="Незапятнанный цветок">
          <a:extLst>
            <a:ext uri="{FF2B5EF4-FFF2-40B4-BE49-F238E27FC236}">
              <a16:creationId xmlns:a16="http://schemas.microsoft.com/office/drawing/2014/main" id="{8AEFD1A5-7A41-D74E-A5A8-87D86A6CEA3C}"/>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1329050" y="5355166"/>
          <a:ext cx="439616" cy="444501"/>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85725</xdr:colOff>
          <xdr:row>25</xdr:row>
          <xdr:rowOff>114300</xdr:rowOff>
        </xdr:from>
        <xdr:to>
          <xdr:col>14</xdr:col>
          <xdr:colOff>657225</xdr:colOff>
          <xdr:row>26</xdr:row>
          <xdr:rowOff>104775</xdr:rowOff>
        </xdr:to>
        <xdr:sp macro="" textlink="">
          <xdr:nvSpPr>
            <xdr:cNvPr id="5352" name="Check Box 232" hidden="1">
              <a:extLst>
                <a:ext uri="{63B3BB69-23CF-44E3-9099-C40C66FF867C}">
                  <a14:compatExt spid="_x0000_s5352"/>
                </a:ext>
                <a:ext uri="{FF2B5EF4-FFF2-40B4-BE49-F238E27FC236}">
                  <a16:creationId xmlns:a16="http://schemas.microsoft.com/office/drawing/2014/main" id="{00000000-0008-0000-0100-0000E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1316314</xdr:colOff>
      <xdr:row>25</xdr:row>
      <xdr:rowOff>10585</xdr:rowOff>
    </xdr:from>
    <xdr:to>
      <xdr:col>9</xdr:col>
      <xdr:colOff>1746250</xdr:colOff>
      <xdr:row>27</xdr:row>
      <xdr:rowOff>2</xdr:rowOff>
    </xdr:to>
    <xdr:pic>
      <xdr:nvPicPr>
        <xdr:cNvPr id="27" name="Рисунок 26" descr="Позолоченная брошь">
          <a:extLst>
            <a:ext uri="{FF2B5EF4-FFF2-40B4-BE49-F238E27FC236}">
              <a16:creationId xmlns:a16="http://schemas.microsoft.com/office/drawing/2014/main" id="{64723742-4A42-00A6-3DCF-686AE9C9A268}"/>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328147" y="5810252"/>
          <a:ext cx="429936" cy="433916"/>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1322917</xdr:colOff>
      <xdr:row>27</xdr:row>
      <xdr:rowOff>10582</xdr:rowOff>
    </xdr:from>
    <xdr:to>
      <xdr:col>10</xdr:col>
      <xdr:colOff>2</xdr:colOff>
      <xdr:row>29</xdr:row>
      <xdr:rowOff>2372</xdr:rowOff>
    </xdr:to>
    <xdr:pic>
      <xdr:nvPicPr>
        <xdr:cNvPr id="28" name="Рисунок 27" descr="Опутывающий цветок">
          <a:extLst>
            <a:ext uri="{FF2B5EF4-FFF2-40B4-BE49-F238E27FC236}">
              <a16:creationId xmlns:a16="http://schemas.microsoft.com/office/drawing/2014/main" id="{DA4DF953-C825-370E-C594-11AC6366FE01}"/>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1334750" y="6254749"/>
          <a:ext cx="433918" cy="43311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76200</xdr:colOff>
          <xdr:row>27</xdr:row>
          <xdr:rowOff>85725</xdr:rowOff>
        </xdr:from>
        <xdr:to>
          <xdr:col>14</xdr:col>
          <xdr:colOff>647700</xdr:colOff>
          <xdr:row>28</xdr:row>
          <xdr:rowOff>76200</xdr:rowOff>
        </xdr:to>
        <xdr:sp macro="" textlink="">
          <xdr:nvSpPr>
            <xdr:cNvPr id="5357" name="Check Box 237" hidden="1">
              <a:extLst>
                <a:ext uri="{63B3BB69-23CF-44E3-9099-C40C66FF867C}">
                  <a14:compatExt spid="_x0000_s5357"/>
                </a:ext>
                <a:ext uri="{FF2B5EF4-FFF2-40B4-BE49-F238E27FC236}">
                  <a16:creationId xmlns:a16="http://schemas.microsoft.com/office/drawing/2014/main" id="{00000000-0008-0000-0100-0000E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29</xdr:row>
          <xdr:rowOff>85725</xdr:rowOff>
        </xdr:from>
        <xdr:to>
          <xdr:col>14</xdr:col>
          <xdr:colOff>647700</xdr:colOff>
          <xdr:row>30</xdr:row>
          <xdr:rowOff>76200</xdr:rowOff>
        </xdr:to>
        <xdr:sp macro="" textlink="">
          <xdr:nvSpPr>
            <xdr:cNvPr id="5359" name="Check Box 239" hidden="1">
              <a:extLst>
                <a:ext uri="{63B3BB69-23CF-44E3-9099-C40C66FF867C}">
                  <a14:compatExt spid="_x0000_s5359"/>
                </a:ext>
                <a:ext uri="{FF2B5EF4-FFF2-40B4-BE49-F238E27FC236}">
                  <a16:creationId xmlns:a16="http://schemas.microsoft.com/office/drawing/2014/main" id="{00000000-0008-0000-0100-0000E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1322916</xdr:colOff>
      <xdr:row>29</xdr:row>
      <xdr:rowOff>10583</xdr:rowOff>
    </xdr:from>
    <xdr:to>
      <xdr:col>9</xdr:col>
      <xdr:colOff>1746249</xdr:colOff>
      <xdr:row>30</xdr:row>
      <xdr:rowOff>210882</xdr:rowOff>
    </xdr:to>
    <xdr:pic>
      <xdr:nvPicPr>
        <xdr:cNvPr id="29" name="Рисунок 28" descr="Великолепная цуба">
          <a:extLst>
            <a:ext uri="{FF2B5EF4-FFF2-40B4-BE49-F238E27FC236}">
              <a16:creationId xmlns:a16="http://schemas.microsoft.com/office/drawing/2014/main" id="{B30331E5-68AC-5F18-D9BE-FE5F6E271E4D}"/>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1334749" y="6699250"/>
          <a:ext cx="423333" cy="422549"/>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66675</xdr:colOff>
          <xdr:row>31</xdr:row>
          <xdr:rowOff>85725</xdr:rowOff>
        </xdr:from>
        <xdr:to>
          <xdr:col>14</xdr:col>
          <xdr:colOff>638175</xdr:colOff>
          <xdr:row>32</xdr:row>
          <xdr:rowOff>95250</xdr:rowOff>
        </xdr:to>
        <xdr:sp macro="" textlink="">
          <xdr:nvSpPr>
            <xdr:cNvPr id="5363" name="Check Box 243" hidden="1">
              <a:extLst>
                <a:ext uri="{63B3BB69-23CF-44E3-9099-C40C66FF867C}">
                  <a14:compatExt spid="_x0000_s5363"/>
                </a:ext>
                <a:ext uri="{FF2B5EF4-FFF2-40B4-BE49-F238E27FC236}">
                  <a16:creationId xmlns:a16="http://schemas.microsoft.com/office/drawing/2014/main" id="{00000000-0008-0000-0100-0000F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1336611</xdr:colOff>
      <xdr:row>31</xdr:row>
      <xdr:rowOff>0</xdr:rowOff>
    </xdr:from>
    <xdr:to>
      <xdr:col>10</xdr:col>
      <xdr:colOff>4233</xdr:colOff>
      <xdr:row>33</xdr:row>
      <xdr:rowOff>0</xdr:rowOff>
    </xdr:to>
    <xdr:pic>
      <xdr:nvPicPr>
        <xdr:cNvPr id="30" name="Рисунок 29" descr="Пора расцвета">
          <a:extLst>
            <a:ext uri="{FF2B5EF4-FFF2-40B4-BE49-F238E27FC236}">
              <a16:creationId xmlns:a16="http://schemas.microsoft.com/office/drawing/2014/main" id="{CBA2BC4C-301B-4F26-744C-3DD4805EE7A1}"/>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1348444" y="7133167"/>
          <a:ext cx="420221" cy="423333"/>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1325256</xdr:colOff>
      <xdr:row>33</xdr:row>
      <xdr:rowOff>0</xdr:rowOff>
    </xdr:from>
    <xdr:to>
      <xdr:col>9</xdr:col>
      <xdr:colOff>1746250</xdr:colOff>
      <xdr:row>35</xdr:row>
      <xdr:rowOff>4535</xdr:rowOff>
    </xdr:to>
    <xdr:pic>
      <xdr:nvPicPr>
        <xdr:cNvPr id="31" name="Рисунок 30" descr="Цветение жизни">
          <a:extLst>
            <a:ext uri="{FF2B5EF4-FFF2-40B4-BE49-F238E27FC236}">
              <a16:creationId xmlns:a16="http://schemas.microsoft.com/office/drawing/2014/main" id="{B4D134EA-5024-2A95-538C-A4A74B37B26D}"/>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1337089" y="7556500"/>
          <a:ext cx="420994" cy="423333"/>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66675</xdr:colOff>
          <xdr:row>33</xdr:row>
          <xdr:rowOff>85725</xdr:rowOff>
        </xdr:from>
        <xdr:to>
          <xdr:col>14</xdr:col>
          <xdr:colOff>638175</xdr:colOff>
          <xdr:row>34</xdr:row>
          <xdr:rowOff>95250</xdr:rowOff>
        </xdr:to>
        <xdr:sp macro="" textlink="">
          <xdr:nvSpPr>
            <xdr:cNvPr id="5369" name="Check Box 249" hidden="1">
              <a:extLst>
                <a:ext uri="{63B3BB69-23CF-44E3-9099-C40C66FF867C}">
                  <a14:compatExt spid="_x0000_s5369"/>
                </a:ext>
                <a:ext uri="{FF2B5EF4-FFF2-40B4-BE49-F238E27FC236}">
                  <a16:creationId xmlns:a16="http://schemas.microsoft.com/office/drawing/2014/main" id="{00000000-0008-0000-0100-0000F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1322916</xdr:colOff>
      <xdr:row>35</xdr:row>
      <xdr:rowOff>21167</xdr:rowOff>
    </xdr:from>
    <xdr:to>
      <xdr:col>9</xdr:col>
      <xdr:colOff>1746249</xdr:colOff>
      <xdr:row>37</xdr:row>
      <xdr:rowOff>3136</xdr:rowOff>
    </xdr:to>
    <xdr:pic>
      <xdr:nvPicPr>
        <xdr:cNvPr id="5216" name="Рисунок 5215" descr="Цветок призрачного аромата">
          <a:extLst>
            <a:ext uri="{FF2B5EF4-FFF2-40B4-BE49-F238E27FC236}">
              <a16:creationId xmlns:a16="http://schemas.microsoft.com/office/drawing/2014/main" id="{BDF8E955-7912-7540-52B4-4E316672F36C}"/>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1334749" y="8001000"/>
          <a:ext cx="423333" cy="426469"/>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66675</xdr:colOff>
          <xdr:row>35</xdr:row>
          <xdr:rowOff>123825</xdr:rowOff>
        </xdr:from>
        <xdr:to>
          <xdr:col>14</xdr:col>
          <xdr:colOff>638175</xdr:colOff>
          <xdr:row>36</xdr:row>
          <xdr:rowOff>114300</xdr:rowOff>
        </xdr:to>
        <xdr:sp macro="" textlink="">
          <xdr:nvSpPr>
            <xdr:cNvPr id="5373" name="Check Box 253" hidden="1">
              <a:extLst>
                <a:ext uri="{63B3BB69-23CF-44E3-9099-C40C66FF867C}">
                  <a14:compatExt spid="_x0000_s5373"/>
                </a:ext>
                <a:ext uri="{FF2B5EF4-FFF2-40B4-BE49-F238E27FC236}">
                  <a16:creationId xmlns:a16="http://schemas.microsoft.com/office/drawing/2014/main" id="{00000000-0008-0000-0100-0000F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1337384</xdr:colOff>
      <xdr:row>37</xdr:row>
      <xdr:rowOff>10583</xdr:rowOff>
    </xdr:from>
    <xdr:to>
      <xdr:col>10</xdr:col>
      <xdr:colOff>1</xdr:colOff>
      <xdr:row>38</xdr:row>
      <xdr:rowOff>211667</xdr:rowOff>
    </xdr:to>
    <xdr:pic>
      <xdr:nvPicPr>
        <xdr:cNvPr id="5217" name="Рисунок 5216" descr="Сон железного цветка">
          <a:extLst>
            <a:ext uri="{FF2B5EF4-FFF2-40B4-BE49-F238E27FC236}">
              <a16:creationId xmlns:a16="http://schemas.microsoft.com/office/drawing/2014/main" id="{A5417986-70C5-5F22-BF8A-26E82530E15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1349217" y="8434916"/>
          <a:ext cx="419450" cy="423334"/>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57150</xdr:colOff>
          <xdr:row>37</xdr:row>
          <xdr:rowOff>114300</xdr:rowOff>
        </xdr:from>
        <xdr:to>
          <xdr:col>14</xdr:col>
          <xdr:colOff>628650</xdr:colOff>
          <xdr:row>38</xdr:row>
          <xdr:rowOff>104775</xdr:rowOff>
        </xdr:to>
        <xdr:sp macro="" textlink="">
          <xdr:nvSpPr>
            <xdr:cNvPr id="5376" name="Check Box 256" hidden="1">
              <a:extLst>
                <a:ext uri="{63B3BB69-23CF-44E3-9099-C40C66FF867C}">
                  <a14:compatExt spid="_x0000_s5376"/>
                </a:ext>
                <a:ext uri="{FF2B5EF4-FFF2-40B4-BE49-F238E27FC236}">
                  <a16:creationId xmlns:a16="http://schemas.microsoft.com/office/drawing/2014/main" id="{00000000-0008-0000-0100-000000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1326898</xdr:colOff>
      <xdr:row>39</xdr:row>
      <xdr:rowOff>0</xdr:rowOff>
    </xdr:from>
    <xdr:to>
      <xdr:col>10</xdr:col>
      <xdr:colOff>1</xdr:colOff>
      <xdr:row>40</xdr:row>
      <xdr:rowOff>211666</xdr:rowOff>
    </xdr:to>
    <xdr:pic>
      <xdr:nvPicPr>
        <xdr:cNvPr id="5218" name="Рисунок 5217" descr="Рождение города королей">
          <a:extLst>
            <a:ext uri="{FF2B5EF4-FFF2-40B4-BE49-F238E27FC236}">
              <a16:creationId xmlns:a16="http://schemas.microsoft.com/office/drawing/2014/main" id="{16D1A313-4501-490A-C6B9-44F2E7E7A3FF}"/>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1338731" y="8868833"/>
          <a:ext cx="429936" cy="433917"/>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85725</xdr:colOff>
          <xdr:row>39</xdr:row>
          <xdr:rowOff>114300</xdr:rowOff>
        </xdr:from>
        <xdr:to>
          <xdr:col>14</xdr:col>
          <xdr:colOff>657225</xdr:colOff>
          <xdr:row>40</xdr:row>
          <xdr:rowOff>104775</xdr:rowOff>
        </xdr:to>
        <xdr:sp macro="" textlink="">
          <xdr:nvSpPr>
            <xdr:cNvPr id="5382" name="Check Box 262" hidden="1">
              <a:extLst>
                <a:ext uri="{63B3BB69-23CF-44E3-9099-C40C66FF867C}">
                  <a14:compatExt spid="_x0000_s5382"/>
                </a:ext>
                <a:ext uri="{FF2B5EF4-FFF2-40B4-BE49-F238E27FC236}">
                  <a16:creationId xmlns:a16="http://schemas.microsoft.com/office/drawing/2014/main" id="{00000000-0008-0000-0100-000006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1316314</xdr:colOff>
      <xdr:row>41</xdr:row>
      <xdr:rowOff>10584</xdr:rowOff>
    </xdr:from>
    <xdr:to>
      <xdr:col>9</xdr:col>
      <xdr:colOff>1746249</xdr:colOff>
      <xdr:row>43</xdr:row>
      <xdr:rowOff>0</xdr:rowOff>
    </xdr:to>
    <xdr:pic>
      <xdr:nvPicPr>
        <xdr:cNvPr id="5219" name="Рисунок 5218" descr="Великолепие Ай-Ханум">
          <a:extLst>
            <a:ext uri="{FF2B5EF4-FFF2-40B4-BE49-F238E27FC236}">
              <a16:creationId xmlns:a16="http://schemas.microsoft.com/office/drawing/2014/main" id="{79C23150-40C4-0909-E57F-8342E877B83A}"/>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1328147" y="9323917"/>
          <a:ext cx="429935" cy="433916"/>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76200</xdr:colOff>
          <xdr:row>41</xdr:row>
          <xdr:rowOff>104775</xdr:rowOff>
        </xdr:from>
        <xdr:to>
          <xdr:col>14</xdr:col>
          <xdr:colOff>647700</xdr:colOff>
          <xdr:row>42</xdr:row>
          <xdr:rowOff>95250</xdr:rowOff>
        </xdr:to>
        <xdr:sp macro="" textlink="">
          <xdr:nvSpPr>
            <xdr:cNvPr id="5386" name="Check Box 266" hidden="1">
              <a:extLst>
                <a:ext uri="{63B3BB69-23CF-44E3-9099-C40C66FF867C}">
                  <a14:compatExt spid="_x0000_s5386"/>
                </a:ext>
                <a:ext uri="{FF2B5EF4-FFF2-40B4-BE49-F238E27FC236}">
                  <a16:creationId xmlns:a16="http://schemas.microsoft.com/office/drawing/2014/main" id="{00000000-0008-0000-0100-00000A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1323974</xdr:colOff>
      <xdr:row>43</xdr:row>
      <xdr:rowOff>19050</xdr:rowOff>
    </xdr:from>
    <xdr:to>
      <xdr:col>9</xdr:col>
      <xdr:colOff>1733549</xdr:colOff>
      <xdr:row>44</xdr:row>
      <xdr:rowOff>209550</xdr:rowOff>
    </xdr:to>
    <xdr:pic>
      <xdr:nvPicPr>
        <xdr:cNvPr id="5220" name="Рисунок 5219" descr="Цветок странствий">
          <a:extLst>
            <a:ext uri="{FF2B5EF4-FFF2-40B4-BE49-F238E27FC236}">
              <a16:creationId xmlns:a16="http://schemas.microsoft.com/office/drawing/2014/main" id="{C0634C13-AEA0-90B4-7B02-1CCD0B78A4AB}"/>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1334749" y="9658350"/>
          <a:ext cx="409575" cy="40957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85725</xdr:colOff>
          <xdr:row>43</xdr:row>
          <xdr:rowOff>95250</xdr:rowOff>
        </xdr:from>
        <xdr:to>
          <xdr:col>14</xdr:col>
          <xdr:colOff>657225</xdr:colOff>
          <xdr:row>44</xdr:row>
          <xdr:rowOff>85725</xdr:rowOff>
        </xdr:to>
        <xdr:sp macro="" textlink="">
          <xdr:nvSpPr>
            <xdr:cNvPr id="5388" name="Check Box 268" hidden="1">
              <a:extLst>
                <a:ext uri="{63B3BB69-23CF-44E3-9099-C40C66FF867C}">
                  <a14:compatExt spid="_x0000_s5388"/>
                </a:ext>
                <a:ext uri="{FF2B5EF4-FFF2-40B4-BE49-F238E27FC236}">
                  <a16:creationId xmlns:a16="http://schemas.microsoft.com/office/drawing/2014/main" id="{00000000-0008-0000-0100-00000C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1323974</xdr:colOff>
      <xdr:row>45</xdr:row>
      <xdr:rowOff>0</xdr:rowOff>
    </xdr:from>
    <xdr:to>
      <xdr:col>9</xdr:col>
      <xdr:colOff>1752599</xdr:colOff>
      <xdr:row>46</xdr:row>
      <xdr:rowOff>209550</xdr:rowOff>
    </xdr:to>
    <xdr:pic>
      <xdr:nvPicPr>
        <xdr:cNvPr id="5221" name="Рисунок 5220" descr="Тычинка истока Хварны">
          <a:extLst>
            <a:ext uri="{FF2B5EF4-FFF2-40B4-BE49-F238E27FC236}">
              <a16:creationId xmlns:a16="http://schemas.microsoft.com/office/drawing/2014/main" id="{C85245ED-B5DA-A810-4120-47C4BC1CCECB}"/>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49" y="10077450"/>
          <a:ext cx="428625" cy="42862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76200</xdr:colOff>
          <xdr:row>45</xdr:row>
          <xdr:rowOff>104775</xdr:rowOff>
        </xdr:from>
        <xdr:to>
          <xdr:col>14</xdr:col>
          <xdr:colOff>647700</xdr:colOff>
          <xdr:row>46</xdr:row>
          <xdr:rowOff>95250</xdr:rowOff>
        </xdr:to>
        <xdr:sp macro="" textlink="">
          <xdr:nvSpPr>
            <xdr:cNvPr id="5392" name="Check Box 272" hidden="1">
              <a:extLst>
                <a:ext uri="{63B3BB69-23CF-44E3-9099-C40C66FF867C}">
                  <a14:compatExt spid="_x0000_s5392"/>
                </a:ext>
                <a:ext uri="{FF2B5EF4-FFF2-40B4-BE49-F238E27FC236}">
                  <a16:creationId xmlns:a16="http://schemas.microsoft.com/office/drawing/2014/main" id="{00000000-0008-0000-0100-000010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47</xdr:row>
          <xdr:rowOff>114300</xdr:rowOff>
        </xdr:from>
        <xdr:to>
          <xdr:col>14</xdr:col>
          <xdr:colOff>638175</xdr:colOff>
          <xdr:row>48</xdr:row>
          <xdr:rowOff>104775</xdr:rowOff>
        </xdr:to>
        <xdr:sp macro="" textlink="">
          <xdr:nvSpPr>
            <xdr:cNvPr id="5394" name="Check Box 274" hidden="1">
              <a:extLst>
                <a:ext uri="{63B3BB69-23CF-44E3-9099-C40C66FF867C}">
                  <a14:compatExt spid="_x0000_s5394"/>
                </a:ext>
                <a:ext uri="{FF2B5EF4-FFF2-40B4-BE49-F238E27FC236}">
                  <a16:creationId xmlns:a16="http://schemas.microsoft.com/office/drawing/2014/main" id="{00000000-0008-0000-0100-000012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1312334</xdr:colOff>
      <xdr:row>47</xdr:row>
      <xdr:rowOff>10584</xdr:rowOff>
    </xdr:from>
    <xdr:to>
      <xdr:col>9</xdr:col>
      <xdr:colOff>1746250</xdr:colOff>
      <xdr:row>49</xdr:row>
      <xdr:rowOff>3216</xdr:rowOff>
    </xdr:to>
    <xdr:pic>
      <xdr:nvPicPr>
        <xdr:cNvPr id="5222" name="Рисунок 5221" descr="Брошь охотника">
          <a:extLst>
            <a:ext uri="{FF2B5EF4-FFF2-40B4-BE49-F238E27FC236}">
              <a16:creationId xmlns:a16="http://schemas.microsoft.com/office/drawing/2014/main" id="{B27E21D6-3F29-B120-D7A5-A3222AB14B55}"/>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11324167" y="10657417"/>
          <a:ext cx="433916" cy="437131"/>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66675</xdr:colOff>
          <xdr:row>49</xdr:row>
          <xdr:rowOff>104775</xdr:rowOff>
        </xdr:from>
        <xdr:to>
          <xdr:col>14</xdr:col>
          <xdr:colOff>638175</xdr:colOff>
          <xdr:row>50</xdr:row>
          <xdr:rowOff>95250</xdr:rowOff>
        </xdr:to>
        <xdr:sp macro="" textlink="">
          <xdr:nvSpPr>
            <xdr:cNvPr id="5398" name="Check Box 278" hidden="1">
              <a:extLst>
                <a:ext uri="{63B3BB69-23CF-44E3-9099-C40C66FF867C}">
                  <a14:compatExt spid="_x0000_s5398"/>
                </a:ext>
                <a:ext uri="{FF2B5EF4-FFF2-40B4-BE49-F238E27FC236}">
                  <a16:creationId xmlns:a16="http://schemas.microsoft.com/office/drawing/2014/main" id="{00000000-0008-0000-0100-000016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1326800</xdr:colOff>
      <xdr:row>49</xdr:row>
      <xdr:rowOff>21166</xdr:rowOff>
    </xdr:from>
    <xdr:to>
      <xdr:col>9</xdr:col>
      <xdr:colOff>1746250</xdr:colOff>
      <xdr:row>51</xdr:row>
      <xdr:rowOff>0</xdr:rowOff>
    </xdr:to>
    <xdr:pic>
      <xdr:nvPicPr>
        <xdr:cNvPr id="5224" name="Рисунок 5223" descr="Вариация золотой песни">
          <a:extLst>
            <a:ext uri="{FF2B5EF4-FFF2-40B4-BE49-F238E27FC236}">
              <a16:creationId xmlns:a16="http://schemas.microsoft.com/office/drawing/2014/main" id="{7DAA37EB-5F03-2E20-2809-0839E22FC4BB}"/>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11338633" y="11112499"/>
          <a:ext cx="419450" cy="423334"/>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1304148</xdr:colOff>
      <xdr:row>51</xdr:row>
      <xdr:rowOff>10584</xdr:rowOff>
    </xdr:from>
    <xdr:to>
      <xdr:col>9</xdr:col>
      <xdr:colOff>1735666</xdr:colOff>
      <xdr:row>53</xdr:row>
      <xdr:rowOff>0</xdr:rowOff>
    </xdr:to>
    <xdr:pic>
      <xdr:nvPicPr>
        <xdr:cNvPr id="5225" name="Рисунок 5224" descr="Бескорыстный цветок">
          <a:extLst>
            <a:ext uri="{FF2B5EF4-FFF2-40B4-BE49-F238E27FC236}">
              <a16:creationId xmlns:a16="http://schemas.microsoft.com/office/drawing/2014/main" id="{9148230A-C8F3-793D-1704-18525EF8A314}"/>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11315981" y="11398251"/>
          <a:ext cx="431518" cy="433916"/>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57150</xdr:colOff>
          <xdr:row>51</xdr:row>
          <xdr:rowOff>114300</xdr:rowOff>
        </xdr:from>
        <xdr:to>
          <xdr:col>14</xdr:col>
          <xdr:colOff>628650</xdr:colOff>
          <xdr:row>52</xdr:row>
          <xdr:rowOff>76200</xdr:rowOff>
        </xdr:to>
        <xdr:sp macro="" textlink="">
          <xdr:nvSpPr>
            <xdr:cNvPr id="5404" name="Check Box 284" hidden="1">
              <a:extLst>
                <a:ext uri="{63B3BB69-23CF-44E3-9099-C40C66FF867C}">
                  <a14:compatExt spid="_x0000_s5404"/>
                </a:ext>
                <a:ext uri="{FF2B5EF4-FFF2-40B4-BE49-F238E27FC236}">
                  <a16:creationId xmlns:a16="http://schemas.microsoft.com/office/drawing/2014/main" id="{00000000-0008-0000-0100-00001C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1305729</xdr:colOff>
      <xdr:row>53</xdr:row>
      <xdr:rowOff>10583</xdr:rowOff>
    </xdr:from>
    <xdr:to>
      <xdr:col>9</xdr:col>
      <xdr:colOff>1735666</xdr:colOff>
      <xdr:row>55</xdr:row>
      <xdr:rowOff>0</xdr:rowOff>
    </xdr:to>
    <xdr:pic>
      <xdr:nvPicPr>
        <xdr:cNvPr id="5226" name="Рисунок 5225" descr="Увертюра стройной симфонии">
          <a:extLst>
            <a:ext uri="{FF2B5EF4-FFF2-40B4-BE49-F238E27FC236}">
              <a16:creationId xmlns:a16="http://schemas.microsoft.com/office/drawing/2014/main" id="{821CF454-F078-68AC-4A07-12103071EFC1}"/>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1317562" y="11842750"/>
          <a:ext cx="429937" cy="433917"/>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85725</xdr:colOff>
          <xdr:row>53</xdr:row>
          <xdr:rowOff>85725</xdr:rowOff>
        </xdr:from>
        <xdr:to>
          <xdr:col>14</xdr:col>
          <xdr:colOff>657225</xdr:colOff>
          <xdr:row>54</xdr:row>
          <xdr:rowOff>76200</xdr:rowOff>
        </xdr:to>
        <xdr:sp macro="" textlink="">
          <xdr:nvSpPr>
            <xdr:cNvPr id="5409" name="Check Box 289" hidden="1">
              <a:extLst>
                <a:ext uri="{63B3BB69-23CF-44E3-9099-C40C66FF867C}">
                  <a14:compatExt spid="_x0000_s5409"/>
                </a:ext>
                <a:ext uri="{FF2B5EF4-FFF2-40B4-BE49-F238E27FC236}">
                  <a16:creationId xmlns:a16="http://schemas.microsoft.com/office/drawing/2014/main" id="{00000000-0008-0000-0100-000021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1313894</xdr:colOff>
      <xdr:row>55</xdr:row>
      <xdr:rowOff>21166</xdr:rowOff>
    </xdr:from>
    <xdr:to>
      <xdr:col>9</xdr:col>
      <xdr:colOff>1735666</xdr:colOff>
      <xdr:row>57</xdr:row>
      <xdr:rowOff>0</xdr:rowOff>
    </xdr:to>
    <xdr:pic>
      <xdr:nvPicPr>
        <xdr:cNvPr id="5227" name="Рисунок 5226" descr="Тёмный плод ярких цветов">
          <a:extLst>
            <a:ext uri="{FF2B5EF4-FFF2-40B4-BE49-F238E27FC236}">
              <a16:creationId xmlns:a16="http://schemas.microsoft.com/office/drawing/2014/main" id="{2DAEEB92-F784-9DB6-53F8-9B85CA9E4CB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11325727" y="12297833"/>
          <a:ext cx="421772" cy="423334"/>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66675</xdr:colOff>
          <xdr:row>55</xdr:row>
          <xdr:rowOff>95250</xdr:rowOff>
        </xdr:from>
        <xdr:to>
          <xdr:col>14</xdr:col>
          <xdr:colOff>638175</xdr:colOff>
          <xdr:row>56</xdr:row>
          <xdr:rowOff>85725</xdr:rowOff>
        </xdr:to>
        <xdr:sp macro="" textlink="">
          <xdr:nvSpPr>
            <xdr:cNvPr id="5412" name="Check Box 292" hidden="1">
              <a:extLst>
                <a:ext uri="{63B3BB69-23CF-44E3-9099-C40C66FF867C}">
                  <a14:compatExt spid="_x0000_s5412"/>
                </a:ext>
                <a:ext uri="{FF2B5EF4-FFF2-40B4-BE49-F238E27FC236}">
                  <a16:creationId xmlns:a16="http://schemas.microsoft.com/office/drawing/2014/main" id="{00000000-0008-0000-0100-000024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1322917</xdr:colOff>
      <xdr:row>57</xdr:row>
      <xdr:rowOff>10584</xdr:rowOff>
    </xdr:from>
    <xdr:to>
      <xdr:col>10</xdr:col>
      <xdr:colOff>0</xdr:colOff>
      <xdr:row>59</xdr:row>
      <xdr:rowOff>2411</xdr:rowOff>
    </xdr:to>
    <xdr:pic>
      <xdr:nvPicPr>
        <xdr:cNvPr id="5229" name="Рисунок 5228" descr="Ожидания инородцев">
          <a:extLst>
            <a:ext uri="{FF2B5EF4-FFF2-40B4-BE49-F238E27FC236}">
              <a16:creationId xmlns:a16="http://schemas.microsoft.com/office/drawing/2014/main" id="{E2DEC3A1-4652-23E0-0235-5F1EBDBEEB7C}"/>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11334750" y="12731751"/>
          <a:ext cx="433916" cy="436327"/>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57150</xdr:colOff>
          <xdr:row>57</xdr:row>
          <xdr:rowOff>104775</xdr:rowOff>
        </xdr:from>
        <xdr:to>
          <xdr:col>14</xdr:col>
          <xdr:colOff>628650</xdr:colOff>
          <xdr:row>58</xdr:row>
          <xdr:rowOff>95250</xdr:rowOff>
        </xdr:to>
        <xdr:sp macro="" textlink="">
          <xdr:nvSpPr>
            <xdr:cNvPr id="5418" name="Check Box 298" hidden="1">
              <a:extLst>
                <a:ext uri="{63B3BB69-23CF-44E3-9099-C40C66FF867C}">
                  <a14:compatExt spid="_x0000_s5418"/>
                </a:ext>
                <a:ext uri="{FF2B5EF4-FFF2-40B4-BE49-F238E27FC236}">
                  <a16:creationId xmlns:a16="http://schemas.microsoft.com/office/drawing/2014/main" id="{00000000-0008-0000-0100-00002A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1322916</xdr:colOff>
      <xdr:row>59</xdr:row>
      <xdr:rowOff>21166</xdr:rowOff>
    </xdr:from>
    <xdr:to>
      <xdr:col>9</xdr:col>
      <xdr:colOff>1746250</xdr:colOff>
      <xdr:row>60</xdr:row>
      <xdr:rowOff>219074</xdr:rowOff>
    </xdr:to>
    <xdr:pic>
      <xdr:nvPicPr>
        <xdr:cNvPr id="5230" name="Рисунок 5229" descr="Клятва светоносца">
          <a:extLst>
            <a:ext uri="{FF2B5EF4-FFF2-40B4-BE49-F238E27FC236}">
              <a16:creationId xmlns:a16="http://schemas.microsoft.com/office/drawing/2014/main" id="{72ECF65A-C95A-6E35-FAE0-5955F6BA58FE}"/>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11334749" y="13186833"/>
          <a:ext cx="423334" cy="423334"/>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76200</xdr:colOff>
          <xdr:row>59</xdr:row>
          <xdr:rowOff>95250</xdr:rowOff>
        </xdr:from>
        <xdr:to>
          <xdr:col>14</xdr:col>
          <xdr:colOff>647700</xdr:colOff>
          <xdr:row>60</xdr:row>
          <xdr:rowOff>85725</xdr:rowOff>
        </xdr:to>
        <xdr:sp macro="" textlink="">
          <xdr:nvSpPr>
            <xdr:cNvPr id="5422" name="Check Box 302" hidden="1">
              <a:extLst>
                <a:ext uri="{63B3BB69-23CF-44E3-9099-C40C66FF867C}">
                  <a14:compatExt spid="_x0000_s5422"/>
                </a:ext>
                <a:ext uri="{FF2B5EF4-FFF2-40B4-BE49-F238E27FC236}">
                  <a16:creationId xmlns:a16="http://schemas.microsoft.com/office/drawing/2014/main" id="{00000000-0008-0000-0100-00002E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1312335</xdr:colOff>
      <xdr:row>61</xdr:row>
      <xdr:rowOff>10584</xdr:rowOff>
    </xdr:from>
    <xdr:to>
      <xdr:col>9</xdr:col>
      <xdr:colOff>1746251</xdr:colOff>
      <xdr:row>63</xdr:row>
      <xdr:rowOff>1</xdr:rowOff>
    </xdr:to>
    <xdr:pic>
      <xdr:nvPicPr>
        <xdr:cNvPr id="5231" name="Рисунок 5230" descr="Отголоски песни галерей глубин">
          <a:extLst>
            <a:ext uri="{FF2B5EF4-FFF2-40B4-BE49-F238E27FC236}">
              <a16:creationId xmlns:a16="http://schemas.microsoft.com/office/drawing/2014/main" id="{703E5F52-5AFB-F0DF-B4F8-AC5B0F134CC3}"/>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324168" y="13620751"/>
          <a:ext cx="433916" cy="433916"/>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47625</xdr:colOff>
          <xdr:row>61</xdr:row>
          <xdr:rowOff>104775</xdr:rowOff>
        </xdr:from>
        <xdr:to>
          <xdr:col>14</xdr:col>
          <xdr:colOff>619125</xdr:colOff>
          <xdr:row>62</xdr:row>
          <xdr:rowOff>95250</xdr:rowOff>
        </xdr:to>
        <xdr:sp macro="" textlink="">
          <xdr:nvSpPr>
            <xdr:cNvPr id="5424" name="Check Box 304" hidden="1">
              <a:extLst>
                <a:ext uri="{63B3BB69-23CF-44E3-9099-C40C66FF867C}">
                  <a14:compatExt spid="_x0000_s5424"/>
                </a:ext>
                <a:ext uri="{FF2B5EF4-FFF2-40B4-BE49-F238E27FC236}">
                  <a16:creationId xmlns:a16="http://schemas.microsoft.com/office/drawing/2014/main" id="{00000000-0008-0000-0100-000030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15</xdr:col>
      <xdr:colOff>323850</xdr:colOff>
      <xdr:row>27</xdr:row>
      <xdr:rowOff>0</xdr:rowOff>
    </xdr:from>
    <xdr:to>
      <xdr:col>15</xdr:col>
      <xdr:colOff>762000</xdr:colOff>
      <xdr:row>29</xdr:row>
      <xdr:rowOff>0</xdr:rowOff>
    </xdr:to>
    <xdr:pic>
      <xdr:nvPicPr>
        <xdr:cNvPr id="24" name="Рисунок 23">
          <a:extLst>
            <a:ext uri="{FF2B5EF4-FFF2-40B4-BE49-F238E27FC236}">
              <a16:creationId xmlns:a16="http://schemas.microsoft.com/office/drawing/2014/main" id="{6D81C2D5-28E0-B5B3-6D3A-59D0653982CE}"/>
            </a:ext>
          </a:extLst>
        </xdr:cNvPr>
        <xdr:cNvPicPr>
          <a:picLocks noChangeAspect="1" noChangeArrowheads="1"/>
        </xdr:cNvPicPr>
      </xdr:nvPicPr>
      <xdr:blipFill>
        <a:blip xmlns:r="http://schemas.openxmlformats.org/officeDocument/2006/relationships" r:embed="rId41" cstate="print">
          <a:extLst>
            <a:ext uri="{28A0092B-C50C-407E-A947-70E740481C1C}">
              <a14:useLocalDpi xmlns:a14="http://schemas.microsoft.com/office/drawing/2010/main" val="0"/>
            </a:ext>
          </a:extLst>
        </a:blip>
        <a:srcRect/>
        <a:stretch>
          <a:fillRect/>
        </a:stretch>
      </xdr:blipFill>
      <xdr:spPr bwMode="auto">
        <a:xfrm>
          <a:off x="17049750" y="6029325"/>
          <a:ext cx="438150" cy="43815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20</xdr:col>
          <xdr:colOff>95250</xdr:colOff>
          <xdr:row>27</xdr:row>
          <xdr:rowOff>104775</xdr:rowOff>
        </xdr:from>
        <xdr:to>
          <xdr:col>20</xdr:col>
          <xdr:colOff>666750</xdr:colOff>
          <xdr:row>28</xdr:row>
          <xdr:rowOff>114300</xdr:rowOff>
        </xdr:to>
        <xdr:sp macro="" textlink="">
          <xdr:nvSpPr>
            <xdr:cNvPr id="5427" name="Check Box 307" hidden="1">
              <a:extLst>
                <a:ext uri="{63B3BB69-23CF-44E3-9099-C40C66FF867C}">
                  <a14:compatExt spid="_x0000_s5427"/>
                </a:ext>
                <a:ext uri="{FF2B5EF4-FFF2-40B4-BE49-F238E27FC236}">
                  <a16:creationId xmlns:a16="http://schemas.microsoft.com/office/drawing/2014/main" id="{00000000-0008-0000-0100-000033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twoCellAnchor editAs="oneCell">
    <xdr:from>
      <xdr:col>9</xdr:col>
      <xdr:colOff>1314450</xdr:colOff>
      <xdr:row>63</xdr:row>
      <xdr:rowOff>9526</xdr:rowOff>
    </xdr:from>
    <xdr:to>
      <xdr:col>9</xdr:col>
      <xdr:colOff>1752599</xdr:colOff>
      <xdr:row>65</xdr:row>
      <xdr:rowOff>0</xdr:rowOff>
    </xdr:to>
    <xdr:pic>
      <xdr:nvPicPr>
        <xdr:cNvPr id="5377" name="Рисунок 5376">
          <a:extLst>
            <a:ext uri="{FF2B5EF4-FFF2-40B4-BE49-F238E27FC236}">
              <a16:creationId xmlns:a16="http://schemas.microsoft.com/office/drawing/2014/main" id="{9F6ED68A-C9C5-6C99-7624-0DCABC84C5BB}"/>
            </a:ext>
          </a:extLst>
        </xdr:cNvPr>
        <xdr:cNvPicPr>
          <a:picLocks noChangeAspect="1" noChangeArrowheads="1"/>
        </xdr:cNvPicPr>
      </xdr:nvPicPr>
      <xdr:blipFill>
        <a:blip xmlns:r="http://schemas.openxmlformats.org/officeDocument/2006/relationships" r:embed="rId42" cstate="print">
          <a:extLst>
            <a:ext uri="{28A0092B-C50C-407E-A947-70E740481C1C}">
              <a14:useLocalDpi xmlns:a14="http://schemas.microsoft.com/office/drawing/2010/main" val="0"/>
            </a:ext>
          </a:extLst>
        </a:blip>
        <a:srcRect/>
        <a:stretch>
          <a:fillRect/>
        </a:stretch>
      </xdr:blipFill>
      <xdr:spPr bwMode="auto">
        <a:xfrm>
          <a:off x="11620500" y="13887451"/>
          <a:ext cx="438149" cy="428624"/>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47625</xdr:colOff>
          <xdr:row>63</xdr:row>
          <xdr:rowOff>104775</xdr:rowOff>
        </xdr:from>
        <xdr:to>
          <xdr:col>14</xdr:col>
          <xdr:colOff>619125</xdr:colOff>
          <xdr:row>64</xdr:row>
          <xdr:rowOff>95250</xdr:rowOff>
        </xdr:to>
        <xdr:sp macro="" textlink="">
          <xdr:nvSpPr>
            <xdr:cNvPr id="5434" name="Check Box 314" hidden="1">
              <a:extLst>
                <a:ext uri="{63B3BB69-23CF-44E3-9099-C40C66FF867C}">
                  <a14:compatExt spid="_x0000_s5434"/>
                </a:ext>
                <a:ext uri="{FF2B5EF4-FFF2-40B4-BE49-F238E27FC236}">
                  <a16:creationId xmlns:a16="http://schemas.microsoft.com/office/drawing/2014/main" id="{00000000-0008-0000-0100-00003A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5</xdr:row>
          <xdr:rowOff>9525</xdr:rowOff>
        </xdr:from>
        <xdr:to>
          <xdr:col>3</xdr:col>
          <xdr:colOff>533400</xdr:colOff>
          <xdr:row>6</xdr:row>
          <xdr:rowOff>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xdr:twoCellAnchor editAs="oneCell">
    <xdr:from>
      <xdr:col>5</xdr:col>
      <xdr:colOff>9525</xdr:colOff>
      <xdr:row>1</xdr:row>
      <xdr:rowOff>9525</xdr:rowOff>
    </xdr:from>
    <xdr:to>
      <xdr:col>6</xdr:col>
      <xdr:colOff>600074</xdr:colOff>
      <xdr:row>6</xdr:row>
      <xdr:rowOff>152399</xdr:rowOff>
    </xdr:to>
    <xdr:pic>
      <xdr:nvPicPr>
        <xdr:cNvPr id="4" name="Рисунок 3" descr="Изображение пина-истории">
          <a:extLst>
            <a:ext uri="{FF2B5EF4-FFF2-40B4-BE49-F238E27FC236}">
              <a16:creationId xmlns:a16="http://schemas.microsoft.com/office/drawing/2014/main" id="{8A375DC1-AFD6-1B13-CFBF-5A0806D0988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19450" y="228600"/>
          <a:ext cx="1200149" cy="1200149"/>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19050</xdr:colOff>
      <xdr:row>1</xdr:row>
      <xdr:rowOff>19050</xdr:rowOff>
    </xdr:from>
    <xdr:to>
      <xdr:col>2</xdr:col>
      <xdr:colOff>0</xdr:colOff>
      <xdr:row>6</xdr:row>
      <xdr:rowOff>161925</xdr:rowOff>
    </xdr:to>
    <xdr:pic>
      <xdr:nvPicPr>
        <xdr:cNvPr id="5" name="Рисунок 4" descr="Изображение пина-истории">
          <a:extLst>
            <a:ext uri="{FF2B5EF4-FFF2-40B4-BE49-F238E27FC236}">
              <a16:creationId xmlns:a16="http://schemas.microsoft.com/office/drawing/2014/main" id="{5F66E2BD-42BD-3E7D-6B70-57B1D8C732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238125"/>
          <a:ext cx="1200150" cy="120015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9525</xdr:colOff>
      <xdr:row>1</xdr:row>
      <xdr:rowOff>9525</xdr:rowOff>
    </xdr:from>
    <xdr:to>
      <xdr:col>11</xdr:col>
      <xdr:colOff>433917</xdr:colOff>
      <xdr:row>6</xdr:row>
      <xdr:rowOff>171450</xdr:rowOff>
    </xdr:to>
    <xdr:pic>
      <xdr:nvPicPr>
        <xdr:cNvPr id="6" name="Рисунок 5" descr="Изображение пина-истории">
          <a:extLst>
            <a:ext uri="{FF2B5EF4-FFF2-40B4-BE49-F238E27FC236}">
              <a16:creationId xmlns:a16="http://schemas.microsoft.com/office/drawing/2014/main" id="{1B977DB3-CCD0-EFEA-AA1B-66E551E24E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267450" y="228600"/>
          <a:ext cx="1209675" cy="121920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8</xdr:col>
          <xdr:colOff>104775</xdr:colOff>
          <xdr:row>5</xdr:row>
          <xdr:rowOff>9525</xdr:rowOff>
        </xdr:from>
        <xdr:to>
          <xdr:col>8</xdr:col>
          <xdr:colOff>495300</xdr:colOff>
          <xdr:row>6</xdr:row>
          <xdr:rowOff>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6</xdr:row>
          <xdr:rowOff>9525</xdr:rowOff>
        </xdr:from>
        <xdr:to>
          <xdr:col>13</xdr:col>
          <xdr:colOff>485775</xdr:colOff>
          <xdr:row>7</xdr:row>
          <xdr:rowOff>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14</xdr:row>
          <xdr:rowOff>200025</xdr:rowOff>
        </xdr:from>
        <xdr:to>
          <xdr:col>3</xdr:col>
          <xdr:colOff>514350</xdr:colOff>
          <xdr:row>16</xdr:row>
          <xdr:rowOff>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2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14</xdr:row>
          <xdr:rowOff>200025</xdr:rowOff>
        </xdr:from>
        <xdr:to>
          <xdr:col>8</xdr:col>
          <xdr:colOff>495300</xdr:colOff>
          <xdr:row>16</xdr:row>
          <xdr:rowOff>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2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15</xdr:row>
          <xdr:rowOff>0</xdr:rowOff>
        </xdr:from>
        <xdr:to>
          <xdr:col>13</xdr:col>
          <xdr:colOff>485775</xdr:colOff>
          <xdr:row>16</xdr:row>
          <xdr:rowOff>9525</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2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xdr:twoCellAnchor editAs="oneCell">
    <xdr:from>
      <xdr:col>0</xdr:col>
      <xdr:colOff>9525</xdr:colOff>
      <xdr:row>11</xdr:row>
      <xdr:rowOff>9525</xdr:rowOff>
    </xdr:from>
    <xdr:to>
      <xdr:col>1</xdr:col>
      <xdr:colOff>600074</xdr:colOff>
      <xdr:row>16</xdr:row>
      <xdr:rowOff>180974</xdr:rowOff>
    </xdr:to>
    <xdr:pic>
      <xdr:nvPicPr>
        <xdr:cNvPr id="2" name="Рисунок 1">
          <a:extLst>
            <a:ext uri="{FF2B5EF4-FFF2-40B4-BE49-F238E27FC236}">
              <a16:creationId xmlns:a16="http://schemas.microsoft.com/office/drawing/2014/main" id="{564E3FFF-1973-737D-B9C6-C6BDEEFAD573}"/>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525" y="2333625"/>
          <a:ext cx="1200149" cy="1200149"/>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9524</xdr:colOff>
      <xdr:row>11</xdr:row>
      <xdr:rowOff>9525</xdr:rowOff>
    </xdr:from>
    <xdr:to>
      <xdr:col>6</xdr:col>
      <xdr:colOff>609599</xdr:colOff>
      <xdr:row>16</xdr:row>
      <xdr:rowOff>190500</xdr:rowOff>
    </xdr:to>
    <xdr:pic>
      <xdr:nvPicPr>
        <xdr:cNvPr id="3" name="Рисунок 2" descr="Изображение пина-истории">
          <a:extLst>
            <a:ext uri="{FF2B5EF4-FFF2-40B4-BE49-F238E27FC236}">
              <a16:creationId xmlns:a16="http://schemas.microsoft.com/office/drawing/2014/main" id="{C496493E-593C-6048-5505-B6A588180F44}"/>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219449" y="2333625"/>
          <a:ext cx="1209675" cy="120967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9525</xdr:colOff>
      <xdr:row>11</xdr:row>
      <xdr:rowOff>19050</xdr:rowOff>
    </xdr:from>
    <xdr:to>
      <xdr:col>11</xdr:col>
      <xdr:colOff>420159</xdr:colOff>
      <xdr:row>16</xdr:row>
      <xdr:rowOff>190500</xdr:rowOff>
    </xdr:to>
    <xdr:pic>
      <xdr:nvPicPr>
        <xdr:cNvPr id="7" name="Рисунок 6">
          <a:extLst>
            <a:ext uri="{FF2B5EF4-FFF2-40B4-BE49-F238E27FC236}">
              <a16:creationId xmlns:a16="http://schemas.microsoft.com/office/drawing/2014/main" id="{8D3453B4-854D-077F-2803-57CF47C9D284}"/>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362700" y="2343150"/>
          <a:ext cx="1200150" cy="120015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104775</xdr:colOff>
          <xdr:row>25</xdr:row>
          <xdr:rowOff>0</xdr:rowOff>
        </xdr:from>
        <xdr:to>
          <xdr:col>3</xdr:col>
          <xdr:colOff>495300</xdr:colOff>
          <xdr:row>26</xdr:row>
          <xdr:rowOff>9525</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2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25</xdr:row>
          <xdr:rowOff>0</xdr:rowOff>
        </xdr:from>
        <xdr:to>
          <xdr:col>8</xdr:col>
          <xdr:colOff>485775</xdr:colOff>
          <xdr:row>26</xdr:row>
          <xdr:rowOff>9525</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2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25</xdr:row>
          <xdr:rowOff>0</xdr:rowOff>
        </xdr:from>
        <xdr:to>
          <xdr:col>13</xdr:col>
          <xdr:colOff>523875</xdr:colOff>
          <xdr:row>26</xdr:row>
          <xdr:rowOff>9525</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2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xdr:twoCellAnchor editAs="oneCell">
    <xdr:from>
      <xdr:col>0</xdr:col>
      <xdr:colOff>0</xdr:colOff>
      <xdr:row>21</xdr:row>
      <xdr:rowOff>9525</xdr:rowOff>
    </xdr:from>
    <xdr:to>
      <xdr:col>2</xdr:col>
      <xdr:colOff>0</xdr:colOff>
      <xdr:row>27</xdr:row>
      <xdr:rowOff>85725</xdr:rowOff>
    </xdr:to>
    <xdr:pic>
      <xdr:nvPicPr>
        <xdr:cNvPr id="8" name="Рисунок 7" descr="Изображение пина-истории">
          <a:extLst>
            <a:ext uri="{FF2B5EF4-FFF2-40B4-BE49-F238E27FC236}">
              <a16:creationId xmlns:a16="http://schemas.microsoft.com/office/drawing/2014/main" id="{F828FE9F-1C29-00C7-8A46-43B3368ABC1D}"/>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0" y="4381500"/>
          <a:ext cx="1219200" cy="121920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609599</xdr:colOff>
      <xdr:row>21</xdr:row>
      <xdr:rowOff>19050</xdr:rowOff>
    </xdr:from>
    <xdr:to>
      <xdr:col>6</xdr:col>
      <xdr:colOff>600074</xdr:colOff>
      <xdr:row>27</xdr:row>
      <xdr:rowOff>85725</xdr:rowOff>
    </xdr:to>
    <xdr:pic>
      <xdr:nvPicPr>
        <xdr:cNvPr id="9" name="Рисунок 8" descr="Изображение пина-истории">
          <a:extLst>
            <a:ext uri="{FF2B5EF4-FFF2-40B4-BE49-F238E27FC236}">
              <a16:creationId xmlns:a16="http://schemas.microsoft.com/office/drawing/2014/main" id="{99476C4C-4682-EADF-FE18-9FD5BF0A8F18}"/>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209924" y="4391025"/>
          <a:ext cx="1209675" cy="120967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9524</xdr:colOff>
      <xdr:row>21</xdr:row>
      <xdr:rowOff>9525</xdr:rowOff>
    </xdr:from>
    <xdr:to>
      <xdr:col>11</xdr:col>
      <xdr:colOff>429683</xdr:colOff>
      <xdr:row>27</xdr:row>
      <xdr:rowOff>76200</xdr:rowOff>
    </xdr:to>
    <xdr:pic>
      <xdr:nvPicPr>
        <xdr:cNvPr id="10" name="Рисунок 9" descr="Citlali_Icon">
          <a:extLst>
            <a:ext uri="{FF2B5EF4-FFF2-40B4-BE49-F238E27FC236}">
              <a16:creationId xmlns:a16="http://schemas.microsoft.com/office/drawing/2014/main" id="{8B76F2A2-C9AB-4BBA-2228-DADA7F6CDAF5}"/>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362699" y="4381500"/>
          <a:ext cx="1209675" cy="1209675"/>
        </a:xfrm>
        <a:prstGeom prst="rect">
          <a:avLst/>
        </a:prstGeom>
        <a:solidFill>
          <a:sysClr val="window" lastClr="FFFFFF"/>
        </a:solidFill>
        <a:ln>
          <a:solidFill>
            <a:sysClr val="windowText" lastClr="000000"/>
          </a:solidFill>
        </a:ln>
      </xdr:spPr>
    </xdr:pic>
    <xdr:clientData/>
  </xdr:twoCellAnchor>
  <xdr:twoCellAnchor editAs="oneCell">
    <xdr:from>
      <xdr:col>0</xdr:col>
      <xdr:colOff>0</xdr:colOff>
      <xdr:row>31</xdr:row>
      <xdr:rowOff>9525</xdr:rowOff>
    </xdr:from>
    <xdr:to>
      <xdr:col>2</xdr:col>
      <xdr:colOff>0</xdr:colOff>
      <xdr:row>37</xdr:row>
      <xdr:rowOff>66675</xdr:rowOff>
    </xdr:to>
    <xdr:pic>
      <xdr:nvPicPr>
        <xdr:cNvPr id="11" name="Рисунок 10" descr="Изображение пина-истории">
          <a:extLst>
            <a:ext uri="{FF2B5EF4-FFF2-40B4-BE49-F238E27FC236}">
              <a16:creationId xmlns:a16="http://schemas.microsoft.com/office/drawing/2014/main" id="{06C2BE77-BEAE-4FCE-0044-3D562114645A}"/>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6315075"/>
          <a:ext cx="1219200" cy="121920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9525</xdr:colOff>
      <xdr:row>31</xdr:row>
      <xdr:rowOff>9526</xdr:rowOff>
    </xdr:from>
    <xdr:to>
      <xdr:col>6</xdr:col>
      <xdr:colOff>600075</xdr:colOff>
      <xdr:row>37</xdr:row>
      <xdr:rowOff>47626</xdr:rowOff>
    </xdr:to>
    <xdr:pic>
      <xdr:nvPicPr>
        <xdr:cNvPr id="12" name="Рисунок 11" descr="Изображение пина-истории">
          <a:extLst>
            <a:ext uri="{FF2B5EF4-FFF2-40B4-BE49-F238E27FC236}">
              <a16:creationId xmlns:a16="http://schemas.microsoft.com/office/drawing/2014/main" id="{55E90CFE-470D-1E72-3B0A-133E1BBC3287}"/>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3219450" y="6315076"/>
          <a:ext cx="1200150" cy="120015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9525</xdr:colOff>
      <xdr:row>31</xdr:row>
      <xdr:rowOff>19050</xdr:rowOff>
    </xdr:from>
    <xdr:to>
      <xdr:col>11</xdr:col>
      <xdr:colOff>420159</xdr:colOff>
      <xdr:row>37</xdr:row>
      <xdr:rowOff>57150</xdr:rowOff>
    </xdr:to>
    <xdr:pic>
      <xdr:nvPicPr>
        <xdr:cNvPr id="13" name="Рисунок 12" descr="Изображение пина-истории">
          <a:extLst>
            <a:ext uri="{FF2B5EF4-FFF2-40B4-BE49-F238E27FC236}">
              <a16:creationId xmlns:a16="http://schemas.microsoft.com/office/drawing/2014/main" id="{AFFA236D-51AF-F9CF-16CB-392188A2F1F8}"/>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6362700" y="6324600"/>
          <a:ext cx="1200150" cy="120015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61</xdr:row>
      <xdr:rowOff>0</xdr:rowOff>
    </xdr:from>
    <xdr:to>
      <xdr:col>6</xdr:col>
      <xdr:colOff>600075</xdr:colOff>
      <xdr:row>67</xdr:row>
      <xdr:rowOff>66675</xdr:rowOff>
    </xdr:to>
    <xdr:pic>
      <xdr:nvPicPr>
        <xdr:cNvPr id="14" name="Рисунок 13" descr="Изображение пина-истории">
          <a:extLst>
            <a:ext uri="{FF2B5EF4-FFF2-40B4-BE49-F238E27FC236}">
              <a16:creationId xmlns:a16="http://schemas.microsoft.com/office/drawing/2014/main" id="{AC985B71-6816-26EE-4A1E-B85F4BEE7D31}"/>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3209925" y="12144375"/>
          <a:ext cx="1209675" cy="120967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xdr:row>
      <xdr:rowOff>9525</xdr:rowOff>
    </xdr:from>
    <xdr:to>
      <xdr:col>1</xdr:col>
      <xdr:colOff>600075</xdr:colOff>
      <xdr:row>47</xdr:row>
      <xdr:rowOff>57150</xdr:rowOff>
    </xdr:to>
    <xdr:pic>
      <xdr:nvPicPr>
        <xdr:cNvPr id="15" name="Рисунок 14" descr="Изображение пина-истории">
          <a:extLst>
            <a:ext uri="{FF2B5EF4-FFF2-40B4-BE49-F238E27FC236}">
              <a16:creationId xmlns:a16="http://schemas.microsoft.com/office/drawing/2014/main" id="{E91E88B2-07D9-868B-79BF-70958AAD3C04}"/>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0" y="8267700"/>
          <a:ext cx="1209675" cy="120967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xdr:row>
      <xdr:rowOff>9525</xdr:rowOff>
    </xdr:from>
    <xdr:to>
      <xdr:col>2</xdr:col>
      <xdr:colOff>0</xdr:colOff>
      <xdr:row>57</xdr:row>
      <xdr:rowOff>85725</xdr:rowOff>
    </xdr:to>
    <xdr:pic>
      <xdr:nvPicPr>
        <xdr:cNvPr id="16" name="Рисунок 15" descr="Изображение пина-истории">
          <a:extLst>
            <a:ext uri="{FF2B5EF4-FFF2-40B4-BE49-F238E27FC236}">
              <a16:creationId xmlns:a16="http://schemas.microsoft.com/office/drawing/2014/main" id="{3306F7D4-F93A-3445-DA4B-8D2D3D501396}"/>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0" y="10220325"/>
          <a:ext cx="1219200" cy="121920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9525</xdr:colOff>
      <xdr:row>51</xdr:row>
      <xdr:rowOff>9525</xdr:rowOff>
    </xdr:from>
    <xdr:to>
      <xdr:col>7</xdr:col>
      <xdr:colOff>0</xdr:colOff>
      <xdr:row>57</xdr:row>
      <xdr:rowOff>76200</xdr:rowOff>
    </xdr:to>
    <xdr:pic>
      <xdr:nvPicPr>
        <xdr:cNvPr id="17" name="Рисунок 16" descr="Изображение пина-истории">
          <a:extLst>
            <a:ext uri="{FF2B5EF4-FFF2-40B4-BE49-F238E27FC236}">
              <a16:creationId xmlns:a16="http://schemas.microsoft.com/office/drawing/2014/main" id="{46E527AF-F853-BDC1-2960-143BD35B939B}"/>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3219450" y="10220325"/>
          <a:ext cx="1209675" cy="120967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9525</xdr:colOff>
      <xdr:row>41</xdr:row>
      <xdr:rowOff>9525</xdr:rowOff>
    </xdr:from>
    <xdr:to>
      <xdr:col>11</xdr:col>
      <xdr:colOff>433917</xdr:colOff>
      <xdr:row>47</xdr:row>
      <xdr:rowOff>57150</xdr:rowOff>
    </xdr:to>
    <xdr:pic>
      <xdr:nvPicPr>
        <xdr:cNvPr id="18" name="Рисунок 17" descr="Изображение пина-истории">
          <a:extLst>
            <a:ext uri="{FF2B5EF4-FFF2-40B4-BE49-F238E27FC236}">
              <a16:creationId xmlns:a16="http://schemas.microsoft.com/office/drawing/2014/main" id="{C89516DA-926C-3C99-DACB-0CA857FC3468}"/>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6362700" y="8267700"/>
          <a:ext cx="1209675" cy="1209675"/>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41</xdr:row>
      <xdr:rowOff>9525</xdr:rowOff>
    </xdr:from>
    <xdr:to>
      <xdr:col>7</xdr:col>
      <xdr:colOff>1</xdr:colOff>
      <xdr:row>47</xdr:row>
      <xdr:rowOff>66676</xdr:rowOff>
    </xdr:to>
    <xdr:pic>
      <xdr:nvPicPr>
        <xdr:cNvPr id="19" name="Рисунок 18" descr="Изображение пина-истории">
          <a:extLst>
            <a:ext uri="{FF2B5EF4-FFF2-40B4-BE49-F238E27FC236}">
              <a16:creationId xmlns:a16="http://schemas.microsoft.com/office/drawing/2014/main" id="{8BD224FA-D978-57C9-9E6F-185B8C5DF1ED}"/>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3209925" y="8267700"/>
          <a:ext cx="1219201" cy="1219201"/>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xdr:row>
      <xdr:rowOff>19051</xdr:rowOff>
    </xdr:from>
    <xdr:to>
      <xdr:col>1</xdr:col>
      <xdr:colOff>600074</xdr:colOff>
      <xdr:row>67</xdr:row>
      <xdr:rowOff>85725</xdr:rowOff>
    </xdr:to>
    <xdr:pic>
      <xdr:nvPicPr>
        <xdr:cNvPr id="20" name="Рисунок 19" descr="Изображение пина-истории">
          <a:extLst>
            <a:ext uri="{FF2B5EF4-FFF2-40B4-BE49-F238E27FC236}">
              <a16:creationId xmlns:a16="http://schemas.microsoft.com/office/drawing/2014/main" id="{121C8D20-9AE7-CDEC-A33E-9F07CAAD7523}"/>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0" y="12163426"/>
          <a:ext cx="1209674" cy="1209674"/>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51</xdr:row>
      <xdr:rowOff>9525</xdr:rowOff>
    </xdr:from>
    <xdr:to>
      <xdr:col>11</xdr:col>
      <xdr:colOff>433917</xdr:colOff>
      <xdr:row>57</xdr:row>
      <xdr:rowOff>85725</xdr:rowOff>
    </xdr:to>
    <xdr:pic>
      <xdr:nvPicPr>
        <xdr:cNvPr id="21" name="Рисунок 20">
          <a:extLst>
            <a:ext uri="{FF2B5EF4-FFF2-40B4-BE49-F238E27FC236}">
              <a16:creationId xmlns:a16="http://schemas.microsoft.com/office/drawing/2014/main" id="{AAEF6B93-4040-D128-E986-396A3191A7BE}"/>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6353175" y="10220325"/>
          <a:ext cx="1219200" cy="1219200"/>
        </a:xfrm>
        <a:prstGeom prst="rect">
          <a:avLst/>
        </a:prstGeom>
        <a:noFill/>
        <a:ln>
          <a:solidFill>
            <a:sysClr val="windowText" lastClr="000000"/>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61</xdr:row>
      <xdr:rowOff>0</xdr:rowOff>
    </xdr:from>
    <xdr:to>
      <xdr:col>11</xdr:col>
      <xdr:colOff>444871</xdr:colOff>
      <xdr:row>67</xdr:row>
      <xdr:rowOff>28575</xdr:rowOff>
    </xdr:to>
    <xdr:pic>
      <xdr:nvPicPr>
        <xdr:cNvPr id="22" name="Рисунок 21">
          <a:extLst>
            <a:ext uri="{FF2B5EF4-FFF2-40B4-BE49-F238E27FC236}">
              <a16:creationId xmlns:a16="http://schemas.microsoft.com/office/drawing/2014/main" id="{B93E24BC-F47B-C5C8-5C04-BB969FD211E8}"/>
            </a:ext>
          </a:extLst>
        </xdr:cNvPr>
        <xdr:cNvPicPr>
          <a:picLocks noChangeAspect="1"/>
        </xdr:cNvPicPr>
      </xdr:nvPicPr>
      <xdr:blipFill>
        <a:blip xmlns:r="http://schemas.openxmlformats.org/officeDocument/2006/relationships" r:embed="rId21"/>
        <a:stretch>
          <a:fillRect/>
        </a:stretch>
      </xdr:blipFill>
      <xdr:spPr>
        <a:xfrm>
          <a:off x="6353175" y="12144375"/>
          <a:ext cx="1230154" cy="1171575"/>
        </a:xfrm>
        <a:prstGeom prst="rect">
          <a:avLst/>
        </a:prstGeom>
        <a:ln>
          <a:solidFill>
            <a:sysClr val="windowText" lastClr="000000"/>
          </a:solidFill>
        </a:ln>
      </xdr:spPr>
    </xdr:pic>
    <xdr:clientData/>
  </xdr:twoCellAnchor>
  <mc:AlternateContent xmlns:mc="http://schemas.openxmlformats.org/markup-compatibility/2006">
    <mc:Choice xmlns:a14="http://schemas.microsoft.com/office/drawing/2010/main" Requires="a14">
      <xdr:twoCellAnchor editAs="oneCell">
        <xdr:from>
          <xdr:col>3</xdr:col>
          <xdr:colOff>104775</xdr:colOff>
          <xdr:row>35</xdr:row>
          <xdr:rowOff>0</xdr:rowOff>
        </xdr:from>
        <xdr:to>
          <xdr:col>3</xdr:col>
          <xdr:colOff>495300</xdr:colOff>
          <xdr:row>35</xdr:row>
          <xdr:rowOff>200025</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2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35</xdr:row>
          <xdr:rowOff>0</xdr:rowOff>
        </xdr:from>
        <xdr:to>
          <xdr:col>8</xdr:col>
          <xdr:colOff>495300</xdr:colOff>
          <xdr:row>35</xdr:row>
          <xdr:rowOff>200025</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2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35</xdr:row>
          <xdr:rowOff>0</xdr:rowOff>
        </xdr:from>
        <xdr:to>
          <xdr:col>13</xdr:col>
          <xdr:colOff>495300</xdr:colOff>
          <xdr:row>35</xdr:row>
          <xdr:rowOff>200025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2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45</xdr:row>
          <xdr:rowOff>0</xdr:rowOff>
        </xdr:from>
        <xdr:to>
          <xdr:col>3</xdr:col>
          <xdr:colOff>495300</xdr:colOff>
          <xdr:row>45</xdr:row>
          <xdr:rowOff>200025</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2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45</xdr:row>
          <xdr:rowOff>0</xdr:rowOff>
        </xdr:from>
        <xdr:to>
          <xdr:col>8</xdr:col>
          <xdr:colOff>495300</xdr:colOff>
          <xdr:row>45</xdr:row>
          <xdr:rowOff>200025</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2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45</xdr:row>
          <xdr:rowOff>0</xdr:rowOff>
        </xdr:from>
        <xdr:to>
          <xdr:col>13</xdr:col>
          <xdr:colOff>495300</xdr:colOff>
          <xdr:row>45</xdr:row>
          <xdr:rowOff>200025</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2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55</xdr:row>
          <xdr:rowOff>0</xdr:rowOff>
        </xdr:from>
        <xdr:to>
          <xdr:col>3</xdr:col>
          <xdr:colOff>495300</xdr:colOff>
          <xdr:row>56</xdr:row>
          <xdr:rowOff>9525</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2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55</xdr:row>
          <xdr:rowOff>0</xdr:rowOff>
        </xdr:from>
        <xdr:to>
          <xdr:col>8</xdr:col>
          <xdr:colOff>495300</xdr:colOff>
          <xdr:row>56</xdr:row>
          <xdr:rowOff>9525</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200-00004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55</xdr:row>
          <xdr:rowOff>0</xdr:rowOff>
        </xdr:from>
        <xdr:to>
          <xdr:col>13</xdr:col>
          <xdr:colOff>495300</xdr:colOff>
          <xdr:row>56</xdr:row>
          <xdr:rowOff>9525</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2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65</xdr:row>
          <xdr:rowOff>0</xdr:rowOff>
        </xdr:from>
        <xdr:to>
          <xdr:col>13</xdr:col>
          <xdr:colOff>495300</xdr:colOff>
          <xdr:row>66</xdr:row>
          <xdr:rowOff>9525</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2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65</xdr:row>
          <xdr:rowOff>0</xdr:rowOff>
        </xdr:from>
        <xdr:to>
          <xdr:col>8</xdr:col>
          <xdr:colOff>495300</xdr:colOff>
          <xdr:row>66</xdr:row>
          <xdr:rowOff>9525</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2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65</xdr:row>
          <xdr:rowOff>0</xdr:rowOff>
        </xdr:from>
        <xdr:to>
          <xdr:col>3</xdr:col>
          <xdr:colOff>495300</xdr:colOff>
          <xdr:row>66</xdr:row>
          <xdr:rowOff>9525</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2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xdr:row>
          <xdr:rowOff>219075</xdr:rowOff>
        </xdr:from>
        <xdr:to>
          <xdr:col>23</xdr:col>
          <xdr:colOff>790574</xdr:colOff>
          <xdr:row>3</xdr:row>
          <xdr:rowOff>9525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2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3</xdr:row>
          <xdr:rowOff>9525</xdr:rowOff>
        </xdr:from>
        <xdr:to>
          <xdr:col>23</xdr:col>
          <xdr:colOff>85724</xdr:colOff>
          <xdr:row>4</xdr:row>
          <xdr:rowOff>19050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2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6% аффикса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161925</xdr:colOff>
          <xdr:row>3</xdr:row>
          <xdr:rowOff>9525</xdr:rowOff>
        </xdr:from>
        <xdr:to>
          <xdr:col>23</xdr:col>
          <xdr:colOff>857250</xdr:colOff>
          <xdr:row>4</xdr:row>
          <xdr:rowOff>19050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2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15% аффикса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xdr:row>
          <xdr:rowOff>219075</xdr:rowOff>
        </xdr:from>
        <xdr:to>
          <xdr:col>23</xdr:col>
          <xdr:colOff>800099</xdr:colOff>
          <xdr:row>5</xdr:row>
          <xdr:rowOff>19050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2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19050</xdr:colOff>
          <xdr:row>4</xdr:row>
          <xdr:rowOff>209550</xdr:rowOff>
        </xdr:from>
        <xdr:to>
          <xdr:col>23</xdr:col>
          <xdr:colOff>809624</xdr:colOff>
          <xdr:row>6</xdr:row>
          <xdr:rowOff>19050</xdr:rowOff>
        </xdr:to>
        <xdr:sp macro="" textlink="">
          <xdr:nvSpPr>
            <xdr:cNvPr id="6264" name="Check Box 120" hidden="1">
              <a:extLst>
                <a:ext uri="{63B3BB69-23CF-44E3-9099-C40C66FF867C}">
                  <a14:compatExt spid="_x0000_s6264"/>
                </a:ext>
                <a:ext uri="{FF2B5EF4-FFF2-40B4-BE49-F238E27FC236}">
                  <a16:creationId xmlns:a16="http://schemas.microsoft.com/office/drawing/2014/main" id="{00000000-0008-0000-0200-00007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28575</xdr:colOff>
          <xdr:row>5</xdr:row>
          <xdr:rowOff>200025</xdr:rowOff>
        </xdr:from>
        <xdr:to>
          <xdr:col>23</xdr:col>
          <xdr:colOff>819149</xdr:colOff>
          <xdr:row>7</xdr:row>
          <xdr:rowOff>9525</xdr:rowOff>
        </xdr:to>
        <xdr:sp macro="" textlink="">
          <xdr:nvSpPr>
            <xdr:cNvPr id="6265" name="Check Box 121" hidden="1">
              <a:extLst>
                <a:ext uri="{63B3BB69-23CF-44E3-9099-C40C66FF867C}">
                  <a14:compatExt spid="_x0000_s6265"/>
                </a:ext>
                <a:ext uri="{FF2B5EF4-FFF2-40B4-BE49-F238E27FC236}">
                  <a16:creationId xmlns:a16="http://schemas.microsoft.com/office/drawing/2014/main" id="{00000000-0008-0000-0200-00007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6</xdr:row>
          <xdr:rowOff>209550</xdr:rowOff>
        </xdr:from>
        <xdr:to>
          <xdr:col>23</xdr:col>
          <xdr:colOff>828674</xdr:colOff>
          <xdr:row>8</xdr:row>
          <xdr:rowOff>19050</xdr:rowOff>
        </xdr:to>
        <xdr:sp macro="" textlink="">
          <xdr:nvSpPr>
            <xdr:cNvPr id="6266" name="Check Box 122" hidden="1">
              <a:extLst>
                <a:ext uri="{63B3BB69-23CF-44E3-9099-C40C66FF867C}">
                  <a14:compatExt spid="_x0000_s6266"/>
                </a:ext>
                <a:ext uri="{FF2B5EF4-FFF2-40B4-BE49-F238E27FC236}">
                  <a16:creationId xmlns:a16="http://schemas.microsoft.com/office/drawing/2014/main" id="{00000000-0008-0000-0200-00007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7</xdr:row>
          <xdr:rowOff>200025</xdr:rowOff>
        </xdr:from>
        <xdr:to>
          <xdr:col>23</xdr:col>
          <xdr:colOff>838199</xdr:colOff>
          <xdr:row>9</xdr:row>
          <xdr:rowOff>9525</xdr:rowOff>
        </xdr:to>
        <xdr:sp macro="" textlink="">
          <xdr:nvSpPr>
            <xdr:cNvPr id="6267" name="Check Box 123" hidden="1">
              <a:extLst>
                <a:ext uri="{63B3BB69-23CF-44E3-9099-C40C66FF867C}">
                  <a14:compatExt spid="_x0000_s6267"/>
                </a:ext>
                <a:ext uri="{FF2B5EF4-FFF2-40B4-BE49-F238E27FC236}">
                  <a16:creationId xmlns:a16="http://schemas.microsoft.com/office/drawing/2014/main" id="{00000000-0008-0000-0200-00007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8</xdr:row>
          <xdr:rowOff>200025</xdr:rowOff>
        </xdr:from>
        <xdr:to>
          <xdr:col>23</xdr:col>
          <xdr:colOff>838199</xdr:colOff>
          <xdr:row>10</xdr:row>
          <xdr:rowOff>9525</xdr:rowOff>
        </xdr:to>
        <xdr:sp macro="" textlink="">
          <xdr:nvSpPr>
            <xdr:cNvPr id="6268" name="Check Box 124" hidden="1">
              <a:extLst>
                <a:ext uri="{63B3BB69-23CF-44E3-9099-C40C66FF867C}">
                  <a14:compatExt spid="_x0000_s6268"/>
                </a:ext>
                <a:ext uri="{FF2B5EF4-FFF2-40B4-BE49-F238E27FC236}">
                  <a16:creationId xmlns:a16="http://schemas.microsoft.com/office/drawing/2014/main" id="{00000000-0008-0000-0200-00007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9</xdr:row>
          <xdr:rowOff>200025</xdr:rowOff>
        </xdr:from>
        <xdr:to>
          <xdr:col>23</xdr:col>
          <xdr:colOff>847724</xdr:colOff>
          <xdr:row>11</xdr:row>
          <xdr:rowOff>0</xdr:rowOff>
        </xdr:to>
        <xdr:sp macro="" textlink="">
          <xdr:nvSpPr>
            <xdr:cNvPr id="6269" name="Check Box 125" hidden="1">
              <a:extLst>
                <a:ext uri="{63B3BB69-23CF-44E3-9099-C40C66FF867C}">
                  <a14:compatExt spid="_x0000_s6269"/>
                </a:ext>
                <a:ext uri="{FF2B5EF4-FFF2-40B4-BE49-F238E27FC236}">
                  <a16:creationId xmlns:a16="http://schemas.microsoft.com/office/drawing/2014/main" id="{00000000-0008-0000-0200-00007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209550</xdr:rowOff>
        </xdr:from>
        <xdr:to>
          <xdr:col>23</xdr:col>
          <xdr:colOff>847724</xdr:colOff>
          <xdr:row>12</xdr:row>
          <xdr:rowOff>9525</xdr:rowOff>
        </xdr:to>
        <xdr:sp macro="" textlink="">
          <xdr:nvSpPr>
            <xdr:cNvPr id="6270" name="Check Box 126" hidden="1">
              <a:extLst>
                <a:ext uri="{63B3BB69-23CF-44E3-9099-C40C66FF867C}">
                  <a14:compatExt spid="_x0000_s6270"/>
                </a:ext>
                <a:ext uri="{FF2B5EF4-FFF2-40B4-BE49-F238E27FC236}">
                  <a16:creationId xmlns:a16="http://schemas.microsoft.com/office/drawing/2014/main" id="{00000000-0008-0000-0200-00007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12</xdr:row>
          <xdr:rowOff>9525</xdr:rowOff>
        </xdr:from>
        <xdr:to>
          <xdr:col>23</xdr:col>
          <xdr:colOff>857249</xdr:colOff>
          <xdr:row>13</xdr:row>
          <xdr:rowOff>28575</xdr:rowOff>
        </xdr:to>
        <xdr:sp macro="" textlink="">
          <xdr:nvSpPr>
            <xdr:cNvPr id="6271" name="Check Box 127" hidden="1">
              <a:extLst>
                <a:ext uri="{63B3BB69-23CF-44E3-9099-C40C66FF867C}">
                  <a14:compatExt spid="_x0000_s6271"/>
                </a:ext>
                <a:ext uri="{FF2B5EF4-FFF2-40B4-BE49-F238E27FC236}">
                  <a16:creationId xmlns:a16="http://schemas.microsoft.com/office/drawing/2014/main" id="{00000000-0008-0000-0200-00007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13</xdr:row>
          <xdr:rowOff>19050</xdr:rowOff>
        </xdr:from>
        <xdr:to>
          <xdr:col>23</xdr:col>
          <xdr:colOff>857249</xdr:colOff>
          <xdr:row>14</xdr:row>
          <xdr:rowOff>38100</xdr:rowOff>
        </xdr:to>
        <xdr:sp macro="" textlink="">
          <xdr:nvSpPr>
            <xdr:cNvPr id="6272" name="Check Box 128" hidden="1">
              <a:extLst>
                <a:ext uri="{63B3BB69-23CF-44E3-9099-C40C66FF867C}">
                  <a14:compatExt spid="_x0000_s6272"/>
                </a:ext>
                <a:ext uri="{FF2B5EF4-FFF2-40B4-BE49-F238E27FC236}">
                  <a16:creationId xmlns:a16="http://schemas.microsoft.com/office/drawing/2014/main" id="{00000000-0008-0000-0200-00008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14</xdr:row>
          <xdr:rowOff>9525</xdr:rowOff>
        </xdr:from>
        <xdr:to>
          <xdr:col>23</xdr:col>
          <xdr:colOff>857249</xdr:colOff>
          <xdr:row>15</xdr:row>
          <xdr:rowOff>19050</xdr:rowOff>
        </xdr:to>
        <xdr:sp macro="" textlink="">
          <xdr:nvSpPr>
            <xdr:cNvPr id="6273" name="Check Box 129" hidden="1">
              <a:extLst>
                <a:ext uri="{63B3BB69-23CF-44E3-9099-C40C66FF867C}">
                  <a14:compatExt spid="_x0000_s6273"/>
                </a:ext>
                <a:ext uri="{FF2B5EF4-FFF2-40B4-BE49-F238E27FC236}">
                  <a16:creationId xmlns:a16="http://schemas.microsoft.com/office/drawing/2014/main" id="{00000000-0008-0000-0200-00008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15</xdr:row>
          <xdr:rowOff>0</xdr:rowOff>
        </xdr:from>
        <xdr:to>
          <xdr:col>22</xdr:col>
          <xdr:colOff>581025</xdr:colOff>
          <xdr:row>16</xdr:row>
          <xdr:rowOff>38100</xdr:rowOff>
        </xdr:to>
        <xdr:sp macro="" textlink="">
          <xdr:nvSpPr>
            <xdr:cNvPr id="6281" name="Check Box 137" hidden="1">
              <a:extLst>
                <a:ext uri="{63B3BB69-23CF-44E3-9099-C40C66FF867C}">
                  <a14:compatExt spid="_x0000_s6281"/>
                </a:ext>
                <a:ext uri="{FF2B5EF4-FFF2-40B4-BE49-F238E27FC236}">
                  <a16:creationId xmlns:a16="http://schemas.microsoft.com/office/drawing/2014/main" id="{00000000-0008-0000-0200-00008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40%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15</xdr:row>
          <xdr:rowOff>219075</xdr:rowOff>
        </xdr:from>
        <xdr:to>
          <xdr:col>23</xdr:col>
          <xdr:colOff>895349</xdr:colOff>
          <xdr:row>17</xdr:row>
          <xdr:rowOff>19050</xdr:rowOff>
        </xdr:to>
        <xdr:sp macro="" textlink="">
          <xdr:nvSpPr>
            <xdr:cNvPr id="6282" name="Check Box 138" hidden="1">
              <a:extLst>
                <a:ext uri="{63B3BB69-23CF-44E3-9099-C40C66FF867C}">
                  <a14:compatExt spid="_x0000_s6282"/>
                </a:ext>
                <a:ext uri="{FF2B5EF4-FFF2-40B4-BE49-F238E27FC236}">
                  <a16:creationId xmlns:a16="http://schemas.microsoft.com/office/drawing/2014/main" id="{00000000-0008-0000-0200-00008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17</xdr:row>
          <xdr:rowOff>9525</xdr:rowOff>
        </xdr:from>
        <xdr:to>
          <xdr:col>23</xdr:col>
          <xdr:colOff>895349</xdr:colOff>
          <xdr:row>18</xdr:row>
          <xdr:rowOff>28575</xdr:rowOff>
        </xdr:to>
        <xdr:sp macro="" textlink="">
          <xdr:nvSpPr>
            <xdr:cNvPr id="6283" name="Check Box 139" hidden="1">
              <a:extLst>
                <a:ext uri="{63B3BB69-23CF-44E3-9099-C40C66FF867C}">
                  <a14:compatExt spid="_x0000_s6283"/>
                </a:ext>
                <a:ext uri="{FF2B5EF4-FFF2-40B4-BE49-F238E27FC236}">
                  <a16:creationId xmlns:a16="http://schemas.microsoft.com/office/drawing/2014/main" id="{00000000-0008-0000-0200-00008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123825</xdr:colOff>
          <xdr:row>18</xdr:row>
          <xdr:rowOff>0</xdr:rowOff>
        </xdr:from>
        <xdr:to>
          <xdr:col>23</xdr:col>
          <xdr:colOff>914399</xdr:colOff>
          <xdr:row>19</xdr:row>
          <xdr:rowOff>38100</xdr:rowOff>
        </xdr:to>
        <xdr:sp macro="" textlink="">
          <xdr:nvSpPr>
            <xdr:cNvPr id="6284" name="Check Box 140" hidden="1">
              <a:extLst>
                <a:ext uri="{63B3BB69-23CF-44E3-9099-C40C66FF867C}">
                  <a14:compatExt spid="_x0000_s6284"/>
                </a:ext>
                <a:ext uri="{FF2B5EF4-FFF2-40B4-BE49-F238E27FC236}">
                  <a16:creationId xmlns:a16="http://schemas.microsoft.com/office/drawing/2014/main" id="{00000000-0008-0000-0200-00008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xdr:row>
          <xdr:rowOff>9525</xdr:rowOff>
        </xdr:from>
        <xdr:to>
          <xdr:col>30</xdr:col>
          <xdr:colOff>590550</xdr:colOff>
          <xdr:row>3</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2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19050</xdr:colOff>
          <xdr:row>3</xdr:row>
          <xdr:rowOff>9525</xdr:rowOff>
        </xdr:from>
        <xdr:to>
          <xdr:col>31</xdr:col>
          <xdr:colOff>1</xdr:colOff>
          <xdr:row>4</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2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4</xdr:row>
          <xdr:rowOff>9525</xdr:rowOff>
        </xdr:from>
        <xdr:to>
          <xdr:col>31</xdr:col>
          <xdr:colOff>1</xdr:colOff>
          <xdr:row>5</xdr:row>
          <xdr:rowOff>28575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2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5</xdr:row>
          <xdr:rowOff>9525</xdr:rowOff>
        </xdr:from>
        <xdr:to>
          <xdr:col>31</xdr:col>
          <xdr:colOff>1</xdr:colOff>
          <xdr:row>6</xdr:row>
          <xdr:rowOff>28575</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2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5</xdr:row>
          <xdr:rowOff>219075</xdr:rowOff>
        </xdr:from>
        <xdr:to>
          <xdr:col>31</xdr:col>
          <xdr:colOff>1</xdr:colOff>
          <xdr:row>7</xdr:row>
          <xdr:rowOff>9525</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2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7</xdr:row>
          <xdr:rowOff>0</xdr:rowOff>
        </xdr:from>
        <xdr:to>
          <xdr:col>31</xdr:col>
          <xdr:colOff>1</xdr:colOff>
          <xdr:row>8</xdr:row>
          <xdr:rowOff>9525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2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8</xdr:row>
          <xdr:rowOff>0</xdr:rowOff>
        </xdr:from>
        <xdr:to>
          <xdr:col>31</xdr:col>
          <xdr:colOff>1</xdr:colOff>
          <xdr:row>9</xdr:row>
          <xdr:rowOff>9525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2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xdr:colOff>
          <xdr:row>9</xdr:row>
          <xdr:rowOff>19050</xdr:rowOff>
        </xdr:from>
        <xdr:to>
          <xdr:col>31</xdr:col>
          <xdr:colOff>1</xdr:colOff>
          <xdr:row>10</xdr:row>
          <xdr:rowOff>28575</xdr:rowOff>
        </xdr:to>
        <xdr:sp macro="" textlink="">
          <xdr:nvSpPr>
            <xdr:cNvPr id="6319" name="Check Box 175" hidden="1">
              <a:extLst>
                <a:ext uri="{63B3BB69-23CF-44E3-9099-C40C66FF867C}">
                  <a14:compatExt spid="_x0000_s6319"/>
                </a:ext>
                <a:ext uri="{FF2B5EF4-FFF2-40B4-BE49-F238E27FC236}">
                  <a16:creationId xmlns:a16="http://schemas.microsoft.com/office/drawing/2014/main" id="{00000000-0008-0000-0200-0000A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38100</xdr:colOff>
          <xdr:row>10</xdr:row>
          <xdr:rowOff>9525</xdr:rowOff>
        </xdr:from>
        <xdr:to>
          <xdr:col>31</xdr:col>
          <xdr:colOff>28576</xdr:colOff>
          <xdr:row>11</xdr:row>
          <xdr:rowOff>9525</xdr:rowOff>
        </xdr:to>
        <xdr:sp macro="" textlink="">
          <xdr:nvSpPr>
            <xdr:cNvPr id="6322" name="Check Box 178" hidden="1">
              <a:extLst>
                <a:ext uri="{63B3BB69-23CF-44E3-9099-C40C66FF867C}">
                  <a14:compatExt spid="_x0000_s6322"/>
                </a:ext>
                <a:ext uri="{FF2B5EF4-FFF2-40B4-BE49-F238E27FC236}">
                  <a16:creationId xmlns:a16="http://schemas.microsoft.com/office/drawing/2014/main" id="{00000000-0008-0000-0200-0000B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28575</xdr:colOff>
          <xdr:row>11</xdr:row>
          <xdr:rowOff>28575</xdr:rowOff>
        </xdr:from>
        <xdr:to>
          <xdr:col>31</xdr:col>
          <xdr:colOff>19051</xdr:colOff>
          <xdr:row>12</xdr:row>
          <xdr:rowOff>38100</xdr:rowOff>
        </xdr:to>
        <xdr:sp macro="" textlink="">
          <xdr:nvSpPr>
            <xdr:cNvPr id="6323" name="Check Box 179" hidden="1">
              <a:extLst>
                <a:ext uri="{63B3BB69-23CF-44E3-9099-C40C66FF867C}">
                  <a14:compatExt spid="_x0000_s6323"/>
                </a:ext>
                <a:ext uri="{FF2B5EF4-FFF2-40B4-BE49-F238E27FC236}">
                  <a16:creationId xmlns:a16="http://schemas.microsoft.com/office/drawing/2014/main" id="{00000000-0008-0000-0200-0000B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28575</xdr:colOff>
          <xdr:row>12</xdr:row>
          <xdr:rowOff>9525</xdr:rowOff>
        </xdr:from>
        <xdr:to>
          <xdr:col>31</xdr:col>
          <xdr:colOff>19051</xdr:colOff>
          <xdr:row>13</xdr:row>
          <xdr:rowOff>19050</xdr:rowOff>
        </xdr:to>
        <xdr:sp macro="" textlink="">
          <xdr:nvSpPr>
            <xdr:cNvPr id="6324" name="Check Box 180" hidden="1">
              <a:extLst>
                <a:ext uri="{63B3BB69-23CF-44E3-9099-C40C66FF867C}">
                  <a14:compatExt spid="_x0000_s6324"/>
                </a:ext>
                <a:ext uri="{FF2B5EF4-FFF2-40B4-BE49-F238E27FC236}">
                  <a16:creationId xmlns:a16="http://schemas.microsoft.com/office/drawing/2014/main" id="{00000000-0008-0000-0200-0000B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2</xdr:row>
          <xdr:rowOff>28575</xdr:rowOff>
        </xdr:from>
        <xdr:to>
          <xdr:col>37</xdr:col>
          <xdr:colOff>304800</xdr:colOff>
          <xdr:row>3</xdr:row>
          <xdr:rowOff>9525</xdr:rowOff>
        </xdr:to>
        <xdr:sp macro="" textlink="">
          <xdr:nvSpPr>
            <xdr:cNvPr id="6364" name="Check Box 220" hidden="1">
              <a:extLst>
                <a:ext uri="{63B3BB69-23CF-44E3-9099-C40C66FF867C}">
                  <a14:compatExt spid="_x0000_s6364"/>
                </a:ext>
                <a:ext uri="{FF2B5EF4-FFF2-40B4-BE49-F238E27FC236}">
                  <a16:creationId xmlns:a16="http://schemas.microsoft.com/office/drawing/2014/main" id="{00000000-0008-0000-0200-0000D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19050</xdr:colOff>
          <xdr:row>2</xdr:row>
          <xdr:rowOff>200025</xdr:rowOff>
        </xdr:from>
        <xdr:to>
          <xdr:col>37</xdr:col>
          <xdr:colOff>285750</xdr:colOff>
          <xdr:row>4</xdr:row>
          <xdr:rowOff>19050</xdr:rowOff>
        </xdr:to>
        <xdr:sp macro="" textlink="">
          <xdr:nvSpPr>
            <xdr:cNvPr id="6365" name="Check Box 221" hidden="1">
              <a:extLst>
                <a:ext uri="{63B3BB69-23CF-44E3-9099-C40C66FF867C}">
                  <a14:compatExt spid="_x0000_s6365"/>
                </a:ext>
                <a:ext uri="{FF2B5EF4-FFF2-40B4-BE49-F238E27FC236}">
                  <a16:creationId xmlns:a16="http://schemas.microsoft.com/office/drawing/2014/main" id="{00000000-0008-0000-0200-0000D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4</xdr:row>
          <xdr:rowOff>9525</xdr:rowOff>
        </xdr:from>
        <xdr:to>
          <xdr:col>37</xdr:col>
          <xdr:colOff>247650</xdr:colOff>
          <xdr:row>5</xdr:row>
          <xdr:rowOff>9525</xdr:rowOff>
        </xdr:to>
        <xdr:sp macro="" textlink="">
          <xdr:nvSpPr>
            <xdr:cNvPr id="6366" name="Check Box 222" hidden="1">
              <a:extLst>
                <a:ext uri="{63B3BB69-23CF-44E3-9099-C40C66FF867C}">
                  <a14:compatExt spid="_x0000_s6366"/>
                </a:ext>
                <a:ext uri="{FF2B5EF4-FFF2-40B4-BE49-F238E27FC236}">
                  <a16:creationId xmlns:a16="http://schemas.microsoft.com/office/drawing/2014/main" id="{00000000-0008-0000-0200-0000D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5</xdr:row>
          <xdr:rowOff>9525</xdr:rowOff>
        </xdr:from>
        <xdr:to>
          <xdr:col>37</xdr:col>
          <xdr:colOff>228600</xdr:colOff>
          <xdr:row>6</xdr:row>
          <xdr:rowOff>9525</xdr:rowOff>
        </xdr:to>
        <xdr:sp macro="" textlink="">
          <xdr:nvSpPr>
            <xdr:cNvPr id="6367" name="Check Box 223" hidden="1">
              <a:extLst>
                <a:ext uri="{63B3BB69-23CF-44E3-9099-C40C66FF867C}">
                  <a14:compatExt spid="_x0000_s6367"/>
                </a:ext>
                <a:ext uri="{FF2B5EF4-FFF2-40B4-BE49-F238E27FC236}">
                  <a16:creationId xmlns:a16="http://schemas.microsoft.com/office/drawing/2014/main" id="{00000000-0008-0000-0200-0000D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28575</xdr:colOff>
          <xdr:row>6</xdr:row>
          <xdr:rowOff>19050</xdr:rowOff>
        </xdr:from>
        <xdr:to>
          <xdr:col>37</xdr:col>
          <xdr:colOff>171450</xdr:colOff>
          <xdr:row>7</xdr:row>
          <xdr:rowOff>9525</xdr:rowOff>
        </xdr:to>
        <xdr:sp macro="" textlink="">
          <xdr:nvSpPr>
            <xdr:cNvPr id="6368" name="Check Box 224" hidden="1">
              <a:extLst>
                <a:ext uri="{63B3BB69-23CF-44E3-9099-C40C66FF867C}">
                  <a14:compatExt spid="_x0000_s6368"/>
                </a:ext>
                <a:ext uri="{FF2B5EF4-FFF2-40B4-BE49-F238E27FC236}">
                  <a16:creationId xmlns:a16="http://schemas.microsoft.com/office/drawing/2014/main" id="{00000000-0008-0000-0200-0000E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19050</xdr:colOff>
          <xdr:row>7</xdr:row>
          <xdr:rowOff>9525</xdr:rowOff>
        </xdr:from>
        <xdr:to>
          <xdr:col>37</xdr:col>
          <xdr:colOff>171450</xdr:colOff>
          <xdr:row>8</xdr:row>
          <xdr:rowOff>9525</xdr:rowOff>
        </xdr:to>
        <xdr:sp macro="" textlink="">
          <xdr:nvSpPr>
            <xdr:cNvPr id="6369" name="Check Box 225" hidden="1">
              <a:extLst>
                <a:ext uri="{63B3BB69-23CF-44E3-9099-C40C66FF867C}">
                  <a14:compatExt spid="_x0000_s6369"/>
                </a:ext>
                <a:ext uri="{FF2B5EF4-FFF2-40B4-BE49-F238E27FC236}">
                  <a16:creationId xmlns:a16="http://schemas.microsoft.com/office/drawing/2014/main" id="{00000000-0008-0000-0200-0000E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8</xdr:row>
          <xdr:rowOff>200025</xdr:rowOff>
        </xdr:from>
        <xdr:to>
          <xdr:col>37</xdr:col>
          <xdr:colOff>133350</xdr:colOff>
          <xdr:row>10</xdr:row>
          <xdr:rowOff>9525</xdr:rowOff>
        </xdr:to>
        <xdr:sp macro="" textlink="">
          <xdr:nvSpPr>
            <xdr:cNvPr id="6370" name="Check Box 226" hidden="1">
              <a:extLst>
                <a:ext uri="{63B3BB69-23CF-44E3-9099-C40C66FF867C}">
                  <a14:compatExt spid="_x0000_s6370"/>
                </a:ext>
                <a:ext uri="{FF2B5EF4-FFF2-40B4-BE49-F238E27FC236}">
                  <a16:creationId xmlns:a16="http://schemas.microsoft.com/office/drawing/2014/main" id="{00000000-0008-0000-0200-0000E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28575</xdr:colOff>
          <xdr:row>10</xdr:row>
          <xdr:rowOff>9525</xdr:rowOff>
        </xdr:from>
        <xdr:to>
          <xdr:col>37</xdr:col>
          <xdr:colOff>161925</xdr:colOff>
          <xdr:row>11</xdr:row>
          <xdr:rowOff>28575</xdr:rowOff>
        </xdr:to>
        <xdr:sp macro="" textlink="">
          <xdr:nvSpPr>
            <xdr:cNvPr id="6371" name="Check Box 227" hidden="1">
              <a:extLst>
                <a:ext uri="{63B3BB69-23CF-44E3-9099-C40C66FF867C}">
                  <a14:compatExt spid="_x0000_s6371"/>
                </a:ext>
                <a:ext uri="{FF2B5EF4-FFF2-40B4-BE49-F238E27FC236}">
                  <a16:creationId xmlns:a16="http://schemas.microsoft.com/office/drawing/2014/main" id="{00000000-0008-0000-0200-0000E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19050</xdr:colOff>
          <xdr:row>10</xdr:row>
          <xdr:rowOff>209550</xdr:rowOff>
        </xdr:from>
        <xdr:to>
          <xdr:col>37</xdr:col>
          <xdr:colOff>95250</xdr:colOff>
          <xdr:row>12</xdr:row>
          <xdr:rowOff>19050</xdr:rowOff>
        </xdr:to>
        <xdr:sp macro="" textlink="">
          <xdr:nvSpPr>
            <xdr:cNvPr id="6375" name="Check Box 231" hidden="1">
              <a:extLst>
                <a:ext uri="{63B3BB69-23CF-44E3-9099-C40C66FF867C}">
                  <a14:compatExt spid="_x0000_s6375"/>
                </a:ext>
                <a:ext uri="{FF2B5EF4-FFF2-40B4-BE49-F238E27FC236}">
                  <a16:creationId xmlns:a16="http://schemas.microsoft.com/office/drawing/2014/main" id="{00000000-0008-0000-0200-0000E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38100</xdr:colOff>
          <xdr:row>11</xdr:row>
          <xdr:rowOff>200025</xdr:rowOff>
        </xdr:from>
        <xdr:to>
          <xdr:col>37</xdr:col>
          <xdr:colOff>152400</xdr:colOff>
          <xdr:row>13</xdr:row>
          <xdr:rowOff>28575</xdr:rowOff>
        </xdr:to>
        <xdr:sp macro="" textlink="">
          <xdr:nvSpPr>
            <xdr:cNvPr id="6376" name="Check Box 232" hidden="1">
              <a:extLst>
                <a:ext uri="{63B3BB69-23CF-44E3-9099-C40C66FF867C}">
                  <a14:compatExt spid="_x0000_s6376"/>
                </a:ext>
                <a:ext uri="{FF2B5EF4-FFF2-40B4-BE49-F238E27FC236}">
                  <a16:creationId xmlns:a16="http://schemas.microsoft.com/office/drawing/2014/main" id="{00000000-0008-0000-0200-0000E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28575</xdr:colOff>
          <xdr:row>7</xdr:row>
          <xdr:rowOff>200025</xdr:rowOff>
        </xdr:from>
        <xdr:to>
          <xdr:col>37</xdr:col>
          <xdr:colOff>85725</xdr:colOff>
          <xdr:row>9</xdr:row>
          <xdr:rowOff>19050</xdr:rowOff>
        </xdr:to>
        <xdr:sp macro="" textlink="">
          <xdr:nvSpPr>
            <xdr:cNvPr id="6377" name="Check Box 233" hidden="1">
              <a:extLst>
                <a:ext uri="{63B3BB69-23CF-44E3-9099-C40C66FF867C}">
                  <a14:compatExt spid="_x0000_s6377"/>
                </a:ext>
                <a:ext uri="{FF2B5EF4-FFF2-40B4-BE49-F238E27FC236}">
                  <a16:creationId xmlns:a16="http://schemas.microsoft.com/office/drawing/2014/main" id="{00000000-0008-0000-0200-0000E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xdr:row>
          <xdr:rowOff>190500</xdr:rowOff>
        </xdr:from>
        <xdr:to>
          <xdr:col>44</xdr:col>
          <xdr:colOff>476249</xdr:colOff>
          <xdr:row>3</xdr:row>
          <xdr:rowOff>9525</xdr:rowOff>
        </xdr:to>
        <xdr:sp macro="" textlink="">
          <xdr:nvSpPr>
            <xdr:cNvPr id="6394" name="Check Box 250" hidden="1">
              <a:extLst>
                <a:ext uri="{63B3BB69-23CF-44E3-9099-C40C66FF867C}">
                  <a14:compatExt spid="_x0000_s6394"/>
                </a:ext>
                <a:ext uri="{FF2B5EF4-FFF2-40B4-BE49-F238E27FC236}">
                  <a16:creationId xmlns:a16="http://schemas.microsoft.com/office/drawing/2014/main" id="{00000000-0008-0000-0200-0000F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xdr:colOff>
          <xdr:row>2</xdr:row>
          <xdr:rowOff>190500</xdr:rowOff>
        </xdr:from>
        <xdr:to>
          <xdr:col>44</xdr:col>
          <xdr:colOff>409574</xdr:colOff>
          <xdr:row>4</xdr:row>
          <xdr:rowOff>28575</xdr:rowOff>
        </xdr:to>
        <xdr:sp macro="" textlink="">
          <xdr:nvSpPr>
            <xdr:cNvPr id="6395" name="Check Box 251" hidden="1">
              <a:extLst>
                <a:ext uri="{63B3BB69-23CF-44E3-9099-C40C66FF867C}">
                  <a14:compatExt spid="_x0000_s6395"/>
                </a:ext>
                <a:ext uri="{FF2B5EF4-FFF2-40B4-BE49-F238E27FC236}">
                  <a16:creationId xmlns:a16="http://schemas.microsoft.com/office/drawing/2014/main" id="{00000000-0008-0000-0200-0000F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28575</xdr:colOff>
          <xdr:row>4</xdr:row>
          <xdr:rowOff>9525</xdr:rowOff>
        </xdr:from>
        <xdr:to>
          <xdr:col>44</xdr:col>
          <xdr:colOff>409574</xdr:colOff>
          <xdr:row>5</xdr:row>
          <xdr:rowOff>28575</xdr:rowOff>
        </xdr:to>
        <xdr:sp macro="" textlink="">
          <xdr:nvSpPr>
            <xdr:cNvPr id="6396" name="Check Box 252" hidden="1">
              <a:extLst>
                <a:ext uri="{63B3BB69-23CF-44E3-9099-C40C66FF867C}">
                  <a14:compatExt spid="_x0000_s6396"/>
                </a:ext>
                <a:ext uri="{FF2B5EF4-FFF2-40B4-BE49-F238E27FC236}">
                  <a16:creationId xmlns:a16="http://schemas.microsoft.com/office/drawing/2014/main" id="{00000000-0008-0000-0200-0000F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28575</xdr:colOff>
          <xdr:row>5</xdr:row>
          <xdr:rowOff>0</xdr:rowOff>
        </xdr:from>
        <xdr:to>
          <xdr:col>44</xdr:col>
          <xdr:colOff>380999</xdr:colOff>
          <xdr:row>6</xdr:row>
          <xdr:rowOff>28575</xdr:rowOff>
        </xdr:to>
        <xdr:sp macro="" textlink="">
          <xdr:nvSpPr>
            <xdr:cNvPr id="6397" name="Check Box 253" hidden="1">
              <a:extLst>
                <a:ext uri="{63B3BB69-23CF-44E3-9099-C40C66FF867C}">
                  <a14:compatExt spid="_x0000_s6397"/>
                </a:ext>
                <a:ext uri="{FF2B5EF4-FFF2-40B4-BE49-F238E27FC236}">
                  <a16:creationId xmlns:a16="http://schemas.microsoft.com/office/drawing/2014/main" id="{00000000-0008-0000-0200-0000F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38100</xdr:colOff>
          <xdr:row>6</xdr:row>
          <xdr:rowOff>0</xdr:rowOff>
        </xdr:from>
        <xdr:to>
          <xdr:col>44</xdr:col>
          <xdr:colOff>352424</xdr:colOff>
          <xdr:row>7</xdr:row>
          <xdr:rowOff>28575</xdr:rowOff>
        </xdr:to>
        <xdr:sp macro="" textlink="">
          <xdr:nvSpPr>
            <xdr:cNvPr id="6398" name="Check Box 254" hidden="1">
              <a:extLst>
                <a:ext uri="{63B3BB69-23CF-44E3-9099-C40C66FF867C}">
                  <a14:compatExt spid="_x0000_s6398"/>
                </a:ext>
                <a:ext uri="{FF2B5EF4-FFF2-40B4-BE49-F238E27FC236}">
                  <a16:creationId xmlns:a16="http://schemas.microsoft.com/office/drawing/2014/main" id="{00000000-0008-0000-0200-0000F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38100</xdr:colOff>
          <xdr:row>7</xdr:row>
          <xdr:rowOff>19050</xdr:rowOff>
        </xdr:from>
        <xdr:to>
          <xdr:col>44</xdr:col>
          <xdr:colOff>361949</xdr:colOff>
          <xdr:row>8</xdr:row>
          <xdr:rowOff>28575</xdr:rowOff>
        </xdr:to>
        <xdr:sp macro="" textlink="">
          <xdr:nvSpPr>
            <xdr:cNvPr id="6399" name="Check Box 255" hidden="1">
              <a:extLst>
                <a:ext uri="{63B3BB69-23CF-44E3-9099-C40C66FF867C}">
                  <a14:compatExt spid="_x0000_s6399"/>
                </a:ext>
                <a:ext uri="{FF2B5EF4-FFF2-40B4-BE49-F238E27FC236}">
                  <a16:creationId xmlns:a16="http://schemas.microsoft.com/office/drawing/2014/main" id="{00000000-0008-0000-0200-0000F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38100</xdr:colOff>
          <xdr:row>8</xdr:row>
          <xdr:rowOff>9525</xdr:rowOff>
        </xdr:from>
        <xdr:to>
          <xdr:col>44</xdr:col>
          <xdr:colOff>352424</xdr:colOff>
          <xdr:row>9</xdr:row>
          <xdr:rowOff>28575</xdr:rowOff>
        </xdr:to>
        <xdr:sp macro="" textlink="">
          <xdr:nvSpPr>
            <xdr:cNvPr id="6400" name="Check Box 256" hidden="1">
              <a:extLst>
                <a:ext uri="{63B3BB69-23CF-44E3-9099-C40C66FF867C}">
                  <a14:compatExt spid="_x0000_s6400"/>
                </a:ext>
                <a:ext uri="{FF2B5EF4-FFF2-40B4-BE49-F238E27FC236}">
                  <a16:creationId xmlns:a16="http://schemas.microsoft.com/office/drawing/2014/main" id="{00000000-0008-0000-0200-00000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9</xdr:row>
          <xdr:rowOff>19050</xdr:rowOff>
        </xdr:from>
        <xdr:to>
          <xdr:col>44</xdr:col>
          <xdr:colOff>304799</xdr:colOff>
          <xdr:row>10</xdr:row>
          <xdr:rowOff>38100</xdr:rowOff>
        </xdr:to>
        <xdr:sp macro="" textlink="">
          <xdr:nvSpPr>
            <xdr:cNvPr id="6404" name="Check Box 260" hidden="1">
              <a:extLst>
                <a:ext uri="{63B3BB69-23CF-44E3-9099-C40C66FF867C}">
                  <a14:compatExt spid="_x0000_s6404"/>
                </a:ext>
                <a:ext uri="{FF2B5EF4-FFF2-40B4-BE49-F238E27FC236}">
                  <a16:creationId xmlns:a16="http://schemas.microsoft.com/office/drawing/2014/main" id="{00000000-0008-0000-0200-00000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10</xdr:row>
          <xdr:rowOff>9525</xdr:rowOff>
        </xdr:from>
        <xdr:to>
          <xdr:col>44</xdr:col>
          <xdr:colOff>295274</xdr:colOff>
          <xdr:row>11</xdr:row>
          <xdr:rowOff>9525</xdr:rowOff>
        </xdr:to>
        <xdr:sp macro="" textlink="">
          <xdr:nvSpPr>
            <xdr:cNvPr id="6405" name="Check Box 261" hidden="1">
              <a:extLst>
                <a:ext uri="{63B3BB69-23CF-44E3-9099-C40C66FF867C}">
                  <a14:compatExt spid="_x0000_s6405"/>
                </a:ext>
                <a:ext uri="{FF2B5EF4-FFF2-40B4-BE49-F238E27FC236}">
                  <a16:creationId xmlns:a16="http://schemas.microsoft.com/office/drawing/2014/main" id="{00000000-0008-0000-0200-00000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590550</xdr:colOff>
          <xdr:row>1</xdr:row>
          <xdr:rowOff>209550</xdr:rowOff>
        </xdr:from>
        <xdr:to>
          <xdr:col>51</xdr:col>
          <xdr:colOff>561976</xdr:colOff>
          <xdr:row>3</xdr:row>
          <xdr:rowOff>0</xdr:rowOff>
        </xdr:to>
        <xdr:sp macro="" textlink="">
          <xdr:nvSpPr>
            <xdr:cNvPr id="6438" name="Check Box 294" hidden="1">
              <a:extLst>
                <a:ext uri="{63B3BB69-23CF-44E3-9099-C40C66FF867C}">
                  <a14:compatExt spid="_x0000_s6438"/>
                </a:ext>
                <a:ext uri="{FF2B5EF4-FFF2-40B4-BE49-F238E27FC236}">
                  <a16:creationId xmlns:a16="http://schemas.microsoft.com/office/drawing/2014/main" id="{00000000-0008-0000-0200-00002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590550</xdr:colOff>
          <xdr:row>3</xdr:row>
          <xdr:rowOff>0</xdr:rowOff>
        </xdr:from>
        <xdr:to>
          <xdr:col>51</xdr:col>
          <xdr:colOff>523876</xdr:colOff>
          <xdr:row>4</xdr:row>
          <xdr:rowOff>9525</xdr:rowOff>
        </xdr:to>
        <xdr:sp macro="" textlink="">
          <xdr:nvSpPr>
            <xdr:cNvPr id="6439" name="Check Box 295" hidden="1">
              <a:extLst>
                <a:ext uri="{63B3BB69-23CF-44E3-9099-C40C66FF867C}">
                  <a14:compatExt spid="_x0000_s6439"/>
                </a:ext>
                <a:ext uri="{FF2B5EF4-FFF2-40B4-BE49-F238E27FC236}">
                  <a16:creationId xmlns:a16="http://schemas.microsoft.com/office/drawing/2014/main" id="{00000000-0008-0000-0200-00002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590550</xdr:colOff>
          <xdr:row>4</xdr:row>
          <xdr:rowOff>0</xdr:rowOff>
        </xdr:from>
        <xdr:to>
          <xdr:col>51</xdr:col>
          <xdr:colOff>561976</xdr:colOff>
          <xdr:row>5</xdr:row>
          <xdr:rowOff>9525</xdr:rowOff>
        </xdr:to>
        <xdr:sp macro="" textlink="">
          <xdr:nvSpPr>
            <xdr:cNvPr id="6440" name="Check Box 296" hidden="1">
              <a:extLst>
                <a:ext uri="{63B3BB69-23CF-44E3-9099-C40C66FF867C}">
                  <a14:compatExt spid="_x0000_s6440"/>
                </a:ext>
                <a:ext uri="{FF2B5EF4-FFF2-40B4-BE49-F238E27FC236}">
                  <a16:creationId xmlns:a16="http://schemas.microsoft.com/office/drawing/2014/main" id="{00000000-0008-0000-0200-00002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590550</xdr:colOff>
          <xdr:row>4</xdr:row>
          <xdr:rowOff>190500</xdr:rowOff>
        </xdr:from>
        <xdr:to>
          <xdr:col>51</xdr:col>
          <xdr:colOff>438151</xdr:colOff>
          <xdr:row>6</xdr:row>
          <xdr:rowOff>9525</xdr:rowOff>
        </xdr:to>
        <xdr:sp macro="" textlink="">
          <xdr:nvSpPr>
            <xdr:cNvPr id="6441" name="Check Box 297" hidden="1">
              <a:extLst>
                <a:ext uri="{63B3BB69-23CF-44E3-9099-C40C66FF867C}">
                  <a14:compatExt spid="_x0000_s6441"/>
                </a:ext>
                <a:ext uri="{FF2B5EF4-FFF2-40B4-BE49-F238E27FC236}">
                  <a16:creationId xmlns:a16="http://schemas.microsoft.com/office/drawing/2014/main" id="{00000000-0008-0000-0200-00002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590550</xdr:colOff>
          <xdr:row>5</xdr:row>
          <xdr:rowOff>200025</xdr:rowOff>
        </xdr:from>
        <xdr:to>
          <xdr:col>51</xdr:col>
          <xdr:colOff>419101</xdr:colOff>
          <xdr:row>7</xdr:row>
          <xdr:rowOff>0</xdr:rowOff>
        </xdr:to>
        <xdr:sp macro="" textlink="">
          <xdr:nvSpPr>
            <xdr:cNvPr id="6442" name="Check Box 298" hidden="1">
              <a:extLst>
                <a:ext uri="{63B3BB69-23CF-44E3-9099-C40C66FF867C}">
                  <a14:compatExt spid="_x0000_s6442"/>
                </a:ext>
                <a:ext uri="{FF2B5EF4-FFF2-40B4-BE49-F238E27FC236}">
                  <a16:creationId xmlns:a16="http://schemas.microsoft.com/office/drawing/2014/main" id="{00000000-0008-0000-0200-00002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590550</xdr:colOff>
          <xdr:row>6</xdr:row>
          <xdr:rowOff>200025</xdr:rowOff>
        </xdr:from>
        <xdr:to>
          <xdr:col>51</xdr:col>
          <xdr:colOff>466726</xdr:colOff>
          <xdr:row>8</xdr:row>
          <xdr:rowOff>0</xdr:rowOff>
        </xdr:to>
        <xdr:sp macro="" textlink="">
          <xdr:nvSpPr>
            <xdr:cNvPr id="6443" name="Check Box 299" hidden="1">
              <a:extLst>
                <a:ext uri="{63B3BB69-23CF-44E3-9099-C40C66FF867C}">
                  <a14:compatExt spid="_x0000_s6443"/>
                </a:ext>
                <a:ext uri="{FF2B5EF4-FFF2-40B4-BE49-F238E27FC236}">
                  <a16:creationId xmlns:a16="http://schemas.microsoft.com/office/drawing/2014/main" id="{00000000-0008-0000-0200-00002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590550</xdr:colOff>
          <xdr:row>8</xdr:row>
          <xdr:rowOff>9525</xdr:rowOff>
        </xdr:from>
        <xdr:to>
          <xdr:col>51</xdr:col>
          <xdr:colOff>409576</xdr:colOff>
          <xdr:row>9</xdr:row>
          <xdr:rowOff>9525</xdr:rowOff>
        </xdr:to>
        <xdr:sp macro="" textlink="">
          <xdr:nvSpPr>
            <xdr:cNvPr id="6444" name="Check Box 300" hidden="1">
              <a:extLst>
                <a:ext uri="{63B3BB69-23CF-44E3-9099-C40C66FF867C}">
                  <a14:compatExt spid="_x0000_s6444"/>
                </a:ext>
                <a:ext uri="{FF2B5EF4-FFF2-40B4-BE49-F238E27FC236}">
                  <a16:creationId xmlns:a16="http://schemas.microsoft.com/office/drawing/2014/main" id="{00000000-0008-0000-0200-00002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590550</xdr:colOff>
          <xdr:row>9</xdr:row>
          <xdr:rowOff>9525</xdr:rowOff>
        </xdr:from>
        <xdr:to>
          <xdr:col>51</xdr:col>
          <xdr:colOff>390526</xdr:colOff>
          <xdr:row>10</xdr:row>
          <xdr:rowOff>19050</xdr:rowOff>
        </xdr:to>
        <xdr:sp macro="" textlink="">
          <xdr:nvSpPr>
            <xdr:cNvPr id="6445" name="Check Box 301" hidden="1">
              <a:extLst>
                <a:ext uri="{63B3BB69-23CF-44E3-9099-C40C66FF867C}">
                  <a14:compatExt spid="_x0000_s6445"/>
                </a:ext>
                <a:ext uri="{FF2B5EF4-FFF2-40B4-BE49-F238E27FC236}">
                  <a16:creationId xmlns:a16="http://schemas.microsoft.com/office/drawing/2014/main" id="{00000000-0008-0000-0200-00002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590550</xdr:colOff>
          <xdr:row>10</xdr:row>
          <xdr:rowOff>9525</xdr:rowOff>
        </xdr:from>
        <xdr:to>
          <xdr:col>51</xdr:col>
          <xdr:colOff>381001</xdr:colOff>
          <xdr:row>11</xdr:row>
          <xdr:rowOff>9525</xdr:rowOff>
        </xdr:to>
        <xdr:sp macro="" textlink="">
          <xdr:nvSpPr>
            <xdr:cNvPr id="6446" name="Check Box 302" hidden="1">
              <a:extLst>
                <a:ext uri="{63B3BB69-23CF-44E3-9099-C40C66FF867C}">
                  <a14:compatExt spid="_x0000_s6446"/>
                </a:ext>
                <a:ext uri="{FF2B5EF4-FFF2-40B4-BE49-F238E27FC236}">
                  <a16:creationId xmlns:a16="http://schemas.microsoft.com/office/drawing/2014/main" id="{00000000-0008-0000-0200-00002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600075</xdr:colOff>
          <xdr:row>2</xdr:row>
          <xdr:rowOff>0</xdr:rowOff>
        </xdr:from>
        <xdr:to>
          <xdr:col>58</xdr:col>
          <xdr:colOff>523876</xdr:colOff>
          <xdr:row>3</xdr:row>
          <xdr:rowOff>9525</xdr:rowOff>
        </xdr:to>
        <xdr:sp macro="" textlink="">
          <xdr:nvSpPr>
            <xdr:cNvPr id="6479" name="Check Box 335" hidden="1">
              <a:extLst>
                <a:ext uri="{63B3BB69-23CF-44E3-9099-C40C66FF867C}">
                  <a14:compatExt spid="_x0000_s6479"/>
                </a:ext>
                <a:ext uri="{FF2B5EF4-FFF2-40B4-BE49-F238E27FC236}">
                  <a16:creationId xmlns:a16="http://schemas.microsoft.com/office/drawing/2014/main" id="{00000000-0008-0000-0200-00004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600075</xdr:colOff>
          <xdr:row>2</xdr:row>
          <xdr:rowOff>200025</xdr:rowOff>
        </xdr:from>
        <xdr:to>
          <xdr:col>58</xdr:col>
          <xdr:colOff>523876</xdr:colOff>
          <xdr:row>4</xdr:row>
          <xdr:rowOff>0</xdr:rowOff>
        </xdr:to>
        <xdr:sp macro="" textlink="">
          <xdr:nvSpPr>
            <xdr:cNvPr id="6480" name="Check Box 336" hidden="1">
              <a:extLst>
                <a:ext uri="{63B3BB69-23CF-44E3-9099-C40C66FF867C}">
                  <a14:compatExt spid="_x0000_s6480"/>
                </a:ext>
                <a:ext uri="{FF2B5EF4-FFF2-40B4-BE49-F238E27FC236}">
                  <a16:creationId xmlns:a16="http://schemas.microsoft.com/office/drawing/2014/main" id="{00000000-0008-0000-0200-00005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600075</xdr:colOff>
          <xdr:row>3</xdr:row>
          <xdr:rowOff>200025</xdr:rowOff>
        </xdr:from>
        <xdr:to>
          <xdr:col>58</xdr:col>
          <xdr:colOff>523876</xdr:colOff>
          <xdr:row>5</xdr:row>
          <xdr:rowOff>0</xdr:rowOff>
        </xdr:to>
        <xdr:sp macro="" textlink="">
          <xdr:nvSpPr>
            <xdr:cNvPr id="6481" name="Check Box 337" hidden="1">
              <a:extLst>
                <a:ext uri="{63B3BB69-23CF-44E3-9099-C40C66FF867C}">
                  <a14:compatExt spid="_x0000_s6481"/>
                </a:ext>
                <a:ext uri="{FF2B5EF4-FFF2-40B4-BE49-F238E27FC236}">
                  <a16:creationId xmlns:a16="http://schemas.microsoft.com/office/drawing/2014/main" id="{00000000-0008-0000-0200-00005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600075</xdr:colOff>
          <xdr:row>4</xdr:row>
          <xdr:rowOff>200025</xdr:rowOff>
        </xdr:from>
        <xdr:to>
          <xdr:col>58</xdr:col>
          <xdr:colOff>523876</xdr:colOff>
          <xdr:row>6</xdr:row>
          <xdr:rowOff>0</xdr:rowOff>
        </xdr:to>
        <xdr:sp macro="" textlink="">
          <xdr:nvSpPr>
            <xdr:cNvPr id="6482" name="Check Box 338" hidden="1">
              <a:extLst>
                <a:ext uri="{63B3BB69-23CF-44E3-9099-C40C66FF867C}">
                  <a14:compatExt spid="_x0000_s6482"/>
                </a:ext>
                <a:ext uri="{FF2B5EF4-FFF2-40B4-BE49-F238E27FC236}">
                  <a16:creationId xmlns:a16="http://schemas.microsoft.com/office/drawing/2014/main" id="{00000000-0008-0000-0200-00005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600075</xdr:colOff>
          <xdr:row>6</xdr:row>
          <xdr:rowOff>0</xdr:rowOff>
        </xdr:from>
        <xdr:to>
          <xdr:col>58</xdr:col>
          <xdr:colOff>523876</xdr:colOff>
          <xdr:row>7</xdr:row>
          <xdr:rowOff>9525</xdr:rowOff>
        </xdr:to>
        <xdr:sp macro="" textlink="">
          <xdr:nvSpPr>
            <xdr:cNvPr id="6483" name="Check Box 339" hidden="1">
              <a:extLst>
                <a:ext uri="{63B3BB69-23CF-44E3-9099-C40C66FF867C}">
                  <a14:compatExt spid="_x0000_s6483"/>
                </a:ext>
                <a:ext uri="{FF2B5EF4-FFF2-40B4-BE49-F238E27FC236}">
                  <a16:creationId xmlns:a16="http://schemas.microsoft.com/office/drawing/2014/main" id="{00000000-0008-0000-0200-00005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600075</xdr:colOff>
          <xdr:row>7</xdr:row>
          <xdr:rowOff>0</xdr:rowOff>
        </xdr:from>
        <xdr:to>
          <xdr:col>58</xdr:col>
          <xdr:colOff>523876</xdr:colOff>
          <xdr:row>8</xdr:row>
          <xdr:rowOff>9525</xdr:rowOff>
        </xdr:to>
        <xdr:sp macro="" textlink="">
          <xdr:nvSpPr>
            <xdr:cNvPr id="6484" name="Check Box 340" hidden="1">
              <a:extLst>
                <a:ext uri="{63B3BB69-23CF-44E3-9099-C40C66FF867C}">
                  <a14:compatExt spid="_x0000_s6484"/>
                </a:ext>
                <a:ext uri="{FF2B5EF4-FFF2-40B4-BE49-F238E27FC236}">
                  <a16:creationId xmlns:a16="http://schemas.microsoft.com/office/drawing/2014/main" id="{00000000-0008-0000-0200-00005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600075</xdr:colOff>
          <xdr:row>8</xdr:row>
          <xdr:rowOff>0</xdr:rowOff>
        </xdr:from>
        <xdr:to>
          <xdr:col>58</xdr:col>
          <xdr:colOff>523876</xdr:colOff>
          <xdr:row>9</xdr:row>
          <xdr:rowOff>9525</xdr:rowOff>
        </xdr:to>
        <xdr:sp macro="" textlink="">
          <xdr:nvSpPr>
            <xdr:cNvPr id="6485" name="Check Box 341" hidden="1">
              <a:extLst>
                <a:ext uri="{63B3BB69-23CF-44E3-9099-C40C66FF867C}">
                  <a14:compatExt spid="_x0000_s6485"/>
                </a:ext>
                <a:ext uri="{FF2B5EF4-FFF2-40B4-BE49-F238E27FC236}">
                  <a16:creationId xmlns:a16="http://schemas.microsoft.com/office/drawing/2014/main" id="{00000000-0008-0000-0200-00005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600075</xdr:colOff>
          <xdr:row>8</xdr:row>
          <xdr:rowOff>200025</xdr:rowOff>
        </xdr:from>
        <xdr:to>
          <xdr:col>58</xdr:col>
          <xdr:colOff>523876</xdr:colOff>
          <xdr:row>10</xdr:row>
          <xdr:rowOff>0</xdr:rowOff>
        </xdr:to>
        <xdr:sp macro="" textlink="">
          <xdr:nvSpPr>
            <xdr:cNvPr id="6486" name="Check Box 342" hidden="1">
              <a:extLst>
                <a:ext uri="{63B3BB69-23CF-44E3-9099-C40C66FF867C}">
                  <a14:compatExt spid="_x0000_s6486"/>
                </a:ext>
                <a:ext uri="{FF2B5EF4-FFF2-40B4-BE49-F238E27FC236}">
                  <a16:creationId xmlns:a16="http://schemas.microsoft.com/office/drawing/2014/main" id="{00000000-0008-0000-0200-00005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600075</xdr:colOff>
          <xdr:row>10</xdr:row>
          <xdr:rowOff>9525</xdr:rowOff>
        </xdr:from>
        <xdr:to>
          <xdr:col>58</xdr:col>
          <xdr:colOff>523876</xdr:colOff>
          <xdr:row>11</xdr:row>
          <xdr:rowOff>9525</xdr:rowOff>
        </xdr:to>
        <xdr:sp macro="" textlink="">
          <xdr:nvSpPr>
            <xdr:cNvPr id="6489" name="Check Box 345" hidden="1">
              <a:extLst>
                <a:ext uri="{63B3BB69-23CF-44E3-9099-C40C66FF867C}">
                  <a14:compatExt spid="_x0000_s6489"/>
                </a:ext>
                <a:ext uri="{FF2B5EF4-FFF2-40B4-BE49-F238E27FC236}">
                  <a16:creationId xmlns:a16="http://schemas.microsoft.com/office/drawing/2014/main" id="{00000000-0008-0000-0200-00005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600075</xdr:colOff>
          <xdr:row>11</xdr:row>
          <xdr:rowOff>0</xdr:rowOff>
        </xdr:from>
        <xdr:to>
          <xdr:col>58</xdr:col>
          <xdr:colOff>523876</xdr:colOff>
          <xdr:row>12</xdr:row>
          <xdr:rowOff>19050</xdr:rowOff>
        </xdr:to>
        <xdr:sp macro="" textlink="">
          <xdr:nvSpPr>
            <xdr:cNvPr id="6490" name="Check Box 346" hidden="1">
              <a:extLst>
                <a:ext uri="{63B3BB69-23CF-44E3-9099-C40C66FF867C}">
                  <a14:compatExt spid="_x0000_s6490"/>
                </a:ext>
                <a:ext uri="{FF2B5EF4-FFF2-40B4-BE49-F238E27FC236}">
                  <a16:creationId xmlns:a16="http://schemas.microsoft.com/office/drawing/2014/main" id="{00000000-0008-0000-0200-00005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590550</xdr:colOff>
          <xdr:row>12</xdr:row>
          <xdr:rowOff>9525</xdr:rowOff>
        </xdr:from>
        <xdr:to>
          <xdr:col>57</xdr:col>
          <xdr:colOff>428625</xdr:colOff>
          <xdr:row>13</xdr:row>
          <xdr:rowOff>28575</xdr:rowOff>
        </xdr:to>
        <xdr:sp macro="" textlink="">
          <xdr:nvSpPr>
            <xdr:cNvPr id="6491" name="Check Box 347" hidden="1">
              <a:extLst>
                <a:ext uri="{63B3BB69-23CF-44E3-9099-C40C66FF867C}">
                  <a14:compatExt spid="_x0000_s6491"/>
                </a:ext>
                <a:ext uri="{FF2B5EF4-FFF2-40B4-BE49-F238E27FC236}">
                  <a16:creationId xmlns:a16="http://schemas.microsoft.com/office/drawing/2014/main" id="{00000000-0008-0000-0200-00005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58</xdr:col>
          <xdr:colOff>9525</xdr:colOff>
          <xdr:row>11</xdr:row>
          <xdr:rowOff>200025</xdr:rowOff>
        </xdr:from>
        <xdr:to>
          <xdr:col>58</xdr:col>
          <xdr:colOff>457200</xdr:colOff>
          <xdr:row>13</xdr:row>
          <xdr:rowOff>9525</xdr:rowOff>
        </xdr:to>
        <xdr:sp macro="" textlink="">
          <xdr:nvSpPr>
            <xdr:cNvPr id="6492" name="Check Box 348" hidden="1">
              <a:extLst>
                <a:ext uri="{63B3BB69-23CF-44E3-9099-C40C66FF867C}">
                  <a14:compatExt spid="_x0000_s6492"/>
                </a:ext>
                <a:ext uri="{FF2B5EF4-FFF2-40B4-BE49-F238E27FC236}">
                  <a16:creationId xmlns:a16="http://schemas.microsoft.com/office/drawing/2014/main" id="{00000000-0008-0000-0200-00005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600075</xdr:colOff>
          <xdr:row>12</xdr:row>
          <xdr:rowOff>200025</xdr:rowOff>
        </xdr:from>
        <xdr:to>
          <xdr:col>58</xdr:col>
          <xdr:colOff>523876</xdr:colOff>
          <xdr:row>14</xdr:row>
          <xdr:rowOff>19050</xdr:rowOff>
        </xdr:to>
        <xdr:sp macro="" textlink="">
          <xdr:nvSpPr>
            <xdr:cNvPr id="6493" name="Check Box 349" hidden="1">
              <a:extLst>
                <a:ext uri="{63B3BB69-23CF-44E3-9099-C40C66FF867C}">
                  <a14:compatExt spid="_x0000_s6493"/>
                </a:ext>
                <a:ext uri="{FF2B5EF4-FFF2-40B4-BE49-F238E27FC236}">
                  <a16:creationId xmlns:a16="http://schemas.microsoft.com/office/drawing/2014/main" id="{00000000-0008-0000-0200-00005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600075</xdr:colOff>
          <xdr:row>1</xdr:row>
          <xdr:rowOff>200025</xdr:rowOff>
        </xdr:from>
        <xdr:to>
          <xdr:col>65</xdr:col>
          <xdr:colOff>523876</xdr:colOff>
          <xdr:row>3</xdr:row>
          <xdr:rowOff>0</xdr:rowOff>
        </xdr:to>
        <xdr:sp macro="" textlink="">
          <xdr:nvSpPr>
            <xdr:cNvPr id="6511" name="Check Box 367" hidden="1">
              <a:extLst>
                <a:ext uri="{63B3BB69-23CF-44E3-9099-C40C66FF867C}">
                  <a14:compatExt spid="_x0000_s6511"/>
                </a:ext>
                <a:ext uri="{FF2B5EF4-FFF2-40B4-BE49-F238E27FC236}">
                  <a16:creationId xmlns:a16="http://schemas.microsoft.com/office/drawing/2014/main" id="{00000000-0008-0000-0200-00006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600075</xdr:colOff>
          <xdr:row>3</xdr:row>
          <xdr:rowOff>9525</xdr:rowOff>
        </xdr:from>
        <xdr:to>
          <xdr:col>65</xdr:col>
          <xdr:colOff>523876</xdr:colOff>
          <xdr:row>4</xdr:row>
          <xdr:rowOff>28575</xdr:rowOff>
        </xdr:to>
        <xdr:sp macro="" textlink="">
          <xdr:nvSpPr>
            <xdr:cNvPr id="6512" name="Check Box 368" hidden="1">
              <a:extLst>
                <a:ext uri="{63B3BB69-23CF-44E3-9099-C40C66FF867C}">
                  <a14:compatExt spid="_x0000_s6512"/>
                </a:ext>
                <a:ext uri="{FF2B5EF4-FFF2-40B4-BE49-F238E27FC236}">
                  <a16:creationId xmlns:a16="http://schemas.microsoft.com/office/drawing/2014/main" id="{00000000-0008-0000-0200-00007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600075</xdr:colOff>
          <xdr:row>4</xdr:row>
          <xdr:rowOff>0</xdr:rowOff>
        </xdr:from>
        <xdr:to>
          <xdr:col>65</xdr:col>
          <xdr:colOff>523876</xdr:colOff>
          <xdr:row>5</xdr:row>
          <xdr:rowOff>28575</xdr:rowOff>
        </xdr:to>
        <xdr:sp macro="" textlink="">
          <xdr:nvSpPr>
            <xdr:cNvPr id="6513" name="Check Box 369" hidden="1">
              <a:extLst>
                <a:ext uri="{63B3BB69-23CF-44E3-9099-C40C66FF867C}">
                  <a14:compatExt spid="_x0000_s6513"/>
                </a:ext>
                <a:ext uri="{FF2B5EF4-FFF2-40B4-BE49-F238E27FC236}">
                  <a16:creationId xmlns:a16="http://schemas.microsoft.com/office/drawing/2014/main" id="{00000000-0008-0000-0200-00007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600075</xdr:colOff>
          <xdr:row>4</xdr:row>
          <xdr:rowOff>200025</xdr:rowOff>
        </xdr:from>
        <xdr:to>
          <xdr:col>65</xdr:col>
          <xdr:colOff>523876</xdr:colOff>
          <xdr:row>6</xdr:row>
          <xdr:rowOff>19050</xdr:rowOff>
        </xdr:to>
        <xdr:sp macro="" textlink="">
          <xdr:nvSpPr>
            <xdr:cNvPr id="6517" name="Check Box 373" hidden="1">
              <a:extLst>
                <a:ext uri="{63B3BB69-23CF-44E3-9099-C40C66FF867C}">
                  <a14:compatExt spid="_x0000_s6517"/>
                </a:ext>
                <a:ext uri="{FF2B5EF4-FFF2-40B4-BE49-F238E27FC236}">
                  <a16:creationId xmlns:a16="http://schemas.microsoft.com/office/drawing/2014/main" id="{00000000-0008-0000-0200-00007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600075</xdr:colOff>
          <xdr:row>5</xdr:row>
          <xdr:rowOff>200025</xdr:rowOff>
        </xdr:from>
        <xdr:to>
          <xdr:col>65</xdr:col>
          <xdr:colOff>523876</xdr:colOff>
          <xdr:row>7</xdr:row>
          <xdr:rowOff>19050</xdr:rowOff>
        </xdr:to>
        <xdr:sp macro="" textlink="">
          <xdr:nvSpPr>
            <xdr:cNvPr id="6518" name="Check Box 374" hidden="1">
              <a:extLst>
                <a:ext uri="{63B3BB69-23CF-44E3-9099-C40C66FF867C}">
                  <a14:compatExt spid="_x0000_s6518"/>
                </a:ext>
                <a:ext uri="{FF2B5EF4-FFF2-40B4-BE49-F238E27FC236}">
                  <a16:creationId xmlns:a16="http://schemas.microsoft.com/office/drawing/2014/main" id="{00000000-0008-0000-0200-00007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600075</xdr:colOff>
          <xdr:row>7</xdr:row>
          <xdr:rowOff>0</xdr:rowOff>
        </xdr:from>
        <xdr:to>
          <xdr:col>64</xdr:col>
          <xdr:colOff>371475</xdr:colOff>
          <xdr:row>8</xdr:row>
          <xdr:rowOff>28575</xdr:rowOff>
        </xdr:to>
        <xdr:sp macro="" textlink="">
          <xdr:nvSpPr>
            <xdr:cNvPr id="6521" name="Check Box 377" hidden="1">
              <a:extLst>
                <a:ext uri="{63B3BB69-23CF-44E3-9099-C40C66FF867C}">
                  <a14:compatExt spid="_x0000_s6521"/>
                </a:ext>
                <a:ext uri="{FF2B5EF4-FFF2-40B4-BE49-F238E27FC236}">
                  <a16:creationId xmlns:a16="http://schemas.microsoft.com/office/drawing/2014/main" id="{00000000-0008-0000-0200-00007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523875</xdr:colOff>
          <xdr:row>7</xdr:row>
          <xdr:rowOff>0</xdr:rowOff>
        </xdr:from>
        <xdr:to>
          <xdr:col>65</xdr:col>
          <xdr:colOff>409576</xdr:colOff>
          <xdr:row>8</xdr:row>
          <xdr:rowOff>28575</xdr:rowOff>
        </xdr:to>
        <xdr:sp macro="" textlink="">
          <xdr:nvSpPr>
            <xdr:cNvPr id="6522" name="Check Box 378" hidden="1">
              <a:extLst>
                <a:ext uri="{63B3BB69-23CF-44E3-9099-C40C66FF867C}">
                  <a14:compatExt spid="_x0000_s6522"/>
                </a:ext>
                <a:ext uri="{FF2B5EF4-FFF2-40B4-BE49-F238E27FC236}">
                  <a16:creationId xmlns:a16="http://schemas.microsoft.com/office/drawing/2014/main" id="{00000000-0008-0000-0200-00007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Подкинут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600075</xdr:colOff>
          <xdr:row>8</xdr:row>
          <xdr:rowOff>0</xdr:rowOff>
        </xdr:from>
        <xdr:to>
          <xdr:col>65</xdr:col>
          <xdr:colOff>523876</xdr:colOff>
          <xdr:row>9</xdr:row>
          <xdr:rowOff>28575</xdr:rowOff>
        </xdr:to>
        <xdr:sp macro="" textlink="">
          <xdr:nvSpPr>
            <xdr:cNvPr id="6523" name="Check Box 379" hidden="1">
              <a:extLst>
                <a:ext uri="{63B3BB69-23CF-44E3-9099-C40C66FF867C}">
                  <a14:compatExt spid="_x0000_s6523"/>
                </a:ext>
                <a:ext uri="{FF2B5EF4-FFF2-40B4-BE49-F238E27FC236}">
                  <a16:creationId xmlns:a16="http://schemas.microsoft.com/office/drawing/2014/main" id="{00000000-0008-0000-0200-00007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42334</xdr:colOff>
          <xdr:row>12</xdr:row>
          <xdr:rowOff>206375</xdr:rowOff>
        </xdr:from>
        <xdr:to>
          <xdr:col>37</xdr:col>
          <xdr:colOff>156634</xdr:colOff>
          <xdr:row>14</xdr:row>
          <xdr:rowOff>32809</xdr:rowOff>
        </xdr:to>
        <xdr:sp macro="" textlink="">
          <xdr:nvSpPr>
            <xdr:cNvPr id="6551" name="Check Box 407" hidden="1">
              <a:extLst>
                <a:ext uri="{63B3BB69-23CF-44E3-9099-C40C66FF867C}">
                  <a14:compatExt spid="_x0000_s6551"/>
                </a:ext>
                <a:ext uri="{FF2B5EF4-FFF2-40B4-BE49-F238E27FC236}">
                  <a16:creationId xmlns:a16="http://schemas.microsoft.com/office/drawing/2014/main" id="{FAC8D435-541A-7E58-6CAC-2F8CE5C753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52917</xdr:colOff>
          <xdr:row>14</xdr:row>
          <xdr:rowOff>4234</xdr:rowOff>
        </xdr:from>
        <xdr:to>
          <xdr:col>37</xdr:col>
          <xdr:colOff>167217</xdr:colOff>
          <xdr:row>15</xdr:row>
          <xdr:rowOff>32808</xdr:rowOff>
        </xdr:to>
        <xdr:sp macro="" textlink="">
          <xdr:nvSpPr>
            <xdr:cNvPr id="6553" name="Check Box 409" hidden="1">
              <a:extLst>
                <a:ext uri="{63B3BB69-23CF-44E3-9099-C40C66FF867C}">
                  <a14:compatExt spid="_x0000_s6553"/>
                </a:ext>
                <a:ext uri="{FF2B5EF4-FFF2-40B4-BE49-F238E27FC236}">
                  <a16:creationId xmlns:a16="http://schemas.microsoft.com/office/drawing/2014/main" id="{E6E8FC56-2F55-89E9-BB01-52BA548BE1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50800</xdr:colOff>
          <xdr:row>14</xdr:row>
          <xdr:rowOff>194733</xdr:rowOff>
        </xdr:from>
        <xdr:to>
          <xdr:col>37</xdr:col>
          <xdr:colOff>165100</xdr:colOff>
          <xdr:row>16</xdr:row>
          <xdr:rowOff>32808</xdr:rowOff>
        </xdr:to>
        <xdr:sp macro="" textlink="">
          <xdr:nvSpPr>
            <xdr:cNvPr id="6555" name="Check Box 411" hidden="1">
              <a:extLst>
                <a:ext uri="{63B3BB69-23CF-44E3-9099-C40C66FF867C}">
                  <a14:compatExt spid="_x0000_s6555"/>
                </a:ext>
                <a:ext uri="{FF2B5EF4-FFF2-40B4-BE49-F238E27FC236}">
                  <a16:creationId xmlns:a16="http://schemas.microsoft.com/office/drawing/2014/main" id="{FEC61C1E-42CB-C009-2CDF-123E2C25A3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oneCellAnchor>
        <xdr:from>
          <xdr:col>36</xdr:col>
          <xdr:colOff>50800</xdr:colOff>
          <xdr:row>15</xdr:row>
          <xdr:rowOff>194733</xdr:rowOff>
        </xdr:from>
        <xdr:ext cx="728133" cy="240242"/>
        <xdr:sp macro="" textlink="">
          <xdr:nvSpPr>
            <xdr:cNvPr id="6557" name="Check Box 413" hidden="1">
              <a:extLst>
                <a:ext uri="{63B3BB69-23CF-44E3-9099-C40C66FF867C}">
                  <a14:compatExt spid="_x0000_s6557"/>
                </a:ext>
                <a:ext uri="{FF2B5EF4-FFF2-40B4-BE49-F238E27FC236}">
                  <a16:creationId xmlns:a16="http://schemas.microsoft.com/office/drawing/2014/main" id="{F2FBF54C-D1C5-44CA-8A6C-11C4BB2863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oneCellAnchor>
    </mc:Choice>
    <mc:Fallback/>
  </mc:AlternateContent>
  <mc:AlternateContent xmlns:mc="http://schemas.openxmlformats.org/markup-compatibility/2006">
    <mc:Choice xmlns:a14="http://schemas.microsoft.com/office/drawing/2010/main" Requires="a14">
      <xdr:twoCellAnchor editAs="oneCell">
        <xdr:from>
          <xdr:col>36</xdr:col>
          <xdr:colOff>41275</xdr:colOff>
          <xdr:row>16</xdr:row>
          <xdr:rowOff>205316</xdr:rowOff>
        </xdr:from>
        <xdr:to>
          <xdr:col>37</xdr:col>
          <xdr:colOff>155575</xdr:colOff>
          <xdr:row>18</xdr:row>
          <xdr:rowOff>22225</xdr:rowOff>
        </xdr:to>
        <xdr:sp macro="" textlink="">
          <xdr:nvSpPr>
            <xdr:cNvPr id="6560" name="Check Box 416" hidden="1">
              <a:extLst>
                <a:ext uri="{63B3BB69-23CF-44E3-9099-C40C66FF867C}">
                  <a14:compatExt spid="_x0000_s6560"/>
                </a:ext>
                <a:ext uri="{FF2B5EF4-FFF2-40B4-BE49-F238E27FC236}">
                  <a16:creationId xmlns:a16="http://schemas.microsoft.com/office/drawing/2014/main" id="{A29D84B4-BE5B-37B5-B7F7-B038CC9C4F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51858</xdr:colOff>
          <xdr:row>17</xdr:row>
          <xdr:rowOff>194733</xdr:rowOff>
        </xdr:from>
        <xdr:to>
          <xdr:col>37</xdr:col>
          <xdr:colOff>166158</xdr:colOff>
          <xdr:row>19</xdr:row>
          <xdr:rowOff>32809</xdr:rowOff>
        </xdr:to>
        <xdr:sp macro="" textlink="">
          <xdr:nvSpPr>
            <xdr:cNvPr id="6561" name="Check Box 417" hidden="1">
              <a:extLst>
                <a:ext uri="{63B3BB69-23CF-44E3-9099-C40C66FF867C}">
                  <a14:compatExt spid="_x0000_s6561"/>
                </a:ext>
                <a:ext uri="{FF2B5EF4-FFF2-40B4-BE49-F238E27FC236}">
                  <a16:creationId xmlns:a16="http://schemas.microsoft.com/office/drawing/2014/main" id="{A41BBCA7-649A-EA01-DA2D-29D5259EF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oneCellAnchor>
        <xdr:from>
          <xdr:col>36</xdr:col>
          <xdr:colOff>51858</xdr:colOff>
          <xdr:row>18</xdr:row>
          <xdr:rowOff>194733</xdr:rowOff>
        </xdr:from>
        <xdr:ext cx="728133" cy="240242"/>
        <xdr:sp macro="" textlink="">
          <xdr:nvSpPr>
            <xdr:cNvPr id="6564" name="Check Box 420" hidden="1">
              <a:extLst>
                <a:ext uri="{63B3BB69-23CF-44E3-9099-C40C66FF867C}">
                  <a14:compatExt spid="_x0000_s6564"/>
                </a:ext>
                <a:ext uri="{FF2B5EF4-FFF2-40B4-BE49-F238E27FC236}">
                  <a16:creationId xmlns:a16="http://schemas.microsoft.com/office/drawing/2014/main" id="{0161F8EF-F1C1-4306-A1A4-CE1244F45AE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oneCellAnchor>
    </mc:Choice>
    <mc:Fallback/>
  </mc:AlternateContent>
  <mc:AlternateContent xmlns:mc="http://schemas.openxmlformats.org/markup-compatibility/2006">
    <mc:Choice xmlns:a14="http://schemas.microsoft.com/office/drawing/2010/main" Requires="a14">
      <xdr:twoCellAnchor editAs="oneCell">
        <xdr:from>
          <xdr:col>63</xdr:col>
          <xdr:colOff>597958</xdr:colOff>
          <xdr:row>8</xdr:row>
          <xdr:rowOff>205317</xdr:rowOff>
        </xdr:from>
        <xdr:to>
          <xdr:col>65</xdr:col>
          <xdr:colOff>521759</xdr:colOff>
          <xdr:row>10</xdr:row>
          <xdr:rowOff>22226</xdr:rowOff>
        </xdr:to>
        <xdr:sp macro="" textlink="">
          <xdr:nvSpPr>
            <xdr:cNvPr id="6571" name="Check Box 427" hidden="1">
              <a:extLst>
                <a:ext uri="{63B3BB69-23CF-44E3-9099-C40C66FF867C}">
                  <a14:compatExt spid="_x0000_s6571"/>
                </a:ext>
                <a:ext uri="{FF2B5EF4-FFF2-40B4-BE49-F238E27FC236}">
                  <a16:creationId xmlns:a16="http://schemas.microsoft.com/office/drawing/2014/main" id="{F3666624-00FA-1457-63B1-25F9FFB74C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oneCellAnchor>
        <xdr:from>
          <xdr:col>63</xdr:col>
          <xdr:colOff>597958</xdr:colOff>
          <xdr:row>9</xdr:row>
          <xdr:rowOff>205317</xdr:rowOff>
        </xdr:from>
        <xdr:ext cx="1151467" cy="240242"/>
        <xdr:sp macro="" textlink="">
          <xdr:nvSpPr>
            <xdr:cNvPr id="6573" name="Check Box 429" hidden="1">
              <a:extLst>
                <a:ext uri="{63B3BB69-23CF-44E3-9099-C40C66FF867C}">
                  <a14:compatExt spid="_x0000_s6573"/>
                </a:ext>
                <a:ext uri="{FF2B5EF4-FFF2-40B4-BE49-F238E27FC236}">
                  <a16:creationId xmlns:a16="http://schemas.microsoft.com/office/drawing/2014/main" id="{5BC6725C-EB45-4515-A31B-199262D423C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oneCellAnchor>
    </mc:Choice>
    <mc:Fallback/>
  </mc:AlternateContent>
  <mc:AlternateContent xmlns:mc="http://schemas.openxmlformats.org/markup-compatibility/2006">
    <mc:Choice xmlns:a14="http://schemas.microsoft.com/office/drawing/2010/main" Requires="a14">
      <xdr:oneCellAnchor>
        <xdr:from>
          <xdr:col>43</xdr:col>
          <xdr:colOff>66675</xdr:colOff>
          <xdr:row>11</xdr:row>
          <xdr:rowOff>9525</xdr:rowOff>
        </xdr:from>
        <xdr:ext cx="842433" cy="222250"/>
        <xdr:sp macro="" textlink="">
          <xdr:nvSpPr>
            <xdr:cNvPr id="6576" name="Check Box 432" hidden="1">
              <a:extLst>
                <a:ext uri="{63B3BB69-23CF-44E3-9099-C40C66FF867C}">
                  <a14:compatExt spid="_x0000_s6576"/>
                </a:ext>
                <a:ext uri="{FF2B5EF4-FFF2-40B4-BE49-F238E27FC236}">
                  <a16:creationId xmlns:a16="http://schemas.microsoft.com/office/drawing/2014/main" id="{557F19FD-B99D-4B50-8B8B-82B9D49139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oneCellAnchor>
    </mc:Choice>
    <mc:Fallback/>
  </mc:AlternateContent>
  <mc:AlternateContent xmlns:mc="http://schemas.openxmlformats.org/markup-compatibility/2006">
    <mc:Choice xmlns:a14="http://schemas.microsoft.com/office/drawing/2010/main" Requires="a14">
      <xdr:oneCellAnchor>
        <xdr:from>
          <xdr:col>43</xdr:col>
          <xdr:colOff>66675</xdr:colOff>
          <xdr:row>12</xdr:row>
          <xdr:rowOff>9525</xdr:rowOff>
        </xdr:from>
        <xdr:ext cx="842433" cy="222250"/>
        <xdr:sp macro="" textlink="">
          <xdr:nvSpPr>
            <xdr:cNvPr id="6579" name="Check Box 435" hidden="1">
              <a:extLst>
                <a:ext uri="{63B3BB69-23CF-44E3-9099-C40C66FF867C}">
                  <a14:compatExt spid="_x0000_s6579"/>
                </a:ext>
                <a:ext uri="{FF2B5EF4-FFF2-40B4-BE49-F238E27FC236}">
                  <a16:creationId xmlns:a16="http://schemas.microsoft.com/office/drawing/2014/main" id="{1E2A576B-7FDA-4BF7-9714-D218575288C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one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xdr:row>
          <xdr:rowOff>200025</xdr:rowOff>
        </xdr:from>
        <xdr:to>
          <xdr:col>3</xdr:col>
          <xdr:colOff>0</xdr:colOff>
          <xdr:row>3</xdr:row>
          <xdr:rowOff>38100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xdr:row>
          <xdr:rowOff>9525</xdr:rowOff>
        </xdr:from>
        <xdr:to>
          <xdr:col>3</xdr:col>
          <xdr:colOff>9525</xdr:colOff>
          <xdr:row>4</xdr:row>
          <xdr:rowOff>9525</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4</xdr:row>
          <xdr:rowOff>9525</xdr:rowOff>
        </xdr:from>
        <xdr:to>
          <xdr:col>3</xdr:col>
          <xdr:colOff>0</xdr:colOff>
          <xdr:row>5</xdr:row>
          <xdr:rowOff>19050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5</xdr:row>
          <xdr:rowOff>28575</xdr:rowOff>
        </xdr:from>
        <xdr:to>
          <xdr:col>2</xdr:col>
          <xdr:colOff>914400</xdr:colOff>
          <xdr:row>6</xdr:row>
          <xdr:rowOff>38100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3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6</xdr:row>
          <xdr:rowOff>9525</xdr:rowOff>
        </xdr:from>
        <xdr:to>
          <xdr:col>2</xdr:col>
          <xdr:colOff>914400</xdr:colOff>
          <xdr:row>7</xdr:row>
          <xdr:rowOff>38100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3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7</xdr:row>
          <xdr:rowOff>0</xdr:rowOff>
        </xdr:from>
        <xdr:to>
          <xdr:col>2</xdr:col>
          <xdr:colOff>914400</xdr:colOff>
          <xdr:row>8</xdr:row>
          <xdr:rowOff>38100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3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8</xdr:row>
          <xdr:rowOff>0</xdr:rowOff>
        </xdr:from>
        <xdr:to>
          <xdr:col>3</xdr:col>
          <xdr:colOff>0</xdr:colOff>
          <xdr:row>9</xdr:row>
          <xdr:rowOff>38100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3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9</xdr:row>
          <xdr:rowOff>9525</xdr:rowOff>
        </xdr:from>
        <xdr:to>
          <xdr:col>2</xdr:col>
          <xdr:colOff>895350</xdr:colOff>
          <xdr:row>10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3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10</xdr:row>
          <xdr:rowOff>9525</xdr:rowOff>
        </xdr:from>
        <xdr:to>
          <xdr:col>2</xdr:col>
          <xdr:colOff>895350</xdr:colOff>
          <xdr:row>11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3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11</xdr:row>
          <xdr:rowOff>28575</xdr:rowOff>
        </xdr:from>
        <xdr:to>
          <xdr:col>2</xdr:col>
          <xdr:colOff>914400</xdr:colOff>
          <xdr:row>12</xdr:row>
          <xdr:rowOff>38100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3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12</xdr:row>
          <xdr:rowOff>0</xdr:rowOff>
        </xdr:from>
        <xdr:to>
          <xdr:col>2</xdr:col>
          <xdr:colOff>914400</xdr:colOff>
          <xdr:row>13</xdr:row>
          <xdr:rowOff>38100</xdr:rowOff>
        </xdr:to>
        <xdr:sp macro="" textlink="">
          <xdr:nvSpPr>
            <xdr:cNvPr id="7179" name="Check Box 11" hidden="1">
              <a:extLst>
                <a:ext uri="{63B3BB69-23CF-44E3-9099-C40C66FF867C}">
                  <a14:compatExt spid="_x0000_s7179"/>
                </a:ext>
                <a:ext uri="{FF2B5EF4-FFF2-40B4-BE49-F238E27FC236}">
                  <a16:creationId xmlns:a16="http://schemas.microsoft.com/office/drawing/2014/main" id="{00000000-0008-0000-0300-00000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13</xdr:row>
          <xdr:rowOff>28575</xdr:rowOff>
        </xdr:from>
        <xdr:to>
          <xdr:col>2</xdr:col>
          <xdr:colOff>895350</xdr:colOff>
          <xdr:row>14</xdr:row>
          <xdr:rowOff>19050</xdr:rowOff>
        </xdr:to>
        <xdr:sp macro="" textlink="">
          <xdr:nvSpPr>
            <xdr:cNvPr id="7180" name="Check Box 12" hidden="1">
              <a:extLst>
                <a:ext uri="{63B3BB69-23CF-44E3-9099-C40C66FF867C}">
                  <a14:compatExt spid="_x0000_s7180"/>
                </a:ext>
                <a:ext uri="{FF2B5EF4-FFF2-40B4-BE49-F238E27FC236}">
                  <a16:creationId xmlns:a16="http://schemas.microsoft.com/office/drawing/2014/main" id="{00000000-0008-0000-0300-00000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14</xdr:row>
          <xdr:rowOff>0</xdr:rowOff>
        </xdr:from>
        <xdr:to>
          <xdr:col>2</xdr:col>
          <xdr:colOff>914400</xdr:colOff>
          <xdr:row>15</xdr:row>
          <xdr:rowOff>28575</xdr:rowOff>
        </xdr:to>
        <xdr:sp macro="" textlink="">
          <xdr:nvSpPr>
            <xdr:cNvPr id="7181" name="Check Box 13" hidden="1">
              <a:extLst>
                <a:ext uri="{63B3BB69-23CF-44E3-9099-C40C66FF867C}">
                  <a14:compatExt spid="_x0000_s7181"/>
                </a:ext>
                <a:ext uri="{FF2B5EF4-FFF2-40B4-BE49-F238E27FC236}">
                  <a16:creationId xmlns:a16="http://schemas.microsoft.com/office/drawing/2014/main" id="{00000000-0008-0000-0300-00000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15</xdr:row>
          <xdr:rowOff>0</xdr:rowOff>
        </xdr:from>
        <xdr:to>
          <xdr:col>2</xdr:col>
          <xdr:colOff>914400</xdr:colOff>
          <xdr:row>16</xdr:row>
          <xdr:rowOff>38100</xdr:rowOff>
        </xdr:to>
        <xdr:sp macro="" textlink="">
          <xdr:nvSpPr>
            <xdr:cNvPr id="7182" name="Check Box 14" hidden="1">
              <a:extLst>
                <a:ext uri="{63B3BB69-23CF-44E3-9099-C40C66FF867C}">
                  <a14:compatExt spid="_x0000_s7182"/>
                </a:ext>
                <a:ext uri="{FF2B5EF4-FFF2-40B4-BE49-F238E27FC236}">
                  <a16:creationId xmlns:a16="http://schemas.microsoft.com/office/drawing/2014/main" id="{00000000-0008-0000-0300-00000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15</xdr:row>
          <xdr:rowOff>190500</xdr:rowOff>
        </xdr:from>
        <xdr:to>
          <xdr:col>2</xdr:col>
          <xdr:colOff>914400</xdr:colOff>
          <xdr:row>17</xdr:row>
          <xdr:rowOff>38100</xdr:rowOff>
        </xdr:to>
        <xdr:sp macro="" textlink="">
          <xdr:nvSpPr>
            <xdr:cNvPr id="7183" name="Check Box 15" hidden="1">
              <a:extLst>
                <a:ext uri="{63B3BB69-23CF-44E3-9099-C40C66FF867C}">
                  <a14:compatExt spid="_x0000_s7183"/>
                </a:ext>
                <a:ext uri="{FF2B5EF4-FFF2-40B4-BE49-F238E27FC236}">
                  <a16:creationId xmlns:a16="http://schemas.microsoft.com/office/drawing/2014/main" id="{00000000-0008-0000-0300-00000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26</xdr:row>
          <xdr:rowOff>19050</xdr:rowOff>
        </xdr:from>
        <xdr:to>
          <xdr:col>16</xdr:col>
          <xdr:colOff>590550</xdr:colOff>
          <xdr:row>27</xdr:row>
          <xdr:rowOff>38100</xdr:rowOff>
        </xdr:to>
        <xdr:sp macro="" textlink="">
          <xdr:nvSpPr>
            <xdr:cNvPr id="7204" name="Check Box 36" hidden="1">
              <a:extLst>
                <a:ext uri="{63B3BB69-23CF-44E3-9099-C40C66FF867C}">
                  <a14:compatExt spid="_x0000_s7204"/>
                </a:ext>
                <a:ext uri="{FF2B5EF4-FFF2-40B4-BE49-F238E27FC236}">
                  <a16:creationId xmlns:a16="http://schemas.microsoft.com/office/drawing/2014/main" id="{00000000-0008-0000-0300-00002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xdr:colOff>
          <xdr:row>27</xdr:row>
          <xdr:rowOff>9525</xdr:rowOff>
        </xdr:from>
        <xdr:to>
          <xdr:col>17</xdr:col>
          <xdr:colOff>0</xdr:colOff>
          <xdr:row>28</xdr:row>
          <xdr:rowOff>9525</xdr:rowOff>
        </xdr:to>
        <xdr:sp macro="" textlink="">
          <xdr:nvSpPr>
            <xdr:cNvPr id="7205" name="Check Box 37" hidden="1">
              <a:extLst>
                <a:ext uri="{63B3BB69-23CF-44E3-9099-C40C66FF867C}">
                  <a14:compatExt spid="_x0000_s7205"/>
                </a:ext>
                <a:ext uri="{FF2B5EF4-FFF2-40B4-BE49-F238E27FC236}">
                  <a16:creationId xmlns:a16="http://schemas.microsoft.com/office/drawing/2014/main" id="{00000000-0008-0000-0300-00002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28</xdr:row>
          <xdr:rowOff>9525</xdr:rowOff>
        </xdr:from>
        <xdr:to>
          <xdr:col>17</xdr:col>
          <xdr:colOff>9525</xdr:colOff>
          <xdr:row>29</xdr:row>
          <xdr:rowOff>9525</xdr:rowOff>
        </xdr:to>
        <xdr:sp macro="" textlink="">
          <xdr:nvSpPr>
            <xdr:cNvPr id="7206" name="Check Box 38" hidden="1">
              <a:extLst>
                <a:ext uri="{63B3BB69-23CF-44E3-9099-C40C66FF867C}">
                  <a14:compatExt spid="_x0000_s7206"/>
                </a:ext>
                <a:ext uri="{FF2B5EF4-FFF2-40B4-BE49-F238E27FC236}">
                  <a16:creationId xmlns:a16="http://schemas.microsoft.com/office/drawing/2014/main" id="{00000000-0008-0000-0300-00002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29</xdr:row>
          <xdr:rowOff>9525</xdr:rowOff>
        </xdr:from>
        <xdr:to>
          <xdr:col>17</xdr:col>
          <xdr:colOff>19050</xdr:colOff>
          <xdr:row>30</xdr:row>
          <xdr:rowOff>9525</xdr:rowOff>
        </xdr:to>
        <xdr:sp macro="" textlink="">
          <xdr:nvSpPr>
            <xdr:cNvPr id="7207" name="Check Box 39" hidden="1">
              <a:extLst>
                <a:ext uri="{63B3BB69-23CF-44E3-9099-C40C66FF867C}">
                  <a14:compatExt spid="_x0000_s7207"/>
                </a:ext>
                <a:ext uri="{FF2B5EF4-FFF2-40B4-BE49-F238E27FC236}">
                  <a16:creationId xmlns:a16="http://schemas.microsoft.com/office/drawing/2014/main" id="{00000000-0008-0000-0300-00002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30</xdr:row>
          <xdr:rowOff>19050</xdr:rowOff>
        </xdr:from>
        <xdr:to>
          <xdr:col>17</xdr:col>
          <xdr:colOff>19050</xdr:colOff>
          <xdr:row>31</xdr:row>
          <xdr:rowOff>19050</xdr:rowOff>
        </xdr:to>
        <xdr:sp macro="" textlink="">
          <xdr:nvSpPr>
            <xdr:cNvPr id="7208" name="Check Box 40" hidden="1">
              <a:extLst>
                <a:ext uri="{63B3BB69-23CF-44E3-9099-C40C66FF867C}">
                  <a14:compatExt spid="_x0000_s7208"/>
                </a:ext>
                <a:ext uri="{FF2B5EF4-FFF2-40B4-BE49-F238E27FC236}">
                  <a16:creationId xmlns:a16="http://schemas.microsoft.com/office/drawing/2014/main" id="{00000000-0008-0000-0300-00002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31</xdr:row>
          <xdr:rowOff>19050</xdr:rowOff>
        </xdr:from>
        <xdr:to>
          <xdr:col>17</xdr:col>
          <xdr:colOff>19050</xdr:colOff>
          <xdr:row>32</xdr:row>
          <xdr:rowOff>19050</xdr:rowOff>
        </xdr:to>
        <xdr:sp macro="" textlink="">
          <xdr:nvSpPr>
            <xdr:cNvPr id="7209" name="Check Box 41" hidden="1">
              <a:extLst>
                <a:ext uri="{63B3BB69-23CF-44E3-9099-C40C66FF867C}">
                  <a14:compatExt spid="_x0000_s7209"/>
                </a:ext>
                <a:ext uri="{FF2B5EF4-FFF2-40B4-BE49-F238E27FC236}">
                  <a16:creationId xmlns:a16="http://schemas.microsoft.com/office/drawing/2014/main" id="{00000000-0008-0000-0300-00002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xdr:colOff>
          <xdr:row>32</xdr:row>
          <xdr:rowOff>0</xdr:rowOff>
        </xdr:from>
        <xdr:to>
          <xdr:col>17</xdr:col>
          <xdr:colOff>28575</xdr:colOff>
          <xdr:row>33</xdr:row>
          <xdr:rowOff>0</xdr:rowOff>
        </xdr:to>
        <xdr:sp macro="" textlink="">
          <xdr:nvSpPr>
            <xdr:cNvPr id="7210" name="Check Box 42" hidden="1">
              <a:extLst>
                <a:ext uri="{63B3BB69-23CF-44E3-9099-C40C66FF867C}">
                  <a14:compatExt spid="_x0000_s7210"/>
                </a:ext>
                <a:ext uri="{FF2B5EF4-FFF2-40B4-BE49-F238E27FC236}">
                  <a16:creationId xmlns:a16="http://schemas.microsoft.com/office/drawing/2014/main" id="{00000000-0008-0000-0300-00002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xdr:colOff>
          <xdr:row>32</xdr:row>
          <xdr:rowOff>209550</xdr:rowOff>
        </xdr:from>
        <xdr:to>
          <xdr:col>17</xdr:col>
          <xdr:colOff>38100</xdr:colOff>
          <xdr:row>34</xdr:row>
          <xdr:rowOff>0</xdr:rowOff>
        </xdr:to>
        <xdr:sp macro="" textlink="">
          <xdr:nvSpPr>
            <xdr:cNvPr id="7211" name="Check Box 43" hidden="1">
              <a:extLst>
                <a:ext uri="{63B3BB69-23CF-44E3-9099-C40C66FF867C}">
                  <a14:compatExt spid="_x0000_s7211"/>
                </a:ext>
                <a:ext uri="{FF2B5EF4-FFF2-40B4-BE49-F238E27FC236}">
                  <a16:creationId xmlns:a16="http://schemas.microsoft.com/office/drawing/2014/main" id="{00000000-0008-0000-0300-00002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16</xdr:row>
          <xdr:rowOff>190500</xdr:rowOff>
        </xdr:from>
        <xdr:to>
          <xdr:col>2</xdr:col>
          <xdr:colOff>914400</xdr:colOff>
          <xdr:row>18</xdr:row>
          <xdr:rowOff>38100</xdr:rowOff>
        </xdr:to>
        <xdr:sp macro="" textlink="">
          <xdr:nvSpPr>
            <xdr:cNvPr id="7226" name="Check Box 58" hidden="1">
              <a:extLst>
                <a:ext uri="{63B3BB69-23CF-44E3-9099-C40C66FF867C}">
                  <a14:compatExt spid="_x0000_s7226"/>
                </a:ext>
                <a:ext uri="{FF2B5EF4-FFF2-40B4-BE49-F238E27FC236}">
                  <a16:creationId xmlns:a16="http://schemas.microsoft.com/office/drawing/2014/main" id="{00000000-0008-0000-0300-00003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17</xdr:row>
          <xdr:rowOff>190500</xdr:rowOff>
        </xdr:from>
        <xdr:to>
          <xdr:col>2</xdr:col>
          <xdr:colOff>904875</xdr:colOff>
          <xdr:row>19</xdr:row>
          <xdr:rowOff>38100</xdr:rowOff>
        </xdr:to>
        <xdr:sp macro="" textlink="">
          <xdr:nvSpPr>
            <xdr:cNvPr id="7227" name="Check Box 59" hidden="1">
              <a:extLst>
                <a:ext uri="{63B3BB69-23CF-44E3-9099-C40C66FF867C}">
                  <a14:compatExt spid="_x0000_s7227"/>
                </a:ext>
                <a:ext uri="{FF2B5EF4-FFF2-40B4-BE49-F238E27FC236}">
                  <a16:creationId xmlns:a16="http://schemas.microsoft.com/office/drawing/2014/main" id="{00000000-0008-0000-0300-00003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93889</xdr:colOff>
          <xdr:row>18</xdr:row>
          <xdr:rowOff>187778</xdr:rowOff>
        </xdr:from>
        <xdr:to>
          <xdr:col>2</xdr:col>
          <xdr:colOff>895350</xdr:colOff>
          <xdr:row>20</xdr:row>
          <xdr:rowOff>40821</xdr:rowOff>
        </xdr:to>
        <xdr:sp macro="" textlink="">
          <xdr:nvSpPr>
            <xdr:cNvPr id="7230" name="Check Box 62" hidden="1">
              <a:extLst>
                <a:ext uri="{63B3BB69-23CF-44E3-9099-C40C66FF867C}">
                  <a14:compatExt spid="_x0000_s7230"/>
                </a:ext>
                <a:ext uri="{FF2B5EF4-FFF2-40B4-BE49-F238E27FC236}">
                  <a16:creationId xmlns:a16="http://schemas.microsoft.com/office/drawing/2014/main" id="{5F992994-2107-48EF-C4FF-5F9F32E8AE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Включить</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7">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s>
</file>

<file path=xl/webextensions/webextension1.xml><?xml version="1.0" encoding="utf-8"?>
<we:webextension xmlns:we="http://schemas.microsoft.com/office/webextensions/webextension/2010/11" id="{5927E084-B453-4EBF-A639-56AC3F9D2C56}">
  <we:reference id="wa200005502" version="1.0.0.11" store="ru-RU" storeType="OMEX"/>
  <we:alternateReferences>
    <we:reference id="wa200005502" version="1.0.0.11" store="wa200005502" storeType="OMEX"/>
  </we:alternateReferences>
  <we:properties>
    <we:property name="docId" value="&quot;IYiCBsQ_8TdFgAu_ZCpCs&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6AE9DB58-D101-40CB-A9FD-5C205E28678F}">
  <we:reference id="wa200007447" version="1.0.0.0" store="ru-RU" storeType="OMEX"/>
  <we:alternateReferences>
    <we:reference id="wa200007447" version="1.0.0.0" store="wa200007447"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_xldudf_BOARDFLARE_RUNPY</we:customFunctionIds>
        <we:customFunctionIds>_xldudf_BOARDFLARE_EXEC</we:customFunctionIds>
      </we:customFunctionIdList>
    </a:ext>
  </we:extLst>
</we:webextension>
</file>

<file path=xl/webextensions/webextension3.xml><?xml version="1.0" encoding="utf-8"?>
<we:webextension xmlns:we="http://schemas.microsoft.com/office/webextensions/webextension/2010/11" id="{501B4A85-BB80-406E-869A-AF8853935879}">
  <we:reference id="wa104099688" version="1.7.0.0" store="ru-RU" storeType="OMEX"/>
  <we:alternateReferences>
    <we:reference id="WA104099688" version="1.7.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3" Type="http://schemas.openxmlformats.org/officeDocument/2006/relationships/ctrlProp" Target="../ctrlProps/ctrlProp1.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8" Type="http://schemas.openxmlformats.org/officeDocument/2006/relationships/ctrlProp" Target="../ctrlProps/ctrlProp6.xml"/><Relationship Id="rId5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9.xml"/><Relationship Id="rId18" Type="http://schemas.openxmlformats.org/officeDocument/2006/relationships/ctrlProp" Target="../ctrlProps/ctrlProp64.xml"/><Relationship Id="rId26" Type="http://schemas.openxmlformats.org/officeDocument/2006/relationships/ctrlProp" Target="../ctrlProps/ctrlProp72.xml"/><Relationship Id="rId39" Type="http://schemas.openxmlformats.org/officeDocument/2006/relationships/ctrlProp" Target="../ctrlProps/ctrlProp85.xml"/><Relationship Id="rId21" Type="http://schemas.openxmlformats.org/officeDocument/2006/relationships/ctrlProp" Target="../ctrlProps/ctrlProp67.xml"/><Relationship Id="rId34" Type="http://schemas.openxmlformats.org/officeDocument/2006/relationships/ctrlProp" Target="../ctrlProps/ctrlProp80.xml"/><Relationship Id="rId42" Type="http://schemas.openxmlformats.org/officeDocument/2006/relationships/ctrlProp" Target="../ctrlProps/ctrlProp88.xml"/><Relationship Id="rId47" Type="http://schemas.openxmlformats.org/officeDocument/2006/relationships/ctrlProp" Target="../ctrlProps/ctrlProp93.xml"/><Relationship Id="rId50" Type="http://schemas.openxmlformats.org/officeDocument/2006/relationships/ctrlProp" Target="../ctrlProps/ctrlProp96.xml"/><Relationship Id="rId55" Type="http://schemas.openxmlformats.org/officeDocument/2006/relationships/ctrlProp" Target="../ctrlProps/ctrlProp101.xml"/><Relationship Id="rId63" Type="http://schemas.openxmlformats.org/officeDocument/2006/relationships/comments" Target="../comments2.xml"/><Relationship Id="rId7" Type="http://schemas.openxmlformats.org/officeDocument/2006/relationships/ctrlProp" Target="../ctrlProps/ctrlProp53.xml"/><Relationship Id="rId2" Type="http://schemas.openxmlformats.org/officeDocument/2006/relationships/vmlDrawing" Target="../drawings/vmlDrawing2.vml"/><Relationship Id="rId16" Type="http://schemas.openxmlformats.org/officeDocument/2006/relationships/ctrlProp" Target="../ctrlProps/ctrlProp62.xml"/><Relationship Id="rId20" Type="http://schemas.openxmlformats.org/officeDocument/2006/relationships/ctrlProp" Target="../ctrlProps/ctrlProp66.xml"/><Relationship Id="rId29" Type="http://schemas.openxmlformats.org/officeDocument/2006/relationships/ctrlProp" Target="../ctrlProps/ctrlProp75.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1" Type="http://schemas.openxmlformats.org/officeDocument/2006/relationships/drawing" Target="../drawings/drawing2.xml"/><Relationship Id="rId6" Type="http://schemas.openxmlformats.org/officeDocument/2006/relationships/ctrlProp" Target="../ctrlProps/ctrlProp52.xml"/><Relationship Id="rId11" Type="http://schemas.openxmlformats.org/officeDocument/2006/relationships/ctrlProp" Target="../ctrlProps/ctrlProp57.xml"/><Relationship Id="rId24" Type="http://schemas.openxmlformats.org/officeDocument/2006/relationships/ctrlProp" Target="../ctrlProps/ctrlProp70.xml"/><Relationship Id="rId32" Type="http://schemas.openxmlformats.org/officeDocument/2006/relationships/ctrlProp" Target="../ctrlProps/ctrlProp78.xml"/><Relationship Id="rId37" Type="http://schemas.openxmlformats.org/officeDocument/2006/relationships/ctrlProp" Target="../ctrlProps/ctrlProp83.xml"/><Relationship Id="rId40" Type="http://schemas.openxmlformats.org/officeDocument/2006/relationships/ctrlProp" Target="../ctrlProps/ctrlProp86.xml"/><Relationship Id="rId45" Type="http://schemas.openxmlformats.org/officeDocument/2006/relationships/ctrlProp" Target="../ctrlProps/ctrlProp91.xml"/><Relationship Id="rId53" Type="http://schemas.openxmlformats.org/officeDocument/2006/relationships/ctrlProp" Target="../ctrlProps/ctrlProp99.xml"/><Relationship Id="rId58" Type="http://schemas.openxmlformats.org/officeDocument/2006/relationships/ctrlProp" Target="../ctrlProps/ctrlProp104.xml"/><Relationship Id="rId5" Type="http://schemas.openxmlformats.org/officeDocument/2006/relationships/ctrlProp" Target="../ctrlProps/ctrlProp51.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61" Type="http://schemas.openxmlformats.org/officeDocument/2006/relationships/ctrlProp" Target="../ctrlProps/ctrlProp107.xml"/><Relationship Id="rId10" Type="http://schemas.openxmlformats.org/officeDocument/2006/relationships/ctrlProp" Target="../ctrlProps/ctrlProp56.xml"/><Relationship Id="rId19" Type="http://schemas.openxmlformats.org/officeDocument/2006/relationships/ctrlProp" Target="../ctrlProps/ctrlProp65.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 Id="rId22" Type="http://schemas.openxmlformats.org/officeDocument/2006/relationships/ctrlProp" Target="../ctrlProps/ctrlProp68.xml"/><Relationship Id="rId27" Type="http://schemas.openxmlformats.org/officeDocument/2006/relationships/ctrlProp" Target="../ctrlProps/ctrlProp73.xml"/><Relationship Id="rId30" Type="http://schemas.openxmlformats.org/officeDocument/2006/relationships/ctrlProp" Target="../ctrlProps/ctrlProp76.xml"/><Relationship Id="rId35" Type="http://schemas.openxmlformats.org/officeDocument/2006/relationships/ctrlProp" Target="../ctrlProps/ctrlProp81.xml"/><Relationship Id="rId43" Type="http://schemas.openxmlformats.org/officeDocument/2006/relationships/ctrlProp" Target="../ctrlProps/ctrlProp89.xml"/><Relationship Id="rId48" Type="http://schemas.openxmlformats.org/officeDocument/2006/relationships/ctrlProp" Target="../ctrlProps/ctrlProp94.xml"/><Relationship Id="rId56" Type="http://schemas.openxmlformats.org/officeDocument/2006/relationships/ctrlProp" Target="../ctrlProps/ctrlProp102.xml"/><Relationship Id="rId8" Type="http://schemas.openxmlformats.org/officeDocument/2006/relationships/ctrlProp" Target="../ctrlProps/ctrlProp54.xml"/><Relationship Id="rId51" Type="http://schemas.openxmlformats.org/officeDocument/2006/relationships/ctrlProp" Target="../ctrlProps/ctrlProp97.xml"/><Relationship Id="rId3" Type="http://schemas.openxmlformats.org/officeDocument/2006/relationships/ctrlProp" Target="../ctrlProps/ctrlProp49.x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132.xml"/><Relationship Id="rId21" Type="http://schemas.openxmlformats.org/officeDocument/2006/relationships/ctrlProp" Target="../ctrlProps/ctrlProp127.xml"/><Relationship Id="rId42" Type="http://schemas.openxmlformats.org/officeDocument/2006/relationships/ctrlProp" Target="../ctrlProps/ctrlProp148.xml"/><Relationship Id="rId47" Type="http://schemas.openxmlformats.org/officeDocument/2006/relationships/ctrlProp" Target="../ctrlProps/ctrlProp153.xml"/><Relationship Id="rId63" Type="http://schemas.openxmlformats.org/officeDocument/2006/relationships/ctrlProp" Target="../ctrlProps/ctrlProp169.xml"/><Relationship Id="rId68" Type="http://schemas.openxmlformats.org/officeDocument/2006/relationships/ctrlProp" Target="../ctrlProps/ctrlProp174.xml"/><Relationship Id="rId84" Type="http://schemas.openxmlformats.org/officeDocument/2006/relationships/ctrlProp" Target="../ctrlProps/ctrlProp190.xml"/><Relationship Id="rId89" Type="http://schemas.openxmlformats.org/officeDocument/2006/relationships/ctrlProp" Target="../ctrlProps/ctrlProp195.xml"/><Relationship Id="rId112" Type="http://schemas.openxmlformats.org/officeDocument/2006/relationships/ctrlProp" Target="../ctrlProps/ctrlProp218.xml"/><Relationship Id="rId2" Type="http://schemas.openxmlformats.org/officeDocument/2006/relationships/vmlDrawing" Target="../drawings/vmlDrawing3.vml"/><Relationship Id="rId16" Type="http://schemas.openxmlformats.org/officeDocument/2006/relationships/ctrlProp" Target="../ctrlProps/ctrlProp122.xml"/><Relationship Id="rId29" Type="http://schemas.openxmlformats.org/officeDocument/2006/relationships/ctrlProp" Target="../ctrlProps/ctrlProp135.xml"/><Relationship Id="rId107" Type="http://schemas.openxmlformats.org/officeDocument/2006/relationships/ctrlProp" Target="../ctrlProps/ctrlProp213.xml"/><Relationship Id="rId11" Type="http://schemas.openxmlformats.org/officeDocument/2006/relationships/ctrlProp" Target="../ctrlProps/ctrlProp117.xml"/><Relationship Id="rId24" Type="http://schemas.openxmlformats.org/officeDocument/2006/relationships/ctrlProp" Target="../ctrlProps/ctrlProp130.xml"/><Relationship Id="rId32" Type="http://schemas.openxmlformats.org/officeDocument/2006/relationships/ctrlProp" Target="../ctrlProps/ctrlProp138.xml"/><Relationship Id="rId37" Type="http://schemas.openxmlformats.org/officeDocument/2006/relationships/ctrlProp" Target="../ctrlProps/ctrlProp143.xml"/><Relationship Id="rId40" Type="http://schemas.openxmlformats.org/officeDocument/2006/relationships/ctrlProp" Target="../ctrlProps/ctrlProp146.xml"/><Relationship Id="rId45" Type="http://schemas.openxmlformats.org/officeDocument/2006/relationships/ctrlProp" Target="../ctrlProps/ctrlProp151.xml"/><Relationship Id="rId53" Type="http://schemas.openxmlformats.org/officeDocument/2006/relationships/ctrlProp" Target="../ctrlProps/ctrlProp159.xml"/><Relationship Id="rId58" Type="http://schemas.openxmlformats.org/officeDocument/2006/relationships/ctrlProp" Target="../ctrlProps/ctrlProp164.xml"/><Relationship Id="rId66" Type="http://schemas.openxmlformats.org/officeDocument/2006/relationships/ctrlProp" Target="../ctrlProps/ctrlProp172.xml"/><Relationship Id="rId74" Type="http://schemas.openxmlformats.org/officeDocument/2006/relationships/ctrlProp" Target="../ctrlProps/ctrlProp180.xml"/><Relationship Id="rId79" Type="http://schemas.openxmlformats.org/officeDocument/2006/relationships/ctrlProp" Target="../ctrlProps/ctrlProp185.xml"/><Relationship Id="rId87" Type="http://schemas.openxmlformats.org/officeDocument/2006/relationships/ctrlProp" Target="../ctrlProps/ctrlProp193.xml"/><Relationship Id="rId102" Type="http://schemas.openxmlformats.org/officeDocument/2006/relationships/ctrlProp" Target="../ctrlProps/ctrlProp208.xml"/><Relationship Id="rId110" Type="http://schemas.openxmlformats.org/officeDocument/2006/relationships/ctrlProp" Target="../ctrlProps/ctrlProp216.xml"/><Relationship Id="rId5" Type="http://schemas.openxmlformats.org/officeDocument/2006/relationships/ctrlProp" Target="../ctrlProps/ctrlProp111.xml"/><Relationship Id="rId61" Type="http://schemas.openxmlformats.org/officeDocument/2006/relationships/ctrlProp" Target="../ctrlProps/ctrlProp167.xml"/><Relationship Id="rId82" Type="http://schemas.openxmlformats.org/officeDocument/2006/relationships/ctrlProp" Target="../ctrlProps/ctrlProp188.xml"/><Relationship Id="rId90" Type="http://schemas.openxmlformats.org/officeDocument/2006/relationships/ctrlProp" Target="../ctrlProps/ctrlProp196.xml"/><Relationship Id="rId95" Type="http://schemas.openxmlformats.org/officeDocument/2006/relationships/ctrlProp" Target="../ctrlProps/ctrlProp201.xml"/><Relationship Id="rId19" Type="http://schemas.openxmlformats.org/officeDocument/2006/relationships/ctrlProp" Target="../ctrlProps/ctrlProp125.xml"/><Relationship Id="rId14" Type="http://schemas.openxmlformats.org/officeDocument/2006/relationships/ctrlProp" Target="../ctrlProps/ctrlProp120.xml"/><Relationship Id="rId22" Type="http://schemas.openxmlformats.org/officeDocument/2006/relationships/ctrlProp" Target="../ctrlProps/ctrlProp128.xml"/><Relationship Id="rId27" Type="http://schemas.openxmlformats.org/officeDocument/2006/relationships/ctrlProp" Target="../ctrlProps/ctrlProp133.xml"/><Relationship Id="rId30" Type="http://schemas.openxmlformats.org/officeDocument/2006/relationships/ctrlProp" Target="../ctrlProps/ctrlProp136.xml"/><Relationship Id="rId35" Type="http://schemas.openxmlformats.org/officeDocument/2006/relationships/ctrlProp" Target="../ctrlProps/ctrlProp141.xml"/><Relationship Id="rId43" Type="http://schemas.openxmlformats.org/officeDocument/2006/relationships/ctrlProp" Target="../ctrlProps/ctrlProp149.xml"/><Relationship Id="rId48" Type="http://schemas.openxmlformats.org/officeDocument/2006/relationships/ctrlProp" Target="../ctrlProps/ctrlProp154.xml"/><Relationship Id="rId56" Type="http://schemas.openxmlformats.org/officeDocument/2006/relationships/ctrlProp" Target="../ctrlProps/ctrlProp162.xml"/><Relationship Id="rId64" Type="http://schemas.openxmlformats.org/officeDocument/2006/relationships/ctrlProp" Target="../ctrlProps/ctrlProp170.xml"/><Relationship Id="rId69" Type="http://schemas.openxmlformats.org/officeDocument/2006/relationships/ctrlProp" Target="../ctrlProps/ctrlProp175.xml"/><Relationship Id="rId77" Type="http://schemas.openxmlformats.org/officeDocument/2006/relationships/ctrlProp" Target="../ctrlProps/ctrlProp183.xml"/><Relationship Id="rId100" Type="http://schemas.openxmlformats.org/officeDocument/2006/relationships/ctrlProp" Target="../ctrlProps/ctrlProp206.xml"/><Relationship Id="rId105" Type="http://schemas.openxmlformats.org/officeDocument/2006/relationships/ctrlProp" Target="../ctrlProps/ctrlProp211.xml"/><Relationship Id="rId113" Type="http://schemas.openxmlformats.org/officeDocument/2006/relationships/ctrlProp" Target="../ctrlProps/ctrlProp219.xml"/><Relationship Id="rId8" Type="http://schemas.openxmlformats.org/officeDocument/2006/relationships/ctrlProp" Target="../ctrlProps/ctrlProp114.xml"/><Relationship Id="rId51" Type="http://schemas.openxmlformats.org/officeDocument/2006/relationships/ctrlProp" Target="../ctrlProps/ctrlProp157.xml"/><Relationship Id="rId72" Type="http://schemas.openxmlformats.org/officeDocument/2006/relationships/ctrlProp" Target="../ctrlProps/ctrlProp178.xml"/><Relationship Id="rId80" Type="http://schemas.openxmlformats.org/officeDocument/2006/relationships/ctrlProp" Target="../ctrlProps/ctrlProp186.xml"/><Relationship Id="rId85" Type="http://schemas.openxmlformats.org/officeDocument/2006/relationships/ctrlProp" Target="../ctrlProps/ctrlProp191.xml"/><Relationship Id="rId93" Type="http://schemas.openxmlformats.org/officeDocument/2006/relationships/ctrlProp" Target="../ctrlProps/ctrlProp199.xml"/><Relationship Id="rId98" Type="http://schemas.openxmlformats.org/officeDocument/2006/relationships/ctrlProp" Target="../ctrlProps/ctrlProp204.xml"/><Relationship Id="rId3" Type="http://schemas.openxmlformats.org/officeDocument/2006/relationships/ctrlProp" Target="../ctrlProps/ctrlProp109.xml"/><Relationship Id="rId12" Type="http://schemas.openxmlformats.org/officeDocument/2006/relationships/ctrlProp" Target="../ctrlProps/ctrlProp118.xml"/><Relationship Id="rId17" Type="http://schemas.openxmlformats.org/officeDocument/2006/relationships/ctrlProp" Target="../ctrlProps/ctrlProp123.xml"/><Relationship Id="rId25" Type="http://schemas.openxmlformats.org/officeDocument/2006/relationships/ctrlProp" Target="../ctrlProps/ctrlProp131.xml"/><Relationship Id="rId33" Type="http://schemas.openxmlformats.org/officeDocument/2006/relationships/ctrlProp" Target="../ctrlProps/ctrlProp139.xml"/><Relationship Id="rId38" Type="http://schemas.openxmlformats.org/officeDocument/2006/relationships/ctrlProp" Target="../ctrlProps/ctrlProp144.xml"/><Relationship Id="rId46" Type="http://schemas.openxmlformats.org/officeDocument/2006/relationships/ctrlProp" Target="../ctrlProps/ctrlProp152.xml"/><Relationship Id="rId59" Type="http://schemas.openxmlformats.org/officeDocument/2006/relationships/ctrlProp" Target="../ctrlProps/ctrlProp165.xml"/><Relationship Id="rId67" Type="http://schemas.openxmlformats.org/officeDocument/2006/relationships/ctrlProp" Target="../ctrlProps/ctrlProp173.xml"/><Relationship Id="rId103" Type="http://schemas.openxmlformats.org/officeDocument/2006/relationships/ctrlProp" Target="../ctrlProps/ctrlProp209.xml"/><Relationship Id="rId108" Type="http://schemas.openxmlformats.org/officeDocument/2006/relationships/ctrlProp" Target="../ctrlProps/ctrlProp214.xml"/><Relationship Id="rId20" Type="http://schemas.openxmlformats.org/officeDocument/2006/relationships/ctrlProp" Target="../ctrlProps/ctrlProp126.xml"/><Relationship Id="rId41" Type="http://schemas.openxmlformats.org/officeDocument/2006/relationships/ctrlProp" Target="../ctrlProps/ctrlProp147.xml"/><Relationship Id="rId54" Type="http://schemas.openxmlformats.org/officeDocument/2006/relationships/ctrlProp" Target="../ctrlProps/ctrlProp160.xml"/><Relationship Id="rId62" Type="http://schemas.openxmlformats.org/officeDocument/2006/relationships/ctrlProp" Target="../ctrlProps/ctrlProp168.xml"/><Relationship Id="rId70" Type="http://schemas.openxmlformats.org/officeDocument/2006/relationships/ctrlProp" Target="../ctrlProps/ctrlProp176.xml"/><Relationship Id="rId75" Type="http://schemas.openxmlformats.org/officeDocument/2006/relationships/ctrlProp" Target="../ctrlProps/ctrlProp181.xml"/><Relationship Id="rId83" Type="http://schemas.openxmlformats.org/officeDocument/2006/relationships/ctrlProp" Target="../ctrlProps/ctrlProp189.xml"/><Relationship Id="rId88" Type="http://schemas.openxmlformats.org/officeDocument/2006/relationships/ctrlProp" Target="../ctrlProps/ctrlProp194.xml"/><Relationship Id="rId91" Type="http://schemas.openxmlformats.org/officeDocument/2006/relationships/ctrlProp" Target="../ctrlProps/ctrlProp197.xml"/><Relationship Id="rId96" Type="http://schemas.openxmlformats.org/officeDocument/2006/relationships/ctrlProp" Target="../ctrlProps/ctrlProp202.xml"/><Relationship Id="rId111" Type="http://schemas.openxmlformats.org/officeDocument/2006/relationships/ctrlProp" Target="../ctrlProps/ctrlProp217.xml"/><Relationship Id="rId1" Type="http://schemas.openxmlformats.org/officeDocument/2006/relationships/drawing" Target="../drawings/drawing3.xml"/><Relationship Id="rId6" Type="http://schemas.openxmlformats.org/officeDocument/2006/relationships/ctrlProp" Target="../ctrlProps/ctrlProp112.xml"/><Relationship Id="rId15" Type="http://schemas.openxmlformats.org/officeDocument/2006/relationships/ctrlProp" Target="../ctrlProps/ctrlProp121.xml"/><Relationship Id="rId23" Type="http://schemas.openxmlformats.org/officeDocument/2006/relationships/ctrlProp" Target="../ctrlProps/ctrlProp129.xml"/><Relationship Id="rId28" Type="http://schemas.openxmlformats.org/officeDocument/2006/relationships/ctrlProp" Target="../ctrlProps/ctrlProp134.xml"/><Relationship Id="rId36" Type="http://schemas.openxmlformats.org/officeDocument/2006/relationships/ctrlProp" Target="../ctrlProps/ctrlProp142.xml"/><Relationship Id="rId49" Type="http://schemas.openxmlformats.org/officeDocument/2006/relationships/ctrlProp" Target="../ctrlProps/ctrlProp155.xml"/><Relationship Id="rId57" Type="http://schemas.openxmlformats.org/officeDocument/2006/relationships/ctrlProp" Target="../ctrlProps/ctrlProp163.xml"/><Relationship Id="rId106" Type="http://schemas.openxmlformats.org/officeDocument/2006/relationships/ctrlProp" Target="../ctrlProps/ctrlProp212.xml"/><Relationship Id="rId114" Type="http://schemas.openxmlformats.org/officeDocument/2006/relationships/comments" Target="../comments3.xml"/><Relationship Id="rId10" Type="http://schemas.openxmlformats.org/officeDocument/2006/relationships/ctrlProp" Target="../ctrlProps/ctrlProp116.xml"/><Relationship Id="rId31" Type="http://schemas.openxmlformats.org/officeDocument/2006/relationships/ctrlProp" Target="../ctrlProps/ctrlProp137.xml"/><Relationship Id="rId44" Type="http://schemas.openxmlformats.org/officeDocument/2006/relationships/ctrlProp" Target="../ctrlProps/ctrlProp150.xml"/><Relationship Id="rId52" Type="http://schemas.openxmlformats.org/officeDocument/2006/relationships/ctrlProp" Target="../ctrlProps/ctrlProp158.xml"/><Relationship Id="rId60" Type="http://schemas.openxmlformats.org/officeDocument/2006/relationships/ctrlProp" Target="../ctrlProps/ctrlProp166.xml"/><Relationship Id="rId65" Type="http://schemas.openxmlformats.org/officeDocument/2006/relationships/ctrlProp" Target="../ctrlProps/ctrlProp171.xml"/><Relationship Id="rId73" Type="http://schemas.openxmlformats.org/officeDocument/2006/relationships/ctrlProp" Target="../ctrlProps/ctrlProp179.xml"/><Relationship Id="rId78" Type="http://schemas.openxmlformats.org/officeDocument/2006/relationships/ctrlProp" Target="../ctrlProps/ctrlProp184.xml"/><Relationship Id="rId81" Type="http://schemas.openxmlformats.org/officeDocument/2006/relationships/ctrlProp" Target="../ctrlProps/ctrlProp187.xml"/><Relationship Id="rId86" Type="http://schemas.openxmlformats.org/officeDocument/2006/relationships/ctrlProp" Target="../ctrlProps/ctrlProp192.xml"/><Relationship Id="rId94" Type="http://schemas.openxmlformats.org/officeDocument/2006/relationships/ctrlProp" Target="../ctrlProps/ctrlProp200.xml"/><Relationship Id="rId99" Type="http://schemas.openxmlformats.org/officeDocument/2006/relationships/ctrlProp" Target="../ctrlProps/ctrlProp205.xml"/><Relationship Id="rId101" Type="http://schemas.openxmlformats.org/officeDocument/2006/relationships/ctrlProp" Target="../ctrlProps/ctrlProp207.xml"/><Relationship Id="rId4" Type="http://schemas.openxmlformats.org/officeDocument/2006/relationships/ctrlProp" Target="../ctrlProps/ctrlProp110.xml"/><Relationship Id="rId9" Type="http://schemas.openxmlformats.org/officeDocument/2006/relationships/ctrlProp" Target="../ctrlProps/ctrlProp115.xml"/><Relationship Id="rId13" Type="http://schemas.openxmlformats.org/officeDocument/2006/relationships/ctrlProp" Target="../ctrlProps/ctrlProp119.xml"/><Relationship Id="rId18" Type="http://schemas.openxmlformats.org/officeDocument/2006/relationships/ctrlProp" Target="../ctrlProps/ctrlProp124.xml"/><Relationship Id="rId39" Type="http://schemas.openxmlformats.org/officeDocument/2006/relationships/ctrlProp" Target="../ctrlProps/ctrlProp145.xml"/><Relationship Id="rId109" Type="http://schemas.openxmlformats.org/officeDocument/2006/relationships/ctrlProp" Target="../ctrlProps/ctrlProp215.xml"/><Relationship Id="rId34" Type="http://schemas.openxmlformats.org/officeDocument/2006/relationships/ctrlProp" Target="../ctrlProps/ctrlProp140.xml"/><Relationship Id="rId50" Type="http://schemas.openxmlformats.org/officeDocument/2006/relationships/ctrlProp" Target="../ctrlProps/ctrlProp156.xml"/><Relationship Id="rId55" Type="http://schemas.openxmlformats.org/officeDocument/2006/relationships/ctrlProp" Target="../ctrlProps/ctrlProp161.xml"/><Relationship Id="rId76" Type="http://schemas.openxmlformats.org/officeDocument/2006/relationships/ctrlProp" Target="../ctrlProps/ctrlProp182.xml"/><Relationship Id="rId97" Type="http://schemas.openxmlformats.org/officeDocument/2006/relationships/ctrlProp" Target="../ctrlProps/ctrlProp203.xml"/><Relationship Id="rId104" Type="http://schemas.openxmlformats.org/officeDocument/2006/relationships/ctrlProp" Target="../ctrlProps/ctrlProp210.xml"/><Relationship Id="rId7" Type="http://schemas.openxmlformats.org/officeDocument/2006/relationships/ctrlProp" Target="../ctrlProps/ctrlProp113.xml"/><Relationship Id="rId71" Type="http://schemas.openxmlformats.org/officeDocument/2006/relationships/ctrlProp" Target="../ctrlProps/ctrlProp177.xml"/><Relationship Id="rId92" Type="http://schemas.openxmlformats.org/officeDocument/2006/relationships/ctrlProp" Target="../ctrlProps/ctrlProp19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25.xml"/><Relationship Id="rId13" Type="http://schemas.openxmlformats.org/officeDocument/2006/relationships/ctrlProp" Target="../ctrlProps/ctrlProp230.xml"/><Relationship Id="rId18" Type="http://schemas.openxmlformats.org/officeDocument/2006/relationships/ctrlProp" Target="../ctrlProps/ctrlProp235.xml"/><Relationship Id="rId26" Type="http://schemas.openxmlformats.org/officeDocument/2006/relationships/ctrlProp" Target="../ctrlProps/ctrlProp243.xml"/><Relationship Id="rId3" Type="http://schemas.openxmlformats.org/officeDocument/2006/relationships/ctrlProp" Target="../ctrlProps/ctrlProp220.xml"/><Relationship Id="rId21" Type="http://schemas.openxmlformats.org/officeDocument/2006/relationships/ctrlProp" Target="../ctrlProps/ctrlProp238.xml"/><Relationship Id="rId7" Type="http://schemas.openxmlformats.org/officeDocument/2006/relationships/ctrlProp" Target="../ctrlProps/ctrlProp224.x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2" Type="http://schemas.openxmlformats.org/officeDocument/2006/relationships/vmlDrawing" Target="../drawings/vmlDrawing4.vml"/><Relationship Id="rId16" Type="http://schemas.openxmlformats.org/officeDocument/2006/relationships/ctrlProp" Target="../ctrlProps/ctrlProp233.xml"/><Relationship Id="rId20" Type="http://schemas.openxmlformats.org/officeDocument/2006/relationships/ctrlProp" Target="../ctrlProps/ctrlProp237.xml"/><Relationship Id="rId29" Type="http://schemas.openxmlformats.org/officeDocument/2006/relationships/comments" Target="../comments4.xml"/><Relationship Id="rId1" Type="http://schemas.openxmlformats.org/officeDocument/2006/relationships/drawing" Target="../drawings/drawing4.xml"/><Relationship Id="rId6" Type="http://schemas.openxmlformats.org/officeDocument/2006/relationships/ctrlProp" Target="../ctrlProps/ctrlProp223.xml"/><Relationship Id="rId11" Type="http://schemas.openxmlformats.org/officeDocument/2006/relationships/ctrlProp" Target="../ctrlProps/ctrlProp228.xml"/><Relationship Id="rId24" Type="http://schemas.openxmlformats.org/officeDocument/2006/relationships/ctrlProp" Target="../ctrlProps/ctrlProp241.xml"/><Relationship Id="rId5" Type="http://schemas.openxmlformats.org/officeDocument/2006/relationships/ctrlProp" Target="../ctrlProps/ctrlProp222.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10" Type="http://schemas.openxmlformats.org/officeDocument/2006/relationships/ctrlProp" Target="../ctrlProps/ctrlProp227.xml"/><Relationship Id="rId19" Type="http://schemas.openxmlformats.org/officeDocument/2006/relationships/ctrlProp" Target="../ctrlProps/ctrlProp236.xml"/><Relationship Id="rId4" Type="http://schemas.openxmlformats.org/officeDocument/2006/relationships/ctrlProp" Target="../ctrlProps/ctrlProp221.xml"/><Relationship Id="rId9" Type="http://schemas.openxmlformats.org/officeDocument/2006/relationships/ctrlProp" Target="../ctrlProps/ctrlProp226.xml"/><Relationship Id="rId14" Type="http://schemas.openxmlformats.org/officeDocument/2006/relationships/ctrlProp" Target="../ctrlProps/ctrlProp231.xml"/><Relationship Id="rId22" Type="http://schemas.openxmlformats.org/officeDocument/2006/relationships/ctrlProp" Target="../ctrlProps/ctrlProp239.xml"/><Relationship Id="rId27" Type="http://schemas.openxmlformats.org/officeDocument/2006/relationships/ctrlProp" Target="../ctrlProps/ctrlProp2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80326-BE4B-466F-89C0-A691EC66F7A7}">
  <sheetPr codeName="Лист2">
    <tabColor rgb="FF92D050"/>
  </sheetPr>
  <dimension ref="A1:CL280"/>
  <sheetViews>
    <sheetView tabSelected="1" topLeftCell="M34" zoomScale="70" zoomScaleNormal="70" workbookViewId="0">
      <selection activeCell="T54" sqref="T54"/>
    </sheetView>
  </sheetViews>
  <sheetFormatPr defaultRowHeight="15" x14ac:dyDescent="0.25"/>
  <cols>
    <col min="1" max="1" width="26.28515625" bestFit="1" customWidth="1"/>
    <col min="2" max="2" width="22.140625" bestFit="1" customWidth="1"/>
    <col min="3" max="3" width="26" bestFit="1" customWidth="1"/>
    <col min="4" max="4" width="15.85546875" bestFit="1" customWidth="1"/>
    <col min="5" max="5" width="36.85546875" bestFit="1" customWidth="1"/>
    <col min="6" max="6" width="9.5703125" customWidth="1"/>
    <col min="7" max="7" width="12.85546875" bestFit="1" customWidth="1"/>
    <col min="8" max="8" width="22.28515625" bestFit="1" customWidth="1"/>
    <col min="9" max="9" width="40.85546875" bestFit="1" customWidth="1"/>
    <col min="10" max="11" width="15.5703125" bestFit="1" customWidth="1"/>
    <col min="12" max="12" width="28.7109375" bestFit="1" customWidth="1"/>
    <col min="13" max="13" width="11.5703125" bestFit="1" customWidth="1"/>
    <col min="14" max="14" width="20.85546875" bestFit="1" customWidth="1"/>
    <col min="15" max="15" width="16.85546875" bestFit="1" customWidth="1"/>
    <col min="16" max="16" width="18.28515625" bestFit="1" customWidth="1"/>
    <col min="17" max="17" width="26.28515625" bestFit="1" customWidth="1"/>
    <col min="18" max="18" width="12.85546875" bestFit="1" customWidth="1"/>
    <col min="19" max="19" width="14.28515625" bestFit="1" customWidth="1"/>
    <col min="20" max="20" width="18.42578125" customWidth="1"/>
    <col min="21" max="21" width="27.140625" bestFit="1" customWidth="1"/>
    <col min="22" max="22" width="23.5703125" bestFit="1" customWidth="1"/>
    <col min="23" max="23" width="15" bestFit="1" customWidth="1"/>
    <col min="24" max="24" width="19.5703125" bestFit="1" customWidth="1"/>
    <col min="25" max="25" width="14.28515625" bestFit="1" customWidth="1"/>
    <col min="26" max="26" width="24.5703125" bestFit="1" customWidth="1"/>
    <col min="27" max="27" width="10.7109375" customWidth="1"/>
    <col min="28" max="28" width="21.7109375" bestFit="1" customWidth="1"/>
    <col min="29" max="29" width="13.28515625" bestFit="1" customWidth="1"/>
    <col min="30" max="30" width="13.140625" customWidth="1"/>
    <col min="31" max="31" width="36.85546875" bestFit="1" customWidth="1"/>
    <col min="32" max="32" width="17.5703125" bestFit="1" customWidth="1"/>
    <col min="33" max="33" width="23.140625" bestFit="1" customWidth="1"/>
    <col min="34" max="34" width="17.5703125" bestFit="1" customWidth="1"/>
    <col min="35" max="35" width="13.28515625" bestFit="1" customWidth="1"/>
    <col min="39" max="39" width="12" customWidth="1"/>
    <col min="40" max="40" width="13.140625" customWidth="1"/>
    <col min="43" max="43" width="13.28515625" bestFit="1" customWidth="1"/>
    <col min="51" max="51" width="14.28515625" bestFit="1" customWidth="1"/>
    <col min="59" max="59" width="14.28515625" bestFit="1" customWidth="1"/>
    <col min="67" max="67" width="14.5703125" bestFit="1" customWidth="1"/>
    <col min="75" max="75" width="15.7109375" bestFit="1" customWidth="1"/>
    <col min="83" max="83" width="15.7109375" bestFit="1" customWidth="1"/>
  </cols>
  <sheetData>
    <row r="1" spans="1:90" ht="15.75" customHeight="1" x14ac:dyDescent="0.3">
      <c r="A1" s="264" t="s">
        <v>110</v>
      </c>
      <c r="B1" s="265"/>
      <c r="C1" s="265"/>
      <c r="D1" s="265"/>
      <c r="E1" s="265"/>
      <c r="F1" s="265"/>
      <c r="G1" s="265"/>
      <c r="H1" s="265"/>
      <c r="I1" s="265"/>
      <c r="J1" s="265"/>
      <c r="K1" s="266"/>
      <c r="M1" s="10"/>
      <c r="N1" s="10"/>
      <c r="O1" s="10"/>
      <c r="P1" s="10"/>
      <c r="Q1" s="10"/>
      <c r="R1" s="10"/>
      <c r="S1" s="10"/>
      <c r="U1" s="10"/>
      <c r="V1" s="10"/>
      <c r="W1" s="10"/>
      <c r="X1" s="10"/>
      <c r="Y1" s="10"/>
      <c r="Z1" s="10"/>
      <c r="AA1" s="10"/>
      <c r="AB1" s="10"/>
      <c r="AC1" s="10"/>
      <c r="AD1" s="10"/>
      <c r="AE1" s="10"/>
      <c r="AJ1" s="224"/>
      <c r="AK1" s="224"/>
      <c r="AL1" s="224"/>
      <c r="AM1" s="224"/>
      <c r="AN1" s="224"/>
      <c r="AO1" s="224"/>
      <c r="AP1" s="224"/>
      <c r="AQ1" s="224"/>
      <c r="AR1" s="224"/>
      <c r="AS1" s="224"/>
      <c r="AT1" s="224"/>
      <c r="AU1" s="224"/>
      <c r="AV1" s="224"/>
      <c r="AW1" s="224"/>
      <c r="AX1" s="224"/>
      <c r="AY1" s="224"/>
      <c r="AZ1" s="224"/>
      <c r="BA1" s="224"/>
      <c r="BB1" s="224"/>
      <c r="BC1" s="224"/>
      <c r="BD1" s="224"/>
      <c r="BE1" s="224"/>
      <c r="BF1" s="224"/>
      <c r="BG1" s="224"/>
      <c r="BH1" s="224"/>
      <c r="BI1" s="224"/>
      <c r="BJ1" s="224"/>
      <c r="BK1" s="224"/>
      <c r="BL1" s="224"/>
      <c r="BM1" s="224"/>
      <c r="BN1" s="224"/>
      <c r="BO1" s="224"/>
      <c r="BP1" s="224"/>
      <c r="BQ1" s="224"/>
      <c r="BR1" s="224"/>
      <c r="BS1" s="224"/>
      <c r="BT1" s="224"/>
      <c r="BU1" s="224"/>
      <c r="BV1" s="224"/>
      <c r="BW1" s="224"/>
      <c r="BX1" s="224"/>
      <c r="BY1" s="224"/>
      <c r="BZ1" s="224"/>
      <c r="CA1" s="224"/>
      <c r="CB1" s="224"/>
      <c r="CC1" s="224"/>
      <c r="CD1" s="224"/>
      <c r="CE1" s="224"/>
      <c r="CF1" s="224"/>
      <c r="CG1" s="224"/>
      <c r="CH1" s="224"/>
      <c r="CI1" s="224"/>
      <c r="CJ1" s="224"/>
      <c r="CK1" s="224"/>
      <c r="CL1" s="224"/>
    </row>
    <row r="2" spans="1:90" ht="15.75" customHeight="1" thickBot="1" x14ac:dyDescent="0.35">
      <c r="A2" s="267"/>
      <c r="B2" s="268"/>
      <c r="C2" s="268"/>
      <c r="D2" s="268"/>
      <c r="E2" s="268"/>
      <c r="F2" s="268"/>
      <c r="G2" s="268"/>
      <c r="H2" s="268"/>
      <c r="I2" s="268"/>
      <c r="J2" s="268"/>
      <c r="K2" s="269"/>
      <c r="M2" s="281" t="s">
        <v>105</v>
      </c>
      <c r="N2" s="281"/>
      <c r="O2" s="281"/>
      <c r="P2" s="281"/>
      <c r="Q2" s="281"/>
      <c r="R2" s="281"/>
      <c r="S2" s="10"/>
      <c r="U2" s="276" t="s">
        <v>148</v>
      </c>
      <c r="V2" s="277"/>
      <c r="W2" s="277"/>
      <c r="X2" s="278"/>
      <c r="Y2" s="10"/>
      <c r="Z2" s="214" t="s">
        <v>145</v>
      </c>
      <c r="AA2" s="214"/>
      <c r="AB2" s="53" t="s">
        <v>146</v>
      </c>
      <c r="AC2" s="10"/>
      <c r="AD2" s="10"/>
      <c r="AE2" s="10"/>
      <c r="AJ2" s="224"/>
      <c r="AK2" s="224"/>
      <c r="AL2" s="224"/>
      <c r="AM2" s="224"/>
      <c r="AN2" s="224"/>
      <c r="AO2" s="224"/>
      <c r="AP2" s="224"/>
      <c r="AQ2" s="224"/>
      <c r="AR2" s="224"/>
      <c r="AS2" s="224"/>
      <c r="AT2" s="224"/>
      <c r="AU2" s="224"/>
      <c r="AV2" s="224"/>
      <c r="AW2" s="224"/>
      <c r="AX2" s="224"/>
      <c r="AY2" s="224"/>
      <c r="AZ2" s="224"/>
      <c r="BA2" s="224"/>
      <c r="BB2" s="224"/>
      <c r="BC2" s="224"/>
      <c r="BD2" s="224"/>
      <c r="BE2" s="224"/>
      <c r="BF2" s="224"/>
      <c r="BG2" s="224"/>
      <c r="BH2" s="224"/>
      <c r="BI2" s="224"/>
      <c r="BJ2" s="224"/>
      <c r="BK2" s="224"/>
      <c r="BL2" s="224"/>
      <c r="BM2" s="224"/>
      <c r="BN2" s="224"/>
      <c r="BO2" s="224"/>
      <c r="BP2" s="224"/>
      <c r="BQ2" s="224"/>
      <c r="BR2" s="224"/>
      <c r="BS2" s="224"/>
      <c r="BT2" s="224"/>
      <c r="BU2" s="224"/>
      <c r="BV2" s="224"/>
      <c r="BW2" s="224"/>
      <c r="BX2" s="224"/>
      <c r="BY2" s="224"/>
      <c r="BZ2" s="224"/>
      <c r="CA2" s="224"/>
      <c r="CB2" s="224"/>
      <c r="CC2" s="224"/>
      <c r="CD2" s="224"/>
      <c r="CE2" s="224"/>
      <c r="CF2" s="224"/>
      <c r="CG2" s="224"/>
      <c r="CH2" s="224"/>
      <c r="CI2" s="224"/>
      <c r="CJ2" s="224"/>
      <c r="CK2" s="224"/>
      <c r="CL2" s="224"/>
    </row>
    <row r="3" spans="1:90" ht="17.25" customHeight="1" x14ac:dyDescent="0.3">
      <c r="M3" s="282" t="s">
        <v>80</v>
      </c>
      <c r="N3" s="282"/>
      <c r="O3" s="282"/>
      <c r="P3" s="282"/>
      <c r="Q3" s="282"/>
      <c r="R3" s="282"/>
      <c r="S3" s="10"/>
      <c r="U3" s="210" t="s">
        <v>80</v>
      </c>
      <c r="V3" s="211"/>
      <c r="W3" s="211"/>
      <c r="X3" s="212"/>
      <c r="Y3" s="10"/>
      <c r="Z3" s="27" t="s">
        <v>149</v>
      </c>
      <c r="AA3" s="27">
        <v>100000</v>
      </c>
      <c r="AB3" s="19">
        <v>1</v>
      </c>
      <c r="AC3" s="10"/>
      <c r="AD3" s="10"/>
      <c r="AE3" s="10"/>
    </row>
    <row r="4" spans="1:90" ht="17.25" x14ac:dyDescent="0.3">
      <c r="B4" s="272" t="s">
        <v>0</v>
      </c>
      <c r="C4" s="273"/>
      <c r="D4" s="10"/>
      <c r="E4" s="270" t="s">
        <v>3</v>
      </c>
      <c r="F4" s="270"/>
      <c r="G4" s="10"/>
      <c r="H4" s="10"/>
      <c r="I4" s="270" t="s">
        <v>35</v>
      </c>
      <c r="J4" s="270"/>
      <c r="M4" s="232" t="s">
        <v>444</v>
      </c>
      <c r="N4" s="110" t="s">
        <v>82</v>
      </c>
      <c r="O4" s="110" t="s">
        <v>85</v>
      </c>
      <c r="P4" s="110" t="s">
        <v>84</v>
      </c>
      <c r="Q4" s="110" t="s">
        <v>83</v>
      </c>
      <c r="R4" s="110" t="s">
        <v>306</v>
      </c>
      <c r="S4" s="41"/>
      <c r="U4" s="110" t="s">
        <v>81</v>
      </c>
      <c r="V4" s="110" t="s">
        <v>89</v>
      </c>
      <c r="W4" s="110" t="s">
        <v>88</v>
      </c>
      <c r="X4" s="110" t="s">
        <v>90</v>
      </c>
      <c r="Y4" s="10"/>
      <c r="Z4" s="27" t="s">
        <v>150</v>
      </c>
      <c r="AA4" s="27"/>
      <c r="AB4" s="19">
        <f>(AA4/AA3)*100%</f>
        <v>0</v>
      </c>
      <c r="AC4" s="10"/>
      <c r="AD4" s="10"/>
      <c r="AE4" s="10"/>
    </row>
    <row r="5" spans="1:90" ht="16.5" x14ac:dyDescent="0.3">
      <c r="B5" s="61" t="s">
        <v>1</v>
      </c>
      <c r="C5" s="62">
        <v>90</v>
      </c>
      <c r="D5" s="10"/>
      <c r="E5" s="12" t="s">
        <v>6</v>
      </c>
      <c r="F5" s="13"/>
      <c r="G5" s="23" t="s">
        <v>452</v>
      </c>
      <c r="H5" s="10"/>
      <c r="I5" s="14" t="s">
        <v>37</v>
      </c>
      <c r="J5" s="15">
        <f>C6*(1+B51)+B64</f>
        <v>4780</v>
      </c>
      <c r="M5" s="107" t="s">
        <v>92</v>
      </c>
      <c r="N5" s="7">
        <v>1.23</v>
      </c>
      <c r="O5" s="35"/>
      <c r="P5" s="27">
        <v>1</v>
      </c>
      <c r="Q5" s="36" t="s">
        <v>22</v>
      </c>
      <c r="R5" s="27"/>
      <c r="S5" s="38"/>
      <c r="U5" s="107" t="str">
        <f t="shared" ref="U5:U19" si="0">M5</f>
        <v>NA</v>
      </c>
      <c r="V5" s="43">
        <f t="shared" ref="V5:V13" si="1">((((K205+$B$76)*(N5*P5))+(N205*O5*P5))*($J$12+$B$84)*100%*$J$20*$J$18*$J$19*$J$21)</f>
        <v>0</v>
      </c>
      <c r="W5" s="43">
        <f t="shared" ref="W5:W13" si="2">((((K205+$B$76)*(N5*P5))+(N205*O5*P5))*($J$12+$B$84)*(1+$J$11)*$J$20*$J$18*$J$19*$J$21)</f>
        <v>0</v>
      </c>
      <c r="X5" s="43">
        <f t="shared" ref="X5:X13" si="3">((((K205+$B$76)*(N5*P5))+(N205*O5*P5))*($J$12+$B$84)*(1+$J$11*$J$10)*$J$20*$J$18*$J$19*$J$21)</f>
        <v>0</v>
      </c>
      <c r="Y5" s="10"/>
      <c r="Z5" s="27" t="s">
        <v>151</v>
      </c>
      <c r="AA5" s="27"/>
      <c r="AB5" s="19">
        <f>(AA5/AA3)*100%</f>
        <v>0</v>
      </c>
      <c r="AC5" s="10"/>
      <c r="AD5" s="10"/>
      <c r="AE5" s="10"/>
    </row>
    <row r="6" spans="1:90" ht="17.25" customHeight="1" x14ac:dyDescent="0.3">
      <c r="B6" s="16" t="s">
        <v>7</v>
      </c>
      <c r="C6" s="17"/>
      <c r="D6" s="10"/>
      <c r="E6" s="18" t="s">
        <v>5</v>
      </c>
      <c r="F6" s="50"/>
      <c r="G6" s="50"/>
      <c r="H6" s="10"/>
      <c r="I6" s="12" t="s">
        <v>27</v>
      </c>
      <c r="J6" s="20">
        <f>(C7+F5)*(1+B52)+B65</f>
        <v>311</v>
      </c>
      <c r="M6" s="107" t="s">
        <v>92</v>
      </c>
      <c r="N6" s="7">
        <v>2.34</v>
      </c>
      <c r="O6" s="35"/>
      <c r="P6" s="27">
        <v>1</v>
      </c>
      <c r="Q6" s="36" t="s">
        <v>22</v>
      </c>
      <c r="R6" s="27"/>
      <c r="S6" s="38"/>
      <c r="U6" s="107" t="str">
        <f t="shared" si="0"/>
        <v>NA</v>
      </c>
      <c r="V6" s="43">
        <f t="shared" si="1"/>
        <v>0</v>
      </c>
      <c r="W6" s="43">
        <f t="shared" si="2"/>
        <v>0</v>
      </c>
      <c r="X6" s="43">
        <f t="shared" si="3"/>
        <v>0</v>
      </c>
      <c r="Y6" s="10"/>
      <c r="Z6" s="27" t="s">
        <v>152</v>
      </c>
      <c r="AA6" s="27"/>
      <c r="AB6" s="19">
        <f>(AA6/AA3)*100%</f>
        <v>0</v>
      </c>
      <c r="AC6" s="10"/>
      <c r="AD6" s="10"/>
      <c r="AE6" s="10"/>
    </row>
    <row r="7" spans="1:90" ht="17.25" x14ac:dyDescent="0.3">
      <c r="B7" s="21" t="s">
        <v>8</v>
      </c>
      <c r="C7" s="22"/>
      <c r="D7" s="10"/>
      <c r="E7" s="271" t="s">
        <v>4</v>
      </c>
      <c r="F7" s="271"/>
      <c r="G7" s="23" t="s">
        <v>20</v>
      </c>
      <c r="H7" s="10"/>
      <c r="I7" s="24" t="s">
        <v>38</v>
      </c>
      <c r="J7" s="96">
        <f>C8*(1*B53)+B66</f>
        <v>0</v>
      </c>
      <c r="M7" s="107" t="s">
        <v>92</v>
      </c>
      <c r="N7" s="7">
        <v>4.53</v>
      </c>
      <c r="O7" s="35"/>
      <c r="P7" s="27">
        <v>1</v>
      </c>
      <c r="Q7" s="36" t="s">
        <v>22</v>
      </c>
      <c r="R7" s="27"/>
      <c r="S7" s="38"/>
      <c r="U7" s="107" t="str">
        <f t="shared" si="0"/>
        <v>NA</v>
      </c>
      <c r="V7" s="43">
        <f t="shared" si="1"/>
        <v>0</v>
      </c>
      <c r="W7" s="43">
        <f t="shared" si="2"/>
        <v>0</v>
      </c>
      <c r="X7" s="43">
        <f t="shared" si="3"/>
        <v>0</v>
      </c>
      <c r="Y7" s="51"/>
      <c r="Z7" s="27" t="s">
        <v>153</v>
      </c>
      <c r="AA7" s="27"/>
      <c r="AB7" s="19">
        <f>(AA7/AA3)*100%</f>
        <v>0</v>
      </c>
      <c r="AC7" s="10"/>
      <c r="AD7" s="10"/>
      <c r="AE7" s="10"/>
    </row>
    <row r="8" spans="1:90" ht="17.25" customHeight="1" x14ac:dyDescent="0.3">
      <c r="B8" s="25" t="s">
        <v>9</v>
      </c>
      <c r="C8" s="26"/>
      <c r="D8" s="10"/>
      <c r="E8" s="18"/>
      <c r="F8" s="19"/>
      <c r="G8" s="27">
        <v>1</v>
      </c>
      <c r="H8" s="10"/>
      <c r="I8" s="28" t="s">
        <v>39</v>
      </c>
      <c r="J8" s="78">
        <f>C9+B54</f>
        <v>1</v>
      </c>
      <c r="M8" s="107" t="s">
        <v>92</v>
      </c>
      <c r="N8" s="19">
        <v>3.24</v>
      </c>
      <c r="O8" s="35"/>
      <c r="P8" s="27">
        <v>1</v>
      </c>
      <c r="Q8" s="36" t="s">
        <v>22</v>
      </c>
      <c r="R8" s="27"/>
      <c r="S8" s="38"/>
      <c r="U8" s="107" t="str">
        <f t="shared" si="0"/>
        <v>NA</v>
      </c>
      <c r="V8" s="43">
        <f t="shared" si="1"/>
        <v>0</v>
      </c>
      <c r="W8" s="43">
        <f t="shared" si="2"/>
        <v>0</v>
      </c>
      <c r="X8" s="43">
        <f t="shared" si="3"/>
        <v>0</v>
      </c>
      <c r="Y8" s="10"/>
      <c r="Z8" s="27" t="s">
        <v>154</v>
      </c>
      <c r="AA8" s="27"/>
      <c r="AB8" s="19">
        <f>(AA8/AA3)*100%</f>
        <v>0</v>
      </c>
      <c r="AC8" s="10"/>
      <c r="AD8" s="10"/>
      <c r="AE8" s="10"/>
    </row>
    <row r="9" spans="1:90" ht="17.25" customHeight="1" x14ac:dyDescent="0.3">
      <c r="B9" s="29" t="s">
        <v>43</v>
      </c>
      <c r="C9" s="30">
        <v>1</v>
      </c>
      <c r="D9" s="10"/>
      <c r="E9" s="18"/>
      <c r="F9" s="19"/>
      <c r="G9" s="27">
        <v>1</v>
      </c>
      <c r="H9" s="10"/>
      <c r="I9" s="31" t="s">
        <v>40</v>
      </c>
      <c r="J9" s="256">
        <f>B57</f>
        <v>0</v>
      </c>
      <c r="M9" s="107" t="s">
        <v>92</v>
      </c>
      <c r="N9" s="19">
        <v>5.46</v>
      </c>
      <c r="O9" s="35"/>
      <c r="P9" s="27">
        <v>1</v>
      </c>
      <c r="Q9" s="36" t="s">
        <v>22</v>
      </c>
      <c r="R9" s="27"/>
      <c r="S9" s="38"/>
      <c r="U9" s="107" t="str">
        <f t="shared" si="0"/>
        <v>NA</v>
      </c>
      <c r="V9" s="43">
        <f t="shared" si="1"/>
        <v>0</v>
      </c>
      <c r="W9" s="43">
        <f t="shared" si="2"/>
        <v>0</v>
      </c>
      <c r="X9" s="43">
        <f t="shared" si="3"/>
        <v>0</v>
      </c>
      <c r="Y9" s="10"/>
      <c r="Z9" s="27" t="s">
        <v>155</v>
      </c>
      <c r="AA9" s="27"/>
      <c r="AB9" s="19">
        <f>(AA9/AA3)*100%</f>
        <v>0</v>
      </c>
      <c r="AC9" s="10"/>
      <c r="AD9" s="10"/>
      <c r="AE9" s="10"/>
    </row>
    <row r="10" spans="1:90" ht="17.25" customHeight="1" x14ac:dyDescent="0.3">
      <c r="A10" s="60" t="str">
        <f>IF(OR(B17,C17),"Хп%",IF(OR(B18,C18),"Атк%",IF(OR(B19,C19),"Защ%",IF(C20,"Ку%",IF(C21,"Кш%",IF(OR(B22,C22),"Вэ%",IF(OR(B23,C23),"Эл.урон%",IF(OR(B24,C24),"Физ.урон%",IF(C25,"Бонус.лечения%",IF(OR(B26,C26),"Мс",""))))))))))</f>
        <v/>
      </c>
      <c r="B10" s="11" t="s">
        <v>10</v>
      </c>
      <c r="C10" s="59">
        <f>IF(B17,100*24%,)+IF(C17,100*28.8%,)+IF(B18,100*24%,)+IF(C18,100*28.8%,)+IF(B19,100*24%,)+IF(C19,100*28.8%,)+IF(C20,100*38.4%,)+IF(C21,100*19.2%,)+IF(B22,100*26.8%,)+IF(C22,100*32%,)+IF(B23,100*24%,)+IF(C23,100*28.8%,)+IF(B24,100*30%,)+IF(C24,100*34.6%,)+IF(C25,100*22%,)+IF(B26,96,)+IF(C26,115,)</f>
        <v>0</v>
      </c>
      <c r="D10" s="10"/>
      <c r="E10" s="18"/>
      <c r="F10" s="19"/>
      <c r="G10" s="27">
        <v>1</v>
      </c>
      <c r="H10" s="10"/>
      <c r="I10" s="32" t="s">
        <v>41</v>
      </c>
      <c r="J10" s="77">
        <f>C11+B55</f>
        <v>0.05</v>
      </c>
      <c r="M10" s="107" t="s">
        <v>92</v>
      </c>
      <c r="N10" s="19">
        <v>2.34</v>
      </c>
      <c r="O10" s="35"/>
      <c r="P10" s="27">
        <v>1</v>
      </c>
      <c r="Q10" s="36" t="s">
        <v>22</v>
      </c>
      <c r="R10" s="27"/>
      <c r="S10" s="38"/>
      <c r="U10" s="107" t="str">
        <f t="shared" si="0"/>
        <v>NA</v>
      </c>
      <c r="V10" s="43">
        <f t="shared" si="1"/>
        <v>0</v>
      </c>
      <c r="W10" s="43">
        <f t="shared" si="2"/>
        <v>0</v>
      </c>
      <c r="X10" s="43">
        <f t="shared" si="3"/>
        <v>0</v>
      </c>
      <c r="Y10" s="10"/>
      <c r="Z10" s="27" t="s">
        <v>156</v>
      </c>
      <c r="AA10" s="27"/>
      <c r="AB10" s="19">
        <f>(AA10/AA3)*100%</f>
        <v>0</v>
      </c>
      <c r="AC10" s="10"/>
      <c r="AD10" s="10"/>
      <c r="AE10" s="10"/>
    </row>
    <row r="11" spans="1:90" ht="17.25" customHeight="1" x14ac:dyDescent="0.3">
      <c r="B11" s="33" t="s">
        <v>11</v>
      </c>
      <c r="C11" s="34">
        <v>0.05</v>
      </c>
      <c r="D11" s="10"/>
      <c r="E11" s="18"/>
      <c r="F11" s="19"/>
      <c r="G11" s="27">
        <v>1</v>
      </c>
      <c r="H11" s="10"/>
      <c r="I11" s="32" t="s">
        <v>42</v>
      </c>
      <c r="J11" s="77">
        <f>C12+B56</f>
        <v>0.5</v>
      </c>
      <c r="M11" s="107" t="s">
        <v>92</v>
      </c>
      <c r="N11" s="19">
        <v>0.45</v>
      </c>
      <c r="O11" s="35"/>
      <c r="P11" s="27">
        <v>1</v>
      </c>
      <c r="Q11" s="36" t="s">
        <v>22</v>
      </c>
      <c r="R11" s="27"/>
      <c r="S11" s="38"/>
      <c r="U11" s="107" t="str">
        <f t="shared" si="0"/>
        <v>NA</v>
      </c>
      <c r="V11" s="43">
        <f t="shared" si="1"/>
        <v>0</v>
      </c>
      <c r="W11" s="43">
        <f t="shared" si="2"/>
        <v>0</v>
      </c>
      <c r="X11" s="43">
        <f t="shared" si="3"/>
        <v>0</v>
      </c>
      <c r="Y11" s="10"/>
      <c r="Z11" s="27" t="s">
        <v>157</v>
      </c>
      <c r="AA11" s="27"/>
      <c r="AB11" s="19">
        <f>(AA11/AA3)*100%</f>
        <v>0</v>
      </c>
      <c r="AC11" s="10"/>
      <c r="AD11" s="10"/>
      <c r="AE11" s="10"/>
    </row>
    <row r="12" spans="1:90" ht="17.25" customHeight="1" x14ac:dyDescent="0.3">
      <c r="B12" s="33" t="s">
        <v>12</v>
      </c>
      <c r="C12" s="34">
        <v>0.5</v>
      </c>
      <c r="D12" s="10"/>
      <c r="E12" s="10"/>
      <c r="F12" s="10"/>
      <c r="G12" s="10"/>
      <c r="H12" s="10"/>
      <c r="I12" s="18" t="s">
        <v>36</v>
      </c>
      <c r="J12" s="35">
        <f>100%+B58+B59</f>
        <v>1</v>
      </c>
      <c r="M12" s="107" t="s">
        <v>92</v>
      </c>
      <c r="N12" s="19">
        <v>98.34</v>
      </c>
      <c r="O12" s="35"/>
      <c r="P12" s="27">
        <v>1</v>
      </c>
      <c r="Q12" s="36" t="s">
        <v>22</v>
      </c>
      <c r="R12" s="27"/>
      <c r="S12" s="38"/>
      <c r="U12" s="107" t="str">
        <f t="shared" si="0"/>
        <v>NA</v>
      </c>
      <c r="V12" s="43">
        <f t="shared" si="1"/>
        <v>0</v>
      </c>
      <c r="W12" s="43">
        <f t="shared" si="2"/>
        <v>0</v>
      </c>
      <c r="X12" s="43">
        <f t="shared" si="3"/>
        <v>0</v>
      </c>
      <c r="Y12" s="10"/>
      <c r="Z12" s="27" t="s">
        <v>158</v>
      </c>
      <c r="AA12" s="27"/>
      <c r="AB12" s="19">
        <f>(AA12/AA3)*100%</f>
        <v>0</v>
      </c>
      <c r="AC12" s="10"/>
      <c r="AD12" s="10"/>
      <c r="AE12" s="10"/>
    </row>
    <row r="13" spans="1:90" ht="17.25" customHeight="1" x14ac:dyDescent="0.3">
      <c r="B13" s="10"/>
      <c r="C13" s="10"/>
      <c r="D13" s="10"/>
      <c r="E13" s="10"/>
      <c r="F13" s="10"/>
      <c r="G13" s="10"/>
      <c r="H13" s="10"/>
      <c r="I13" s="18" t="s">
        <v>180</v>
      </c>
      <c r="J13" s="35">
        <f>0%+IF(H127,22%,)</f>
        <v>0</v>
      </c>
      <c r="M13" s="107" t="s">
        <v>92</v>
      </c>
      <c r="N13" s="19">
        <v>32.46</v>
      </c>
      <c r="O13" s="35"/>
      <c r="P13" s="27">
        <v>1</v>
      </c>
      <c r="Q13" s="36" t="s">
        <v>22</v>
      </c>
      <c r="R13" s="27"/>
      <c r="S13" s="38"/>
      <c r="U13" s="107" t="str">
        <f t="shared" si="0"/>
        <v>NA</v>
      </c>
      <c r="V13" s="43">
        <f t="shared" si="1"/>
        <v>0</v>
      </c>
      <c r="W13" s="43">
        <f t="shared" si="2"/>
        <v>0</v>
      </c>
      <c r="X13" s="43">
        <f t="shared" si="3"/>
        <v>0</v>
      </c>
      <c r="Y13" s="10"/>
      <c r="Z13" s="10"/>
      <c r="AA13" s="10"/>
      <c r="AB13" s="10"/>
      <c r="AC13" s="10"/>
      <c r="AD13" s="10"/>
      <c r="AE13" s="10"/>
    </row>
    <row r="14" spans="1:90" ht="17.25" customHeight="1" x14ac:dyDescent="0.3">
      <c r="E14" s="67"/>
      <c r="F14" s="8"/>
      <c r="G14" s="113"/>
      <c r="H14" s="51"/>
      <c r="I14" s="10"/>
      <c r="J14" s="10"/>
      <c r="M14" s="107" t="s">
        <v>94</v>
      </c>
      <c r="N14" s="19">
        <v>3.45</v>
      </c>
      <c r="O14" s="35"/>
      <c r="P14" s="27">
        <v>1</v>
      </c>
      <c r="Q14" s="36" t="s">
        <v>22</v>
      </c>
      <c r="R14" s="27"/>
      <c r="S14" s="38"/>
      <c r="U14" s="107" t="str">
        <f t="shared" si="0"/>
        <v>HA</v>
      </c>
      <c r="V14" s="43">
        <f>((((K214+$B$77)*(N14*P14))+(N214*O14*P14))*($J$12+$B$85)*100%*$J$20*$J$18*$J$19*$J$21)</f>
        <v>0</v>
      </c>
      <c r="W14" s="43">
        <f>((((K213+$B$77)*(N14*P14))+(N213*O14*P14))*($J$12+$B$85)*(1+$J$11)*$J$20*$J$18*$J$19*$J$21)</f>
        <v>0</v>
      </c>
      <c r="X14" s="43">
        <f>((((K213+$B$77)*(N14*P14))+(N213*O14*P14))*($J$12+$B$85)*(1+$J$11*$J$10)*$J$20*$J$18*$J$19*$J$21)</f>
        <v>0</v>
      </c>
      <c r="Y14" s="10"/>
      <c r="Z14" s="10"/>
      <c r="AA14" s="10"/>
      <c r="AB14" s="10"/>
      <c r="AC14" s="10"/>
      <c r="AD14" s="10"/>
      <c r="AE14" s="10"/>
    </row>
    <row r="15" spans="1:90" ht="17.25" x14ac:dyDescent="0.3">
      <c r="A15" s="10"/>
      <c r="B15" s="272" t="s">
        <v>112</v>
      </c>
      <c r="C15" s="273"/>
      <c r="E15" s="75"/>
      <c r="F15" s="8"/>
      <c r="G15" s="114"/>
      <c r="H15" s="51"/>
      <c r="I15" s="270" t="s">
        <v>61</v>
      </c>
      <c r="J15" s="270"/>
      <c r="M15" s="107" t="s">
        <v>94</v>
      </c>
      <c r="N15" s="19">
        <v>2.35</v>
      </c>
      <c r="O15" s="35"/>
      <c r="P15" s="27">
        <v>1</v>
      </c>
      <c r="Q15" s="36" t="s">
        <v>22</v>
      </c>
      <c r="R15" s="27"/>
      <c r="S15" s="38"/>
      <c r="U15" s="107" t="str">
        <f t="shared" si="0"/>
        <v>HA</v>
      </c>
      <c r="V15" s="43">
        <f>((((K215+$B$77)*(N15*P15))+(N215*O15*P15))*($J$12+$B$85)*100%*$J$20*$J$18*$J$19*$J$21)</f>
        <v>0</v>
      </c>
      <c r="W15" s="43">
        <f>((((K214+$B$77)*(N15*P15))+(N214*O15*P15))*($J$12+$B$85)*(1+$J$11)*$J$20*$J$18*$J$19*$J$21)</f>
        <v>0</v>
      </c>
      <c r="X15" s="43">
        <f>((((K214+$B$77)*(N15*P15))+(N214*O15*P15))*($J$12+$B$85)*(1+$J$11*$J$10)*$J$20*$J$18*$J$19*$J$21)</f>
        <v>0</v>
      </c>
      <c r="Y15" s="10"/>
      <c r="Z15" s="10"/>
      <c r="AA15" s="225"/>
      <c r="AB15" s="10"/>
      <c r="AC15" s="10"/>
      <c r="AD15" s="10"/>
      <c r="AE15" s="10"/>
    </row>
    <row r="16" spans="1:90" ht="17.25" x14ac:dyDescent="0.3">
      <c r="A16" s="10"/>
      <c r="B16" s="42" t="s">
        <v>113</v>
      </c>
      <c r="C16" s="42" t="s">
        <v>114</v>
      </c>
      <c r="E16" s="67"/>
      <c r="G16" s="113"/>
      <c r="H16" s="51"/>
      <c r="I16" s="32" t="s">
        <v>120</v>
      </c>
      <c r="J16" s="34">
        <f>(Артефакты!B61+Артефакты!B62)</f>
        <v>0</v>
      </c>
      <c r="M16" s="107" t="s">
        <v>94</v>
      </c>
      <c r="N16" s="19">
        <v>6.43</v>
      </c>
      <c r="O16" s="35"/>
      <c r="P16" s="27">
        <v>1</v>
      </c>
      <c r="Q16" s="36" t="s">
        <v>22</v>
      </c>
      <c r="R16" s="27"/>
      <c r="S16" s="38"/>
      <c r="U16" s="107" t="str">
        <f t="shared" si="0"/>
        <v>HA</v>
      </c>
      <c r="V16" s="43">
        <f>((((K216+$B$77)*(N16*P16))+(N216*O16*P16))*($J$12+$B$85)*100%*$J$20*$J$18*$J$19*$J$21)</f>
        <v>0</v>
      </c>
      <c r="W16" s="43">
        <f>((((K215+$B$77)*(N16*P16))+(N215*O16*P16))*($J$12+$B$85)*(1+$J$11)*$J$20*$J$18*$J$19*$J$21)</f>
        <v>0</v>
      </c>
      <c r="X16" s="43">
        <f>((((K215+$B$77)*(N16*P16))+(N215*O16*P16))*($J$12+$B$85)*(1+$J$11*$J$10)*$J$20*$J$18*$J$19*$J$21)</f>
        <v>0</v>
      </c>
      <c r="Y16" s="10"/>
      <c r="AB16" s="106">
        <f>AB17</f>
        <v>0</v>
      </c>
      <c r="AC16" s="10"/>
      <c r="AD16" s="10"/>
      <c r="AE16" s="10"/>
    </row>
    <row r="17" spans="1:83" ht="16.5" x14ac:dyDescent="0.3">
      <c r="A17" s="39"/>
      <c r="B17" s="254" t="b">
        <v>0</v>
      </c>
      <c r="C17" s="254" t="b">
        <v>0</v>
      </c>
      <c r="F17" s="55"/>
      <c r="G17" s="113"/>
      <c r="H17" s="10"/>
      <c r="I17" s="18" t="s">
        <v>62</v>
      </c>
      <c r="J17" s="37">
        <f>IF(B70&gt;0,(1+(B70/2)-0.05),1-0.1)</f>
        <v>0.9</v>
      </c>
      <c r="M17" s="107" t="s">
        <v>98</v>
      </c>
      <c r="N17" s="19">
        <v>2.34</v>
      </c>
      <c r="O17" s="35"/>
      <c r="P17" s="27">
        <v>1</v>
      </c>
      <c r="Q17" s="36" t="s">
        <v>22</v>
      </c>
      <c r="R17" s="27"/>
      <c r="S17" s="38"/>
      <c r="U17" s="107" t="str">
        <f t="shared" si="0"/>
        <v>PD</v>
      </c>
      <c r="V17" s="43">
        <f>((((K217+$B$78)*(N17*P17))+(N217*O17*P17))*($J$12+$B$86)*100%*$J$20*$J$18*$J$19*$J$21)</f>
        <v>0</v>
      </c>
      <c r="W17" s="43">
        <f>((((K216+$B$78)*(N17*P17))+(N216*O17*P17))*($J$12+$B$86)*(1+$J$11)*$J$20*$J$18*$J$19*$J$21)</f>
        <v>0</v>
      </c>
      <c r="X17" s="43">
        <f>((((K216+$B$78)*(N17*P17))+(N216*O17*P17))*($J$12+$B$86)*(1+$J$11*$J$10)*$J$20*$J$18*$J$19*$J$21)</f>
        <v>0</v>
      </c>
      <c r="Y17" s="10"/>
      <c r="Z17" s="276" t="s">
        <v>147</v>
      </c>
      <c r="AA17" s="278"/>
      <c r="AB17" s="43"/>
      <c r="AC17" s="10"/>
      <c r="AD17" s="10"/>
      <c r="AE17" s="10"/>
    </row>
    <row r="18" spans="1:83" ht="17.25" customHeight="1" x14ac:dyDescent="0.3">
      <c r="A18" s="39"/>
      <c r="B18" s="254" t="b">
        <v>0</v>
      </c>
      <c r="C18" s="254" t="b">
        <v>0</v>
      </c>
      <c r="F18" s="55"/>
      <c r="G18" s="56"/>
      <c r="H18" s="10"/>
      <c r="I18" s="18" t="s">
        <v>63</v>
      </c>
      <c r="J18" s="37">
        <f>IF(B69&gt;0,(1+(B69/2)-0.05),1-0.1)</f>
        <v>0.9</v>
      </c>
      <c r="M18" s="107" t="s">
        <v>98</v>
      </c>
      <c r="N18" s="19">
        <v>0.12</v>
      </c>
      <c r="O18" s="35"/>
      <c r="P18" s="27">
        <v>1</v>
      </c>
      <c r="Q18" s="36" t="s">
        <v>22</v>
      </c>
      <c r="R18" s="27"/>
      <c r="S18" s="38"/>
      <c r="U18" s="107" t="str">
        <f t="shared" si="0"/>
        <v>PD</v>
      </c>
      <c r="V18" s="43">
        <f>((((K218+$B$78)*(N18*P18))+(N218*O18*P18))*($J$12+$B$86)*100%*$J$20*$J$18*$J$19*$J$21)</f>
        <v>0</v>
      </c>
      <c r="W18" s="43">
        <f>((((K217+$B$78)*(N18*P18))+(N217*O18*P18))*($J$12+$B$86)*(1+$J$11)*$J$20*$J$18*$J$19*$J$21)</f>
        <v>0</v>
      </c>
      <c r="X18" s="43">
        <f>((((K217+$B$78)*(N18*P18))+(N217*O18*P18))*($J$12+$B$86)*(1+$J$11*$J$10)*$J$20*$J$18*$J$19*$J$21)</f>
        <v>0</v>
      </c>
      <c r="Y18" s="10"/>
      <c r="Z18" s="10"/>
      <c r="AA18" s="10"/>
      <c r="AB18" s="10"/>
      <c r="AC18" s="10"/>
      <c r="AD18" s="10"/>
      <c r="AE18" s="10"/>
    </row>
    <row r="19" spans="1:83" ht="17.25" customHeight="1" x14ac:dyDescent="0.3">
      <c r="A19" s="39"/>
      <c r="B19" s="254" t="b">
        <v>0</v>
      </c>
      <c r="C19" s="254" t="b">
        <v>0</v>
      </c>
      <c r="E19" s="8"/>
      <c r="F19" s="55"/>
      <c r="G19" s="55"/>
      <c r="H19" s="10"/>
      <c r="I19" s="18" t="s">
        <v>64</v>
      </c>
      <c r="J19" s="37">
        <f>(C5+100)/((1-B71)*(Разное!O3+100)+(C5+100))</f>
        <v>0.48346055979643765</v>
      </c>
      <c r="M19" s="107" t="s">
        <v>98</v>
      </c>
      <c r="N19" s="19">
        <v>0.32</v>
      </c>
      <c r="O19" s="35"/>
      <c r="P19" s="27">
        <v>1</v>
      </c>
      <c r="Q19" s="36" t="s">
        <v>22</v>
      </c>
      <c r="R19" s="27"/>
      <c r="S19" s="38"/>
      <c r="U19" s="107" t="str">
        <f t="shared" si="0"/>
        <v>PD</v>
      </c>
      <c r="V19" s="43">
        <f>((((K219+$B$78)*(N19*P19))+(N219*O19*P19))*($J$12+$B$86)*100%*$J$20*$J$18*$J$19*$J$21)</f>
        <v>0</v>
      </c>
      <c r="W19" s="43">
        <f>((((K218+$B$78)*(N19*P19))+(N218*O19*P19))*($J$12+$B$86)*(1+$J$11)*$J$20*$J$18*$J$19*$J$21)</f>
        <v>0</v>
      </c>
      <c r="X19" s="43">
        <f>((((K218+$B$78)*(N19*P19))+(N218*O19*P19))*($J$12+$B$86)*(1+$J$11*$J$10)*$J$20*$J$18*$J$19*$J$21)</f>
        <v>0</v>
      </c>
      <c r="Y19" s="10"/>
      <c r="Z19" s="10"/>
      <c r="AA19" s="10"/>
      <c r="AB19" s="10"/>
      <c r="AC19" s="10"/>
      <c r="AD19" s="10"/>
      <c r="AE19" s="10"/>
    </row>
    <row r="20" spans="1:83" ht="17.25" customHeight="1" x14ac:dyDescent="0.3">
      <c r="A20" s="39"/>
      <c r="B20" s="255" t="s">
        <v>34</v>
      </c>
      <c r="C20" s="255" t="b">
        <v>0</v>
      </c>
      <c r="F20" s="57"/>
      <c r="G20" s="56"/>
      <c r="H20" s="10"/>
      <c r="I20" s="18" t="s">
        <v>65</v>
      </c>
      <c r="J20" s="19">
        <f>IF(J25,100%,IF(J26,115%,IF(J27,125%,IF(J28,150%,IF(J29,200%,IF(J30,150%,IF(J31,200%,)))))))</f>
        <v>0</v>
      </c>
      <c r="M20" s="282" t="s">
        <v>86</v>
      </c>
      <c r="N20" s="282"/>
      <c r="O20" s="282"/>
      <c r="P20" s="282"/>
      <c r="Q20" s="282"/>
      <c r="R20" s="282"/>
      <c r="S20" s="10"/>
      <c r="U20" s="289" t="s">
        <v>86</v>
      </c>
      <c r="V20" s="290"/>
      <c r="W20" s="290"/>
      <c r="X20" s="291"/>
      <c r="Y20" s="10"/>
      <c r="Z20" s="10"/>
      <c r="AA20" s="10"/>
      <c r="AB20" s="10"/>
      <c r="AC20" s="10"/>
      <c r="AD20" s="10"/>
      <c r="AE20" s="10"/>
    </row>
    <row r="21" spans="1:83" ht="17.25" customHeight="1" x14ac:dyDescent="0.3">
      <c r="A21" s="39"/>
      <c r="B21" s="255" t="s">
        <v>34</v>
      </c>
      <c r="C21" s="255" t="b">
        <v>0</v>
      </c>
      <c r="F21" s="57"/>
      <c r="G21" s="56"/>
      <c r="H21" s="10"/>
      <c r="I21" s="18" t="s">
        <v>66</v>
      </c>
      <c r="J21" s="19">
        <f>IF(J25,100%,IF(J26,Разное!L6,IF(J27,Разное!L7,IF(J28,Разное!L3,IF(J29,Разное!L2,IF(J30,Разное!L5,IF(J31,Разное!L4,)))))))</f>
        <v>0</v>
      </c>
      <c r="M21" s="233" t="s">
        <v>135</v>
      </c>
      <c r="N21" s="35"/>
      <c r="O21" s="27"/>
      <c r="P21" s="27">
        <v>1</v>
      </c>
      <c r="Q21" s="36" t="s">
        <v>22</v>
      </c>
      <c r="R21" s="27"/>
      <c r="S21" s="10"/>
      <c r="U21" s="108" t="str">
        <f t="shared" ref="U21:U32" si="4">M21</f>
        <v>E</v>
      </c>
      <c r="V21" s="43">
        <f t="shared" ref="V21:V32" si="5">((K220+$B$79)*(N21*P21)+(O21*N220*P21))*($J$12+$B$87)*100%*$J$20*$J$18*$J$19*$J$21</f>
        <v>0</v>
      </c>
      <c r="W21" s="43">
        <f t="shared" ref="W21:W32" si="6">((K220+$B$79)*(N21*P21)+(O21*N220*P21))*($J$12+$B$87)*(1+$J$11)*$J$20*$J$18*$J$19*$J$21</f>
        <v>0</v>
      </c>
      <c r="X21" s="43">
        <f t="shared" ref="X21:X32" si="7">((K220+$B$79)*(N21*P21)+(O21*N220*P21))*($J$12+$B$87)*(1+$J$11*$J$10)*$J$20*$J$18*$J$19*$J$21</f>
        <v>0</v>
      </c>
      <c r="Y21" s="10"/>
      <c r="Z21" s="10"/>
      <c r="AA21" s="10"/>
      <c r="AB21" s="10"/>
      <c r="AC21" s="10"/>
      <c r="AD21" s="10"/>
      <c r="AE21" s="10"/>
    </row>
    <row r="22" spans="1:83" ht="17.25" customHeight="1" x14ac:dyDescent="0.3">
      <c r="A22" s="39"/>
      <c r="B22" s="255" t="b">
        <v>0</v>
      </c>
      <c r="C22" s="255" t="b">
        <v>0</v>
      </c>
      <c r="F22" s="56"/>
      <c r="G22" s="55"/>
      <c r="H22" s="10"/>
      <c r="I22" s="10"/>
      <c r="J22" s="10"/>
      <c r="M22" s="233" t="s">
        <v>135</v>
      </c>
      <c r="N22" s="35"/>
      <c r="O22" s="27"/>
      <c r="P22" s="27">
        <v>1</v>
      </c>
      <c r="Q22" s="36" t="s">
        <v>22</v>
      </c>
      <c r="R22" s="27"/>
      <c r="S22" s="10"/>
      <c r="U22" s="108" t="str">
        <f t="shared" si="4"/>
        <v>E</v>
      </c>
      <c r="V22" s="43">
        <f t="shared" si="5"/>
        <v>0</v>
      </c>
      <c r="W22" s="43">
        <f t="shared" si="6"/>
        <v>0</v>
      </c>
      <c r="X22" s="43">
        <f t="shared" si="7"/>
        <v>0</v>
      </c>
      <c r="Y22" s="10"/>
      <c r="Z22" s="10"/>
      <c r="AA22" s="10"/>
      <c r="AB22" s="10"/>
      <c r="AC22" s="10"/>
      <c r="AD22" s="10"/>
      <c r="AE22" s="10"/>
    </row>
    <row r="23" spans="1:83" ht="16.5" x14ac:dyDescent="0.3">
      <c r="A23" s="39"/>
      <c r="B23" s="255"/>
      <c r="C23" s="255" t="b">
        <v>0</v>
      </c>
      <c r="F23" s="55"/>
      <c r="G23" s="56"/>
      <c r="H23" s="10"/>
      <c r="I23" s="10"/>
      <c r="J23" s="10"/>
      <c r="M23" s="233" t="s">
        <v>135</v>
      </c>
      <c r="N23" s="35"/>
      <c r="O23" s="27"/>
      <c r="P23" s="27">
        <v>1</v>
      </c>
      <c r="Q23" s="36" t="s">
        <v>22</v>
      </c>
      <c r="R23" s="27"/>
      <c r="S23" s="10"/>
      <c r="U23" s="108" t="str">
        <f t="shared" si="4"/>
        <v>E</v>
      </c>
      <c r="V23" s="43">
        <f t="shared" si="5"/>
        <v>0</v>
      </c>
      <c r="W23" s="43">
        <f t="shared" si="6"/>
        <v>0</v>
      </c>
      <c r="X23" s="43">
        <f t="shared" si="7"/>
        <v>0</v>
      </c>
      <c r="Y23" s="10"/>
      <c r="Z23" s="10"/>
      <c r="AA23" s="10"/>
      <c r="AB23" s="10"/>
      <c r="AC23" s="10"/>
      <c r="AD23" s="10"/>
      <c r="AE23" s="10"/>
    </row>
    <row r="24" spans="1:83" ht="17.25" x14ac:dyDescent="0.3">
      <c r="A24" s="39"/>
      <c r="B24" s="255"/>
      <c r="C24" s="255" t="b">
        <v>0</v>
      </c>
      <c r="F24" s="55"/>
      <c r="G24" s="56"/>
      <c r="H24" s="10"/>
      <c r="I24" s="270" t="s">
        <v>194</v>
      </c>
      <c r="J24" s="270"/>
      <c r="M24" s="233" t="s">
        <v>135</v>
      </c>
      <c r="N24" s="35"/>
      <c r="O24" s="27"/>
      <c r="P24" s="27">
        <v>1</v>
      </c>
      <c r="Q24" s="36" t="s">
        <v>22</v>
      </c>
      <c r="R24" s="27"/>
      <c r="S24" s="10"/>
      <c r="U24" s="108" t="str">
        <f t="shared" si="4"/>
        <v>E</v>
      </c>
      <c r="V24" s="43">
        <f t="shared" si="5"/>
        <v>0</v>
      </c>
      <c r="W24" s="43">
        <f t="shared" si="6"/>
        <v>0</v>
      </c>
      <c r="X24" s="43">
        <f t="shared" si="7"/>
        <v>0</v>
      </c>
      <c r="Y24" s="10"/>
      <c r="Z24" s="10"/>
      <c r="AA24" s="10"/>
      <c r="AB24" s="10"/>
      <c r="AC24" s="10"/>
      <c r="AD24" s="10"/>
      <c r="AE24" s="10"/>
    </row>
    <row r="25" spans="1:83" ht="17.25" customHeight="1" x14ac:dyDescent="0.3">
      <c r="A25" s="39"/>
      <c r="B25" s="255" t="s">
        <v>34</v>
      </c>
      <c r="C25" s="255" t="b">
        <v>0</v>
      </c>
      <c r="E25" s="10"/>
      <c r="F25" s="57"/>
      <c r="G25" s="55"/>
      <c r="H25" s="10"/>
      <c r="I25" s="18" t="s">
        <v>144</v>
      </c>
      <c r="J25" s="251" t="b">
        <v>0</v>
      </c>
      <c r="M25" s="233" t="s">
        <v>135</v>
      </c>
      <c r="N25" s="35"/>
      <c r="O25" s="27"/>
      <c r="P25" s="27">
        <v>1</v>
      </c>
      <c r="Q25" s="36" t="s">
        <v>22</v>
      </c>
      <c r="R25" s="27"/>
      <c r="S25" s="10"/>
      <c r="U25" s="108" t="str">
        <f t="shared" si="4"/>
        <v>E</v>
      </c>
      <c r="V25" s="43">
        <f t="shared" si="5"/>
        <v>0</v>
      </c>
      <c r="W25" s="43">
        <f t="shared" si="6"/>
        <v>0</v>
      </c>
      <c r="X25" s="43">
        <f t="shared" si="7"/>
        <v>0</v>
      </c>
      <c r="Y25" s="10"/>
      <c r="Z25" s="10"/>
      <c r="AA25" s="10"/>
      <c r="AB25" s="10"/>
      <c r="AC25" s="10"/>
      <c r="AD25" s="10"/>
      <c r="AE25" s="10"/>
    </row>
    <row r="26" spans="1:83" ht="17.25" customHeight="1" x14ac:dyDescent="0.3">
      <c r="A26" s="39"/>
      <c r="B26" s="254" t="b">
        <v>0</v>
      </c>
      <c r="C26" s="254" t="b">
        <v>0</v>
      </c>
      <c r="E26" s="10"/>
      <c r="F26" s="10"/>
      <c r="G26" s="58"/>
      <c r="H26" s="10"/>
      <c r="I26" s="18" t="s">
        <v>70</v>
      </c>
      <c r="J26" s="251" t="b">
        <v>0</v>
      </c>
      <c r="M26" s="233" t="s">
        <v>135</v>
      </c>
      <c r="N26" s="35"/>
      <c r="O26" s="27"/>
      <c r="P26" s="27">
        <v>1</v>
      </c>
      <c r="Q26" s="36" t="s">
        <v>22</v>
      </c>
      <c r="R26" s="27"/>
      <c r="S26" s="10"/>
      <c r="U26" s="108" t="str">
        <f t="shared" si="4"/>
        <v>E</v>
      </c>
      <c r="V26" s="43">
        <f t="shared" si="5"/>
        <v>0</v>
      </c>
      <c r="W26" s="43">
        <f t="shared" si="6"/>
        <v>0</v>
      </c>
      <c r="X26" s="43">
        <f t="shared" si="7"/>
        <v>0</v>
      </c>
      <c r="Y26" s="10"/>
      <c r="Z26" s="10"/>
      <c r="AA26" s="10"/>
      <c r="AB26" s="10"/>
      <c r="AC26" s="10"/>
      <c r="AD26" s="10"/>
      <c r="AE26" s="10"/>
    </row>
    <row r="27" spans="1:83" ht="16.5" x14ac:dyDescent="0.3">
      <c r="E27" s="10"/>
      <c r="F27" s="10"/>
      <c r="G27" s="10"/>
      <c r="H27" s="10"/>
      <c r="I27" s="18" t="s">
        <v>71</v>
      </c>
      <c r="J27" s="251" t="b">
        <v>0</v>
      </c>
      <c r="M27" s="233" t="s">
        <v>135</v>
      </c>
      <c r="N27" s="35"/>
      <c r="O27" s="27"/>
      <c r="P27" s="27">
        <v>1</v>
      </c>
      <c r="Q27" s="36" t="s">
        <v>22</v>
      </c>
      <c r="R27" s="27"/>
      <c r="S27" s="10"/>
      <c r="U27" s="108" t="str">
        <f t="shared" si="4"/>
        <v>E</v>
      </c>
      <c r="V27" s="43">
        <f t="shared" si="5"/>
        <v>0</v>
      </c>
      <c r="W27" s="43">
        <f t="shared" si="6"/>
        <v>0</v>
      </c>
      <c r="X27" s="43">
        <f t="shared" si="7"/>
        <v>0</v>
      </c>
      <c r="Y27" s="10"/>
      <c r="Z27" s="10"/>
      <c r="AA27" s="10"/>
      <c r="AB27" s="10"/>
      <c r="AC27" s="10"/>
      <c r="AD27" s="10"/>
      <c r="AE27" s="10"/>
    </row>
    <row r="28" spans="1:83" ht="16.5" x14ac:dyDescent="0.3">
      <c r="E28" s="10"/>
      <c r="F28" s="10"/>
      <c r="G28" s="10"/>
      <c r="H28" s="10"/>
      <c r="I28" s="18" t="s">
        <v>190</v>
      </c>
      <c r="J28" s="252" t="b">
        <v>0</v>
      </c>
      <c r="M28" s="233" t="s">
        <v>135</v>
      </c>
      <c r="N28" s="35"/>
      <c r="O28" s="27"/>
      <c r="P28" s="27">
        <v>1</v>
      </c>
      <c r="Q28" s="36" t="s">
        <v>22</v>
      </c>
      <c r="R28" s="27"/>
      <c r="S28" s="10"/>
      <c r="U28" s="108" t="str">
        <f t="shared" si="4"/>
        <v>E</v>
      </c>
      <c r="V28" s="43">
        <f t="shared" si="5"/>
        <v>0</v>
      </c>
      <c r="W28" s="43">
        <f t="shared" si="6"/>
        <v>0</v>
      </c>
      <c r="X28" s="43">
        <f t="shared" si="7"/>
        <v>0</v>
      </c>
      <c r="Y28" s="10"/>
      <c r="Z28" s="10"/>
      <c r="AA28" s="10"/>
      <c r="AB28" s="10"/>
      <c r="AC28" s="10"/>
      <c r="AD28" s="10"/>
      <c r="AE28" s="10"/>
      <c r="AJ28" s="6"/>
      <c r="AK28" s="6"/>
      <c r="AL28" s="6"/>
      <c r="AM28" s="6"/>
      <c r="AN28" s="6"/>
      <c r="BX28" s="5"/>
      <c r="BY28" s="6"/>
      <c r="BZ28" s="6"/>
      <c r="CA28" s="6"/>
      <c r="CB28" s="280"/>
      <c r="CC28" s="280"/>
      <c r="CE28" s="5"/>
    </row>
    <row r="29" spans="1:83" ht="16.5" x14ac:dyDescent="0.3">
      <c r="B29" s="69" t="s">
        <v>217</v>
      </c>
      <c r="C29" s="223" t="b">
        <v>0</v>
      </c>
      <c r="E29" s="10"/>
      <c r="F29" s="10"/>
      <c r="G29" s="10"/>
      <c r="H29" s="10"/>
      <c r="I29" s="18" t="s">
        <v>191</v>
      </c>
      <c r="J29" s="252" t="b">
        <v>0</v>
      </c>
      <c r="M29" s="233" t="s">
        <v>135</v>
      </c>
      <c r="N29" s="35"/>
      <c r="O29" s="27"/>
      <c r="P29" s="27">
        <v>1</v>
      </c>
      <c r="Q29" s="36" t="s">
        <v>22</v>
      </c>
      <c r="R29" s="27"/>
      <c r="S29" s="10"/>
      <c r="U29" s="108" t="str">
        <f t="shared" si="4"/>
        <v>E</v>
      </c>
      <c r="V29" s="43">
        <f t="shared" si="5"/>
        <v>0</v>
      </c>
      <c r="W29" s="43">
        <f t="shared" si="6"/>
        <v>0</v>
      </c>
      <c r="X29" s="43">
        <f t="shared" si="7"/>
        <v>0</v>
      </c>
      <c r="Y29" s="10"/>
      <c r="Z29" s="10"/>
      <c r="AA29" s="10"/>
      <c r="AB29" s="10"/>
      <c r="AC29" s="10"/>
      <c r="AD29" s="10"/>
      <c r="AE29" s="10"/>
      <c r="AJ29" s="6"/>
      <c r="AK29" s="6"/>
      <c r="AL29" s="6"/>
      <c r="AM29" s="6"/>
      <c r="AN29" s="6"/>
    </row>
    <row r="30" spans="1:83" ht="16.5" x14ac:dyDescent="0.3">
      <c r="E30" s="10"/>
      <c r="F30" s="10"/>
      <c r="G30" s="10"/>
      <c r="H30" s="10"/>
      <c r="I30" s="18" t="s">
        <v>192</v>
      </c>
      <c r="J30" s="252" t="b">
        <v>0</v>
      </c>
      <c r="M30" s="233" t="s">
        <v>135</v>
      </c>
      <c r="N30" s="35"/>
      <c r="O30" s="27"/>
      <c r="P30" s="27">
        <v>1</v>
      </c>
      <c r="Q30" s="36" t="s">
        <v>22</v>
      </c>
      <c r="R30" s="27"/>
      <c r="S30" s="10"/>
      <c r="U30" s="108" t="str">
        <f t="shared" si="4"/>
        <v>E</v>
      </c>
      <c r="V30" s="43">
        <f t="shared" si="5"/>
        <v>0</v>
      </c>
      <c r="W30" s="43">
        <f t="shared" si="6"/>
        <v>0</v>
      </c>
      <c r="X30" s="43">
        <f t="shared" si="7"/>
        <v>0</v>
      </c>
      <c r="Y30" s="10"/>
      <c r="Z30" s="10"/>
      <c r="AA30" s="10"/>
      <c r="AB30" s="10"/>
      <c r="AC30" s="10"/>
      <c r="AD30" s="10"/>
      <c r="AE30" s="10"/>
      <c r="AJ30" s="6"/>
      <c r="AK30" s="6"/>
      <c r="AL30" s="6"/>
      <c r="AM30" s="6"/>
      <c r="AN30" s="6"/>
    </row>
    <row r="31" spans="1:83" ht="17.25" thickBot="1" x14ac:dyDescent="0.35">
      <c r="E31" s="10"/>
      <c r="F31" s="10"/>
      <c r="G31" s="10"/>
      <c r="H31" s="10"/>
      <c r="I31" s="18" t="s">
        <v>193</v>
      </c>
      <c r="J31" s="252" t="b">
        <v>0</v>
      </c>
      <c r="M31" s="233" t="s">
        <v>135</v>
      </c>
      <c r="N31" s="35"/>
      <c r="O31" s="27"/>
      <c r="P31" s="27">
        <v>1</v>
      </c>
      <c r="Q31" s="36" t="s">
        <v>22</v>
      </c>
      <c r="R31" s="27"/>
      <c r="S31" s="10"/>
      <c r="U31" s="108" t="str">
        <f t="shared" si="4"/>
        <v>E</v>
      </c>
      <c r="V31" s="43">
        <f t="shared" si="5"/>
        <v>0</v>
      </c>
      <c r="W31" s="43">
        <f t="shared" si="6"/>
        <v>0</v>
      </c>
      <c r="X31" s="43">
        <f t="shared" si="7"/>
        <v>0</v>
      </c>
      <c r="Y31" s="10"/>
      <c r="Z31" s="10"/>
      <c r="AA31" s="10"/>
      <c r="AB31" s="10"/>
      <c r="AC31" s="10"/>
      <c r="AD31" s="10"/>
      <c r="AE31" s="10"/>
    </row>
    <row r="32" spans="1:83" ht="17.25" thickBot="1" x14ac:dyDescent="0.35">
      <c r="A32" s="287" t="s">
        <v>443</v>
      </c>
      <c r="B32" s="288"/>
      <c r="C32" s="298" t="s">
        <v>451</v>
      </c>
      <c r="D32" s="299"/>
      <c r="E32" s="10"/>
      <c r="F32" s="10"/>
      <c r="G32" s="10"/>
      <c r="H32" s="10"/>
      <c r="I32" s="391" t="s">
        <v>449</v>
      </c>
      <c r="J32" s="261">
        <f>IF('Баффы персонажей'!AK14,14%,)+IF('Баффы персонажей'!AK19,14%,)</f>
        <v>0</v>
      </c>
      <c r="M32" s="233" t="s">
        <v>135</v>
      </c>
      <c r="N32" s="35"/>
      <c r="O32" s="27"/>
      <c r="P32" s="27">
        <v>1</v>
      </c>
      <c r="Q32" s="36" t="s">
        <v>22</v>
      </c>
      <c r="R32" s="27"/>
      <c r="S32" s="10"/>
      <c r="U32" s="108" t="str">
        <f t="shared" si="4"/>
        <v>E</v>
      </c>
      <c r="V32" s="43">
        <f t="shared" si="5"/>
        <v>0</v>
      </c>
      <c r="W32" s="43">
        <f t="shared" si="6"/>
        <v>0</v>
      </c>
      <c r="X32" s="43">
        <f t="shared" si="7"/>
        <v>0</v>
      </c>
      <c r="Y32" s="10"/>
      <c r="Z32" s="10"/>
      <c r="AA32" s="10"/>
      <c r="AB32" s="10"/>
      <c r="AC32" s="10"/>
      <c r="AD32" s="10"/>
      <c r="AE32" s="10"/>
    </row>
    <row r="33" spans="1:31" ht="16.5" x14ac:dyDescent="0.3">
      <c r="A33" s="283" t="s">
        <v>307</v>
      </c>
      <c r="B33" s="284"/>
      <c r="C33" s="292" t="s">
        <v>307</v>
      </c>
      <c r="D33" s="293"/>
      <c r="I33" s="391" t="s">
        <v>458</v>
      </c>
      <c r="J33" s="261">
        <f>IF('Баффы персонажей'!N66,14%,)</f>
        <v>0</v>
      </c>
      <c r="M33" s="279" t="s">
        <v>87</v>
      </c>
      <c r="N33" s="279"/>
      <c r="O33" s="279"/>
      <c r="P33" s="279"/>
      <c r="Q33" s="279"/>
      <c r="R33" s="279"/>
      <c r="S33" s="10"/>
      <c r="U33" s="289" t="s">
        <v>87</v>
      </c>
      <c r="V33" s="290"/>
      <c r="W33" s="290"/>
      <c r="X33" s="291"/>
      <c r="Y33" s="10"/>
      <c r="Z33" s="10"/>
      <c r="AA33" s="10"/>
      <c r="AB33" s="10"/>
      <c r="AC33" s="10"/>
      <c r="AD33" s="10"/>
      <c r="AE33" s="10"/>
    </row>
    <row r="34" spans="1:31" ht="15" customHeight="1" x14ac:dyDescent="0.3">
      <c r="A34" s="79" t="s">
        <v>269</v>
      </c>
      <c r="B34" s="80" t="s">
        <v>268</v>
      </c>
      <c r="C34" s="262" t="s">
        <v>269</v>
      </c>
      <c r="D34" s="262" t="s">
        <v>268</v>
      </c>
      <c r="E34" s="136"/>
      <c r="F34" s="136"/>
      <c r="G34" s="136"/>
      <c r="H34" s="136"/>
      <c r="I34" s="136"/>
      <c r="J34" s="136"/>
      <c r="K34" s="136"/>
      <c r="M34" s="234" t="s">
        <v>136</v>
      </c>
      <c r="N34" s="35"/>
      <c r="O34" s="27"/>
      <c r="P34" s="27">
        <v>1</v>
      </c>
      <c r="Q34" s="36" t="s">
        <v>22</v>
      </c>
      <c r="R34" s="27"/>
      <c r="S34" s="10"/>
      <c r="U34" s="109" t="str">
        <f t="shared" ref="U34:U45" si="8">M34</f>
        <v>Q</v>
      </c>
      <c r="V34" s="43">
        <f t="shared" ref="V34:V45" si="9">((K232+$B$80)*(N34*P34)+(O34*N232*P34))*($J$12+$B$88)*100%*$J$20*$J$18*$J$19*$J$21</f>
        <v>0</v>
      </c>
      <c r="W34" s="43">
        <f t="shared" ref="W34:W45" si="10">((K232+$B$80)*(N34*P34)+(O34*N232*P34))*($J$12+$B$88)*(1+$J$11)*$J$20*$J$18*$J$19*$J$21</f>
        <v>0</v>
      </c>
      <c r="X34" s="43">
        <f t="shared" ref="X34:X45" si="11">((K232+$B$80)*(N34*P34)+(O34*N232*P34))*($J$12+$B$88)*(1+$J$11*$J$10)*$J$20*$J$18*$J$19*$J$21</f>
        <v>0</v>
      </c>
      <c r="Y34" s="10"/>
      <c r="Z34" s="10"/>
      <c r="AA34" s="10"/>
      <c r="AB34" s="10"/>
      <c r="AC34" s="10"/>
      <c r="AD34" s="10"/>
      <c r="AE34" s="10"/>
    </row>
    <row r="35" spans="1:31" ht="15.75" customHeight="1" x14ac:dyDescent="0.3">
      <c r="A35" s="81" t="s">
        <v>92</v>
      </c>
      <c r="B35" s="82">
        <f>'Баффы персонажей'!Q3+Артефакты!B41+D35</f>
        <v>0</v>
      </c>
      <c r="C35" s="81" t="s">
        <v>92</v>
      </c>
      <c r="D35" s="82"/>
      <c r="E35" s="136"/>
      <c r="F35" s="136"/>
      <c r="G35" s="136"/>
      <c r="H35" s="136"/>
      <c r="I35" s="136"/>
      <c r="J35" s="136"/>
      <c r="K35" s="136"/>
      <c r="M35" s="234" t="s">
        <v>136</v>
      </c>
      <c r="N35" s="35"/>
      <c r="O35" s="27"/>
      <c r="P35" s="27">
        <v>1</v>
      </c>
      <c r="Q35" s="36" t="s">
        <v>22</v>
      </c>
      <c r="R35" s="27"/>
      <c r="S35" s="10"/>
      <c r="U35" s="109" t="str">
        <f t="shared" si="8"/>
        <v>Q</v>
      </c>
      <c r="V35" s="43">
        <f t="shared" si="9"/>
        <v>0</v>
      </c>
      <c r="W35" s="43">
        <f t="shared" si="10"/>
        <v>0</v>
      </c>
      <c r="X35" s="43">
        <f t="shared" si="11"/>
        <v>0</v>
      </c>
      <c r="Y35" s="10"/>
      <c r="Z35" s="213" t="s">
        <v>302</v>
      </c>
      <c r="AA35" s="213"/>
      <c r="AB35" s="10"/>
      <c r="AC35" s="10"/>
      <c r="AD35" s="10"/>
      <c r="AE35" s="10"/>
    </row>
    <row r="36" spans="1:31" ht="16.5" x14ac:dyDescent="0.3">
      <c r="A36" s="81" t="s">
        <v>94</v>
      </c>
      <c r="B36" s="82">
        <f>'Баффы персонажей'!Q4+Артефакты!B42+D36</f>
        <v>0</v>
      </c>
      <c r="C36" s="81" t="s">
        <v>94</v>
      </c>
      <c r="D36" s="82"/>
      <c r="E36" s="10"/>
      <c r="F36" s="10"/>
      <c r="G36" s="10"/>
      <c r="H36" s="10"/>
      <c r="I36" s="10"/>
      <c r="J36" s="10"/>
      <c r="M36" s="234" t="s">
        <v>136</v>
      </c>
      <c r="N36" s="35"/>
      <c r="O36" s="27"/>
      <c r="P36" s="27">
        <v>1</v>
      </c>
      <c r="Q36" s="36" t="s">
        <v>22</v>
      </c>
      <c r="R36" s="27"/>
      <c r="S36" s="10"/>
      <c r="U36" s="109" t="str">
        <f t="shared" si="8"/>
        <v>Q</v>
      </c>
      <c r="V36" s="43">
        <f t="shared" si="9"/>
        <v>0</v>
      </c>
      <c r="W36" s="43">
        <f t="shared" si="10"/>
        <v>0</v>
      </c>
      <c r="X36" s="43">
        <f t="shared" si="11"/>
        <v>0</v>
      </c>
      <c r="Y36" s="10"/>
      <c r="Z36" s="18" t="s">
        <v>299</v>
      </c>
      <c r="AA36" s="68"/>
      <c r="AB36" s="10"/>
      <c r="AC36" s="10"/>
      <c r="AD36" s="10"/>
      <c r="AE36" s="10"/>
    </row>
    <row r="37" spans="1:31" ht="16.5" x14ac:dyDescent="0.3">
      <c r="A37" s="81" t="s">
        <v>98</v>
      </c>
      <c r="B37" s="82">
        <f>'Баффы персонажей'!Q5+Артефакты!B43+D37</f>
        <v>0</v>
      </c>
      <c r="C37" s="81" t="s">
        <v>98</v>
      </c>
      <c r="D37" s="82"/>
      <c r="E37" s="263"/>
      <c r="F37" s="263"/>
      <c r="G37" s="10"/>
      <c r="H37" s="263"/>
      <c r="I37" s="263"/>
      <c r="J37" s="10"/>
      <c r="M37" s="234" t="s">
        <v>136</v>
      </c>
      <c r="N37" s="35"/>
      <c r="O37" s="27"/>
      <c r="P37" s="27">
        <v>1</v>
      </c>
      <c r="Q37" s="36" t="s">
        <v>22</v>
      </c>
      <c r="R37" s="27"/>
      <c r="S37" s="10"/>
      <c r="U37" s="109" t="str">
        <f t="shared" si="8"/>
        <v>Q</v>
      </c>
      <c r="V37" s="43">
        <f t="shared" si="9"/>
        <v>0</v>
      </c>
      <c r="W37" s="43">
        <f t="shared" si="10"/>
        <v>0</v>
      </c>
      <c r="X37" s="43">
        <f t="shared" si="11"/>
        <v>0</v>
      </c>
      <c r="Y37" s="10"/>
      <c r="Z37" s="18" t="s">
        <v>300</v>
      </c>
      <c r="AA37" s="3"/>
      <c r="AB37" s="10"/>
      <c r="AC37" s="10"/>
      <c r="AD37" s="10"/>
      <c r="AE37" s="10"/>
    </row>
    <row r="38" spans="1:31" ht="16.5" x14ac:dyDescent="0.3">
      <c r="A38" s="81" t="s">
        <v>135</v>
      </c>
      <c r="B38" s="82">
        <f>'Баффы персонажей'!Q6+Артефакты!B44+D38</f>
        <v>0</v>
      </c>
      <c r="C38" s="81" t="s">
        <v>135</v>
      </c>
      <c r="D38" s="82"/>
      <c r="E38" s="41"/>
      <c r="F38" s="229"/>
      <c r="G38" s="10"/>
      <c r="H38" s="41"/>
      <c r="I38" s="38"/>
      <c r="J38" s="10"/>
      <c r="M38" s="234" t="s">
        <v>136</v>
      </c>
      <c r="N38" s="35"/>
      <c r="O38" s="27"/>
      <c r="P38" s="27">
        <v>1</v>
      </c>
      <c r="Q38" s="36" t="s">
        <v>22</v>
      </c>
      <c r="R38" s="27"/>
      <c r="S38" s="10"/>
      <c r="U38" s="109" t="str">
        <f t="shared" si="8"/>
        <v>Q</v>
      </c>
      <c r="V38" s="43">
        <f t="shared" si="9"/>
        <v>0</v>
      </c>
      <c r="W38" s="43">
        <f t="shared" si="10"/>
        <v>0</v>
      </c>
      <c r="X38" s="43">
        <f t="shared" si="11"/>
        <v>0</v>
      </c>
      <c r="Y38" s="10"/>
      <c r="Z38" s="18" t="s">
        <v>301</v>
      </c>
      <c r="AA38" s="3"/>
      <c r="AB38" s="10"/>
      <c r="AC38" s="10"/>
      <c r="AD38" s="10"/>
      <c r="AE38" s="10"/>
    </row>
    <row r="39" spans="1:31" ht="16.5" x14ac:dyDescent="0.3">
      <c r="A39" s="81" t="s">
        <v>136</v>
      </c>
      <c r="B39" s="82">
        <f>'Баффы персонажей'!Q7+Артефакты!B45+D39</f>
        <v>0</v>
      </c>
      <c r="C39" s="81" t="s">
        <v>136</v>
      </c>
      <c r="D39" s="82"/>
      <c r="E39" s="41"/>
      <c r="F39" s="229"/>
      <c r="G39" s="10"/>
      <c r="H39" s="41"/>
      <c r="I39" s="38"/>
      <c r="J39" s="10"/>
      <c r="M39" s="234" t="s">
        <v>136</v>
      </c>
      <c r="N39" s="35"/>
      <c r="O39" s="27"/>
      <c r="P39" s="27">
        <v>1</v>
      </c>
      <c r="Q39" s="36" t="s">
        <v>22</v>
      </c>
      <c r="R39" s="27"/>
      <c r="S39" s="10"/>
      <c r="U39" s="109" t="str">
        <f t="shared" si="8"/>
        <v>Q</v>
      </c>
      <c r="V39" s="43">
        <f t="shared" si="9"/>
        <v>0</v>
      </c>
      <c r="W39" s="43">
        <f t="shared" si="10"/>
        <v>0</v>
      </c>
      <c r="X39" s="43">
        <f t="shared" si="11"/>
        <v>0</v>
      </c>
      <c r="Y39" s="10"/>
      <c r="Z39" s="10"/>
      <c r="AB39" s="10"/>
      <c r="AC39" s="10"/>
      <c r="AD39" s="10"/>
      <c r="AE39" s="10"/>
    </row>
    <row r="40" spans="1:31" ht="17.25" thickBot="1" x14ac:dyDescent="0.35">
      <c r="A40" s="81"/>
      <c r="B40" s="239"/>
      <c r="C40" s="81"/>
      <c r="D40" s="239"/>
      <c r="E40" s="41"/>
      <c r="F40" s="229"/>
      <c r="G40" s="10"/>
      <c r="H40" s="41"/>
      <c r="I40" s="38"/>
      <c r="J40" s="10"/>
      <c r="M40" s="234" t="s">
        <v>136</v>
      </c>
      <c r="N40" s="35"/>
      <c r="O40" s="27"/>
      <c r="P40" s="27">
        <v>1</v>
      </c>
      <c r="Q40" s="36" t="s">
        <v>22</v>
      </c>
      <c r="R40" s="27"/>
      <c r="S40" s="10"/>
      <c r="U40" s="109" t="str">
        <f t="shared" si="8"/>
        <v>Q</v>
      </c>
      <c r="V40" s="43">
        <f t="shared" si="9"/>
        <v>0</v>
      </c>
      <c r="W40" s="43">
        <f t="shared" si="10"/>
        <v>0</v>
      </c>
      <c r="X40" s="43">
        <f t="shared" si="11"/>
        <v>0</v>
      </c>
      <c r="Y40" s="10"/>
      <c r="AC40" s="10"/>
      <c r="AD40" s="10"/>
      <c r="AE40" s="10"/>
    </row>
    <row r="41" spans="1:31" ht="16.5" x14ac:dyDescent="0.3">
      <c r="A41" s="274" t="s">
        <v>357</v>
      </c>
      <c r="B41" s="275"/>
      <c r="C41" s="294" t="s">
        <v>357</v>
      </c>
      <c r="D41" s="295"/>
      <c r="E41" s="41"/>
      <c r="F41" s="229"/>
      <c r="G41" s="10"/>
      <c r="H41" s="41"/>
      <c r="I41" s="226"/>
      <c r="J41" s="10"/>
      <c r="M41" s="234" t="s">
        <v>136</v>
      </c>
      <c r="N41" s="35"/>
      <c r="O41" s="27"/>
      <c r="P41" s="27">
        <v>1</v>
      </c>
      <c r="Q41" s="36" t="s">
        <v>22</v>
      </c>
      <c r="R41" s="27"/>
      <c r="S41" s="10"/>
      <c r="U41" s="109" t="str">
        <f t="shared" si="8"/>
        <v>Q</v>
      </c>
      <c r="V41" s="43">
        <f t="shared" si="9"/>
        <v>0</v>
      </c>
      <c r="W41" s="43">
        <f t="shared" si="10"/>
        <v>0</v>
      </c>
      <c r="X41" s="43">
        <f t="shared" si="11"/>
        <v>0</v>
      </c>
      <c r="Y41" s="10"/>
      <c r="AB41" s="10"/>
      <c r="AC41" s="10"/>
      <c r="AD41" s="10"/>
    </row>
    <row r="42" spans="1:31" ht="16.5" x14ac:dyDescent="0.3">
      <c r="A42" s="79" t="s">
        <v>269</v>
      </c>
      <c r="B42" s="80" t="s">
        <v>268</v>
      </c>
      <c r="C42" s="262" t="s">
        <v>269</v>
      </c>
      <c r="D42" s="262" t="s">
        <v>268</v>
      </c>
      <c r="E42" s="41"/>
      <c r="F42" s="229"/>
      <c r="G42" s="10"/>
      <c r="H42" s="41"/>
      <c r="I42" s="226"/>
      <c r="J42" s="10"/>
      <c r="M42" s="234" t="s">
        <v>136</v>
      </c>
      <c r="N42" s="35"/>
      <c r="O42" s="27"/>
      <c r="P42" s="27">
        <v>1</v>
      </c>
      <c r="Q42" s="36" t="s">
        <v>22</v>
      </c>
      <c r="R42" s="27"/>
      <c r="S42" s="10"/>
      <c r="U42" s="109" t="str">
        <f t="shared" si="8"/>
        <v>Q</v>
      </c>
      <c r="V42" s="43">
        <f t="shared" si="9"/>
        <v>0</v>
      </c>
      <c r="W42" s="43">
        <f t="shared" si="10"/>
        <v>0</v>
      </c>
      <c r="X42" s="43">
        <f t="shared" si="11"/>
        <v>0</v>
      </c>
      <c r="Y42" s="10"/>
      <c r="AC42" s="10"/>
      <c r="AD42" s="10"/>
      <c r="AE42" s="10"/>
    </row>
    <row r="43" spans="1:31" ht="16.5" x14ac:dyDescent="0.3">
      <c r="A43" s="81" t="s">
        <v>92</v>
      </c>
      <c r="B43" s="83">
        <f>'Баффы персонажей'!Q11+Артефакты!B49+D43</f>
        <v>0</v>
      </c>
      <c r="C43" s="81" t="s">
        <v>92</v>
      </c>
      <c r="D43" s="83"/>
      <c r="E43" s="41"/>
      <c r="F43" s="229"/>
      <c r="G43" s="10"/>
      <c r="H43" s="41"/>
      <c r="I43" s="226"/>
      <c r="J43" s="10"/>
      <c r="M43" s="234" t="s">
        <v>136</v>
      </c>
      <c r="N43" s="35"/>
      <c r="O43" s="27"/>
      <c r="P43" s="27">
        <v>1</v>
      </c>
      <c r="Q43" s="36" t="s">
        <v>22</v>
      </c>
      <c r="R43" s="27"/>
      <c r="S43" s="10"/>
      <c r="U43" s="109" t="str">
        <f t="shared" si="8"/>
        <v>Q</v>
      </c>
      <c r="V43" s="43">
        <f t="shared" si="9"/>
        <v>0</v>
      </c>
      <c r="W43" s="43">
        <f t="shared" si="10"/>
        <v>0</v>
      </c>
      <c r="X43" s="43">
        <f t="shared" si="11"/>
        <v>0</v>
      </c>
      <c r="Y43" s="10"/>
      <c r="AC43" s="10"/>
      <c r="AD43" s="10"/>
      <c r="AE43" s="10"/>
    </row>
    <row r="44" spans="1:31" ht="16.5" x14ac:dyDescent="0.3">
      <c r="A44" s="81" t="s">
        <v>94</v>
      </c>
      <c r="B44" s="83">
        <f>'Баффы персонажей'!Q12+Артефакты!B50+D44</f>
        <v>0</v>
      </c>
      <c r="C44" s="81" t="s">
        <v>94</v>
      </c>
      <c r="D44" s="83"/>
      <c r="E44" s="41"/>
      <c r="F44" s="229"/>
      <c r="G44" s="10"/>
      <c r="H44" s="41"/>
      <c r="I44" s="226"/>
      <c r="J44" s="10"/>
      <c r="M44" s="234" t="s">
        <v>136</v>
      </c>
      <c r="N44" s="35"/>
      <c r="O44" s="27"/>
      <c r="P44" s="27">
        <v>1</v>
      </c>
      <c r="Q44" s="36" t="s">
        <v>22</v>
      </c>
      <c r="R44" s="27"/>
      <c r="S44" s="10"/>
      <c r="U44" s="109" t="str">
        <f t="shared" si="8"/>
        <v>Q</v>
      </c>
      <c r="V44" s="43">
        <f t="shared" si="9"/>
        <v>0</v>
      </c>
      <c r="W44" s="43">
        <f t="shared" si="10"/>
        <v>0</v>
      </c>
      <c r="X44" s="43">
        <f t="shared" si="11"/>
        <v>0</v>
      </c>
      <c r="Y44" s="10"/>
      <c r="AC44" s="10"/>
      <c r="AD44" s="10"/>
      <c r="AE44" s="10"/>
    </row>
    <row r="45" spans="1:31" ht="16.5" x14ac:dyDescent="0.3">
      <c r="A45" s="81" t="s">
        <v>98</v>
      </c>
      <c r="B45" s="83">
        <f>'Баффы персонажей'!Q13+Артефакты!B51+D45</f>
        <v>0</v>
      </c>
      <c r="C45" s="81" t="s">
        <v>98</v>
      </c>
      <c r="D45" s="83"/>
      <c r="E45" s="41"/>
      <c r="F45" s="229"/>
      <c r="G45" s="10"/>
      <c r="H45" s="41"/>
      <c r="I45" s="226"/>
      <c r="J45" s="10"/>
      <c r="M45" s="234" t="s">
        <v>136</v>
      </c>
      <c r="N45" s="35"/>
      <c r="O45" s="27"/>
      <c r="P45" s="27">
        <v>1</v>
      </c>
      <c r="Q45" s="36" t="s">
        <v>22</v>
      </c>
      <c r="R45" s="27"/>
      <c r="S45" s="10"/>
      <c r="U45" s="109" t="str">
        <f t="shared" si="8"/>
        <v>Q</v>
      </c>
      <c r="V45" s="43">
        <f t="shared" si="9"/>
        <v>0</v>
      </c>
      <c r="W45" s="43">
        <f t="shared" si="10"/>
        <v>0</v>
      </c>
      <c r="X45" s="43">
        <f t="shared" si="11"/>
        <v>0</v>
      </c>
      <c r="Y45" s="10"/>
      <c r="AC45" s="10"/>
      <c r="AD45" s="10"/>
      <c r="AE45" s="10"/>
    </row>
    <row r="46" spans="1:31" ht="16.5" x14ac:dyDescent="0.3">
      <c r="A46" s="81" t="s">
        <v>135</v>
      </c>
      <c r="B46" s="83">
        <f>'Баффы персонажей'!Q14+Артефакты!B52+D46</f>
        <v>0</v>
      </c>
      <c r="C46" s="81" t="s">
        <v>135</v>
      </c>
      <c r="D46" s="83"/>
      <c r="E46" s="41"/>
      <c r="F46" s="229"/>
      <c r="G46" s="10"/>
      <c r="H46" s="41"/>
      <c r="I46" s="226"/>
      <c r="J46" s="10"/>
      <c r="M46" s="282" t="s">
        <v>447</v>
      </c>
      <c r="N46" s="282"/>
      <c r="O46" s="282"/>
      <c r="P46" s="282"/>
      <c r="Q46" s="282"/>
      <c r="R46" s="282"/>
      <c r="S46" s="10"/>
      <c r="U46" s="289" t="s">
        <v>447</v>
      </c>
      <c r="V46" s="290"/>
      <c r="W46" s="290"/>
      <c r="X46" s="291"/>
      <c r="Y46" s="38"/>
      <c r="Z46" s="38"/>
      <c r="AB46" s="10"/>
      <c r="AC46" s="10"/>
      <c r="AD46" s="10"/>
      <c r="AE46" s="10"/>
    </row>
    <row r="47" spans="1:31" ht="16.5" x14ac:dyDescent="0.3">
      <c r="A47" s="81" t="s">
        <v>136</v>
      </c>
      <c r="B47" s="83">
        <f>'Баффы персонажей'!Q15+Артефакты!B53+D47</f>
        <v>0</v>
      </c>
      <c r="C47" s="81" t="s">
        <v>136</v>
      </c>
      <c r="D47" s="83"/>
      <c r="E47" s="41"/>
      <c r="F47" s="229"/>
      <c r="G47" s="10"/>
      <c r="H47" s="41"/>
      <c r="I47" s="226"/>
      <c r="J47" s="10"/>
      <c r="M47" s="234" t="s">
        <v>448</v>
      </c>
      <c r="N47" s="35"/>
      <c r="O47" s="27"/>
      <c r="P47" s="27">
        <v>1</v>
      </c>
      <c r="Q47" s="36" t="s">
        <v>22</v>
      </c>
      <c r="R47" s="27"/>
      <c r="S47" s="10"/>
      <c r="U47" s="234" t="str">
        <f>M47</f>
        <v>LD</v>
      </c>
      <c r="V47" s="43">
        <f>3*(N47*$J$32*K244+Разное!$I$30)*(Разное!$L$17)*(1)*$J$18</f>
        <v>3906.9</v>
      </c>
      <c r="W47" s="37">
        <f>(3*N47*K244+Разное!$I$30)*(Разное!$L$17)*(1+$J$11)*$J$18</f>
        <v>1953.45</v>
      </c>
      <c r="X47" s="43">
        <f>(3*N47*K244+Разное!$I$30)*(Разное!$L$17)*(1+$J$11*$J$10)*$J$18</f>
        <v>1334.8575000000001</v>
      </c>
      <c r="Y47" s="260"/>
      <c r="Z47" s="38"/>
      <c r="AA47" s="10"/>
      <c r="AB47" s="10"/>
      <c r="AC47" s="10"/>
      <c r="AD47" s="10"/>
      <c r="AE47" s="10"/>
    </row>
    <row r="48" spans="1:31" ht="17.25" thickBot="1" x14ac:dyDescent="0.35">
      <c r="A48" s="240"/>
      <c r="B48" s="241"/>
      <c r="C48" s="240"/>
      <c r="D48" s="241"/>
      <c r="E48" s="41"/>
      <c r="F48" s="229"/>
      <c r="G48" s="10"/>
      <c r="H48" s="41"/>
      <c r="I48" s="226"/>
      <c r="J48" s="10"/>
      <c r="M48" s="234" t="s">
        <v>448</v>
      </c>
      <c r="N48" s="35"/>
      <c r="O48" s="27"/>
      <c r="P48" s="27">
        <v>1</v>
      </c>
      <c r="Q48" s="36" t="s">
        <v>22</v>
      </c>
      <c r="R48" s="27"/>
      <c r="S48" s="10"/>
      <c r="U48" s="234" t="str">
        <f t="shared" ref="U48:U58" si="12">M48</f>
        <v>LD</v>
      </c>
      <c r="V48" s="43">
        <f>3*(N48*$J$32*K245+Разное!$I$30)*(Разное!$L$17)*(1)*$J$18</f>
        <v>3906.9</v>
      </c>
      <c r="W48" s="37">
        <f>(3*N48*K245+Разное!$I$30)*(Разное!$L$17)*(1+$J$11)*$J$18</f>
        <v>1953.45</v>
      </c>
      <c r="X48" s="43">
        <f>(3*N48*K245+Разное!$I$30)*(Разное!$L$17)*(1+$J$11*$J$10)*$J$18</f>
        <v>1334.8575000000001</v>
      </c>
      <c r="Y48" s="260"/>
      <c r="Z48" s="38"/>
      <c r="AA48" s="10"/>
      <c r="AB48" s="10"/>
      <c r="AC48" s="10"/>
      <c r="AD48" s="10"/>
      <c r="AE48" s="10"/>
    </row>
    <row r="49" spans="1:31" ht="16.5" x14ac:dyDescent="0.3">
      <c r="A49" s="274" t="s">
        <v>355</v>
      </c>
      <c r="B49" s="275"/>
      <c r="C49" s="294" t="s">
        <v>355</v>
      </c>
      <c r="D49" s="295"/>
      <c r="E49" s="41"/>
      <c r="F49" s="229"/>
      <c r="G49" s="10"/>
      <c r="H49" s="41"/>
      <c r="I49" s="38"/>
      <c r="J49" s="10"/>
      <c r="M49" s="234" t="s">
        <v>448</v>
      </c>
      <c r="N49" s="35"/>
      <c r="O49" s="27"/>
      <c r="P49" s="27">
        <v>1</v>
      </c>
      <c r="Q49" s="36" t="s">
        <v>22</v>
      </c>
      <c r="R49" s="27"/>
      <c r="S49" s="10"/>
      <c r="U49" s="234" t="str">
        <f t="shared" si="12"/>
        <v>LD</v>
      </c>
      <c r="V49" s="43">
        <f>3*(N49*$J$32*K246+Разное!$I$30)*(Разное!$L$17)*(1)*$J$18</f>
        <v>3906.9</v>
      </c>
      <c r="W49" s="37">
        <f>(3*N49*K246+Разное!$I$30)*(Разное!$L$17)*(1+$J$11)*$J$18</f>
        <v>1953.45</v>
      </c>
      <c r="X49" s="43">
        <f>(3*N49*K246+Разное!$I$30)*(Разное!$L$17)*(1+$J$11*$J$10)*$J$18</f>
        <v>1334.8575000000001</v>
      </c>
      <c r="Y49" s="260"/>
      <c r="Z49" s="38"/>
      <c r="AA49" s="10"/>
      <c r="AB49" s="10"/>
      <c r="AC49" s="10"/>
      <c r="AD49" s="10"/>
      <c r="AE49" s="10"/>
    </row>
    <row r="50" spans="1:31" ht="16.5" x14ac:dyDescent="0.3">
      <c r="A50" s="79" t="s">
        <v>269</v>
      </c>
      <c r="B50" s="80" t="s">
        <v>268</v>
      </c>
      <c r="C50" s="262" t="s">
        <v>269</v>
      </c>
      <c r="D50" s="262" t="s">
        <v>268</v>
      </c>
      <c r="E50" s="41"/>
      <c r="F50" s="229"/>
      <c r="G50" s="10"/>
      <c r="H50" s="10"/>
      <c r="I50" s="10"/>
      <c r="J50" s="10"/>
      <c r="M50" s="234" t="s">
        <v>448</v>
      </c>
      <c r="N50" s="35"/>
      <c r="O50" s="27"/>
      <c r="P50" s="27">
        <v>1</v>
      </c>
      <c r="Q50" s="36" t="s">
        <v>22</v>
      </c>
      <c r="R50" s="27"/>
      <c r="U50" s="234" t="str">
        <f t="shared" si="12"/>
        <v>LD</v>
      </c>
      <c r="V50" s="43">
        <f>3*(N50*$J$32*K247+Разное!$I$30)*(Разное!$L$17)*(1)*$J$18</f>
        <v>3906.9</v>
      </c>
      <c r="W50" s="37">
        <f>(3*N50*K247+Разное!$I$30)*(Разное!$L$17)*(1+$J$11)*$J$18</f>
        <v>1953.45</v>
      </c>
      <c r="X50" s="43">
        <f>(3*N50*K247+Разное!$I$30)*(Разное!$L$17)*(1+$J$11*$J$10)*$J$18</f>
        <v>1334.8575000000001</v>
      </c>
      <c r="Y50" s="260"/>
      <c r="Z50" s="38"/>
    </row>
    <row r="51" spans="1:31" ht="16.5" x14ac:dyDescent="0.3">
      <c r="A51" s="86" t="s">
        <v>21</v>
      </c>
      <c r="B51" s="83">
        <f>'Баффы персонажей'!Q19+Артефакты!B57+IF(OR(B17:C17),C10/100,)+IF(C29,20%,)+Разное!S28+D51+IF(G6="Хп%",F6,)</f>
        <v>0</v>
      </c>
      <c r="C51" s="86" t="s">
        <v>21</v>
      </c>
      <c r="D51" s="83"/>
      <c r="E51" s="41"/>
      <c r="F51" s="229"/>
      <c r="G51" s="10"/>
      <c r="H51" s="263"/>
      <c r="I51" s="263"/>
      <c r="J51" s="10"/>
      <c r="M51" s="234" t="s">
        <v>448</v>
      </c>
      <c r="N51" s="35"/>
      <c r="O51" s="27"/>
      <c r="P51" s="27">
        <v>1</v>
      </c>
      <c r="Q51" s="36" t="s">
        <v>22</v>
      </c>
      <c r="R51" s="27"/>
      <c r="U51" s="234" t="str">
        <f t="shared" si="12"/>
        <v>LD</v>
      </c>
      <c r="V51" s="43">
        <f>3*(N51*$J$32*K248+Разное!$I$30)*(Разное!$L$17)*(1)*$J$18</f>
        <v>3906.9</v>
      </c>
      <c r="W51" s="37">
        <f>(3*N51*K248+Разное!$I$30)*(Разное!$L$17)*(1+$J$11)*$J$18</f>
        <v>1953.45</v>
      </c>
      <c r="X51" s="43">
        <f>(3*N51*K248+Разное!$I$30)*(Разное!$L$17)*(1+$J$11*$J$10)*$J$18</f>
        <v>1334.8575000000001</v>
      </c>
      <c r="Y51" s="260"/>
      <c r="Z51" s="38"/>
    </row>
    <row r="52" spans="1:31" ht="16.5" x14ac:dyDescent="0.3">
      <c r="A52" s="86" t="s">
        <v>22</v>
      </c>
      <c r="B52" s="83">
        <f>'Баффы персонажей'!Q20+Артефакты!B58+IF(OR(B18:C18),C10/100,)+IF(C29,20%,)+Разное!S27+D52+IF(G6="Атк%",F6,)</f>
        <v>0</v>
      </c>
      <c r="C52" s="86" t="s">
        <v>22</v>
      </c>
      <c r="D52" s="83"/>
      <c r="E52" s="41"/>
      <c r="F52" s="229"/>
      <c r="G52" s="10"/>
      <c r="H52" s="228"/>
      <c r="I52" s="38"/>
      <c r="J52" s="10"/>
      <c r="M52" s="234" t="s">
        <v>448</v>
      </c>
      <c r="N52" s="35"/>
      <c r="O52" s="27"/>
      <c r="P52" s="27">
        <v>1</v>
      </c>
      <c r="Q52" s="36" t="s">
        <v>22</v>
      </c>
      <c r="R52" s="27"/>
      <c r="U52" s="234" t="str">
        <f t="shared" si="12"/>
        <v>LD</v>
      </c>
      <c r="V52" s="43">
        <f>3*(N52*$J$32*K249+Разное!$I$30)*(Разное!$L$17)*(1)*$J$18</f>
        <v>3906.9</v>
      </c>
      <c r="W52" s="37">
        <f>(3*N52*K249+Разное!$I$30)*(Разное!$L$17)*(1+$J$11)*$J$18</f>
        <v>1953.45</v>
      </c>
      <c r="X52" s="43">
        <f>(3*N52*K249+Разное!$I$30)*(Разное!$L$17)*(1+$J$11*$J$10)*$J$18</f>
        <v>1334.8575000000001</v>
      </c>
      <c r="Y52" s="260"/>
      <c r="Z52" s="38"/>
    </row>
    <row r="53" spans="1:31" ht="16.5" x14ac:dyDescent="0.3">
      <c r="A53" s="86" t="s">
        <v>115</v>
      </c>
      <c r="B53" s="83">
        <f>'Баффы персонажей'!Q21+Артефакты!B59+IF(OR(B19:C19),C10/100,)+IF(C29,20%,)+D53+IF(G6="Защ%",F6,)</f>
        <v>0</v>
      </c>
      <c r="C53" s="86" t="s">
        <v>115</v>
      </c>
      <c r="D53" s="83"/>
      <c r="E53" s="10"/>
      <c r="F53" s="10"/>
      <c r="G53" s="10"/>
      <c r="H53" s="228"/>
      <c r="I53" s="38"/>
      <c r="J53" s="10"/>
      <c r="M53" s="234" t="s">
        <v>448</v>
      </c>
      <c r="N53" s="35"/>
      <c r="O53" s="27"/>
      <c r="P53" s="27">
        <v>1</v>
      </c>
      <c r="Q53" s="36" t="s">
        <v>22</v>
      </c>
      <c r="R53" s="27"/>
      <c r="U53" s="234" t="str">
        <f t="shared" si="12"/>
        <v>LD</v>
      </c>
      <c r="V53" s="43">
        <f>3*(N53*$J$32*K250+Разное!$I$30)*(Разное!$L$17)*(1)*$J$18</f>
        <v>3906.9</v>
      </c>
      <c r="W53" s="37">
        <f>(3*N53*K250+Разное!$I$30)*(Разное!$L$17)*(1+$J$11)*$J$18</f>
        <v>1953.45</v>
      </c>
      <c r="X53" s="43">
        <f>(3*N53*K250+Разное!$I$30)*(Разное!$L$17)*(1+$J$11*$J$10)*$J$18</f>
        <v>1334.8575000000001</v>
      </c>
      <c r="Y53" s="260"/>
      <c r="Z53" s="38"/>
    </row>
    <row r="54" spans="1:31" ht="16.5" x14ac:dyDescent="0.3">
      <c r="A54" s="86" t="s">
        <v>118</v>
      </c>
      <c r="B54" s="83">
        <f>'Баффы персонажей'!Q22+Артефакты!B60+IF(OR(B22:C22),C10/100,)+D54+IF(G6="Вэ%",F6,)</f>
        <v>0</v>
      </c>
      <c r="C54" s="86" t="s">
        <v>118</v>
      </c>
      <c r="D54" s="83"/>
      <c r="E54" s="263"/>
      <c r="F54" s="263"/>
      <c r="G54" s="10"/>
      <c r="H54" s="228"/>
      <c r="I54" s="38"/>
      <c r="J54" s="10"/>
      <c r="M54" s="234" t="s">
        <v>448</v>
      </c>
      <c r="N54" s="35"/>
      <c r="O54" s="27"/>
      <c r="P54" s="27">
        <v>1</v>
      </c>
      <c r="Q54" s="36" t="s">
        <v>22</v>
      </c>
      <c r="R54" s="27"/>
      <c r="U54" s="234" t="str">
        <f t="shared" si="12"/>
        <v>LD</v>
      </c>
      <c r="V54" s="43">
        <f>3*(N54*$J$32*K251+Разное!$I$30)*(Разное!$L$17)*(1)*$J$18</f>
        <v>3906.9</v>
      </c>
      <c r="W54" s="37">
        <f>(3*N54*K251+Разное!$I$30)*(Разное!$L$17)*(1+$J$11)*$J$18</f>
        <v>1953.45</v>
      </c>
      <c r="X54" s="43">
        <f>(3*N54*K251+Разное!$I$30)*(Разное!$L$17)*(1+$J$11*$J$10)*$J$18</f>
        <v>1334.8575000000001</v>
      </c>
      <c r="Y54" s="260"/>
      <c r="Z54" s="38"/>
    </row>
    <row r="55" spans="1:31" ht="16.5" x14ac:dyDescent="0.3">
      <c r="A55" s="86" t="s">
        <v>117</v>
      </c>
      <c r="B55" s="83">
        <f>'Баффы персонажей'!Q23+Артефакты!B61+IF(C21,C10/100,)+Разное!S29+D55+IF(G6="Кш%",F6,)</f>
        <v>0</v>
      </c>
      <c r="C55" s="86" t="s">
        <v>117</v>
      </c>
      <c r="D55" s="83"/>
      <c r="E55" s="41"/>
      <c r="F55" s="225"/>
      <c r="G55" s="10"/>
      <c r="H55" s="228"/>
      <c r="I55" s="38"/>
      <c r="J55" s="10"/>
      <c r="M55" s="234" t="s">
        <v>448</v>
      </c>
      <c r="N55" s="35"/>
      <c r="O55" s="27"/>
      <c r="P55" s="27">
        <v>1</v>
      </c>
      <c r="Q55" s="36" t="s">
        <v>22</v>
      </c>
      <c r="R55" s="27"/>
      <c r="U55" s="234" t="str">
        <f t="shared" si="12"/>
        <v>LD</v>
      </c>
      <c r="V55" s="43">
        <f>3*(N55*$J$32*K252+Разное!$I$30)*(Разное!$L$17)*(1)*$J$18</f>
        <v>3906.9</v>
      </c>
      <c r="W55" s="37">
        <f>(3*N55*K252+Разное!$I$30)*(Разное!$L$17)*(1+$J$11)*$J$18</f>
        <v>1953.45</v>
      </c>
      <c r="X55" s="43">
        <f>(3*N55*K252+Разное!$I$30)*(Разное!$L$17)*(1+$J$11*$J$10)*$J$18</f>
        <v>1334.8575000000001</v>
      </c>
      <c r="Y55" s="260"/>
      <c r="Z55" s="38"/>
    </row>
    <row r="56" spans="1:31" ht="16.5" x14ac:dyDescent="0.3">
      <c r="A56" s="86" t="s">
        <v>116</v>
      </c>
      <c r="B56" s="83">
        <f>'Баффы персонажей'!Q24+Артефакты!B62+IF(C20,C10/100,)+D56+IF(G6="Ку%",F6,)</f>
        <v>0</v>
      </c>
      <c r="C56" s="86" t="s">
        <v>116</v>
      </c>
      <c r="D56" s="83"/>
      <c r="E56" s="41"/>
      <c r="F56" s="225"/>
      <c r="G56" s="10"/>
      <c r="H56" s="228"/>
      <c r="I56" s="38"/>
      <c r="J56" s="10"/>
      <c r="M56" s="234" t="s">
        <v>448</v>
      </c>
      <c r="N56" s="35"/>
      <c r="O56" s="27"/>
      <c r="P56" s="27">
        <v>1</v>
      </c>
      <c r="Q56" s="36" t="s">
        <v>22</v>
      </c>
      <c r="R56" s="27"/>
      <c r="U56" s="234" t="str">
        <f t="shared" si="12"/>
        <v>LD</v>
      </c>
      <c r="V56" s="43">
        <f>3*(N56*$J$32*K253+Разное!$I$30)*(Разное!$L$17)*(1)*$J$18</f>
        <v>3906.9</v>
      </c>
      <c r="W56" s="37">
        <f>(3*N56*K253+Разное!$I$30)*(Разное!$L$17)*(1+$J$11)*$J$18</f>
        <v>1953.45</v>
      </c>
      <c r="X56" s="43">
        <f>(3*N56*K253+Разное!$I$30)*(Разное!$L$17)*(1+$J$11*$J$10)*$J$18</f>
        <v>1334.8575000000001</v>
      </c>
      <c r="Y56" s="260"/>
      <c r="Z56" s="38"/>
    </row>
    <row r="57" spans="1:31" ht="16.5" x14ac:dyDescent="0.3">
      <c r="A57" s="86" t="s">
        <v>49</v>
      </c>
      <c r="B57" s="253">
        <f>'Баффы персонажей'!Q25+Артефакты!B63+IF(OR(B26:C26),C10,)+Разное!S32+Разное!S33+D57+IF(G6="Мс",F6,)</f>
        <v>0</v>
      </c>
      <c r="C57" s="86" t="s">
        <v>49</v>
      </c>
      <c r="D57" s="253"/>
      <c r="E57" s="41"/>
      <c r="F57" s="225"/>
      <c r="G57" s="10"/>
      <c r="H57" s="228"/>
      <c r="I57" s="38"/>
      <c r="J57" s="10"/>
      <c r="M57" s="234" t="s">
        <v>448</v>
      </c>
      <c r="N57" s="35"/>
      <c r="O57" s="27"/>
      <c r="P57" s="27">
        <v>1</v>
      </c>
      <c r="Q57" s="36" t="s">
        <v>22</v>
      </c>
      <c r="R57" s="27"/>
      <c r="U57" s="234" t="str">
        <f t="shared" si="12"/>
        <v>LD</v>
      </c>
      <c r="V57" s="43">
        <f>3*(N57*$J$32*K254+Разное!$I$30)*(Разное!$L$17)*(1)*$J$18</f>
        <v>3906.9</v>
      </c>
      <c r="W57" s="37">
        <f>(3*N57*K254+Разное!$I$30)*(Разное!$L$17)*(1+$J$11)*$J$18</f>
        <v>1953.45</v>
      </c>
      <c r="X57" s="43">
        <f>(3*N57*K254+Разное!$I$30)*(Разное!$L$17)*(1+$J$11*$J$10)*$J$18</f>
        <v>1334.8575000000001</v>
      </c>
      <c r="Y57" s="260"/>
      <c r="Z57" s="38"/>
    </row>
    <row r="58" spans="1:31" ht="16.5" x14ac:dyDescent="0.3">
      <c r="A58" s="86" t="s">
        <v>318</v>
      </c>
      <c r="B58" s="83">
        <f>'Баффы персонажей'!Q26+Артефакты!B64+IF(OR(B23:C23),C10/100,)+Разное!S30+D58</f>
        <v>0</v>
      </c>
      <c r="C58" s="86" t="s">
        <v>318</v>
      </c>
      <c r="D58" s="83"/>
      <c r="E58" s="41"/>
      <c r="F58" s="225"/>
      <c r="G58" s="10"/>
      <c r="H58" s="228"/>
      <c r="I58" s="38"/>
      <c r="J58" s="10"/>
      <c r="M58" s="234" t="s">
        <v>448</v>
      </c>
      <c r="N58" s="35"/>
      <c r="O58" s="27"/>
      <c r="P58" s="27">
        <v>1</v>
      </c>
      <c r="Q58" s="36" t="s">
        <v>22</v>
      </c>
      <c r="R58" s="27"/>
      <c r="U58" s="234" t="str">
        <f t="shared" si="12"/>
        <v>LD</v>
      </c>
      <c r="V58" s="43">
        <f>3*(N58*$J$32*K255+Разное!$I$30)*(Разное!$L$17)*(1)*$J$18</f>
        <v>3906.9</v>
      </c>
      <c r="W58" s="37">
        <f>(3*N58*K255+Разное!$I$30)*(Разное!$L$17)*(1+$J$11)*$J$18</f>
        <v>1953.45</v>
      </c>
      <c r="X58" s="43">
        <f>(3*N58*K255+Разное!$I$30)*(Разное!$L$17)*(1+$J$11*$J$10)*$J$18</f>
        <v>1334.8575000000001</v>
      </c>
      <c r="Y58" s="260"/>
      <c r="Z58" s="38"/>
    </row>
    <row r="59" spans="1:31" ht="16.5" x14ac:dyDescent="0.3">
      <c r="A59" s="86" t="s">
        <v>319</v>
      </c>
      <c r="B59" s="83">
        <f>'Баффы персонажей'!Q33+Артефакты!B65+IF(OR(B24:C24),C10/100,)+D59+IF(G6="Физ.урон%",F6,)</f>
        <v>0</v>
      </c>
      <c r="C59" s="86" t="s">
        <v>319</v>
      </c>
      <c r="D59" s="83"/>
      <c r="E59" s="41"/>
      <c r="F59" s="225"/>
      <c r="G59" s="101"/>
      <c r="H59" s="228"/>
      <c r="I59" s="38"/>
      <c r="J59" s="10"/>
    </row>
    <row r="60" spans="1:31" ht="16.5" x14ac:dyDescent="0.3">
      <c r="A60" s="86" t="s">
        <v>121</v>
      </c>
      <c r="B60" s="83">
        <f>'Баффы персонажей'!Q34+Артефакты!B66+IF(C25,C10/100,)+D60</f>
        <v>0</v>
      </c>
      <c r="C60" s="86" t="s">
        <v>121</v>
      </c>
      <c r="D60" s="83"/>
      <c r="E60" s="41"/>
      <c r="F60" s="225"/>
      <c r="G60" s="101"/>
      <c r="H60" s="10"/>
      <c r="I60" s="10"/>
      <c r="J60" s="10"/>
    </row>
    <row r="61" spans="1:31" ht="16.5" x14ac:dyDescent="0.3">
      <c r="A61" s="86" t="s">
        <v>327</v>
      </c>
      <c r="B61" s="83">
        <f>'Баффы персонажей'!Q35+Артефакты!B67+D61</f>
        <v>0</v>
      </c>
      <c r="C61" s="86" t="s">
        <v>327</v>
      </c>
      <c r="D61" s="83"/>
      <c r="E61" s="41"/>
      <c r="F61" s="225"/>
      <c r="G61" s="101"/>
      <c r="H61" s="10"/>
      <c r="I61" s="10"/>
      <c r="J61" s="10"/>
    </row>
    <row r="62" spans="1:31" ht="17.25" thickBot="1" x14ac:dyDescent="0.35">
      <c r="A62" s="84"/>
      <c r="B62" s="85"/>
      <c r="C62" s="84"/>
      <c r="D62" s="85"/>
      <c r="E62" s="41"/>
      <c r="F62" s="225"/>
      <c r="G62" s="10"/>
      <c r="H62" s="263"/>
      <c r="I62" s="263"/>
      <c r="J62" s="263"/>
    </row>
    <row r="63" spans="1:31" ht="16.5" x14ac:dyDescent="0.3">
      <c r="A63" s="285" t="s">
        <v>356</v>
      </c>
      <c r="B63" s="286"/>
      <c r="C63" s="294" t="s">
        <v>356</v>
      </c>
      <c r="D63" s="295"/>
      <c r="E63" s="41"/>
      <c r="F63" s="225"/>
      <c r="G63" s="10"/>
      <c r="H63" s="228"/>
      <c r="I63" s="226"/>
      <c r="J63" s="38"/>
    </row>
    <row r="64" spans="1:31" ht="16.5" x14ac:dyDescent="0.3">
      <c r="A64" s="86" t="s">
        <v>21</v>
      </c>
      <c r="B64" s="242">
        <f>'Баффы персонажей'!Q37+Артефакты!B70+D64</f>
        <v>4780</v>
      </c>
      <c r="C64" s="86" t="s">
        <v>21</v>
      </c>
      <c r="D64" s="242"/>
      <c r="E64" s="41"/>
      <c r="F64" s="225"/>
      <c r="G64" s="10"/>
      <c r="H64" s="228"/>
      <c r="I64" s="226"/>
      <c r="J64" s="38"/>
    </row>
    <row r="65" spans="1:10" ht="16.5" x14ac:dyDescent="0.3">
      <c r="A65" s="86" t="s">
        <v>22</v>
      </c>
      <c r="B65" s="242">
        <f>'Баффы персонажей'!Q38+Артефакты!B71+D65</f>
        <v>311</v>
      </c>
      <c r="C65" s="86" t="s">
        <v>22</v>
      </c>
      <c r="D65" s="242"/>
      <c r="E65" s="41"/>
      <c r="F65" s="225"/>
      <c r="G65" s="101"/>
      <c r="H65" s="228"/>
      <c r="I65" s="226"/>
      <c r="J65" s="38"/>
    </row>
    <row r="66" spans="1:10" ht="16.5" x14ac:dyDescent="0.3">
      <c r="A66" s="86" t="s">
        <v>115</v>
      </c>
      <c r="B66" s="242">
        <f>'Баффы персонажей'!Q39+Артефакты!B72+D66</f>
        <v>0</v>
      </c>
      <c r="C66" s="86" t="s">
        <v>115</v>
      </c>
      <c r="D66" s="242"/>
      <c r="E66" s="41"/>
      <c r="F66" s="225"/>
      <c r="G66" s="101"/>
      <c r="H66" s="228"/>
      <c r="I66" s="226"/>
      <c r="J66" s="38"/>
    </row>
    <row r="67" spans="1:10" ht="17.25" thickBot="1" x14ac:dyDescent="0.35">
      <c r="A67" s="86"/>
      <c r="B67" s="87"/>
      <c r="C67" s="86"/>
      <c r="D67" s="87"/>
      <c r="E67" s="41"/>
      <c r="F67" s="225"/>
      <c r="G67" s="101"/>
      <c r="H67" s="228"/>
      <c r="I67" s="226"/>
      <c r="J67" s="38"/>
    </row>
    <row r="68" spans="1:10" ht="16.5" x14ac:dyDescent="0.3">
      <c r="A68" s="285" t="s">
        <v>332</v>
      </c>
      <c r="B68" s="286"/>
      <c r="C68" s="294" t="s">
        <v>332</v>
      </c>
      <c r="D68" s="295"/>
      <c r="E68" s="41"/>
      <c r="F68" s="225"/>
      <c r="G68" s="101"/>
      <c r="H68" s="228"/>
      <c r="I68" s="38"/>
      <c r="J68" s="38"/>
    </row>
    <row r="69" spans="1:10" ht="16.5" x14ac:dyDescent="0.3">
      <c r="A69" s="86" t="s">
        <v>333</v>
      </c>
      <c r="B69" s="87">
        <f>'Баффы персонажей'!Q42+Артефакты!B75+Разное!S31+D69</f>
        <v>0</v>
      </c>
      <c r="C69" s="86" t="s">
        <v>333</v>
      </c>
      <c r="D69" s="87"/>
      <c r="E69" s="41"/>
      <c r="F69" s="225"/>
      <c r="G69" s="101"/>
      <c r="H69" s="228"/>
      <c r="I69" s="38"/>
      <c r="J69" s="38"/>
    </row>
    <row r="70" spans="1:10" ht="16.5" x14ac:dyDescent="0.3">
      <c r="A70" s="86" t="s">
        <v>334</v>
      </c>
      <c r="B70" s="87">
        <f>'Баффы персонажей'!Q43+Артефакты!B76+Разное!S34+D70</f>
        <v>0</v>
      </c>
      <c r="C70" s="86" t="s">
        <v>334</v>
      </c>
      <c r="D70" s="87"/>
      <c r="E70" s="41"/>
      <c r="F70" s="225"/>
      <c r="G70" s="101"/>
      <c r="H70" s="228"/>
      <c r="I70" s="226"/>
      <c r="J70" s="38"/>
    </row>
    <row r="71" spans="1:10" ht="16.5" x14ac:dyDescent="0.3">
      <c r="A71" s="86" t="s">
        <v>353</v>
      </c>
      <c r="B71" s="87">
        <f>'Баффы персонажей'!Q44+Артефакты!B77+D71</f>
        <v>0</v>
      </c>
      <c r="C71" s="86" t="s">
        <v>353</v>
      </c>
      <c r="D71" s="87"/>
      <c r="E71" s="41"/>
      <c r="F71" s="225"/>
      <c r="G71" s="101"/>
      <c r="H71" s="10"/>
      <c r="I71" s="10"/>
      <c r="J71" s="10"/>
    </row>
    <row r="72" spans="1:10" ht="16.5" x14ac:dyDescent="0.3">
      <c r="A72" s="86" t="s">
        <v>358</v>
      </c>
      <c r="B72" s="87">
        <f>'Баффы персонажей'!Q45+Артефакты!B78+D72</f>
        <v>0</v>
      </c>
      <c r="C72" s="86" t="s">
        <v>358</v>
      </c>
      <c r="D72" s="87"/>
      <c r="E72" s="41"/>
      <c r="F72" s="225"/>
      <c r="G72" s="101"/>
      <c r="J72" s="10"/>
    </row>
    <row r="73" spans="1:10" ht="16.5" x14ac:dyDescent="0.3">
      <c r="A73" s="285" t="s">
        <v>124</v>
      </c>
      <c r="B73" s="286"/>
      <c r="C73" s="296" t="s">
        <v>450</v>
      </c>
      <c r="D73" s="297"/>
      <c r="E73" s="10"/>
      <c r="F73" s="10"/>
      <c r="G73" s="10"/>
      <c r="J73" s="10"/>
    </row>
    <row r="74" spans="1:10" ht="16.5" x14ac:dyDescent="0.3">
      <c r="A74" s="86" t="s">
        <v>69</v>
      </c>
      <c r="B74" s="243">
        <f>'Баффы персонажей'!Q47+Артефакты!B80+D74</f>
        <v>0</v>
      </c>
      <c r="C74" s="86" t="s">
        <v>69</v>
      </c>
      <c r="D74" s="243"/>
      <c r="E74" s="10"/>
      <c r="F74" s="10"/>
      <c r="G74" s="10"/>
      <c r="J74" s="10"/>
    </row>
    <row r="75" spans="1:10" ht="16.5" x14ac:dyDescent="0.3">
      <c r="A75" s="86" t="s">
        <v>106</v>
      </c>
      <c r="B75" s="243">
        <f>'Баффы персонажей'!Q48+Артефакты!B81+D75</f>
        <v>0</v>
      </c>
      <c r="C75" s="86" t="s">
        <v>106</v>
      </c>
      <c r="D75" s="243"/>
      <c r="E75" s="10"/>
      <c r="F75" s="10"/>
      <c r="G75" s="10"/>
      <c r="J75" s="10"/>
    </row>
    <row r="76" spans="1:10" ht="16.5" x14ac:dyDescent="0.3">
      <c r="A76" s="86" t="s">
        <v>73</v>
      </c>
      <c r="B76" s="243">
        <f>'Баффы персонажей'!Q49+Артефакты!B82+D76</f>
        <v>0</v>
      </c>
      <c r="C76" s="86" t="s">
        <v>73</v>
      </c>
      <c r="D76" s="243"/>
      <c r="E76" s="10"/>
      <c r="F76" s="10"/>
      <c r="G76" s="10"/>
      <c r="J76" s="10"/>
    </row>
    <row r="77" spans="1:10" ht="16.5" x14ac:dyDescent="0.3">
      <c r="A77" s="86" t="s">
        <v>70</v>
      </c>
      <c r="B77" s="243">
        <f>'Баффы персонажей'!Q50+Артефакты!B83+D77</f>
        <v>0</v>
      </c>
      <c r="C77" s="86" t="s">
        <v>70</v>
      </c>
      <c r="D77" s="243"/>
      <c r="E77" s="10"/>
      <c r="F77" s="10"/>
      <c r="G77" s="10"/>
      <c r="J77" s="10"/>
    </row>
    <row r="78" spans="1:10" ht="16.5" x14ac:dyDescent="0.3">
      <c r="A78" s="86" t="s">
        <v>71</v>
      </c>
      <c r="B78" s="243">
        <f>'Баффы персонажей'!Q51+Артефакты!B84+D78</f>
        <v>0</v>
      </c>
      <c r="C78" s="86" t="s">
        <v>71</v>
      </c>
      <c r="D78" s="243"/>
      <c r="E78" s="10"/>
      <c r="F78" s="10"/>
      <c r="G78" s="10"/>
      <c r="J78" s="10"/>
    </row>
    <row r="79" spans="1:10" ht="16.5" x14ac:dyDescent="0.3">
      <c r="A79" s="86" t="s">
        <v>72</v>
      </c>
      <c r="B79" s="243">
        <f>'Баффы персонажей'!Q52+Артефакты!B85+D79</f>
        <v>0</v>
      </c>
      <c r="C79" s="86" t="s">
        <v>72</v>
      </c>
      <c r="D79" s="243"/>
      <c r="E79" s="10"/>
      <c r="F79" s="10"/>
      <c r="G79" s="10"/>
      <c r="J79" s="10"/>
    </row>
    <row r="80" spans="1:10" ht="16.5" x14ac:dyDescent="0.3">
      <c r="A80" s="86" t="s">
        <v>67</v>
      </c>
      <c r="B80" s="243">
        <f>'Баффы персонажей'!Q53+Артефакты!B86+D80</f>
        <v>0</v>
      </c>
      <c r="C80" s="86" t="s">
        <v>67</v>
      </c>
      <c r="D80" s="243"/>
      <c r="E80" s="10"/>
      <c r="F80" s="10"/>
      <c r="G80" s="10"/>
      <c r="J80" s="10"/>
    </row>
    <row r="81" spans="1:4" x14ac:dyDescent="0.25">
      <c r="A81" s="86" t="s">
        <v>68</v>
      </c>
      <c r="B81" s="243">
        <f>'Баффы персонажей'!Q54+Артефакты!B87+D81</f>
        <v>0</v>
      </c>
      <c r="C81" s="86" t="s">
        <v>68</v>
      </c>
      <c r="D81" s="243"/>
    </row>
    <row r="82" spans="1:4" x14ac:dyDescent="0.25">
      <c r="A82" s="86" t="s">
        <v>360</v>
      </c>
      <c r="B82" s="243">
        <f>'Баффы персонажей'!Q55+Артефакты!B88+D82</f>
        <v>0</v>
      </c>
      <c r="C82" s="86" t="s">
        <v>360</v>
      </c>
      <c r="D82" s="243"/>
    </row>
    <row r="83" spans="1:4" x14ac:dyDescent="0.25">
      <c r="A83" s="86" t="s">
        <v>78</v>
      </c>
      <c r="B83" s="243">
        <f>'Баффы персонажей'!Q56+Артефакты!B89+D83</f>
        <v>0</v>
      </c>
      <c r="C83" s="86" t="s">
        <v>78</v>
      </c>
      <c r="D83" s="243"/>
    </row>
    <row r="84" spans="1:4" x14ac:dyDescent="0.25">
      <c r="A84" s="86" t="s">
        <v>76</v>
      </c>
      <c r="B84" s="243">
        <f>'Баффы персонажей'!Q57+Артефакты!B90+D84</f>
        <v>0</v>
      </c>
      <c r="C84" s="86" t="s">
        <v>76</v>
      </c>
      <c r="D84" s="243"/>
    </row>
    <row r="85" spans="1:4" x14ac:dyDescent="0.25">
      <c r="A85" s="86" t="s">
        <v>79</v>
      </c>
      <c r="B85" s="243">
        <f>'Баффы персонажей'!Q58+Артефакты!B91+D85</f>
        <v>0</v>
      </c>
      <c r="C85" s="86" t="s">
        <v>79</v>
      </c>
      <c r="D85" s="243"/>
    </row>
    <row r="86" spans="1:4" x14ac:dyDescent="0.25">
      <c r="A86" s="86" t="s">
        <v>74</v>
      </c>
      <c r="B86" s="243">
        <f>'Баффы персонажей'!Q59+Артефакты!B92+D86</f>
        <v>0</v>
      </c>
      <c r="C86" s="86" t="s">
        <v>74</v>
      </c>
      <c r="D86" s="243"/>
    </row>
    <row r="87" spans="1:4" x14ac:dyDescent="0.25">
      <c r="A87" s="86" t="s">
        <v>412</v>
      </c>
      <c r="B87" s="243">
        <f>'Баффы персонажей'!Q60+Артефакты!B93+D87</f>
        <v>0</v>
      </c>
      <c r="C87" s="86" t="s">
        <v>412</v>
      </c>
      <c r="D87" s="243"/>
    </row>
    <row r="88" spans="1:4" ht="17.25" thickBot="1" x14ac:dyDescent="0.35">
      <c r="A88" s="245"/>
      <c r="B88" s="246"/>
      <c r="C88" s="245"/>
      <c r="D88" s="246"/>
    </row>
    <row r="89" spans="1:4" ht="15.75" thickBot="1" x14ac:dyDescent="0.3">
      <c r="A89" s="247"/>
      <c r="B89" s="248"/>
      <c r="C89" s="247"/>
      <c r="D89" s="248"/>
    </row>
    <row r="90" spans="1:4" ht="16.5" x14ac:dyDescent="0.3">
      <c r="A90" s="263"/>
      <c r="B90" s="263"/>
    </row>
    <row r="91" spans="1:4" ht="16.5" x14ac:dyDescent="0.3">
      <c r="A91" s="226"/>
      <c r="B91" s="226"/>
    </row>
    <row r="92" spans="1:4" x14ac:dyDescent="0.25">
      <c r="A92" s="5"/>
      <c r="B92" s="244"/>
    </row>
    <row r="93" spans="1:4" x14ac:dyDescent="0.25">
      <c r="A93" s="5"/>
      <c r="B93" s="244"/>
    </row>
    <row r="94" spans="1:4" x14ac:dyDescent="0.25">
      <c r="A94" s="5"/>
      <c r="B94" s="115"/>
    </row>
    <row r="95" spans="1:4" x14ac:dyDescent="0.25">
      <c r="A95" s="5"/>
      <c r="B95" s="244"/>
    </row>
    <row r="96" spans="1:4" x14ac:dyDescent="0.25">
      <c r="A96" s="5"/>
      <c r="B96" s="244"/>
    </row>
    <row r="97" spans="1:8" x14ac:dyDescent="0.25">
      <c r="A97" s="5"/>
      <c r="B97" s="244"/>
    </row>
    <row r="98" spans="1:8" x14ac:dyDescent="0.25">
      <c r="A98" s="5"/>
      <c r="B98" s="6"/>
      <c r="H98" s="76"/>
    </row>
    <row r="99" spans="1:8" x14ac:dyDescent="0.25">
      <c r="A99" s="5"/>
      <c r="B99" s="244"/>
    </row>
    <row r="115" spans="1:11" ht="21.75" x14ac:dyDescent="0.35">
      <c r="A115" s="258"/>
      <c r="B115" s="258"/>
      <c r="C115" s="258"/>
      <c r="D115" s="258"/>
      <c r="E115" s="258"/>
      <c r="F115" s="258"/>
      <c r="G115" s="258"/>
      <c r="H115" s="258"/>
      <c r="I115" s="258"/>
      <c r="J115" s="258"/>
    </row>
    <row r="117" spans="1:11" ht="17.25" x14ac:dyDescent="0.3">
      <c r="A117" s="6"/>
      <c r="B117" s="5"/>
      <c r="C117" s="5"/>
      <c r="D117" s="5"/>
      <c r="F117" s="38"/>
      <c r="G117" s="230"/>
      <c r="H117" s="230"/>
      <c r="I117" s="238"/>
      <c r="J117" s="238"/>
      <c r="K117" s="238"/>
    </row>
    <row r="118" spans="1:11" ht="17.25" x14ac:dyDescent="0.3">
      <c r="A118" s="5"/>
      <c r="B118" s="6"/>
      <c r="C118" s="6"/>
      <c r="D118" s="6"/>
      <c r="F118" s="38"/>
      <c r="G118" s="227"/>
      <c r="H118" s="227"/>
      <c r="I118" s="228"/>
      <c r="J118" s="38"/>
      <c r="K118" s="38"/>
    </row>
    <row r="119" spans="1:11" ht="16.5" x14ac:dyDescent="0.3">
      <c r="A119" s="5"/>
      <c r="B119" s="6"/>
      <c r="C119" s="6"/>
      <c r="D119" s="6"/>
      <c r="F119" s="257"/>
      <c r="G119" s="57"/>
      <c r="H119" s="57"/>
      <c r="I119" s="228"/>
      <c r="J119" s="38"/>
      <c r="K119" s="38"/>
    </row>
    <row r="120" spans="1:11" ht="16.5" x14ac:dyDescent="0.3">
      <c r="A120" s="5"/>
      <c r="B120" s="6"/>
      <c r="C120" s="6"/>
      <c r="D120" s="6"/>
      <c r="F120" s="257"/>
      <c r="G120" s="57"/>
      <c r="H120" s="57"/>
      <c r="I120" s="228"/>
      <c r="J120" s="38"/>
      <c r="K120" s="38"/>
    </row>
    <row r="121" spans="1:11" ht="16.5" x14ac:dyDescent="0.3">
      <c r="A121" s="5"/>
      <c r="B121" s="6"/>
      <c r="C121" s="6"/>
      <c r="D121" s="6"/>
      <c r="F121" s="257"/>
      <c r="G121" s="57"/>
      <c r="H121" s="57"/>
      <c r="I121" s="228"/>
      <c r="J121" s="38"/>
      <c r="K121" s="38"/>
    </row>
    <row r="122" spans="1:11" ht="16.5" x14ac:dyDescent="0.3">
      <c r="A122" s="5"/>
      <c r="B122" s="6"/>
      <c r="C122" s="6"/>
      <c r="D122" s="6"/>
      <c r="F122" s="257"/>
      <c r="G122" s="57"/>
      <c r="H122" s="57"/>
      <c r="I122" s="228"/>
      <c r="J122" s="38"/>
      <c r="K122" s="38"/>
    </row>
    <row r="123" spans="1:11" ht="16.5" x14ac:dyDescent="0.3">
      <c r="A123" s="5"/>
      <c r="B123" s="6"/>
      <c r="C123" s="6"/>
      <c r="D123" s="6"/>
      <c r="F123" s="257"/>
      <c r="G123" s="57"/>
      <c r="H123" s="57"/>
      <c r="I123" s="228"/>
      <c r="J123" s="38"/>
      <c r="K123" s="38"/>
    </row>
    <row r="124" spans="1:11" ht="16.5" x14ac:dyDescent="0.3">
      <c r="A124" s="5"/>
      <c r="B124" s="6"/>
      <c r="C124" s="6"/>
      <c r="D124" s="6"/>
      <c r="F124" s="257"/>
      <c r="G124" s="57"/>
      <c r="H124" s="57"/>
      <c r="I124" s="228"/>
      <c r="J124" s="38"/>
      <c r="K124" s="38"/>
    </row>
    <row r="125" spans="1:11" ht="16.5" x14ac:dyDescent="0.3">
      <c r="A125" s="5"/>
      <c r="B125" s="6"/>
      <c r="C125" s="6"/>
      <c r="D125" s="6"/>
      <c r="F125" s="257"/>
      <c r="G125" s="57"/>
      <c r="H125" s="57"/>
      <c r="I125" s="228"/>
      <c r="J125" s="38"/>
      <c r="K125" s="38"/>
    </row>
    <row r="126" spans="1:11" ht="16.5" x14ac:dyDescent="0.3">
      <c r="A126" s="5"/>
      <c r="B126" s="6"/>
      <c r="C126" s="6"/>
      <c r="D126" s="6"/>
      <c r="F126" s="257"/>
      <c r="G126" s="57"/>
      <c r="H126" s="57"/>
    </row>
    <row r="127" spans="1:11" ht="16.5" x14ac:dyDescent="0.3">
      <c r="A127" s="5"/>
      <c r="B127" s="6"/>
      <c r="C127" s="6"/>
      <c r="D127" s="6"/>
      <c r="F127" s="257"/>
      <c r="G127" s="57"/>
      <c r="H127" s="57"/>
    </row>
    <row r="128" spans="1:11" ht="16.5" x14ac:dyDescent="0.3">
      <c r="F128" s="257"/>
    </row>
    <row r="131" spans="1:9" ht="16.5" x14ac:dyDescent="0.3">
      <c r="A131" s="41"/>
      <c r="I131" s="38"/>
    </row>
    <row r="132" spans="1:9" ht="16.5" x14ac:dyDescent="0.3">
      <c r="A132" s="41"/>
      <c r="I132" s="38"/>
    </row>
    <row r="133" spans="1:9" ht="16.5" x14ac:dyDescent="0.3">
      <c r="A133" s="41"/>
      <c r="I133" s="38"/>
    </row>
    <row r="134" spans="1:9" ht="16.5" x14ac:dyDescent="0.3">
      <c r="A134" s="41"/>
      <c r="I134" s="38"/>
    </row>
    <row r="135" spans="1:9" ht="16.5" x14ac:dyDescent="0.3">
      <c r="A135" s="41"/>
      <c r="I135" s="38"/>
    </row>
    <row r="136" spans="1:9" ht="16.5" x14ac:dyDescent="0.3">
      <c r="A136" s="41"/>
      <c r="I136" s="38"/>
    </row>
    <row r="137" spans="1:9" ht="16.5" x14ac:dyDescent="0.3">
      <c r="A137" s="41"/>
      <c r="I137" s="38"/>
    </row>
    <row r="138" spans="1:9" ht="16.5" x14ac:dyDescent="0.3">
      <c r="A138" s="41"/>
    </row>
    <row r="139" spans="1:9" ht="16.5" x14ac:dyDescent="0.3">
      <c r="A139" s="41"/>
    </row>
    <row r="140" spans="1:9" ht="16.5" x14ac:dyDescent="0.3">
      <c r="A140" s="41"/>
    </row>
    <row r="141" spans="1:9" ht="16.5" x14ac:dyDescent="0.3">
      <c r="A141" s="41"/>
    </row>
    <row r="142" spans="1:9" ht="16.5" x14ac:dyDescent="0.3">
      <c r="A142" s="41"/>
    </row>
    <row r="143" spans="1:9" ht="16.5" x14ac:dyDescent="0.3">
      <c r="A143" s="41"/>
      <c r="G143" s="75"/>
    </row>
    <row r="144" spans="1:9" ht="16.5" x14ac:dyDescent="0.3">
      <c r="A144" s="41"/>
    </row>
    <row r="145" spans="1:1" ht="16.5" x14ac:dyDescent="0.3">
      <c r="A145" s="41"/>
    </row>
    <row r="146" spans="1:1" ht="16.5" x14ac:dyDescent="0.3">
      <c r="A146" s="41"/>
    </row>
    <row r="147" spans="1:1" ht="16.5" x14ac:dyDescent="0.3">
      <c r="A147" s="41"/>
    </row>
    <row r="148" spans="1:1" ht="16.5" x14ac:dyDescent="0.3">
      <c r="A148" s="41"/>
    </row>
    <row r="149" spans="1:1" ht="16.5" x14ac:dyDescent="0.3">
      <c r="A149" s="41"/>
    </row>
    <row r="150" spans="1:1" ht="16.5" x14ac:dyDescent="0.3">
      <c r="A150" s="41"/>
    </row>
    <row r="151" spans="1:1" ht="16.5" x14ac:dyDescent="0.3">
      <c r="A151" s="41"/>
    </row>
    <row r="152" spans="1:1" ht="16.5" x14ac:dyDescent="0.3">
      <c r="A152" s="41"/>
    </row>
    <row r="153" spans="1:1" ht="16.5" x14ac:dyDescent="0.3">
      <c r="A153" s="41"/>
    </row>
    <row r="154" spans="1:1" ht="16.5" x14ac:dyDescent="0.3">
      <c r="A154" s="41"/>
    </row>
    <row r="155" spans="1:1" ht="16.5" x14ac:dyDescent="0.3">
      <c r="A155" s="41"/>
    </row>
    <row r="156" spans="1:1" ht="16.5" x14ac:dyDescent="0.3">
      <c r="A156" s="41"/>
    </row>
    <row r="157" spans="1:1" ht="16.5" x14ac:dyDescent="0.3">
      <c r="A157" s="41"/>
    </row>
    <row r="158" spans="1:1" ht="16.5" x14ac:dyDescent="0.3">
      <c r="A158" s="41"/>
    </row>
    <row r="159" spans="1:1" ht="16.5" x14ac:dyDescent="0.3">
      <c r="A159" s="41"/>
    </row>
    <row r="160" spans="1:1" ht="16.5" x14ac:dyDescent="0.3">
      <c r="A160" s="41"/>
    </row>
    <row r="161" spans="1:13" ht="16.5" x14ac:dyDescent="0.3">
      <c r="A161" s="41"/>
    </row>
    <row r="162" spans="1:13" ht="16.5" x14ac:dyDescent="0.3">
      <c r="A162" s="41"/>
      <c r="C162" s="66"/>
      <c r="D162" s="65"/>
    </row>
    <row r="163" spans="1:13" ht="16.5" x14ac:dyDescent="0.3">
      <c r="A163" s="41"/>
    </row>
    <row r="164" spans="1:13" ht="16.5" x14ac:dyDescent="0.3">
      <c r="A164" s="41"/>
    </row>
    <row r="165" spans="1:13" ht="16.5" x14ac:dyDescent="0.3">
      <c r="A165" s="41"/>
    </row>
    <row r="166" spans="1:13" ht="16.5" x14ac:dyDescent="0.3">
      <c r="A166" s="41"/>
    </row>
    <row r="167" spans="1:13" ht="16.5" x14ac:dyDescent="0.3">
      <c r="A167" s="41"/>
    </row>
    <row r="169" spans="1:13" ht="16.5" x14ac:dyDescent="0.3">
      <c r="A169" s="41"/>
    </row>
    <row r="170" spans="1:13" ht="16.5" x14ac:dyDescent="0.3">
      <c r="A170" s="41"/>
    </row>
    <row r="172" spans="1:13" ht="16.5" x14ac:dyDescent="0.3">
      <c r="A172" s="41"/>
    </row>
    <row r="173" spans="1:13" x14ac:dyDescent="0.25">
      <c r="A173" s="5"/>
      <c r="H173" s="5"/>
      <c r="M173" s="5"/>
    </row>
    <row r="174" spans="1:13" x14ac:dyDescent="0.25">
      <c r="A174" s="5"/>
      <c r="H174" s="5"/>
      <c r="M174" s="5"/>
    </row>
    <row r="175" spans="1:13" x14ac:dyDescent="0.25">
      <c r="A175" s="5"/>
      <c r="H175" s="5"/>
      <c r="M175" s="5"/>
    </row>
    <row r="176" spans="1:13" x14ac:dyDescent="0.25">
      <c r="A176" s="5"/>
      <c r="H176" s="5"/>
      <c r="J176" s="74"/>
      <c r="M176" s="5"/>
    </row>
    <row r="177" spans="1:15" x14ac:dyDescent="0.25">
      <c r="A177" s="5"/>
      <c r="H177" s="5"/>
      <c r="J177" s="67"/>
      <c r="M177" s="5"/>
    </row>
    <row r="178" spans="1:15" x14ac:dyDescent="0.25">
      <c r="A178" s="5"/>
      <c r="H178" s="5"/>
      <c r="M178" s="5"/>
    </row>
    <row r="179" spans="1:15" x14ac:dyDescent="0.25">
      <c r="A179" s="5"/>
      <c r="H179" s="5"/>
      <c r="J179" s="74"/>
      <c r="M179" s="5"/>
    </row>
    <row r="180" spans="1:15" x14ac:dyDescent="0.25">
      <c r="A180" s="5"/>
      <c r="H180" s="5"/>
      <c r="M180" s="5"/>
    </row>
    <row r="181" spans="1:15" x14ac:dyDescent="0.25">
      <c r="A181" s="5"/>
      <c r="H181" s="5"/>
      <c r="M181" s="5"/>
      <c r="O181" s="74"/>
    </row>
    <row r="182" spans="1:15" x14ac:dyDescent="0.25">
      <c r="A182" s="5"/>
      <c r="H182" s="5"/>
      <c r="K182" s="75"/>
      <c r="L182" s="75"/>
      <c r="M182" s="5"/>
    </row>
    <row r="183" spans="1:15" x14ac:dyDescent="0.25">
      <c r="A183" s="5"/>
      <c r="H183" s="5"/>
      <c r="M183" s="5"/>
    </row>
    <row r="184" spans="1:15" x14ac:dyDescent="0.25">
      <c r="A184" s="5"/>
      <c r="H184" s="5"/>
      <c r="M184" s="5"/>
    </row>
    <row r="185" spans="1:15" x14ac:dyDescent="0.25">
      <c r="A185" s="5"/>
      <c r="C185" s="74"/>
      <c r="H185" s="5"/>
      <c r="M185" s="5"/>
    </row>
    <row r="186" spans="1:15" x14ac:dyDescent="0.25">
      <c r="A186" s="5"/>
      <c r="M186" s="5"/>
    </row>
    <row r="187" spans="1:15" x14ac:dyDescent="0.25">
      <c r="A187" s="5"/>
      <c r="C187" s="74"/>
      <c r="M187" s="5"/>
    </row>
    <row r="188" spans="1:15" x14ac:dyDescent="0.25">
      <c r="A188" s="5"/>
      <c r="C188" s="74"/>
      <c r="M188" s="5"/>
    </row>
    <row r="189" spans="1:15" x14ac:dyDescent="0.25">
      <c r="A189" s="5"/>
      <c r="E189" s="75"/>
      <c r="F189" s="75"/>
      <c r="G189" s="75"/>
      <c r="M189" s="5"/>
    </row>
    <row r="190" spans="1:15" x14ac:dyDescent="0.25">
      <c r="A190" s="5"/>
      <c r="M190" s="5"/>
    </row>
    <row r="191" spans="1:15" x14ac:dyDescent="0.25">
      <c r="A191" s="5"/>
      <c r="C191" s="74"/>
      <c r="M191" s="5"/>
    </row>
    <row r="192" spans="1:15" x14ac:dyDescent="0.25">
      <c r="A192" s="5"/>
      <c r="M192" s="5"/>
    </row>
    <row r="193" spans="1:17" x14ac:dyDescent="0.25">
      <c r="A193" s="5"/>
      <c r="M193" s="5"/>
    </row>
    <row r="194" spans="1:17" x14ac:dyDescent="0.25">
      <c r="M194" s="5"/>
    </row>
    <row r="196" spans="1:17" x14ac:dyDescent="0.25">
      <c r="A196" s="5"/>
    </row>
    <row r="197" spans="1:17" x14ac:dyDescent="0.25">
      <c r="A197" s="5"/>
    </row>
    <row r="198" spans="1:17" x14ac:dyDescent="0.25">
      <c r="A198" s="5"/>
      <c r="C198" s="231"/>
    </row>
    <row r="199" spans="1:17" x14ac:dyDescent="0.25">
      <c r="A199" s="5"/>
      <c r="C199" s="74"/>
    </row>
    <row r="200" spans="1:17" x14ac:dyDescent="0.25">
      <c r="A200" s="5"/>
      <c r="C200" s="74"/>
    </row>
    <row r="201" spans="1:17" x14ac:dyDescent="0.25">
      <c r="A201" s="5"/>
    </row>
    <row r="202" spans="1:17" x14ac:dyDescent="0.25">
      <c r="A202" s="5"/>
    </row>
    <row r="203" spans="1:17" x14ac:dyDescent="0.25">
      <c r="A203" s="5"/>
      <c r="J203" t="s">
        <v>305</v>
      </c>
      <c r="M203" t="s">
        <v>304</v>
      </c>
      <c r="O203" t="s">
        <v>308</v>
      </c>
    </row>
    <row r="204" spans="1:17" ht="16.5" x14ac:dyDescent="0.3">
      <c r="A204" s="5"/>
      <c r="C204" s="74"/>
      <c r="J204" s="18" t="s">
        <v>81</v>
      </c>
      <c r="M204" s="18" t="s">
        <v>81</v>
      </c>
      <c r="O204" s="18" t="s">
        <v>81</v>
      </c>
      <c r="P204" s="41" t="s">
        <v>310</v>
      </c>
      <c r="Q204" s="41" t="s">
        <v>309</v>
      </c>
    </row>
    <row r="205" spans="1:17" ht="16.5" x14ac:dyDescent="0.3">
      <c r="A205" s="5"/>
      <c r="J205" s="18" t="s">
        <v>104</v>
      </c>
      <c r="K205" s="6">
        <f>IF(Q5="АТК",$J$6,IF(Q5="ХП",$J$5,IF(Q5="ЗАЩ",$J$7,IF(Q5="МС",$J$9,0))))</f>
        <v>311</v>
      </c>
      <c r="M205" s="18" t="s">
        <v>104</v>
      </c>
      <c r="N205" s="6">
        <f t="shared" ref="N205:N219" si="13">IF(R5="АТК",$J$6,IF(R5="ХП",$J$5,IF(R5="ЗАЩ",$J$7,IF(R5="МС",$J$9,0))))</f>
        <v>0</v>
      </c>
      <c r="O205" s="18" t="s">
        <v>104</v>
      </c>
      <c r="P205" s="6">
        <f>IF(M5="NA",$B$35,IF(M5="HA",$B$36,IF(M5="PD",$B$37,IF(M5="E",$B$38,IF(M5="Q",$B$39,0)))))</f>
        <v>0</v>
      </c>
      <c r="Q205" s="115">
        <f>IF(M5="NA",$B$43,IF(M5="HA",$B$44,IF(M5="PD",$B$45,IF(M5="E",$B$46,IF(M5="Q",$B$47,0)))))</f>
        <v>0</v>
      </c>
    </row>
    <row r="206" spans="1:17" ht="16.5" x14ac:dyDescent="0.3">
      <c r="A206" s="5"/>
      <c r="J206" s="18" t="s">
        <v>182</v>
      </c>
      <c r="K206" s="6">
        <f t="shared" ref="K205:K219" si="14">IF(Q6="АТК",$J$6,IF(Q6="ХП",$J$5,IF(Q6="ЗАЩ",$J$7,IF(Q6="МС",$J$9,0))))</f>
        <v>311</v>
      </c>
      <c r="M206" s="18" t="s">
        <v>182</v>
      </c>
      <c r="N206" s="6">
        <f t="shared" si="13"/>
        <v>0</v>
      </c>
      <c r="O206" s="18" t="s">
        <v>182</v>
      </c>
      <c r="P206" s="6">
        <f t="shared" ref="P206:P219" si="15">IF(M6="NA",$B$35,IF(M6="HA",$B$36,IF(M6="PD",$B$37,IF(M6="E",$B$38,IF(M6="Q",$B$39,0)))))</f>
        <v>0</v>
      </c>
      <c r="Q206" s="115">
        <f t="shared" ref="Q206:Q219" si="16">IF(M6="NA",$B$43,IF(M6="HA",$B$44,IF(M6="PD",$B$45,IF(M6="E",$B$46,IF(M6="Q",$B$47,0)))))</f>
        <v>0</v>
      </c>
    </row>
    <row r="207" spans="1:17" ht="16.5" x14ac:dyDescent="0.3">
      <c r="A207" s="5"/>
      <c r="J207" s="18" t="s">
        <v>183</v>
      </c>
      <c r="K207" s="6">
        <f t="shared" si="14"/>
        <v>311</v>
      </c>
      <c r="M207" s="18" t="s">
        <v>183</v>
      </c>
      <c r="N207" s="6">
        <f t="shared" si="13"/>
        <v>0</v>
      </c>
      <c r="O207" s="18" t="s">
        <v>183</v>
      </c>
      <c r="P207" s="6">
        <f t="shared" si="15"/>
        <v>0</v>
      </c>
      <c r="Q207" s="115">
        <f t="shared" si="16"/>
        <v>0</v>
      </c>
    </row>
    <row r="208" spans="1:17" ht="16.5" x14ac:dyDescent="0.3">
      <c r="A208" s="5"/>
      <c r="E208" s="231"/>
      <c r="F208" s="231"/>
      <c r="G208" s="231"/>
      <c r="J208" s="18" t="s">
        <v>184</v>
      </c>
      <c r="K208" s="6">
        <f t="shared" si="14"/>
        <v>311</v>
      </c>
      <c r="M208" s="18" t="s">
        <v>184</v>
      </c>
      <c r="N208" s="6">
        <f t="shared" si="13"/>
        <v>0</v>
      </c>
      <c r="O208" s="18" t="s">
        <v>184</v>
      </c>
      <c r="P208" s="6">
        <f t="shared" si="15"/>
        <v>0</v>
      </c>
      <c r="Q208" s="115">
        <f t="shared" si="16"/>
        <v>0</v>
      </c>
    </row>
    <row r="209" spans="1:17" ht="16.5" x14ac:dyDescent="0.3">
      <c r="A209" s="5"/>
      <c r="J209" s="18" t="s">
        <v>185</v>
      </c>
      <c r="K209" s="6">
        <f t="shared" si="14"/>
        <v>311</v>
      </c>
      <c r="M209" s="18" t="s">
        <v>185</v>
      </c>
      <c r="N209" s="6">
        <f t="shared" si="13"/>
        <v>0</v>
      </c>
      <c r="O209" s="18" t="s">
        <v>185</v>
      </c>
      <c r="P209" s="6">
        <f t="shared" si="15"/>
        <v>0</v>
      </c>
      <c r="Q209" s="115">
        <f t="shared" si="16"/>
        <v>0</v>
      </c>
    </row>
    <row r="210" spans="1:17" ht="16.5" x14ac:dyDescent="0.3">
      <c r="A210" s="5"/>
      <c r="J210" s="18" t="s">
        <v>186</v>
      </c>
      <c r="K210" s="6">
        <f t="shared" si="14"/>
        <v>311</v>
      </c>
      <c r="M210" s="18" t="s">
        <v>186</v>
      </c>
      <c r="N210" s="6">
        <f t="shared" si="13"/>
        <v>0</v>
      </c>
      <c r="O210" s="18" t="s">
        <v>186</v>
      </c>
      <c r="P210" s="6">
        <f t="shared" si="15"/>
        <v>0</v>
      </c>
      <c r="Q210" s="115">
        <f t="shared" si="16"/>
        <v>0</v>
      </c>
    </row>
    <row r="211" spans="1:17" ht="16.5" x14ac:dyDescent="0.3">
      <c r="A211" s="5"/>
      <c r="J211" s="18" t="s">
        <v>187</v>
      </c>
      <c r="K211" s="6">
        <f t="shared" si="14"/>
        <v>311</v>
      </c>
      <c r="M211" s="18" t="s">
        <v>187</v>
      </c>
      <c r="N211" s="6">
        <f t="shared" si="13"/>
        <v>0</v>
      </c>
      <c r="O211" s="18" t="s">
        <v>187</v>
      </c>
      <c r="P211" s="6">
        <f t="shared" si="15"/>
        <v>0</v>
      </c>
      <c r="Q211" s="115">
        <f t="shared" si="16"/>
        <v>0</v>
      </c>
    </row>
    <row r="212" spans="1:17" ht="16.5" x14ac:dyDescent="0.3">
      <c r="A212" s="5"/>
      <c r="J212" s="18" t="s">
        <v>188</v>
      </c>
      <c r="K212" s="6">
        <f t="shared" si="14"/>
        <v>311</v>
      </c>
      <c r="M212" s="18" t="s">
        <v>188</v>
      </c>
      <c r="N212" s="6">
        <f t="shared" si="13"/>
        <v>0</v>
      </c>
      <c r="O212" s="18" t="s">
        <v>188</v>
      </c>
      <c r="P212" s="6">
        <f t="shared" si="15"/>
        <v>0</v>
      </c>
      <c r="Q212" s="115">
        <f t="shared" si="16"/>
        <v>0</v>
      </c>
    </row>
    <row r="213" spans="1:17" ht="16.5" x14ac:dyDescent="0.3">
      <c r="A213" s="5"/>
      <c r="J213" s="18" t="s">
        <v>189</v>
      </c>
      <c r="K213" s="6">
        <f t="shared" si="14"/>
        <v>311</v>
      </c>
      <c r="M213" s="18" t="s">
        <v>189</v>
      </c>
      <c r="N213" s="6">
        <f t="shared" si="13"/>
        <v>0</v>
      </c>
      <c r="O213" s="18" t="s">
        <v>189</v>
      </c>
      <c r="P213" s="6">
        <f t="shared" si="15"/>
        <v>0</v>
      </c>
      <c r="Q213" s="115">
        <f t="shared" si="16"/>
        <v>0</v>
      </c>
    </row>
    <row r="214" spans="1:17" ht="16.5" x14ac:dyDescent="0.3">
      <c r="J214" s="18" t="s">
        <v>94</v>
      </c>
      <c r="K214" s="6">
        <f t="shared" si="14"/>
        <v>311</v>
      </c>
      <c r="M214" s="18" t="s">
        <v>94</v>
      </c>
      <c r="N214" s="6">
        <f t="shared" si="13"/>
        <v>0</v>
      </c>
      <c r="O214" s="18" t="s">
        <v>94</v>
      </c>
      <c r="P214" s="6">
        <f t="shared" si="15"/>
        <v>0</v>
      </c>
      <c r="Q214" s="115">
        <f t="shared" si="16"/>
        <v>0</v>
      </c>
    </row>
    <row r="215" spans="1:17" ht="16.5" x14ac:dyDescent="0.3">
      <c r="A215" s="5"/>
      <c r="J215" s="18" t="s">
        <v>181</v>
      </c>
      <c r="K215" s="6">
        <f t="shared" si="14"/>
        <v>311</v>
      </c>
      <c r="M215" s="18" t="s">
        <v>181</v>
      </c>
      <c r="N215" s="6">
        <f t="shared" si="13"/>
        <v>0</v>
      </c>
      <c r="O215" s="18" t="s">
        <v>181</v>
      </c>
      <c r="P215" s="6">
        <f t="shared" si="15"/>
        <v>0</v>
      </c>
      <c r="Q215" s="115">
        <f t="shared" si="16"/>
        <v>0</v>
      </c>
    </row>
    <row r="216" spans="1:17" ht="16.5" x14ac:dyDescent="0.3">
      <c r="A216" s="5"/>
      <c r="J216" s="18" t="s">
        <v>96</v>
      </c>
      <c r="K216" s="6">
        <f t="shared" si="14"/>
        <v>311</v>
      </c>
      <c r="M216" s="18" t="s">
        <v>96</v>
      </c>
      <c r="N216" s="6">
        <f t="shared" si="13"/>
        <v>0</v>
      </c>
      <c r="O216" s="18" t="s">
        <v>96</v>
      </c>
      <c r="P216" s="6">
        <f t="shared" si="15"/>
        <v>0</v>
      </c>
      <c r="Q216" s="115">
        <f t="shared" si="16"/>
        <v>0</v>
      </c>
    </row>
    <row r="217" spans="1:17" ht="16.5" x14ac:dyDescent="0.3">
      <c r="A217" s="5"/>
      <c r="C217" s="74"/>
      <c r="J217" s="18" t="s">
        <v>98</v>
      </c>
      <c r="K217" s="6">
        <f t="shared" si="14"/>
        <v>311</v>
      </c>
      <c r="M217" s="18" t="s">
        <v>98</v>
      </c>
      <c r="N217" s="6">
        <f t="shared" si="13"/>
        <v>0</v>
      </c>
      <c r="O217" s="18" t="s">
        <v>98</v>
      </c>
      <c r="P217" s="6">
        <f t="shared" si="15"/>
        <v>0</v>
      </c>
      <c r="Q217" s="115">
        <f t="shared" si="16"/>
        <v>0</v>
      </c>
    </row>
    <row r="218" spans="1:17" ht="16.5" x14ac:dyDescent="0.3">
      <c r="A218" s="5"/>
      <c r="J218" s="18" t="s">
        <v>102</v>
      </c>
      <c r="K218" s="6">
        <f t="shared" si="14"/>
        <v>311</v>
      </c>
      <c r="M218" s="18" t="s">
        <v>102</v>
      </c>
      <c r="N218" s="6">
        <f t="shared" si="13"/>
        <v>0</v>
      </c>
      <c r="O218" s="18" t="s">
        <v>102</v>
      </c>
      <c r="P218" s="6">
        <f t="shared" si="15"/>
        <v>0</v>
      </c>
      <c r="Q218" s="115">
        <f t="shared" si="16"/>
        <v>0</v>
      </c>
    </row>
    <row r="219" spans="1:17" ht="16.5" x14ac:dyDescent="0.3">
      <c r="A219" s="5"/>
      <c r="J219" s="18" t="s">
        <v>100</v>
      </c>
      <c r="K219" s="6">
        <f t="shared" si="14"/>
        <v>311</v>
      </c>
      <c r="M219" s="18" t="s">
        <v>100</v>
      </c>
      <c r="N219" s="6">
        <f t="shared" si="13"/>
        <v>0</v>
      </c>
      <c r="O219" s="18" t="s">
        <v>100</v>
      </c>
      <c r="P219" s="6">
        <f t="shared" si="15"/>
        <v>0</v>
      </c>
      <c r="Q219" s="115">
        <f t="shared" si="16"/>
        <v>0</v>
      </c>
    </row>
    <row r="220" spans="1:17" ht="16.5" x14ac:dyDescent="0.3">
      <c r="A220" s="5"/>
      <c r="J220" s="18" t="s">
        <v>135</v>
      </c>
      <c r="K220" s="6">
        <f t="shared" ref="K220:K231" si="17">IF(Q21="АТК",$J$6,IF(Q21="ХП",$J$5,IF(Q21="ЗАЩ",$J$7,IF(Q21="МС",$J$9,0))))</f>
        <v>311</v>
      </c>
      <c r="M220" s="18" t="s">
        <v>135</v>
      </c>
      <c r="N220" s="6">
        <f t="shared" ref="N220:N231" si="18">IF(R21="АТК",$J$6,IF(R21="ХП",$J$5,IF(R21="ЗАЩ",$J$7,IF(R21="МС",$J$9,0))))</f>
        <v>0</v>
      </c>
      <c r="O220" s="18" t="s">
        <v>135</v>
      </c>
      <c r="P220" s="6">
        <f>IF(M21="NA",$B$35,IF(M21="HA",$B$36,IF(M21="PD",$B$37,IF(M21="E",$B$38,IF(M21="Q",$B$39,0)))))</f>
        <v>0</v>
      </c>
      <c r="Q220" s="115">
        <f>IF(M21="NA",$B$43,IF(M21="HA",$B$44,IF(M21="PD",$B$45,IF(M21="E",$B$46,IF(M21="Q",$B$47,0)))))</f>
        <v>0</v>
      </c>
    </row>
    <row r="221" spans="1:17" ht="16.5" x14ac:dyDescent="0.3">
      <c r="A221" s="5"/>
      <c r="J221" s="18" t="s">
        <v>135</v>
      </c>
      <c r="K221" s="6">
        <f t="shared" si="17"/>
        <v>311</v>
      </c>
      <c r="M221" s="18" t="s">
        <v>135</v>
      </c>
      <c r="N221" s="6">
        <f t="shared" si="18"/>
        <v>0</v>
      </c>
      <c r="O221" s="18" t="s">
        <v>135</v>
      </c>
      <c r="P221" s="6">
        <f t="shared" ref="P221:P231" si="19">IF(M22="NA",$B$35,IF(M22="HA",$B$36,IF(M22="PD",$B$37,IF(M22="E",$B$38,IF(M22="Q",$B$39,0)))))</f>
        <v>0</v>
      </c>
      <c r="Q221" s="115">
        <f t="shared" ref="Q221:Q231" si="20">IF(M22="NA",$B$43,IF(M22="HA",$B$44,IF(M22="PD",$B$45,IF(M22="E",$B$46,IF(M22="Q",$B$47,0)))))</f>
        <v>0</v>
      </c>
    </row>
    <row r="222" spans="1:17" ht="16.5" x14ac:dyDescent="0.3">
      <c r="A222" s="5"/>
      <c r="J222" s="18" t="s">
        <v>135</v>
      </c>
      <c r="K222" s="6">
        <f t="shared" si="17"/>
        <v>311</v>
      </c>
      <c r="M222" s="18" t="s">
        <v>135</v>
      </c>
      <c r="N222" s="6">
        <f t="shared" si="18"/>
        <v>0</v>
      </c>
      <c r="O222" s="18" t="s">
        <v>135</v>
      </c>
      <c r="P222" s="6">
        <f t="shared" si="19"/>
        <v>0</v>
      </c>
      <c r="Q222" s="115">
        <f t="shared" si="20"/>
        <v>0</v>
      </c>
    </row>
    <row r="223" spans="1:17" ht="16.5" x14ac:dyDescent="0.3">
      <c r="A223" s="5"/>
      <c r="J223" s="18" t="s">
        <v>135</v>
      </c>
      <c r="K223" s="6">
        <f t="shared" si="17"/>
        <v>311</v>
      </c>
      <c r="M223" s="18" t="s">
        <v>135</v>
      </c>
      <c r="N223" s="6">
        <f t="shared" si="18"/>
        <v>0</v>
      </c>
      <c r="O223" s="18" t="s">
        <v>135</v>
      </c>
      <c r="P223" s="6">
        <f t="shared" si="19"/>
        <v>0</v>
      </c>
      <c r="Q223" s="115">
        <f t="shared" si="20"/>
        <v>0</v>
      </c>
    </row>
    <row r="224" spans="1:17" ht="16.5" x14ac:dyDescent="0.3">
      <c r="A224" s="5"/>
      <c r="J224" s="18" t="s">
        <v>135</v>
      </c>
      <c r="K224" s="6">
        <f t="shared" si="17"/>
        <v>311</v>
      </c>
      <c r="M224" s="18" t="s">
        <v>135</v>
      </c>
      <c r="N224" s="6">
        <f t="shared" si="18"/>
        <v>0</v>
      </c>
      <c r="O224" s="18" t="s">
        <v>135</v>
      </c>
      <c r="P224" s="6">
        <f t="shared" si="19"/>
        <v>0</v>
      </c>
      <c r="Q224" s="115">
        <f t="shared" si="20"/>
        <v>0</v>
      </c>
    </row>
    <row r="225" spans="1:17" ht="16.5" x14ac:dyDescent="0.3">
      <c r="A225" s="5"/>
      <c r="J225" s="18" t="s">
        <v>135</v>
      </c>
      <c r="K225" s="6">
        <f t="shared" si="17"/>
        <v>311</v>
      </c>
      <c r="M225" s="18" t="s">
        <v>135</v>
      </c>
      <c r="N225" s="6">
        <f t="shared" si="18"/>
        <v>0</v>
      </c>
      <c r="O225" s="18" t="s">
        <v>135</v>
      </c>
      <c r="P225" s="6">
        <f t="shared" si="19"/>
        <v>0</v>
      </c>
      <c r="Q225" s="115">
        <f t="shared" si="20"/>
        <v>0</v>
      </c>
    </row>
    <row r="226" spans="1:17" ht="16.5" x14ac:dyDescent="0.3">
      <c r="A226" s="5"/>
      <c r="J226" s="18" t="s">
        <v>135</v>
      </c>
      <c r="K226" s="6">
        <f t="shared" si="17"/>
        <v>311</v>
      </c>
      <c r="M226" s="18" t="s">
        <v>135</v>
      </c>
      <c r="N226" s="6">
        <f t="shared" si="18"/>
        <v>0</v>
      </c>
      <c r="O226" s="18" t="s">
        <v>135</v>
      </c>
      <c r="P226" s="6">
        <f t="shared" si="19"/>
        <v>0</v>
      </c>
      <c r="Q226" s="115">
        <f t="shared" si="20"/>
        <v>0</v>
      </c>
    </row>
    <row r="227" spans="1:17" ht="16.5" x14ac:dyDescent="0.3">
      <c r="A227" s="5"/>
      <c r="J227" s="18" t="s">
        <v>135</v>
      </c>
      <c r="K227" s="6">
        <f t="shared" si="17"/>
        <v>311</v>
      </c>
      <c r="M227" s="18" t="s">
        <v>135</v>
      </c>
      <c r="N227" s="6">
        <f t="shared" si="18"/>
        <v>0</v>
      </c>
      <c r="O227" s="18" t="s">
        <v>135</v>
      </c>
      <c r="P227" s="6">
        <f t="shared" si="19"/>
        <v>0</v>
      </c>
      <c r="Q227" s="115">
        <f t="shared" si="20"/>
        <v>0</v>
      </c>
    </row>
    <row r="228" spans="1:17" ht="16.5" x14ac:dyDescent="0.3">
      <c r="A228" s="5"/>
      <c r="C228" s="231"/>
      <c r="J228" s="18" t="s">
        <v>135</v>
      </c>
      <c r="K228" s="6">
        <f t="shared" si="17"/>
        <v>311</v>
      </c>
      <c r="M228" s="18" t="s">
        <v>135</v>
      </c>
      <c r="N228" s="6">
        <f t="shared" si="18"/>
        <v>0</v>
      </c>
      <c r="O228" s="18" t="s">
        <v>135</v>
      </c>
      <c r="P228" s="6">
        <f t="shared" si="19"/>
        <v>0</v>
      </c>
      <c r="Q228" s="115">
        <f t="shared" si="20"/>
        <v>0</v>
      </c>
    </row>
    <row r="229" spans="1:17" ht="16.5" x14ac:dyDescent="0.3">
      <c r="A229" s="5"/>
      <c r="D229" s="67"/>
      <c r="E229" s="67"/>
      <c r="J229" s="18" t="s">
        <v>135</v>
      </c>
      <c r="K229" s="6">
        <f t="shared" si="17"/>
        <v>311</v>
      </c>
      <c r="M229" s="18" t="s">
        <v>135</v>
      </c>
      <c r="N229" s="6">
        <f t="shared" si="18"/>
        <v>0</v>
      </c>
      <c r="O229" s="18" t="s">
        <v>135</v>
      </c>
      <c r="P229" s="6">
        <f t="shared" si="19"/>
        <v>0</v>
      </c>
      <c r="Q229" s="115">
        <f t="shared" si="20"/>
        <v>0</v>
      </c>
    </row>
    <row r="230" spans="1:17" ht="16.5" x14ac:dyDescent="0.3">
      <c r="A230" s="5"/>
      <c r="J230" s="18" t="s">
        <v>135</v>
      </c>
      <c r="K230" s="6">
        <f t="shared" si="17"/>
        <v>311</v>
      </c>
      <c r="M230" s="18" t="s">
        <v>135</v>
      </c>
      <c r="N230" s="6">
        <f t="shared" si="18"/>
        <v>0</v>
      </c>
      <c r="O230" s="18" t="s">
        <v>135</v>
      </c>
      <c r="P230" s="6">
        <f t="shared" si="19"/>
        <v>0</v>
      </c>
      <c r="Q230" s="115">
        <f t="shared" si="20"/>
        <v>0</v>
      </c>
    </row>
    <row r="231" spans="1:17" ht="16.5" x14ac:dyDescent="0.3">
      <c r="A231" s="5"/>
      <c r="C231" s="6"/>
      <c r="J231" s="18" t="s">
        <v>135</v>
      </c>
      <c r="K231" s="6">
        <f t="shared" si="17"/>
        <v>311</v>
      </c>
      <c r="M231" s="18" t="s">
        <v>135</v>
      </c>
      <c r="N231" s="6">
        <f t="shared" si="18"/>
        <v>0</v>
      </c>
      <c r="O231" s="18" t="s">
        <v>135</v>
      </c>
      <c r="P231" s="6">
        <f t="shared" si="19"/>
        <v>0</v>
      </c>
      <c r="Q231" s="115">
        <f t="shared" si="20"/>
        <v>0</v>
      </c>
    </row>
    <row r="232" spans="1:17" ht="16.5" x14ac:dyDescent="0.3">
      <c r="A232" s="5"/>
      <c r="J232" s="18" t="s">
        <v>136</v>
      </c>
      <c r="K232" s="6">
        <f t="shared" ref="K232:K243" si="21">IF(Q34="АТК",$J$6,IF(Q34="ХП",$J$5,IF(Q34="ЗАЩ",$J$7,IF(Q34="МС",$J$9,0))))</f>
        <v>311</v>
      </c>
      <c r="M232" s="18" t="s">
        <v>136</v>
      </c>
      <c r="N232" s="6">
        <f t="shared" ref="N232:N243" si="22">IF(R34="АТК",$J$6,IF(R34="ХП",$J$5,IF(R34="ЗАЩ",$J$7,IF(R34="МС",$J$9,0))))</f>
        <v>0</v>
      </c>
      <c r="O232" s="18" t="s">
        <v>136</v>
      </c>
      <c r="P232" s="6">
        <f>IF(M34="NA",$B$35,IF(M34="HA",$B$36,IF(M34="PD",$B$37,IF(M34="E",$B$38,IF(M34="Q",$B$39,0)))))</f>
        <v>0</v>
      </c>
      <c r="Q232" s="115">
        <f>IF(M34="NA",$B$43,IF(M34="HA",$B$44,IF(M34="PD",$B$45,IF(M34="E",$B$46,IF(M34="Q",$B$47,0)))))</f>
        <v>0</v>
      </c>
    </row>
    <row r="233" spans="1:17" ht="16.5" x14ac:dyDescent="0.3">
      <c r="A233" s="5"/>
      <c r="J233" s="18" t="s">
        <v>136</v>
      </c>
      <c r="K233" s="6">
        <f t="shared" si="21"/>
        <v>311</v>
      </c>
      <c r="M233" s="18" t="s">
        <v>136</v>
      </c>
      <c r="N233" s="6">
        <f t="shared" si="22"/>
        <v>0</v>
      </c>
      <c r="O233" s="18" t="s">
        <v>136</v>
      </c>
      <c r="P233" s="6">
        <f t="shared" ref="P233:P243" si="23">IF(M35="NA",$B$35,IF(M35="HA",$B$36,IF(M35="PD",$B$37,IF(M35="E",$B$38,IF(M35="Q",$B$39,0)))))</f>
        <v>0</v>
      </c>
      <c r="Q233" s="115">
        <f t="shared" ref="Q233:Q243" si="24">IF(M35="NA",$B$43,IF(M35="HA",$B$44,IF(M35="PD",$B$45,IF(M35="E",$B$46,IF(M35="Q",$B$47,0)))))</f>
        <v>0</v>
      </c>
    </row>
    <row r="234" spans="1:17" ht="16.5" x14ac:dyDescent="0.3">
      <c r="A234" s="5"/>
      <c r="J234" s="18" t="s">
        <v>136</v>
      </c>
      <c r="K234" s="6">
        <f t="shared" si="21"/>
        <v>311</v>
      </c>
      <c r="M234" s="18" t="s">
        <v>136</v>
      </c>
      <c r="N234" s="6">
        <f t="shared" si="22"/>
        <v>0</v>
      </c>
      <c r="O234" s="18" t="s">
        <v>136</v>
      </c>
      <c r="P234" s="6">
        <f t="shared" si="23"/>
        <v>0</v>
      </c>
      <c r="Q234" s="115">
        <f t="shared" si="24"/>
        <v>0</v>
      </c>
    </row>
    <row r="235" spans="1:17" ht="16.5" x14ac:dyDescent="0.3">
      <c r="A235" s="5"/>
      <c r="J235" s="18" t="s">
        <v>136</v>
      </c>
      <c r="K235" s="6">
        <f t="shared" si="21"/>
        <v>311</v>
      </c>
      <c r="M235" s="18" t="s">
        <v>136</v>
      </c>
      <c r="N235" s="6">
        <f t="shared" si="22"/>
        <v>0</v>
      </c>
      <c r="O235" s="18" t="s">
        <v>136</v>
      </c>
      <c r="P235" s="6">
        <f t="shared" si="23"/>
        <v>0</v>
      </c>
      <c r="Q235" s="115">
        <f t="shared" si="24"/>
        <v>0</v>
      </c>
    </row>
    <row r="236" spans="1:17" ht="16.5" x14ac:dyDescent="0.3">
      <c r="A236" s="5"/>
      <c r="J236" s="18" t="s">
        <v>136</v>
      </c>
      <c r="K236" s="6">
        <f t="shared" si="21"/>
        <v>311</v>
      </c>
      <c r="M236" s="18" t="s">
        <v>136</v>
      </c>
      <c r="N236" s="6">
        <f t="shared" si="22"/>
        <v>0</v>
      </c>
      <c r="O236" s="18" t="s">
        <v>136</v>
      </c>
      <c r="P236" s="6">
        <f t="shared" si="23"/>
        <v>0</v>
      </c>
      <c r="Q236" s="115">
        <f t="shared" si="24"/>
        <v>0</v>
      </c>
    </row>
    <row r="237" spans="1:17" ht="16.5" x14ac:dyDescent="0.3">
      <c r="A237" s="5"/>
      <c r="J237" s="18" t="s">
        <v>136</v>
      </c>
      <c r="K237" s="6">
        <f t="shared" si="21"/>
        <v>311</v>
      </c>
      <c r="M237" s="18" t="s">
        <v>136</v>
      </c>
      <c r="N237" s="6">
        <f t="shared" si="22"/>
        <v>0</v>
      </c>
      <c r="O237" s="18" t="s">
        <v>136</v>
      </c>
      <c r="P237" s="6">
        <f t="shared" si="23"/>
        <v>0</v>
      </c>
      <c r="Q237" s="115">
        <f t="shared" si="24"/>
        <v>0</v>
      </c>
    </row>
    <row r="238" spans="1:17" ht="16.5" x14ac:dyDescent="0.3">
      <c r="A238" s="5"/>
      <c r="J238" s="18" t="s">
        <v>136</v>
      </c>
      <c r="K238" s="6">
        <f t="shared" si="21"/>
        <v>311</v>
      </c>
      <c r="M238" s="18" t="s">
        <v>136</v>
      </c>
      <c r="N238" s="6">
        <f t="shared" si="22"/>
        <v>0</v>
      </c>
      <c r="O238" s="18" t="s">
        <v>136</v>
      </c>
      <c r="P238" s="6">
        <f t="shared" si="23"/>
        <v>0</v>
      </c>
      <c r="Q238" s="115">
        <f t="shared" si="24"/>
        <v>0</v>
      </c>
    </row>
    <row r="239" spans="1:17" ht="16.5" x14ac:dyDescent="0.3">
      <c r="A239" s="5"/>
      <c r="J239" s="18" t="s">
        <v>136</v>
      </c>
      <c r="K239" s="6">
        <f t="shared" si="21"/>
        <v>311</v>
      </c>
      <c r="M239" s="18" t="s">
        <v>136</v>
      </c>
      <c r="N239" s="6">
        <f t="shared" si="22"/>
        <v>0</v>
      </c>
      <c r="O239" s="18" t="s">
        <v>136</v>
      </c>
      <c r="P239" s="6">
        <f t="shared" si="23"/>
        <v>0</v>
      </c>
      <c r="Q239" s="115">
        <f t="shared" si="24"/>
        <v>0</v>
      </c>
    </row>
    <row r="240" spans="1:17" ht="16.5" x14ac:dyDescent="0.3">
      <c r="A240" s="5"/>
      <c r="J240" s="18" t="s">
        <v>136</v>
      </c>
      <c r="K240" s="6">
        <f t="shared" si="21"/>
        <v>311</v>
      </c>
      <c r="M240" s="18" t="s">
        <v>136</v>
      </c>
      <c r="N240" s="6">
        <f t="shared" si="22"/>
        <v>0</v>
      </c>
      <c r="O240" s="18" t="s">
        <v>136</v>
      </c>
      <c r="P240" s="6">
        <f t="shared" si="23"/>
        <v>0</v>
      </c>
      <c r="Q240" s="115">
        <f t="shared" si="24"/>
        <v>0</v>
      </c>
    </row>
    <row r="241" spans="1:17" ht="16.5" x14ac:dyDescent="0.3">
      <c r="A241" s="5"/>
      <c r="J241" s="18" t="s">
        <v>136</v>
      </c>
      <c r="K241" s="6">
        <f t="shared" si="21"/>
        <v>311</v>
      </c>
      <c r="M241" s="18" t="s">
        <v>136</v>
      </c>
      <c r="N241" s="6">
        <f t="shared" si="22"/>
        <v>0</v>
      </c>
      <c r="O241" s="18" t="s">
        <v>136</v>
      </c>
      <c r="P241" s="6">
        <f t="shared" si="23"/>
        <v>0</v>
      </c>
      <c r="Q241" s="115">
        <f t="shared" si="24"/>
        <v>0</v>
      </c>
    </row>
    <row r="242" spans="1:17" ht="16.5" x14ac:dyDescent="0.3">
      <c r="A242" s="5"/>
      <c r="J242" s="18" t="s">
        <v>136</v>
      </c>
      <c r="K242" s="6">
        <f t="shared" si="21"/>
        <v>311</v>
      </c>
      <c r="M242" s="18" t="s">
        <v>136</v>
      </c>
      <c r="N242" s="6">
        <f t="shared" si="22"/>
        <v>0</v>
      </c>
      <c r="O242" s="18" t="s">
        <v>136</v>
      </c>
      <c r="P242" s="6">
        <f t="shared" si="23"/>
        <v>0</v>
      </c>
      <c r="Q242" s="115">
        <f t="shared" si="24"/>
        <v>0</v>
      </c>
    </row>
    <row r="243" spans="1:17" ht="16.5" x14ac:dyDescent="0.3">
      <c r="A243" s="5"/>
      <c r="C243" s="67"/>
      <c r="D243" s="67"/>
      <c r="J243" s="18" t="s">
        <v>136</v>
      </c>
      <c r="K243" s="6">
        <f t="shared" si="21"/>
        <v>311</v>
      </c>
      <c r="M243" s="18" t="s">
        <v>136</v>
      </c>
      <c r="N243" s="6">
        <f t="shared" si="22"/>
        <v>0</v>
      </c>
      <c r="O243" s="18" t="s">
        <v>136</v>
      </c>
      <c r="P243" s="6">
        <f t="shared" si="23"/>
        <v>0</v>
      </c>
      <c r="Q243" s="115">
        <f t="shared" si="24"/>
        <v>0</v>
      </c>
    </row>
    <row r="244" spans="1:17" ht="16.5" x14ac:dyDescent="0.3">
      <c r="A244" s="5"/>
      <c r="J244" s="63" t="s">
        <v>448</v>
      </c>
      <c r="K244" s="6">
        <f t="shared" ref="K244:K255" si="25">IF(Q47="АТК",$J$6,IF(Q47="ХП",$J$5,IF(Q47="ЗАЩ",$J$7,IF(Q47="МС",$J$9,0))))</f>
        <v>311</v>
      </c>
      <c r="M244" s="63" t="s">
        <v>448</v>
      </c>
      <c r="N244" s="6">
        <f t="shared" ref="N244:N255" si="26">IF(R47="АТК",$J$6,IF(R47="ХП",$J$5,IF(R47="ЗАЩ",$J$7,IF(R47="МС",$J$9,0))))</f>
        <v>0</v>
      </c>
      <c r="O244" s="63" t="s">
        <v>448</v>
      </c>
      <c r="P244" s="6">
        <f t="shared" ref="P244:P255" si="27">IF(M47="NA",$B$35,IF(M47="HA",$B$36,IF(M47="PD",$B$37,IF(M47="E",$B$38,IF(M47="Q",$B$39,0)))))</f>
        <v>0</v>
      </c>
    </row>
    <row r="245" spans="1:17" ht="16.5" x14ac:dyDescent="0.3">
      <c r="A245" s="5"/>
      <c r="D245" s="67"/>
      <c r="E245" s="67"/>
      <c r="J245" s="63" t="s">
        <v>448</v>
      </c>
      <c r="K245" s="6">
        <f t="shared" si="25"/>
        <v>311</v>
      </c>
      <c r="M245" s="63" t="s">
        <v>448</v>
      </c>
      <c r="N245" s="6">
        <f t="shared" si="26"/>
        <v>0</v>
      </c>
      <c r="O245" s="63" t="s">
        <v>448</v>
      </c>
      <c r="P245" s="6">
        <f t="shared" si="27"/>
        <v>0</v>
      </c>
    </row>
    <row r="246" spans="1:17" ht="16.5" x14ac:dyDescent="0.3">
      <c r="A246" s="5"/>
      <c r="J246" s="63" t="s">
        <v>448</v>
      </c>
      <c r="K246" s="6">
        <f t="shared" si="25"/>
        <v>311</v>
      </c>
      <c r="M246" s="63" t="s">
        <v>448</v>
      </c>
      <c r="N246" s="6">
        <f t="shared" si="26"/>
        <v>0</v>
      </c>
      <c r="O246" s="63" t="s">
        <v>448</v>
      </c>
      <c r="P246" s="6">
        <f t="shared" si="27"/>
        <v>0</v>
      </c>
    </row>
    <row r="247" spans="1:17" ht="16.5" x14ac:dyDescent="0.3">
      <c r="A247" s="5"/>
      <c r="J247" s="63" t="s">
        <v>448</v>
      </c>
      <c r="K247" s="6">
        <f t="shared" si="25"/>
        <v>311</v>
      </c>
      <c r="M247" s="63" t="s">
        <v>448</v>
      </c>
      <c r="N247" s="6">
        <f t="shared" si="26"/>
        <v>0</v>
      </c>
      <c r="O247" s="63" t="s">
        <v>448</v>
      </c>
      <c r="P247" s="6">
        <f t="shared" si="27"/>
        <v>0</v>
      </c>
    </row>
    <row r="248" spans="1:17" ht="16.5" x14ac:dyDescent="0.3">
      <c r="J248" s="63" t="s">
        <v>448</v>
      </c>
      <c r="K248" s="6">
        <f t="shared" si="25"/>
        <v>311</v>
      </c>
      <c r="M248" s="63" t="s">
        <v>448</v>
      </c>
      <c r="N248" s="6">
        <f t="shared" si="26"/>
        <v>0</v>
      </c>
      <c r="O248" s="63" t="s">
        <v>448</v>
      </c>
      <c r="P248" s="6">
        <f t="shared" si="27"/>
        <v>0</v>
      </c>
    </row>
    <row r="249" spans="1:17" ht="16.5" x14ac:dyDescent="0.3">
      <c r="J249" s="63" t="s">
        <v>448</v>
      </c>
      <c r="K249" s="6">
        <f t="shared" si="25"/>
        <v>311</v>
      </c>
      <c r="M249" s="63" t="s">
        <v>448</v>
      </c>
      <c r="N249" s="6">
        <f t="shared" si="26"/>
        <v>0</v>
      </c>
      <c r="O249" s="63" t="s">
        <v>448</v>
      </c>
      <c r="P249" s="6">
        <f t="shared" si="27"/>
        <v>0</v>
      </c>
    </row>
    <row r="250" spans="1:17" ht="16.5" x14ac:dyDescent="0.3">
      <c r="J250" s="63" t="s">
        <v>448</v>
      </c>
      <c r="K250" s="6">
        <f t="shared" si="25"/>
        <v>311</v>
      </c>
      <c r="M250" s="63" t="s">
        <v>448</v>
      </c>
      <c r="N250" s="6">
        <f t="shared" si="26"/>
        <v>0</v>
      </c>
      <c r="O250" s="63" t="s">
        <v>448</v>
      </c>
      <c r="P250" s="6">
        <f t="shared" si="27"/>
        <v>0</v>
      </c>
    </row>
    <row r="251" spans="1:17" ht="16.5" x14ac:dyDescent="0.3">
      <c r="J251" s="63" t="s">
        <v>448</v>
      </c>
      <c r="K251" s="6">
        <f t="shared" si="25"/>
        <v>311</v>
      </c>
      <c r="M251" s="63" t="s">
        <v>448</v>
      </c>
      <c r="N251" s="6">
        <f t="shared" si="26"/>
        <v>0</v>
      </c>
      <c r="O251" s="63" t="s">
        <v>448</v>
      </c>
      <c r="P251" s="6">
        <f t="shared" si="27"/>
        <v>0</v>
      </c>
    </row>
    <row r="252" spans="1:17" ht="16.5" x14ac:dyDescent="0.3">
      <c r="J252" s="63" t="s">
        <v>448</v>
      </c>
      <c r="K252" s="6">
        <f t="shared" si="25"/>
        <v>311</v>
      </c>
      <c r="M252" s="63" t="s">
        <v>448</v>
      </c>
      <c r="N252" s="6">
        <f t="shared" si="26"/>
        <v>0</v>
      </c>
      <c r="O252" s="63" t="s">
        <v>448</v>
      </c>
      <c r="P252" s="6">
        <f t="shared" si="27"/>
        <v>0</v>
      </c>
    </row>
    <row r="253" spans="1:17" ht="16.5" x14ac:dyDescent="0.3">
      <c r="E253" s="41"/>
      <c r="J253" s="63" t="s">
        <v>448</v>
      </c>
      <c r="K253" s="6">
        <f t="shared" si="25"/>
        <v>311</v>
      </c>
      <c r="M253" s="63" t="s">
        <v>448</v>
      </c>
      <c r="N253" s="6">
        <f t="shared" si="26"/>
        <v>0</v>
      </c>
      <c r="O253" s="63" t="s">
        <v>448</v>
      </c>
      <c r="P253" s="6">
        <f t="shared" si="27"/>
        <v>0</v>
      </c>
    </row>
    <row r="254" spans="1:17" ht="16.5" x14ac:dyDescent="0.3">
      <c r="E254" s="41"/>
      <c r="G254" s="97"/>
      <c r="H254" s="97"/>
      <c r="J254" s="63" t="s">
        <v>448</v>
      </c>
      <c r="K254" s="6">
        <f t="shared" si="25"/>
        <v>311</v>
      </c>
      <c r="M254" s="63" t="s">
        <v>448</v>
      </c>
      <c r="N254" s="6">
        <f t="shared" si="26"/>
        <v>0</v>
      </c>
      <c r="O254" s="63" t="s">
        <v>448</v>
      </c>
      <c r="P254" s="6">
        <f t="shared" si="27"/>
        <v>0</v>
      </c>
    </row>
    <row r="255" spans="1:17" ht="16.5" x14ac:dyDescent="0.3">
      <c r="A255" s="5"/>
      <c r="E255" s="41"/>
      <c r="G255" s="67"/>
      <c r="J255" s="63" t="s">
        <v>448</v>
      </c>
      <c r="K255" s="6">
        <f t="shared" si="25"/>
        <v>311</v>
      </c>
      <c r="M255" s="63" t="s">
        <v>448</v>
      </c>
      <c r="N255" s="6">
        <f t="shared" si="26"/>
        <v>0</v>
      </c>
      <c r="O255" s="63" t="s">
        <v>448</v>
      </c>
      <c r="P255" s="6">
        <f t="shared" si="27"/>
        <v>0</v>
      </c>
    </row>
    <row r="256" spans="1:17" ht="16.5" x14ac:dyDescent="0.3">
      <c r="A256" s="5"/>
      <c r="C256" s="74"/>
      <c r="E256" s="41"/>
    </row>
    <row r="257" spans="1:8" ht="16.5" x14ac:dyDescent="0.3">
      <c r="A257" s="5"/>
      <c r="E257" s="41"/>
    </row>
    <row r="258" spans="1:8" ht="16.5" x14ac:dyDescent="0.3">
      <c r="A258" s="5"/>
      <c r="E258" s="41"/>
      <c r="G258" s="74"/>
    </row>
    <row r="259" spans="1:8" ht="16.5" x14ac:dyDescent="0.3">
      <c r="A259" s="5"/>
      <c r="E259" s="41"/>
    </row>
    <row r="260" spans="1:8" ht="16.5" x14ac:dyDescent="0.3">
      <c r="A260" s="5"/>
      <c r="E260" s="41"/>
    </row>
    <row r="261" spans="1:8" ht="16.5" x14ac:dyDescent="0.3">
      <c r="A261" s="5"/>
      <c r="E261" s="41"/>
      <c r="H261" s="67"/>
    </row>
    <row r="262" spans="1:8" ht="16.5" x14ac:dyDescent="0.3">
      <c r="A262" s="5"/>
      <c r="E262" s="41"/>
      <c r="G262" s="74"/>
    </row>
    <row r="263" spans="1:8" ht="16.5" x14ac:dyDescent="0.3">
      <c r="A263" s="5"/>
      <c r="C263" s="74"/>
      <c r="E263" s="41"/>
    </row>
    <row r="264" spans="1:8" ht="16.5" x14ac:dyDescent="0.3">
      <c r="A264" s="5"/>
      <c r="E264" s="41"/>
      <c r="G264" s="8"/>
    </row>
    <row r="265" spans="1:8" ht="16.5" x14ac:dyDescent="0.3">
      <c r="A265" s="5"/>
      <c r="E265" s="41"/>
      <c r="G265" s="67"/>
    </row>
    <row r="266" spans="1:8" ht="16.5" x14ac:dyDescent="0.3">
      <c r="A266" s="5"/>
      <c r="E266" s="41"/>
      <c r="G266" s="67"/>
    </row>
    <row r="267" spans="1:8" ht="16.5" x14ac:dyDescent="0.3">
      <c r="A267" s="5"/>
      <c r="E267" s="41"/>
      <c r="G267" s="67"/>
    </row>
    <row r="268" spans="1:8" x14ac:dyDescent="0.25">
      <c r="A268" s="5"/>
    </row>
    <row r="270" spans="1:8" x14ac:dyDescent="0.25">
      <c r="C270" s="74"/>
    </row>
    <row r="273" spans="1:5" x14ac:dyDescent="0.25">
      <c r="C273" s="74"/>
    </row>
    <row r="274" spans="1:5" x14ac:dyDescent="0.25">
      <c r="C274" s="67"/>
    </row>
    <row r="277" spans="1:5" x14ac:dyDescent="0.25">
      <c r="A277" s="105"/>
      <c r="B277" s="105"/>
      <c r="C277" s="105"/>
      <c r="D277" s="105"/>
      <c r="E277" s="105"/>
    </row>
    <row r="278" spans="1:5" x14ac:dyDescent="0.25">
      <c r="A278" s="105"/>
      <c r="B278" s="105"/>
      <c r="C278" s="105"/>
      <c r="D278" s="105"/>
      <c r="E278" s="105"/>
    </row>
    <row r="279" spans="1:5" x14ac:dyDescent="0.25">
      <c r="A279" s="105"/>
      <c r="B279" s="105"/>
      <c r="C279" s="105"/>
      <c r="D279" s="105"/>
      <c r="E279" s="105"/>
    </row>
    <row r="280" spans="1:5" x14ac:dyDescent="0.25">
      <c r="A280" s="105"/>
      <c r="B280" s="105"/>
      <c r="C280" s="105"/>
      <c r="D280" s="105"/>
      <c r="E280" s="105"/>
    </row>
  </sheetData>
  <mergeCells count="39">
    <mergeCell ref="A73:B73"/>
    <mergeCell ref="A32:B32"/>
    <mergeCell ref="Z17:AA17"/>
    <mergeCell ref="U20:X20"/>
    <mergeCell ref="U33:X33"/>
    <mergeCell ref="M46:R46"/>
    <mergeCell ref="U46:X46"/>
    <mergeCell ref="C33:D33"/>
    <mergeCell ref="C41:D41"/>
    <mergeCell ref="C49:D49"/>
    <mergeCell ref="C63:D63"/>
    <mergeCell ref="C68:D68"/>
    <mergeCell ref="C73:D73"/>
    <mergeCell ref="C32:D32"/>
    <mergeCell ref="U2:X2"/>
    <mergeCell ref="M33:R33"/>
    <mergeCell ref="CB28:CC28"/>
    <mergeCell ref="I24:J24"/>
    <mergeCell ref="B15:C15"/>
    <mergeCell ref="M2:R2"/>
    <mergeCell ref="M20:R20"/>
    <mergeCell ref="M3:R3"/>
    <mergeCell ref="A33:B33"/>
    <mergeCell ref="A90:B90"/>
    <mergeCell ref="A1:K2"/>
    <mergeCell ref="I15:J15"/>
    <mergeCell ref="E7:F7"/>
    <mergeCell ref="B4:C4"/>
    <mergeCell ref="E54:F54"/>
    <mergeCell ref="E4:F4"/>
    <mergeCell ref="I4:J4"/>
    <mergeCell ref="H62:J62"/>
    <mergeCell ref="H51:I51"/>
    <mergeCell ref="E37:F37"/>
    <mergeCell ref="H37:I37"/>
    <mergeCell ref="A41:B41"/>
    <mergeCell ref="A49:B49"/>
    <mergeCell ref="A63:B63"/>
    <mergeCell ref="A68:B68"/>
  </mergeCells>
  <phoneticPr fontId="17" type="noConversion"/>
  <dataValidations count="6">
    <dataValidation type="list" allowBlank="1" showInputMessage="1" sqref="E278:E280" xr:uid="{476A6EF3-7F0F-4E27-97F1-B97D95FC9DB4}">
      <formula1>"Должностное лицо, Руководитель, Положение, Помощник, Список, Консультант, Вакансия"</formula1>
    </dataValidation>
    <dataValidation allowBlank="1" showInputMessage="1" showErrorMessage="1" promptTitle="ИД сотрудника" prompt="Введите уникальный идентификатор для каждого сотрудника." sqref="A277" xr:uid="{C107112A-D135-46CA-9EE8-9062D2C131BF}"/>
    <dataValidation allowBlank="1" showInputMessage="1" showErrorMessage="1" promptTitle="Имя" prompt="Введите имя сотрудника для отображения в форме." sqref="B277" xr:uid="{49BE13D7-359A-4111-BEA7-0AAABAF3ADB5}"/>
    <dataValidation allowBlank="1" showInputMessage="1" showErrorMessage="1" promptTitle="Название" prompt="Название / роль сотрудника будет отображаться в форме." sqref="C277" xr:uid="{480BBDD2-5E1F-4470-84E7-FDFFC5F08BDC}"/>
    <dataValidation allowBlank="1" showInputMessage="1" showErrorMessage="1" promptTitle="ИД менеджера" prompt="Введите идентификатор сотрудника руководителя. Этот идентификатор должен присутствовать в столбце &quot;идентификатор сотрудника&quot;." sqref="D277" xr:uid="{09E344ED-8809-4C60-9DE4-0217AF821C8D}"/>
    <dataValidation allowBlank="1" showInputMessage="1" showErrorMessage="1" promptTitle="Тип роли" prompt="Выберите роль, которая лучше всего представляет сотрудника. Это меняет цвет на фигуре." sqref="E277" xr:uid="{43E546DB-2207-4080-8CFF-2B98F4502DDD}"/>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76" r:id="rId3" name="Check Box 228">
              <controlPr defaultSize="0" autoFill="0" autoLine="0" autoPict="0">
                <anchor moveWithCells="1">
                  <from>
                    <xdr:col>1</xdr:col>
                    <xdr:colOff>438150</xdr:colOff>
                    <xdr:row>15</xdr:row>
                    <xdr:rowOff>209550</xdr:rowOff>
                  </from>
                  <to>
                    <xdr:col>1</xdr:col>
                    <xdr:colOff>866775</xdr:colOff>
                    <xdr:row>16</xdr:row>
                    <xdr:rowOff>200025</xdr:rowOff>
                  </to>
                </anchor>
              </controlPr>
            </control>
          </mc:Choice>
        </mc:AlternateContent>
        <mc:AlternateContent xmlns:mc="http://schemas.openxmlformats.org/markup-compatibility/2006">
          <mc:Choice Requires="x14">
            <control shapeId="2277" r:id="rId4" name="Check Box 229">
              <controlPr defaultSize="0" autoFill="0" autoLine="0" autoPict="0">
                <anchor moveWithCells="1">
                  <from>
                    <xdr:col>2</xdr:col>
                    <xdr:colOff>190500</xdr:colOff>
                    <xdr:row>15</xdr:row>
                    <xdr:rowOff>209550</xdr:rowOff>
                  </from>
                  <to>
                    <xdr:col>2</xdr:col>
                    <xdr:colOff>628650</xdr:colOff>
                    <xdr:row>17</xdr:row>
                    <xdr:rowOff>28575</xdr:rowOff>
                  </to>
                </anchor>
              </controlPr>
            </control>
          </mc:Choice>
        </mc:AlternateContent>
        <mc:AlternateContent xmlns:mc="http://schemas.openxmlformats.org/markup-compatibility/2006">
          <mc:Choice Requires="x14">
            <control shapeId="2278" r:id="rId5" name="Check Box 230">
              <controlPr defaultSize="0" autoFill="0" autoLine="0" autoPict="0">
                <anchor moveWithCells="1">
                  <from>
                    <xdr:col>1</xdr:col>
                    <xdr:colOff>438150</xdr:colOff>
                    <xdr:row>17</xdr:row>
                    <xdr:rowOff>19050</xdr:rowOff>
                  </from>
                  <to>
                    <xdr:col>1</xdr:col>
                    <xdr:colOff>866775</xdr:colOff>
                    <xdr:row>17</xdr:row>
                    <xdr:rowOff>209550</xdr:rowOff>
                  </to>
                </anchor>
              </controlPr>
            </control>
          </mc:Choice>
        </mc:AlternateContent>
        <mc:AlternateContent xmlns:mc="http://schemas.openxmlformats.org/markup-compatibility/2006">
          <mc:Choice Requires="x14">
            <control shapeId="2279" r:id="rId6" name="Check Box 231">
              <controlPr defaultSize="0" autoFill="0" autoLine="0" autoPict="0">
                <anchor moveWithCells="1">
                  <from>
                    <xdr:col>2</xdr:col>
                    <xdr:colOff>190500</xdr:colOff>
                    <xdr:row>17</xdr:row>
                    <xdr:rowOff>19050</xdr:rowOff>
                  </from>
                  <to>
                    <xdr:col>2</xdr:col>
                    <xdr:colOff>628650</xdr:colOff>
                    <xdr:row>17</xdr:row>
                    <xdr:rowOff>209550</xdr:rowOff>
                  </to>
                </anchor>
              </controlPr>
            </control>
          </mc:Choice>
        </mc:AlternateContent>
        <mc:AlternateContent xmlns:mc="http://schemas.openxmlformats.org/markup-compatibility/2006">
          <mc:Choice Requires="x14">
            <control shapeId="2280" r:id="rId7" name="Check Box 232">
              <controlPr defaultSize="0" autoFill="0" autoLine="0" autoPict="0">
                <anchor moveWithCells="1">
                  <from>
                    <xdr:col>1</xdr:col>
                    <xdr:colOff>438150</xdr:colOff>
                    <xdr:row>18</xdr:row>
                    <xdr:rowOff>9525</xdr:rowOff>
                  </from>
                  <to>
                    <xdr:col>1</xdr:col>
                    <xdr:colOff>866775</xdr:colOff>
                    <xdr:row>18</xdr:row>
                    <xdr:rowOff>190500</xdr:rowOff>
                  </to>
                </anchor>
              </controlPr>
            </control>
          </mc:Choice>
        </mc:AlternateContent>
        <mc:AlternateContent xmlns:mc="http://schemas.openxmlformats.org/markup-compatibility/2006">
          <mc:Choice Requires="x14">
            <control shapeId="2281" r:id="rId8" name="Check Box 233">
              <controlPr defaultSize="0" autoFill="0" autoLine="0" autoPict="0">
                <anchor moveWithCells="1">
                  <from>
                    <xdr:col>2</xdr:col>
                    <xdr:colOff>190500</xdr:colOff>
                    <xdr:row>18</xdr:row>
                    <xdr:rowOff>9525</xdr:rowOff>
                  </from>
                  <to>
                    <xdr:col>2</xdr:col>
                    <xdr:colOff>628650</xdr:colOff>
                    <xdr:row>18</xdr:row>
                    <xdr:rowOff>190500</xdr:rowOff>
                  </to>
                </anchor>
              </controlPr>
            </control>
          </mc:Choice>
        </mc:AlternateContent>
        <mc:AlternateContent xmlns:mc="http://schemas.openxmlformats.org/markup-compatibility/2006">
          <mc:Choice Requires="x14">
            <control shapeId="2282" r:id="rId9" name="Check Box 234">
              <controlPr defaultSize="0" autoFill="0" autoLine="0" autoPict="0">
                <anchor moveWithCells="1">
                  <from>
                    <xdr:col>2</xdr:col>
                    <xdr:colOff>190500</xdr:colOff>
                    <xdr:row>19</xdr:row>
                    <xdr:rowOff>19050</xdr:rowOff>
                  </from>
                  <to>
                    <xdr:col>2</xdr:col>
                    <xdr:colOff>628650</xdr:colOff>
                    <xdr:row>19</xdr:row>
                    <xdr:rowOff>209550</xdr:rowOff>
                  </to>
                </anchor>
              </controlPr>
            </control>
          </mc:Choice>
        </mc:AlternateContent>
        <mc:AlternateContent xmlns:mc="http://schemas.openxmlformats.org/markup-compatibility/2006">
          <mc:Choice Requires="x14">
            <control shapeId="2283" r:id="rId10" name="Check Box 235">
              <controlPr defaultSize="0" autoFill="0" autoLine="0" autoPict="0">
                <anchor moveWithCells="1">
                  <from>
                    <xdr:col>2</xdr:col>
                    <xdr:colOff>190500</xdr:colOff>
                    <xdr:row>20</xdr:row>
                    <xdr:rowOff>9525</xdr:rowOff>
                  </from>
                  <to>
                    <xdr:col>2</xdr:col>
                    <xdr:colOff>628650</xdr:colOff>
                    <xdr:row>20</xdr:row>
                    <xdr:rowOff>190500</xdr:rowOff>
                  </to>
                </anchor>
              </controlPr>
            </control>
          </mc:Choice>
        </mc:AlternateContent>
        <mc:AlternateContent xmlns:mc="http://schemas.openxmlformats.org/markup-compatibility/2006">
          <mc:Choice Requires="x14">
            <control shapeId="2284" r:id="rId11" name="Check Box 236">
              <controlPr defaultSize="0" autoFill="0" autoLine="0" autoPict="0">
                <anchor moveWithCells="1">
                  <from>
                    <xdr:col>1</xdr:col>
                    <xdr:colOff>447675</xdr:colOff>
                    <xdr:row>21</xdr:row>
                    <xdr:rowOff>9525</xdr:rowOff>
                  </from>
                  <to>
                    <xdr:col>1</xdr:col>
                    <xdr:colOff>876300</xdr:colOff>
                    <xdr:row>21</xdr:row>
                    <xdr:rowOff>200025</xdr:rowOff>
                  </to>
                </anchor>
              </controlPr>
            </control>
          </mc:Choice>
        </mc:AlternateContent>
        <mc:AlternateContent xmlns:mc="http://schemas.openxmlformats.org/markup-compatibility/2006">
          <mc:Choice Requires="x14">
            <control shapeId="2285" r:id="rId12" name="Check Box 237">
              <controlPr defaultSize="0" autoFill="0" autoLine="0" autoPict="0">
                <anchor moveWithCells="1">
                  <from>
                    <xdr:col>2</xdr:col>
                    <xdr:colOff>180975</xdr:colOff>
                    <xdr:row>21</xdr:row>
                    <xdr:rowOff>19050</xdr:rowOff>
                  </from>
                  <to>
                    <xdr:col>2</xdr:col>
                    <xdr:colOff>609600</xdr:colOff>
                    <xdr:row>21</xdr:row>
                    <xdr:rowOff>209550</xdr:rowOff>
                  </to>
                </anchor>
              </controlPr>
            </control>
          </mc:Choice>
        </mc:AlternateContent>
        <mc:AlternateContent xmlns:mc="http://schemas.openxmlformats.org/markup-compatibility/2006">
          <mc:Choice Requires="x14">
            <control shapeId="2286" r:id="rId13" name="Check Box 238">
              <controlPr defaultSize="0" autoFill="0" autoLine="0" autoPict="0">
                <anchor moveWithCells="1">
                  <from>
                    <xdr:col>1</xdr:col>
                    <xdr:colOff>447675</xdr:colOff>
                    <xdr:row>22</xdr:row>
                    <xdr:rowOff>19050</xdr:rowOff>
                  </from>
                  <to>
                    <xdr:col>1</xdr:col>
                    <xdr:colOff>876300</xdr:colOff>
                    <xdr:row>22</xdr:row>
                    <xdr:rowOff>200025</xdr:rowOff>
                  </to>
                </anchor>
              </controlPr>
            </control>
          </mc:Choice>
        </mc:AlternateContent>
        <mc:AlternateContent xmlns:mc="http://schemas.openxmlformats.org/markup-compatibility/2006">
          <mc:Choice Requires="x14">
            <control shapeId="2287" r:id="rId14" name="Check Box 239">
              <controlPr defaultSize="0" autoFill="0" autoLine="0" autoPict="0">
                <anchor moveWithCells="1">
                  <from>
                    <xdr:col>2</xdr:col>
                    <xdr:colOff>190500</xdr:colOff>
                    <xdr:row>22</xdr:row>
                    <xdr:rowOff>28575</xdr:rowOff>
                  </from>
                  <to>
                    <xdr:col>2</xdr:col>
                    <xdr:colOff>628650</xdr:colOff>
                    <xdr:row>23</xdr:row>
                    <xdr:rowOff>0</xdr:rowOff>
                  </to>
                </anchor>
              </controlPr>
            </control>
          </mc:Choice>
        </mc:AlternateContent>
        <mc:AlternateContent xmlns:mc="http://schemas.openxmlformats.org/markup-compatibility/2006">
          <mc:Choice Requires="x14">
            <control shapeId="2288" r:id="rId15" name="Check Box 240">
              <controlPr defaultSize="0" autoFill="0" autoLine="0" autoPict="0">
                <anchor moveWithCells="1">
                  <from>
                    <xdr:col>1</xdr:col>
                    <xdr:colOff>447675</xdr:colOff>
                    <xdr:row>23</xdr:row>
                    <xdr:rowOff>19050</xdr:rowOff>
                  </from>
                  <to>
                    <xdr:col>1</xdr:col>
                    <xdr:colOff>1133475</xdr:colOff>
                    <xdr:row>23</xdr:row>
                    <xdr:rowOff>200025</xdr:rowOff>
                  </to>
                </anchor>
              </controlPr>
            </control>
          </mc:Choice>
        </mc:AlternateContent>
        <mc:AlternateContent xmlns:mc="http://schemas.openxmlformats.org/markup-compatibility/2006">
          <mc:Choice Requires="x14">
            <control shapeId="2289" r:id="rId16" name="Check Box 241">
              <controlPr defaultSize="0" autoFill="0" autoLine="0" autoPict="0">
                <anchor moveWithCells="1">
                  <from>
                    <xdr:col>2</xdr:col>
                    <xdr:colOff>190500</xdr:colOff>
                    <xdr:row>23</xdr:row>
                    <xdr:rowOff>38100</xdr:rowOff>
                  </from>
                  <to>
                    <xdr:col>2</xdr:col>
                    <xdr:colOff>800100</xdr:colOff>
                    <xdr:row>23</xdr:row>
                    <xdr:rowOff>209550</xdr:rowOff>
                  </to>
                </anchor>
              </controlPr>
            </control>
          </mc:Choice>
        </mc:AlternateContent>
        <mc:AlternateContent xmlns:mc="http://schemas.openxmlformats.org/markup-compatibility/2006">
          <mc:Choice Requires="x14">
            <control shapeId="2290" r:id="rId17" name="Check Box 242">
              <controlPr defaultSize="0" autoFill="0" autoLine="0" autoPict="0">
                <anchor moveWithCells="1">
                  <from>
                    <xdr:col>2</xdr:col>
                    <xdr:colOff>190500</xdr:colOff>
                    <xdr:row>24</xdr:row>
                    <xdr:rowOff>28575</xdr:rowOff>
                  </from>
                  <to>
                    <xdr:col>2</xdr:col>
                    <xdr:colOff>1028700</xdr:colOff>
                    <xdr:row>24</xdr:row>
                    <xdr:rowOff>190500</xdr:rowOff>
                  </to>
                </anchor>
              </controlPr>
            </control>
          </mc:Choice>
        </mc:AlternateContent>
        <mc:AlternateContent xmlns:mc="http://schemas.openxmlformats.org/markup-compatibility/2006">
          <mc:Choice Requires="x14">
            <control shapeId="2291" r:id="rId18" name="Check Box 243">
              <controlPr defaultSize="0" autoFill="0" autoLine="0" autoPict="0">
                <anchor moveWithCells="1">
                  <from>
                    <xdr:col>2</xdr:col>
                    <xdr:colOff>190500</xdr:colOff>
                    <xdr:row>25</xdr:row>
                    <xdr:rowOff>28575</xdr:rowOff>
                  </from>
                  <to>
                    <xdr:col>2</xdr:col>
                    <xdr:colOff>1028700</xdr:colOff>
                    <xdr:row>25</xdr:row>
                    <xdr:rowOff>190500</xdr:rowOff>
                  </to>
                </anchor>
              </controlPr>
            </control>
          </mc:Choice>
        </mc:AlternateContent>
        <mc:AlternateContent xmlns:mc="http://schemas.openxmlformats.org/markup-compatibility/2006">
          <mc:Choice Requires="x14">
            <control shapeId="2292" r:id="rId19" name="Check Box 244">
              <controlPr defaultSize="0" autoFill="0" autoLine="0" autoPict="0">
                <anchor moveWithCells="1">
                  <from>
                    <xdr:col>1</xdr:col>
                    <xdr:colOff>457200</xdr:colOff>
                    <xdr:row>25</xdr:row>
                    <xdr:rowOff>19050</xdr:rowOff>
                  </from>
                  <to>
                    <xdr:col>1</xdr:col>
                    <xdr:colOff>1143000</xdr:colOff>
                    <xdr:row>25</xdr:row>
                    <xdr:rowOff>200025</xdr:rowOff>
                  </to>
                </anchor>
              </controlPr>
            </control>
          </mc:Choice>
        </mc:AlternateContent>
        <mc:AlternateContent xmlns:mc="http://schemas.openxmlformats.org/markup-compatibility/2006">
          <mc:Choice Requires="x14">
            <control shapeId="2344" r:id="rId20" name="Check Box 296">
              <controlPr defaultSize="0" autoFill="0" autoLine="0" autoPict="0">
                <anchor moveWithCells="1">
                  <from>
                    <xdr:col>9</xdr:col>
                    <xdr:colOff>0</xdr:colOff>
                    <xdr:row>24</xdr:row>
                    <xdr:rowOff>9525</xdr:rowOff>
                  </from>
                  <to>
                    <xdr:col>9</xdr:col>
                    <xdr:colOff>762000</xdr:colOff>
                    <xdr:row>25</xdr:row>
                    <xdr:rowOff>0</xdr:rowOff>
                  </to>
                </anchor>
              </controlPr>
            </control>
          </mc:Choice>
        </mc:AlternateContent>
        <mc:AlternateContent xmlns:mc="http://schemas.openxmlformats.org/markup-compatibility/2006">
          <mc:Choice Requires="x14">
            <control shapeId="2348" r:id="rId21" name="Check Box 300">
              <controlPr defaultSize="0" autoFill="0" autoLine="0" autoPict="0">
                <anchor moveWithCells="1">
                  <from>
                    <xdr:col>9</xdr:col>
                    <xdr:colOff>9525</xdr:colOff>
                    <xdr:row>27</xdr:row>
                    <xdr:rowOff>190500</xdr:rowOff>
                  </from>
                  <to>
                    <xdr:col>9</xdr:col>
                    <xdr:colOff>695325</xdr:colOff>
                    <xdr:row>28</xdr:row>
                    <xdr:rowOff>200025</xdr:rowOff>
                  </to>
                </anchor>
              </controlPr>
            </control>
          </mc:Choice>
        </mc:AlternateContent>
        <mc:AlternateContent xmlns:mc="http://schemas.openxmlformats.org/markup-compatibility/2006">
          <mc:Choice Requires="x14">
            <control shapeId="2349" r:id="rId22" name="Check Box 301">
              <controlPr defaultSize="0" autoFill="0" autoLine="0" autoPict="0">
                <anchor moveWithCells="1">
                  <from>
                    <xdr:col>9</xdr:col>
                    <xdr:colOff>9525</xdr:colOff>
                    <xdr:row>28</xdr:row>
                    <xdr:rowOff>190500</xdr:rowOff>
                  </from>
                  <to>
                    <xdr:col>9</xdr:col>
                    <xdr:colOff>695325</xdr:colOff>
                    <xdr:row>30</xdr:row>
                    <xdr:rowOff>19050</xdr:rowOff>
                  </to>
                </anchor>
              </controlPr>
            </control>
          </mc:Choice>
        </mc:AlternateContent>
        <mc:AlternateContent xmlns:mc="http://schemas.openxmlformats.org/markup-compatibility/2006">
          <mc:Choice Requires="x14">
            <control shapeId="2350" r:id="rId23" name="Check Box 302">
              <controlPr defaultSize="0" autoFill="0" autoLine="0" autoPict="0">
                <anchor moveWithCells="1">
                  <from>
                    <xdr:col>9</xdr:col>
                    <xdr:colOff>9525</xdr:colOff>
                    <xdr:row>29</xdr:row>
                    <xdr:rowOff>190500</xdr:rowOff>
                  </from>
                  <to>
                    <xdr:col>9</xdr:col>
                    <xdr:colOff>723900</xdr:colOff>
                    <xdr:row>30</xdr:row>
                    <xdr:rowOff>209550</xdr:rowOff>
                  </to>
                </anchor>
              </controlPr>
            </control>
          </mc:Choice>
        </mc:AlternateContent>
        <mc:AlternateContent xmlns:mc="http://schemas.openxmlformats.org/markup-compatibility/2006">
          <mc:Choice Requires="x14">
            <control shapeId="2347" r:id="rId24" name="Check Box 299">
              <controlPr defaultSize="0" autoFill="0" autoLine="0" autoPict="0">
                <anchor moveWithCells="1">
                  <from>
                    <xdr:col>9</xdr:col>
                    <xdr:colOff>9525</xdr:colOff>
                    <xdr:row>27</xdr:row>
                    <xdr:rowOff>0</xdr:rowOff>
                  </from>
                  <to>
                    <xdr:col>9</xdr:col>
                    <xdr:colOff>771525</xdr:colOff>
                    <xdr:row>28</xdr:row>
                    <xdr:rowOff>28575</xdr:rowOff>
                  </to>
                </anchor>
              </controlPr>
            </control>
          </mc:Choice>
        </mc:AlternateContent>
        <mc:AlternateContent xmlns:mc="http://schemas.openxmlformats.org/markup-compatibility/2006">
          <mc:Choice Requires="x14">
            <control shapeId="2351" r:id="rId25" name="Check Box 303">
              <controlPr defaultSize="0" autoFill="0" autoLine="0" autoPict="0">
                <anchor moveWithCells="1">
                  <from>
                    <xdr:col>2</xdr:col>
                    <xdr:colOff>9525</xdr:colOff>
                    <xdr:row>28</xdr:row>
                    <xdr:rowOff>0</xdr:rowOff>
                  </from>
                  <to>
                    <xdr:col>2</xdr:col>
                    <xdr:colOff>1066800</xdr:colOff>
                    <xdr:row>29</xdr:row>
                    <xdr:rowOff>19050</xdr:rowOff>
                  </to>
                </anchor>
              </controlPr>
            </control>
          </mc:Choice>
        </mc:AlternateContent>
        <mc:AlternateContent xmlns:mc="http://schemas.openxmlformats.org/markup-compatibility/2006">
          <mc:Choice Requires="x14">
            <control shapeId="2187" r:id="rId26" name="Option Button 139">
              <controlPr defaultSize="0" autoFill="0" autoLine="0" autoPict="0" macro="[0]!Сохр1">
                <anchor moveWithCells="1">
                  <from>
                    <xdr:col>28</xdr:col>
                    <xdr:colOff>9525</xdr:colOff>
                    <xdr:row>1</xdr:row>
                    <xdr:rowOff>200025</xdr:rowOff>
                  </from>
                  <to>
                    <xdr:col>28</xdr:col>
                    <xdr:colOff>600075</xdr:colOff>
                    <xdr:row>3</xdr:row>
                    <xdr:rowOff>28575</xdr:rowOff>
                  </to>
                </anchor>
              </controlPr>
            </control>
          </mc:Choice>
        </mc:AlternateContent>
        <mc:AlternateContent xmlns:mc="http://schemas.openxmlformats.org/markup-compatibility/2006">
          <mc:Choice Requires="x14">
            <control shapeId="2188" r:id="rId27" name="Option Button 140">
              <controlPr defaultSize="0" autoFill="0" autoLine="0" autoPict="0" macro="[0]!Удалить1">
                <anchor moveWithCells="1">
                  <from>
                    <xdr:col>29</xdr:col>
                    <xdr:colOff>19050</xdr:colOff>
                    <xdr:row>2</xdr:row>
                    <xdr:rowOff>0</xdr:rowOff>
                  </from>
                  <to>
                    <xdr:col>29</xdr:col>
                    <xdr:colOff>600075</xdr:colOff>
                    <xdr:row>3</xdr:row>
                    <xdr:rowOff>28575</xdr:rowOff>
                  </to>
                </anchor>
              </controlPr>
            </control>
          </mc:Choice>
        </mc:AlternateContent>
        <mc:AlternateContent xmlns:mc="http://schemas.openxmlformats.org/markup-compatibility/2006">
          <mc:Choice Requires="x14">
            <control shapeId="2189" r:id="rId28" name="Option Button 141">
              <controlPr defaultSize="0" autoFill="0" autoLine="0" autoPict="0" macro="[0]!Сохр2">
                <anchor moveWithCells="1">
                  <from>
                    <xdr:col>28</xdr:col>
                    <xdr:colOff>9525</xdr:colOff>
                    <xdr:row>2</xdr:row>
                    <xdr:rowOff>200025</xdr:rowOff>
                  </from>
                  <to>
                    <xdr:col>28</xdr:col>
                    <xdr:colOff>600075</xdr:colOff>
                    <xdr:row>4</xdr:row>
                    <xdr:rowOff>0</xdr:rowOff>
                  </to>
                </anchor>
              </controlPr>
            </control>
          </mc:Choice>
        </mc:AlternateContent>
        <mc:AlternateContent xmlns:mc="http://schemas.openxmlformats.org/markup-compatibility/2006">
          <mc:Choice Requires="x14">
            <control shapeId="2190" r:id="rId29" name="Option Button 142">
              <controlPr defaultSize="0" autoFill="0" autoLine="0" autoPict="0" macro="[0]!Удалить2">
                <anchor moveWithCells="1">
                  <from>
                    <xdr:col>29</xdr:col>
                    <xdr:colOff>19050</xdr:colOff>
                    <xdr:row>3</xdr:row>
                    <xdr:rowOff>0</xdr:rowOff>
                  </from>
                  <to>
                    <xdr:col>29</xdr:col>
                    <xdr:colOff>600075</xdr:colOff>
                    <xdr:row>4</xdr:row>
                    <xdr:rowOff>28575</xdr:rowOff>
                  </to>
                </anchor>
              </controlPr>
            </control>
          </mc:Choice>
        </mc:AlternateContent>
        <mc:AlternateContent xmlns:mc="http://schemas.openxmlformats.org/markup-compatibility/2006">
          <mc:Choice Requires="x14">
            <control shapeId="2191" r:id="rId30" name="Option Button 143">
              <controlPr defaultSize="0" autoFill="0" autoLine="0" autoPict="0" macro="[0]!Сохр3">
                <anchor moveWithCells="1">
                  <from>
                    <xdr:col>28</xdr:col>
                    <xdr:colOff>9525</xdr:colOff>
                    <xdr:row>3</xdr:row>
                    <xdr:rowOff>180975</xdr:rowOff>
                  </from>
                  <to>
                    <xdr:col>28</xdr:col>
                    <xdr:colOff>600075</xdr:colOff>
                    <xdr:row>4</xdr:row>
                    <xdr:rowOff>190500</xdr:rowOff>
                  </to>
                </anchor>
              </controlPr>
            </control>
          </mc:Choice>
        </mc:AlternateContent>
        <mc:AlternateContent xmlns:mc="http://schemas.openxmlformats.org/markup-compatibility/2006">
          <mc:Choice Requires="x14">
            <control shapeId="2192" r:id="rId31" name="Option Button 144">
              <controlPr defaultSize="0" autoFill="0" autoLine="0" autoPict="0" macro="[0]!Удалить3">
                <anchor moveWithCells="1">
                  <from>
                    <xdr:col>29</xdr:col>
                    <xdr:colOff>19050</xdr:colOff>
                    <xdr:row>3</xdr:row>
                    <xdr:rowOff>190500</xdr:rowOff>
                  </from>
                  <to>
                    <xdr:col>29</xdr:col>
                    <xdr:colOff>600075</xdr:colOff>
                    <xdr:row>5</xdr:row>
                    <xdr:rowOff>0</xdr:rowOff>
                  </to>
                </anchor>
              </controlPr>
            </control>
          </mc:Choice>
        </mc:AlternateContent>
        <mc:AlternateContent xmlns:mc="http://schemas.openxmlformats.org/markup-compatibility/2006">
          <mc:Choice Requires="x14">
            <control shapeId="2193" r:id="rId32" name="Option Button 145">
              <controlPr defaultSize="0" autoFill="0" autoLine="0" autoPict="0" macro="[0]!Сохр4">
                <anchor moveWithCells="1">
                  <from>
                    <xdr:col>28</xdr:col>
                    <xdr:colOff>9525</xdr:colOff>
                    <xdr:row>4</xdr:row>
                    <xdr:rowOff>200025</xdr:rowOff>
                  </from>
                  <to>
                    <xdr:col>28</xdr:col>
                    <xdr:colOff>600075</xdr:colOff>
                    <xdr:row>6</xdr:row>
                    <xdr:rowOff>0</xdr:rowOff>
                  </to>
                </anchor>
              </controlPr>
            </control>
          </mc:Choice>
        </mc:AlternateContent>
        <mc:AlternateContent xmlns:mc="http://schemas.openxmlformats.org/markup-compatibility/2006">
          <mc:Choice Requires="x14">
            <control shapeId="2194" r:id="rId33" name="Option Button 146">
              <controlPr defaultSize="0" autoFill="0" autoLine="0" autoPict="0" macro="[0]!Удалить4">
                <anchor moveWithCells="1">
                  <from>
                    <xdr:col>29</xdr:col>
                    <xdr:colOff>19050</xdr:colOff>
                    <xdr:row>5</xdr:row>
                    <xdr:rowOff>0</xdr:rowOff>
                  </from>
                  <to>
                    <xdr:col>29</xdr:col>
                    <xdr:colOff>600075</xdr:colOff>
                    <xdr:row>6</xdr:row>
                    <xdr:rowOff>28575</xdr:rowOff>
                  </to>
                </anchor>
              </controlPr>
            </control>
          </mc:Choice>
        </mc:AlternateContent>
        <mc:AlternateContent xmlns:mc="http://schemas.openxmlformats.org/markup-compatibility/2006">
          <mc:Choice Requires="x14">
            <control shapeId="2195" r:id="rId34" name="Option Button 147">
              <controlPr defaultSize="0" autoFill="0" autoLine="0" autoPict="0" macro="[0]!Сохр5">
                <anchor moveWithCells="1">
                  <from>
                    <xdr:col>28</xdr:col>
                    <xdr:colOff>9525</xdr:colOff>
                    <xdr:row>5</xdr:row>
                    <xdr:rowOff>200025</xdr:rowOff>
                  </from>
                  <to>
                    <xdr:col>28</xdr:col>
                    <xdr:colOff>600075</xdr:colOff>
                    <xdr:row>7</xdr:row>
                    <xdr:rowOff>0</xdr:rowOff>
                  </to>
                </anchor>
              </controlPr>
            </control>
          </mc:Choice>
        </mc:AlternateContent>
        <mc:AlternateContent xmlns:mc="http://schemas.openxmlformats.org/markup-compatibility/2006">
          <mc:Choice Requires="x14">
            <control shapeId="2196" r:id="rId35" name="Option Button 148">
              <controlPr defaultSize="0" autoFill="0" autoLine="0" autoPict="0" macro="[0]!Удалить5">
                <anchor moveWithCells="1">
                  <from>
                    <xdr:col>29</xdr:col>
                    <xdr:colOff>19050</xdr:colOff>
                    <xdr:row>6</xdr:row>
                    <xdr:rowOff>0</xdr:rowOff>
                  </from>
                  <to>
                    <xdr:col>29</xdr:col>
                    <xdr:colOff>600075</xdr:colOff>
                    <xdr:row>7</xdr:row>
                    <xdr:rowOff>28575</xdr:rowOff>
                  </to>
                </anchor>
              </controlPr>
            </control>
          </mc:Choice>
        </mc:AlternateContent>
        <mc:AlternateContent xmlns:mc="http://schemas.openxmlformats.org/markup-compatibility/2006">
          <mc:Choice Requires="x14">
            <control shapeId="2197" r:id="rId36" name="Option Button 149">
              <controlPr defaultSize="0" autoFill="0" autoLine="0" autoPict="0" macro="[0]!Сохр6">
                <anchor moveWithCells="1">
                  <from>
                    <xdr:col>28</xdr:col>
                    <xdr:colOff>9525</xdr:colOff>
                    <xdr:row>6</xdr:row>
                    <xdr:rowOff>200025</xdr:rowOff>
                  </from>
                  <to>
                    <xdr:col>28</xdr:col>
                    <xdr:colOff>600075</xdr:colOff>
                    <xdr:row>8</xdr:row>
                    <xdr:rowOff>0</xdr:rowOff>
                  </to>
                </anchor>
              </controlPr>
            </control>
          </mc:Choice>
        </mc:AlternateContent>
        <mc:AlternateContent xmlns:mc="http://schemas.openxmlformats.org/markup-compatibility/2006">
          <mc:Choice Requires="x14">
            <control shapeId="2198" r:id="rId37" name="Option Button 150">
              <controlPr defaultSize="0" autoFill="0" autoLine="0" autoPict="0" macro="[0]!Удалить6">
                <anchor moveWithCells="1">
                  <from>
                    <xdr:col>29</xdr:col>
                    <xdr:colOff>19050</xdr:colOff>
                    <xdr:row>7</xdr:row>
                    <xdr:rowOff>0</xdr:rowOff>
                  </from>
                  <to>
                    <xdr:col>29</xdr:col>
                    <xdr:colOff>600075</xdr:colOff>
                    <xdr:row>8</xdr:row>
                    <xdr:rowOff>28575</xdr:rowOff>
                  </to>
                </anchor>
              </controlPr>
            </control>
          </mc:Choice>
        </mc:AlternateContent>
        <mc:AlternateContent xmlns:mc="http://schemas.openxmlformats.org/markup-compatibility/2006">
          <mc:Choice Requires="x14">
            <control shapeId="2199" r:id="rId38" name="Option Button 151">
              <controlPr defaultSize="0" autoFill="0" autoLine="0" autoPict="0" macro="[0]!Сохр7">
                <anchor moveWithCells="1">
                  <from>
                    <xdr:col>28</xdr:col>
                    <xdr:colOff>9525</xdr:colOff>
                    <xdr:row>8</xdr:row>
                    <xdr:rowOff>0</xdr:rowOff>
                  </from>
                  <to>
                    <xdr:col>28</xdr:col>
                    <xdr:colOff>619125</xdr:colOff>
                    <xdr:row>9</xdr:row>
                    <xdr:rowOff>47625</xdr:rowOff>
                  </to>
                </anchor>
              </controlPr>
            </control>
          </mc:Choice>
        </mc:AlternateContent>
        <mc:AlternateContent xmlns:mc="http://schemas.openxmlformats.org/markup-compatibility/2006">
          <mc:Choice Requires="x14">
            <control shapeId="2200" r:id="rId39" name="Option Button 152">
              <controlPr defaultSize="0" autoFill="0" autoLine="0" autoPict="0" macro="[0]!Удалить7">
                <anchor moveWithCells="1">
                  <from>
                    <xdr:col>29</xdr:col>
                    <xdr:colOff>19050</xdr:colOff>
                    <xdr:row>8</xdr:row>
                    <xdr:rowOff>9525</xdr:rowOff>
                  </from>
                  <to>
                    <xdr:col>29</xdr:col>
                    <xdr:colOff>619125</xdr:colOff>
                    <xdr:row>9</xdr:row>
                    <xdr:rowOff>47625</xdr:rowOff>
                  </to>
                </anchor>
              </controlPr>
            </control>
          </mc:Choice>
        </mc:AlternateContent>
        <mc:AlternateContent xmlns:mc="http://schemas.openxmlformats.org/markup-compatibility/2006">
          <mc:Choice Requires="x14">
            <control shapeId="2201" r:id="rId40" name="Option Button 153">
              <controlPr defaultSize="0" autoFill="0" autoLine="0" autoPict="0" macro="[0]!Сохр8">
                <anchor moveWithCells="1">
                  <from>
                    <xdr:col>28</xdr:col>
                    <xdr:colOff>9525</xdr:colOff>
                    <xdr:row>8</xdr:row>
                    <xdr:rowOff>200025</xdr:rowOff>
                  </from>
                  <to>
                    <xdr:col>28</xdr:col>
                    <xdr:colOff>619125</xdr:colOff>
                    <xdr:row>10</xdr:row>
                    <xdr:rowOff>0</xdr:rowOff>
                  </to>
                </anchor>
              </controlPr>
            </control>
          </mc:Choice>
        </mc:AlternateContent>
        <mc:AlternateContent xmlns:mc="http://schemas.openxmlformats.org/markup-compatibility/2006">
          <mc:Choice Requires="x14">
            <control shapeId="2202" r:id="rId41" name="Option Button 154">
              <controlPr defaultSize="0" autoFill="0" autoLine="0" autoPict="0" macro="[0]!Удалить8">
                <anchor moveWithCells="1">
                  <from>
                    <xdr:col>29</xdr:col>
                    <xdr:colOff>19050</xdr:colOff>
                    <xdr:row>9</xdr:row>
                    <xdr:rowOff>0</xdr:rowOff>
                  </from>
                  <to>
                    <xdr:col>29</xdr:col>
                    <xdr:colOff>619125</xdr:colOff>
                    <xdr:row>10</xdr:row>
                    <xdr:rowOff>47625</xdr:rowOff>
                  </to>
                </anchor>
              </controlPr>
            </control>
          </mc:Choice>
        </mc:AlternateContent>
        <mc:AlternateContent xmlns:mc="http://schemas.openxmlformats.org/markup-compatibility/2006">
          <mc:Choice Requires="x14">
            <control shapeId="2203" r:id="rId42" name="Option Button 155">
              <controlPr defaultSize="0" autoFill="0" autoLine="0" autoPict="0" macro="[0]!Сохр9">
                <anchor moveWithCells="1">
                  <from>
                    <xdr:col>28</xdr:col>
                    <xdr:colOff>9525</xdr:colOff>
                    <xdr:row>9</xdr:row>
                    <xdr:rowOff>200025</xdr:rowOff>
                  </from>
                  <to>
                    <xdr:col>28</xdr:col>
                    <xdr:colOff>619125</xdr:colOff>
                    <xdr:row>11</xdr:row>
                    <xdr:rowOff>0</xdr:rowOff>
                  </to>
                </anchor>
              </controlPr>
            </control>
          </mc:Choice>
        </mc:AlternateContent>
        <mc:AlternateContent xmlns:mc="http://schemas.openxmlformats.org/markup-compatibility/2006">
          <mc:Choice Requires="x14">
            <control shapeId="2204" r:id="rId43" name="Option Button 156">
              <controlPr defaultSize="0" autoFill="0" autoLine="0" autoPict="0" macro="[0]!Удалить9">
                <anchor moveWithCells="1">
                  <from>
                    <xdr:col>29</xdr:col>
                    <xdr:colOff>19050</xdr:colOff>
                    <xdr:row>10</xdr:row>
                    <xdr:rowOff>0</xdr:rowOff>
                  </from>
                  <to>
                    <xdr:col>29</xdr:col>
                    <xdr:colOff>600075</xdr:colOff>
                    <xdr:row>11</xdr:row>
                    <xdr:rowOff>28575</xdr:rowOff>
                  </to>
                </anchor>
              </controlPr>
            </control>
          </mc:Choice>
        </mc:AlternateContent>
        <mc:AlternateContent xmlns:mc="http://schemas.openxmlformats.org/markup-compatibility/2006">
          <mc:Choice Requires="x14">
            <control shapeId="2205" r:id="rId44" name="Option Button 157">
              <controlPr defaultSize="0" autoFill="0" autoLine="0" autoPict="0" macro="[0]!Сохр10">
                <anchor moveWithCells="1">
                  <from>
                    <xdr:col>28</xdr:col>
                    <xdr:colOff>9525</xdr:colOff>
                    <xdr:row>10</xdr:row>
                    <xdr:rowOff>200025</xdr:rowOff>
                  </from>
                  <to>
                    <xdr:col>28</xdr:col>
                    <xdr:colOff>600075</xdr:colOff>
                    <xdr:row>12</xdr:row>
                    <xdr:rowOff>0</xdr:rowOff>
                  </to>
                </anchor>
              </controlPr>
            </control>
          </mc:Choice>
        </mc:AlternateContent>
        <mc:AlternateContent xmlns:mc="http://schemas.openxmlformats.org/markup-compatibility/2006">
          <mc:Choice Requires="x14">
            <control shapeId="2206" r:id="rId45" name="Option Button 158">
              <controlPr defaultSize="0" autoFill="0" autoLine="0" autoPict="0" macro="[0]!Удалить10">
                <anchor moveWithCells="1">
                  <from>
                    <xdr:col>29</xdr:col>
                    <xdr:colOff>19050</xdr:colOff>
                    <xdr:row>11</xdr:row>
                    <xdr:rowOff>0</xdr:rowOff>
                  </from>
                  <to>
                    <xdr:col>29</xdr:col>
                    <xdr:colOff>600075</xdr:colOff>
                    <xdr:row>12</xdr:row>
                    <xdr:rowOff>28575</xdr:rowOff>
                  </to>
                </anchor>
              </controlPr>
            </control>
          </mc:Choice>
        </mc:AlternateContent>
        <mc:AlternateContent xmlns:mc="http://schemas.openxmlformats.org/markup-compatibility/2006">
          <mc:Choice Requires="x14">
            <control shapeId="2207" r:id="rId46" name="Option Button 159">
              <controlPr defaultSize="0" autoFill="0" autoLine="0" autoPict="0" macro="[0]!УдалитьВсё">
                <anchor moveWithCells="1">
                  <from>
                    <xdr:col>28</xdr:col>
                    <xdr:colOff>571500</xdr:colOff>
                    <xdr:row>0</xdr:row>
                    <xdr:rowOff>57150</xdr:rowOff>
                  </from>
                  <to>
                    <xdr:col>29</xdr:col>
                    <xdr:colOff>381000</xdr:colOff>
                    <xdr:row>1</xdr:row>
                    <xdr:rowOff>95250</xdr:rowOff>
                  </to>
                </anchor>
              </controlPr>
            </control>
          </mc:Choice>
        </mc:AlternateContent>
        <mc:AlternateContent xmlns:mc="http://schemas.openxmlformats.org/markup-compatibility/2006">
          <mc:Choice Requires="x14">
            <control shapeId="2254" r:id="rId47" name="Option Button 206">
              <controlPr defaultSize="0" autoFill="0" autoLine="0" autoPict="0" macro="[0]!РезервСохр">
                <anchor moveWithCells="1">
                  <from>
                    <xdr:col>31</xdr:col>
                    <xdr:colOff>9525</xdr:colOff>
                    <xdr:row>1</xdr:row>
                    <xdr:rowOff>0</xdr:rowOff>
                  </from>
                  <to>
                    <xdr:col>31</xdr:col>
                    <xdr:colOff>790575</xdr:colOff>
                    <xdr:row>2</xdr:row>
                    <xdr:rowOff>76200</xdr:rowOff>
                  </to>
                </anchor>
              </controlPr>
            </control>
          </mc:Choice>
        </mc:AlternateContent>
        <mc:AlternateContent xmlns:mc="http://schemas.openxmlformats.org/markup-compatibility/2006">
          <mc:Choice Requires="x14">
            <control shapeId="2255" r:id="rId48" name="Option Button 207">
              <controlPr defaultSize="0" autoFill="0" autoLine="0" autoPict="0" macro="[0]!РезервУдалить">
                <anchor moveWithCells="1">
                  <from>
                    <xdr:col>31</xdr:col>
                    <xdr:colOff>9525</xdr:colOff>
                    <xdr:row>2</xdr:row>
                    <xdr:rowOff>0</xdr:rowOff>
                  </from>
                  <to>
                    <xdr:col>31</xdr:col>
                    <xdr:colOff>790575</xdr:colOff>
                    <xdr:row>3</xdr:row>
                    <xdr:rowOff>28575</xdr:rowOff>
                  </to>
                </anchor>
              </controlPr>
            </control>
          </mc:Choice>
        </mc:AlternateContent>
        <mc:AlternateContent xmlns:mc="http://schemas.openxmlformats.org/markup-compatibility/2006">
          <mc:Choice Requires="x14">
            <control shapeId="2345" r:id="rId49" name="Check Box 297">
              <controlPr defaultSize="0" autoFill="0" autoLine="0" autoPict="0">
                <anchor moveWithCells="1">
                  <from>
                    <xdr:col>9</xdr:col>
                    <xdr:colOff>0</xdr:colOff>
                    <xdr:row>25</xdr:row>
                    <xdr:rowOff>9525</xdr:rowOff>
                  </from>
                  <to>
                    <xdr:col>9</xdr:col>
                    <xdr:colOff>819150</xdr:colOff>
                    <xdr:row>26</xdr:row>
                    <xdr:rowOff>9525</xdr:rowOff>
                  </to>
                </anchor>
              </controlPr>
            </control>
          </mc:Choice>
        </mc:AlternateContent>
        <mc:AlternateContent xmlns:mc="http://schemas.openxmlformats.org/markup-compatibility/2006">
          <mc:Choice Requires="x14">
            <control shapeId="2346" r:id="rId50" name="Check Box 298">
              <controlPr defaultSize="0" autoFill="0" autoLine="0" autoPict="0">
                <anchor moveWithCells="1">
                  <from>
                    <xdr:col>9</xdr:col>
                    <xdr:colOff>0</xdr:colOff>
                    <xdr:row>26</xdr:row>
                    <xdr:rowOff>9525</xdr:rowOff>
                  </from>
                  <to>
                    <xdr:col>9</xdr:col>
                    <xdr:colOff>752475</xdr:colOff>
                    <xdr:row>27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C96B9-93F9-4CE5-8751-2CEC43D18D2D}">
  <sheetPr codeName="Лист1">
    <tabColor theme="4"/>
  </sheetPr>
  <dimension ref="A1:U168"/>
  <sheetViews>
    <sheetView topLeftCell="A73" zoomScaleNormal="100" workbookViewId="0">
      <selection activeCell="B94" sqref="B94"/>
    </sheetView>
  </sheetViews>
  <sheetFormatPr defaultRowHeight="15" x14ac:dyDescent="0.25"/>
  <cols>
    <col min="1" max="1" width="24.85546875" bestFit="1" customWidth="1"/>
    <col min="2" max="3" width="14.28515625" bestFit="1" customWidth="1"/>
    <col min="4" max="4" width="13.5703125" customWidth="1"/>
    <col min="5" max="5" width="13.85546875" bestFit="1" customWidth="1"/>
    <col min="6" max="6" width="15.140625" bestFit="1" customWidth="1"/>
    <col min="7" max="7" width="13.85546875" bestFit="1" customWidth="1"/>
    <col min="8" max="8" width="18.28515625" bestFit="1" customWidth="1"/>
    <col min="9" max="9" width="26.42578125" bestFit="1" customWidth="1"/>
    <col min="10" max="10" width="26.28515625" bestFit="1" customWidth="1"/>
    <col min="11" max="11" width="17" customWidth="1"/>
    <col min="12" max="12" width="16.85546875" bestFit="1" customWidth="1"/>
    <col min="13" max="13" width="14.28515625" bestFit="1" customWidth="1"/>
    <col min="14" max="14" width="9" bestFit="1" customWidth="1"/>
    <col min="15" max="15" width="12.85546875" bestFit="1" customWidth="1"/>
    <col min="16" max="16" width="11.5703125" bestFit="1" customWidth="1"/>
    <col min="17" max="17" width="20.85546875" bestFit="1" customWidth="1"/>
    <col min="18" max="18" width="16.85546875" bestFit="1" customWidth="1"/>
    <col min="19" max="19" width="14.28515625" bestFit="1" customWidth="1"/>
    <col min="20" max="20" width="7.7109375" bestFit="1" customWidth="1"/>
    <col min="21" max="21" width="12.85546875" bestFit="1" customWidth="1"/>
  </cols>
  <sheetData>
    <row r="1" spans="1:21" ht="15" customHeight="1" x14ac:dyDescent="0.25">
      <c r="A1" s="306" t="s">
        <v>122</v>
      </c>
      <c r="B1" s="307"/>
      <c r="C1" s="307"/>
      <c r="D1" s="307"/>
      <c r="E1" s="307"/>
      <c r="F1" s="307"/>
      <c r="G1" s="307"/>
      <c r="H1" s="307"/>
      <c r="I1" s="307"/>
      <c r="J1" s="307"/>
      <c r="K1" s="307"/>
      <c r="L1" s="307"/>
      <c r="M1" s="307"/>
      <c r="N1" s="307"/>
      <c r="O1" s="307"/>
      <c r="P1" s="307"/>
      <c r="Q1" s="307"/>
      <c r="R1" s="307"/>
      <c r="S1" s="307"/>
      <c r="T1" s="307"/>
      <c r="U1" s="308"/>
    </row>
    <row r="2" spans="1:21" ht="15.75" customHeight="1" thickBot="1" x14ac:dyDescent="0.3">
      <c r="A2" s="309"/>
      <c r="B2" s="310"/>
      <c r="C2" s="310"/>
      <c r="D2" s="310"/>
      <c r="E2" s="310"/>
      <c r="F2" s="310"/>
      <c r="G2" s="310"/>
      <c r="H2" s="310"/>
      <c r="I2" s="310"/>
      <c r="J2" s="310"/>
      <c r="K2" s="310"/>
      <c r="L2" s="310"/>
      <c r="M2" s="310"/>
      <c r="N2" s="310"/>
      <c r="O2" s="310"/>
      <c r="P2" s="310"/>
      <c r="Q2" s="310"/>
      <c r="R2" s="310"/>
      <c r="S2" s="310"/>
      <c r="T2" s="310"/>
      <c r="U2" s="311"/>
    </row>
    <row r="3" spans="1:21" ht="17.25" thickBot="1" x14ac:dyDescent="0.3">
      <c r="A3" s="116"/>
      <c r="B3" s="116"/>
      <c r="C3" s="116"/>
      <c r="D3" s="116"/>
      <c r="F3" s="117" t="s">
        <v>354</v>
      </c>
      <c r="G3" s="116"/>
      <c r="H3" s="116"/>
      <c r="J3" s="116"/>
      <c r="K3" s="116"/>
      <c r="L3" s="116"/>
      <c r="M3" s="116"/>
      <c r="N3" s="116"/>
      <c r="O3" s="116"/>
      <c r="P3" s="116"/>
      <c r="Q3" s="116"/>
      <c r="R3" s="116"/>
      <c r="S3" s="57"/>
    </row>
    <row r="4" spans="1:21" ht="17.25" x14ac:dyDescent="0.3">
      <c r="B4" s="364" t="s">
        <v>168</v>
      </c>
      <c r="C4" s="365"/>
      <c r="D4" s="365"/>
      <c r="E4" s="366"/>
      <c r="F4" s="40">
        <f>45-SUM(B6:E15)</f>
        <v>45</v>
      </c>
      <c r="H4" s="316" t="s">
        <v>35</v>
      </c>
      <c r="I4" s="317"/>
      <c r="J4" s="116"/>
      <c r="K4" s="364" t="s">
        <v>321</v>
      </c>
      <c r="L4" s="365"/>
      <c r="M4" s="365"/>
      <c r="N4" s="365"/>
      <c r="O4" s="366"/>
      <c r="P4" s="116"/>
      <c r="Q4" s="364" t="s">
        <v>320</v>
      </c>
      <c r="R4" s="365"/>
      <c r="S4" s="365"/>
      <c r="T4" s="365"/>
      <c r="U4" s="366"/>
    </row>
    <row r="5" spans="1:21" ht="18" thickBot="1" x14ac:dyDescent="0.35">
      <c r="B5" s="119" t="s">
        <v>169</v>
      </c>
      <c r="C5" s="119" t="s">
        <v>170</v>
      </c>
      <c r="D5" s="119" t="s">
        <v>171</v>
      </c>
      <c r="E5" s="119" t="s">
        <v>172</v>
      </c>
      <c r="H5" s="183" t="s">
        <v>37</v>
      </c>
      <c r="I5" s="184">
        <f>'Статы персонажа'!J5</f>
        <v>4780</v>
      </c>
      <c r="J5" s="116"/>
      <c r="K5" s="148" t="s">
        <v>81</v>
      </c>
      <c r="L5" s="148" t="s">
        <v>312</v>
      </c>
      <c r="M5" s="148" t="s">
        <v>44</v>
      </c>
      <c r="N5" s="148" t="s">
        <v>20</v>
      </c>
      <c r="O5" s="148" t="s">
        <v>313</v>
      </c>
      <c r="P5" s="116"/>
      <c r="Q5" s="148" t="s">
        <v>81</v>
      </c>
      <c r="R5" s="148" t="s">
        <v>312</v>
      </c>
      <c r="S5" s="148" t="s">
        <v>44</v>
      </c>
      <c r="T5" s="148" t="s">
        <v>20</v>
      </c>
      <c r="U5" s="148" t="s">
        <v>313</v>
      </c>
    </row>
    <row r="6" spans="1:21" ht="17.25" thickBot="1" x14ac:dyDescent="0.35">
      <c r="A6" s="170" t="s">
        <v>24</v>
      </c>
      <c r="B6" s="120"/>
      <c r="C6" s="120"/>
      <c r="D6" s="120"/>
      <c r="E6" s="120"/>
      <c r="F6" s="147">
        <f>30-6-B6-C6-D6-E6</f>
        <v>24</v>
      </c>
      <c r="H6" s="185" t="s">
        <v>27</v>
      </c>
      <c r="I6" s="186">
        <f>'Статы персонажа'!J6</f>
        <v>311</v>
      </c>
      <c r="K6" s="359" t="s">
        <v>317</v>
      </c>
      <c r="L6" s="149">
        <v>0.15</v>
      </c>
      <c r="M6" s="150" t="s">
        <v>45</v>
      </c>
      <c r="N6" s="151" t="s">
        <v>34</v>
      </c>
      <c r="O6" s="360" t="b">
        <v>0</v>
      </c>
      <c r="Q6" s="346" t="s">
        <v>335</v>
      </c>
      <c r="R6" s="324">
        <v>0.35</v>
      </c>
      <c r="S6" s="338" t="s">
        <v>36</v>
      </c>
      <c r="T6" s="324" t="s">
        <v>34</v>
      </c>
      <c r="U6" s="350" t="b">
        <v>0</v>
      </c>
    </row>
    <row r="7" spans="1:21" ht="17.25" thickBot="1" x14ac:dyDescent="0.35">
      <c r="A7" s="170" t="s">
        <v>25</v>
      </c>
      <c r="B7" s="120"/>
      <c r="C7" s="120"/>
      <c r="D7" s="120"/>
      <c r="E7" s="120"/>
      <c r="F7" s="147">
        <f>30-B7-C7-D7-E7-IF(B121,6,)-IF(C121,6,)-IF(D121,6,)</f>
        <v>30</v>
      </c>
      <c r="H7" s="90" t="s">
        <v>38</v>
      </c>
      <c r="I7" s="187">
        <f>'Статы персонажа'!J7</f>
        <v>0</v>
      </c>
      <c r="J7" s="116"/>
      <c r="K7" s="347"/>
      <c r="L7" s="152">
        <f>IF(N7=1,20%,IF(N7=2,40%,))</f>
        <v>0</v>
      </c>
      <c r="M7" s="153" t="s">
        <v>371</v>
      </c>
      <c r="N7" s="153">
        <v>0</v>
      </c>
      <c r="O7" s="343"/>
      <c r="P7" s="116"/>
      <c r="Q7" s="347"/>
      <c r="R7" s="325"/>
      <c r="S7" s="339"/>
      <c r="T7" s="325"/>
      <c r="U7" s="351"/>
    </row>
    <row r="8" spans="1:21" ht="17.25" customHeight="1" thickBot="1" x14ac:dyDescent="0.35">
      <c r="A8" s="170" t="s">
        <v>26</v>
      </c>
      <c r="B8" s="118"/>
      <c r="C8" s="118"/>
      <c r="D8" s="118"/>
      <c r="E8" s="118"/>
      <c r="F8" s="147">
        <f>30-6-B8-C8-D8-E8</f>
        <v>24</v>
      </c>
      <c r="H8" s="188" t="s">
        <v>39</v>
      </c>
      <c r="I8" s="189">
        <f>'Статы персонажа'!J8</f>
        <v>1</v>
      </c>
      <c r="K8" s="348" t="s">
        <v>322</v>
      </c>
      <c r="L8" s="158">
        <v>0.18</v>
      </c>
      <c r="M8" s="159" t="s">
        <v>2</v>
      </c>
      <c r="N8" s="159" t="s">
        <v>34</v>
      </c>
      <c r="O8" s="304" t="b">
        <v>0</v>
      </c>
      <c r="Q8" s="340" t="s">
        <v>349</v>
      </c>
      <c r="R8" s="326">
        <v>0.3</v>
      </c>
      <c r="S8" s="344" t="s">
        <v>331</v>
      </c>
      <c r="T8" s="326" t="s">
        <v>34</v>
      </c>
      <c r="U8" s="367" t="b">
        <v>0</v>
      </c>
    </row>
    <row r="9" spans="1:21" ht="17.25" thickBot="1" x14ac:dyDescent="0.35">
      <c r="A9" s="170" t="s">
        <v>2</v>
      </c>
      <c r="B9" s="118"/>
      <c r="C9" s="118"/>
      <c r="D9" s="118"/>
      <c r="E9" s="118"/>
      <c r="F9" s="147">
        <f>30-B9-C9-D9-E9-IF(B120,6,)-IF(C120,6,)-IF(D120,6,)</f>
        <v>30</v>
      </c>
      <c r="H9" s="190" t="s">
        <v>40</v>
      </c>
      <c r="I9" s="191">
        <f>'Статы персонажа'!J9</f>
        <v>0</v>
      </c>
      <c r="J9" s="116"/>
      <c r="K9" s="349"/>
      <c r="L9" s="160">
        <v>0.35</v>
      </c>
      <c r="M9" s="161" t="s">
        <v>128</v>
      </c>
      <c r="N9" s="161" t="s">
        <v>34</v>
      </c>
      <c r="O9" s="305"/>
      <c r="P9" s="116"/>
      <c r="Q9" s="341"/>
      <c r="R9" s="356"/>
      <c r="S9" s="345"/>
      <c r="T9" s="327"/>
      <c r="U9" s="368"/>
    </row>
    <row r="10" spans="1:21" ht="17.25" thickBot="1" x14ac:dyDescent="0.35">
      <c r="A10" s="170" t="s">
        <v>175</v>
      </c>
      <c r="B10" s="121"/>
      <c r="C10" s="121"/>
      <c r="D10" s="121"/>
      <c r="E10" s="121"/>
      <c r="F10" s="147">
        <f>30-B10-C10-D10-E10</f>
        <v>30</v>
      </c>
      <c r="H10" s="192" t="s">
        <v>41</v>
      </c>
      <c r="I10" s="193">
        <f>'Статы персонажа'!J10</f>
        <v>0.05</v>
      </c>
      <c r="K10" s="346" t="s">
        <v>323</v>
      </c>
      <c r="L10" s="162">
        <v>80</v>
      </c>
      <c r="M10" s="155" t="s">
        <v>49</v>
      </c>
      <c r="N10" s="155" t="s">
        <v>34</v>
      </c>
      <c r="O10" s="342" t="b">
        <v>0</v>
      </c>
      <c r="P10" s="116"/>
      <c r="Q10" s="361" t="s">
        <v>336</v>
      </c>
      <c r="R10" s="324">
        <v>0.2</v>
      </c>
      <c r="S10" s="324" t="s">
        <v>352</v>
      </c>
      <c r="T10" s="324" t="s">
        <v>34</v>
      </c>
      <c r="U10" s="350" t="b">
        <v>0</v>
      </c>
    </row>
    <row r="11" spans="1:21" ht="17.25" thickBot="1" x14ac:dyDescent="0.35">
      <c r="A11" s="170" t="s">
        <v>127</v>
      </c>
      <c r="B11" s="121"/>
      <c r="C11" s="121"/>
      <c r="D11" s="121"/>
      <c r="E11" s="121"/>
      <c r="F11" s="147">
        <f>30-B11-C11-D11-E11-IF(B122,6,)-IF(C122,6,)-IF(D122,6,)</f>
        <v>30</v>
      </c>
      <c r="H11" s="192" t="s">
        <v>42</v>
      </c>
      <c r="I11" s="193">
        <f>'Статы персонажа'!J11</f>
        <v>0.5</v>
      </c>
      <c r="J11" s="116"/>
      <c r="K11" s="347"/>
      <c r="L11" s="156">
        <v>0.35</v>
      </c>
      <c r="M11" s="157" t="s">
        <v>132</v>
      </c>
      <c r="N11" s="157" t="s">
        <v>34</v>
      </c>
      <c r="O11" s="343"/>
      <c r="P11" s="116"/>
      <c r="Q11" s="362"/>
      <c r="R11" s="325">
        <v>0.2</v>
      </c>
      <c r="S11" s="325"/>
      <c r="T11" s="325" t="s">
        <v>34</v>
      </c>
      <c r="U11" s="351"/>
    </row>
    <row r="12" spans="1:21" ht="17.25" customHeight="1" thickBot="1" x14ac:dyDescent="0.35">
      <c r="A12" s="170" t="s">
        <v>125</v>
      </c>
      <c r="B12" s="122"/>
      <c r="C12" s="122"/>
      <c r="D12" s="122"/>
      <c r="E12" s="122"/>
      <c r="F12" s="147">
        <f>30-B12-C12-D12-E12-IF(B119,6,)</f>
        <v>30</v>
      </c>
      <c r="H12" s="88" t="s">
        <v>36</v>
      </c>
      <c r="I12" s="194">
        <f>'Статы персонажа'!J12</f>
        <v>1</v>
      </c>
      <c r="K12" s="348" t="s">
        <v>324</v>
      </c>
      <c r="L12" s="158">
        <v>0.25</v>
      </c>
      <c r="M12" s="159" t="s">
        <v>119</v>
      </c>
      <c r="N12" s="159" t="s">
        <v>34</v>
      </c>
      <c r="O12" s="304" t="b">
        <v>0</v>
      </c>
      <c r="Q12" s="340" t="s">
        <v>330</v>
      </c>
      <c r="R12" s="356">
        <v>0.4</v>
      </c>
      <c r="S12" s="344" t="s">
        <v>331</v>
      </c>
      <c r="T12" s="326" t="s">
        <v>34</v>
      </c>
      <c r="U12" s="367" t="b">
        <v>0</v>
      </c>
    </row>
    <row r="13" spans="1:21" ht="17.25" thickBot="1" x14ac:dyDescent="0.35">
      <c r="A13" s="170" t="s">
        <v>173</v>
      </c>
      <c r="B13" s="122"/>
      <c r="C13" s="122"/>
      <c r="D13" s="122"/>
      <c r="E13" s="122"/>
      <c r="F13" s="147">
        <f>30-B13-C13-D13-E13-IF(B118,6,)</f>
        <v>30</v>
      </c>
      <c r="H13" s="93" t="s">
        <v>180</v>
      </c>
      <c r="I13" s="195">
        <f>'Статы персонажа'!J13</f>
        <v>0</v>
      </c>
      <c r="J13" s="116"/>
      <c r="K13" s="349"/>
      <c r="L13" s="160">
        <v>0.5</v>
      </c>
      <c r="M13" s="161" t="s">
        <v>325</v>
      </c>
      <c r="N13" s="161" t="s">
        <v>34</v>
      </c>
      <c r="O13" s="305"/>
      <c r="P13" s="116"/>
      <c r="Q13" s="341"/>
      <c r="R13" s="327"/>
      <c r="S13" s="345"/>
      <c r="T13" s="327"/>
      <c r="U13" s="368"/>
    </row>
    <row r="14" spans="1:21" ht="17.25" thickBot="1" x14ac:dyDescent="0.3">
      <c r="A14" s="170" t="s">
        <v>174</v>
      </c>
      <c r="B14" s="124"/>
      <c r="C14" s="124"/>
      <c r="D14" s="124"/>
      <c r="E14" s="124"/>
      <c r="F14" s="147">
        <f>30-B14-C14-D14-E14-IF(D124,6,)</f>
        <v>30</v>
      </c>
      <c r="I14" s="167"/>
      <c r="K14" s="346" t="s">
        <v>326</v>
      </c>
      <c r="L14" s="154">
        <v>0.35</v>
      </c>
      <c r="M14" s="163" t="s">
        <v>327</v>
      </c>
      <c r="N14" s="155" t="s">
        <v>34</v>
      </c>
      <c r="O14" s="342" t="b">
        <v>0</v>
      </c>
      <c r="P14" s="116"/>
      <c r="Q14" s="346" t="s">
        <v>314</v>
      </c>
      <c r="R14" s="324">
        <v>0.2</v>
      </c>
      <c r="S14" s="338" t="s">
        <v>30</v>
      </c>
      <c r="T14" s="324" t="s">
        <v>34</v>
      </c>
      <c r="U14" s="350" t="b">
        <v>0</v>
      </c>
    </row>
    <row r="15" spans="1:21" ht="17.25" thickBot="1" x14ac:dyDescent="0.3">
      <c r="A15" s="171" t="s">
        <v>31</v>
      </c>
      <c r="B15" s="123"/>
      <c r="C15" s="123"/>
      <c r="D15" s="123"/>
      <c r="E15" s="123"/>
      <c r="F15" s="147">
        <f>30-B15-C15-D15-E15-IF(B123,6,)-IF(C123,6,)-IF(D123,6,)</f>
        <v>30</v>
      </c>
      <c r="I15" s="167"/>
      <c r="J15" s="116"/>
      <c r="K15" s="347"/>
      <c r="L15" s="156">
        <v>0.4</v>
      </c>
      <c r="M15" s="156" t="s">
        <v>130</v>
      </c>
      <c r="N15" s="156" t="s">
        <v>34</v>
      </c>
      <c r="O15" s="343"/>
      <c r="Q15" s="347"/>
      <c r="R15" s="325"/>
      <c r="S15" s="339"/>
      <c r="T15" s="325"/>
      <c r="U15" s="351"/>
    </row>
    <row r="16" spans="1:21" ht="18" thickBot="1" x14ac:dyDescent="0.3">
      <c r="A16" s="358" t="s">
        <v>13</v>
      </c>
      <c r="B16" s="358"/>
      <c r="C16" s="125"/>
      <c r="D16" s="116"/>
      <c r="E16" s="116"/>
      <c r="F16" s="116"/>
      <c r="G16" s="116"/>
      <c r="H16" s="116"/>
      <c r="I16" s="168"/>
      <c r="K16" s="348" t="s">
        <v>328</v>
      </c>
      <c r="L16" s="166" t="s">
        <v>34</v>
      </c>
      <c r="M16" s="166" t="s">
        <v>34</v>
      </c>
      <c r="N16" s="166" t="s">
        <v>34</v>
      </c>
      <c r="O16" s="304" t="b">
        <v>0</v>
      </c>
      <c r="P16" s="116"/>
      <c r="Q16" s="340" t="s">
        <v>315</v>
      </c>
      <c r="R16" s="328">
        <v>120</v>
      </c>
      <c r="S16" s="344" t="s">
        <v>49</v>
      </c>
      <c r="T16" s="326" t="s">
        <v>34</v>
      </c>
      <c r="U16" s="367" t="b">
        <v>0</v>
      </c>
    </row>
    <row r="17" spans="1:21" ht="18" thickBot="1" x14ac:dyDescent="0.3">
      <c r="A17" s="357" t="s">
        <v>111</v>
      </c>
      <c r="B17" s="357"/>
      <c r="C17" s="126" t="s">
        <v>19</v>
      </c>
      <c r="D17" s="116"/>
      <c r="E17" s="116"/>
      <c r="F17" s="127"/>
      <c r="G17" s="116"/>
      <c r="H17" s="168"/>
      <c r="I17" s="168"/>
      <c r="J17" s="176"/>
      <c r="K17" s="363"/>
      <c r="L17" s="160">
        <v>0.35</v>
      </c>
      <c r="M17" s="160" t="s">
        <v>45</v>
      </c>
      <c r="N17" s="160" t="s">
        <v>34</v>
      </c>
      <c r="O17" s="305"/>
      <c r="P17" s="116"/>
      <c r="Q17" s="341"/>
      <c r="R17" s="329"/>
      <c r="S17" s="345"/>
      <c r="T17" s="327"/>
      <c r="U17" s="368"/>
    </row>
    <row r="18" spans="1:21" ht="17.25" customHeight="1" thickBot="1" x14ac:dyDescent="0.3">
      <c r="A18" s="128" t="s">
        <v>14</v>
      </c>
      <c r="B18" s="129">
        <v>4780</v>
      </c>
      <c r="C18" s="130" t="s">
        <v>21</v>
      </c>
      <c r="D18" s="116"/>
      <c r="E18" s="116"/>
      <c r="F18" s="116"/>
      <c r="G18" s="116"/>
      <c r="H18" s="116"/>
      <c r="K18" s="320" t="s">
        <v>329</v>
      </c>
      <c r="L18" s="163" t="s">
        <v>34</v>
      </c>
      <c r="M18" s="163" t="s">
        <v>34</v>
      </c>
      <c r="N18" s="163" t="s">
        <v>34</v>
      </c>
      <c r="O18" s="314" t="b">
        <v>0</v>
      </c>
      <c r="Q18" s="346" t="s">
        <v>341</v>
      </c>
      <c r="R18" s="332">
        <f>T18*90%</f>
        <v>27000</v>
      </c>
      <c r="S18" s="332" t="s">
        <v>351</v>
      </c>
      <c r="T18" s="369">
        <v>30000</v>
      </c>
      <c r="U18" s="350" t="b">
        <v>0</v>
      </c>
    </row>
    <row r="19" spans="1:21" ht="17.25" thickBot="1" x14ac:dyDescent="0.3">
      <c r="A19" s="131" t="s">
        <v>15</v>
      </c>
      <c r="B19" s="118">
        <v>311</v>
      </c>
      <c r="C19" s="132" t="s">
        <v>22</v>
      </c>
      <c r="D19" s="116"/>
      <c r="E19" s="116"/>
      <c r="F19" s="116"/>
      <c r="G19" s="116"/>
      <c r="H19" s="116"/>
      <c r="I19" s="168"/>
      <c r="J19" s="116"/>
      <c r="K19" s="321"/>
      <c r="L19" s="156">
        <v>0.35</v>
      </c>
      <c r="M19" s="152" t="s">
        <v>45</v>
      </c>
      <c r="N19" s="156" t="s">
        <v>34</v>
      </c>
      <c r="O19" s="315"/>
      <c r="P19" s="116"/>
      <c r="Q19" s="347"/>
      <c r="R19" s="333"/>
      <c r="S19" s="333" t="s">
        <v>350</v>
      </c>
      <c r="T19" s="370"/>
      <c r="U19" s="351"/>
    </row>
    <row r="20" spans="1:21" ht="17.25" customHeight="1" thickBot="1" x14ac:dyDescent="0.3">
      <c r="A20" s="133" t="s">
        <v>16</v>
      </c>
      <c r="B20" s="57"/>
      <c r="C20" s="134"/>
      <c r="D20" s="116"/>
      <c r="E20" s="116"/>
      <c r="F20" s="116"/>
      <c r="G20" s="116"/>
      <c r="H20" s="116"/>
      <c r="I20" s="168"/>
      <c r="J20" s="116"/>
      <c r="K20" s="340" t="s">
        <v>339</v>
      </c>
      <c r="L20" s="174">
        <v>0.15</v>
      </c>
      <c r="M20" s="175" t="s">
        <v>45</v>
      </c>
      <c r="N20" s="166" t="s">
        <v>34</v>
      </c>
      <c r="O20" s="304" t="b">
        <v>0</v>
      </c>
      <c r="Q20" s="322" t="s">
        <v>47</v>
      </c>
      <c r="R20" s="354">
        <f>T20*6%</f>
        <v>900</v>
      </c>
      <c r="S20" s="328" t="s">
        <v>48</v>
      </c>
      <c r="T20" s="354">
        <v>15000</v>
      </c>
      <c r="U20" s="367" t="b">
        <v>0</v>
      </c>
    </row>
    <row r="21" spans="1:21" ht="21.75" customHeight="1" thickBot="1" x14ac:dyDescent="0.3">
      <c r="A21" s="133" t="s">
        <v>17</v>
      </c>
      <c r="B21" s="135"/>
      <c r="C21" s="134"/>
      <c r="D21" s="116"/>
      <c r="E21" s="136"/>
      <c r="F21" s="116"/>
      <c r="G21" s="116"/>
      <c r="H21" s="116"/>
      <c r="I21" s="168"/>
      <c r="J21" s="116"/>
      <c r="K21" s="341"/>
      <c r="L21" s="160" t="s">
        <v>34</v>
      </c>
      <c r="M21" s="160" t="s">
        <v>359</v>
      </c>
      <c r="N21" s="160" t="s">
        <v>34</v>
      </c>
      <c r="O21" s="305"/>
      <c r="P21" s="116"/>
      <c r="Q21" s="323"/>
      <c r="R21" s="355"/>
      <c r="S21" s="329"/>
      <c r="T21" s="355"/>
      <c r="U21" s="368"/>
    </row>
    <row r="22" spans="1:21" ht="22.5" customHeight="1" thickBot="1" x14ac:dyDescent="0.3">
      <c r="A22" s="133" t="s">
        <v>18</v>
      </c>
      <c r="B22" s="137"/>
      <c r="C22" s="134"/>
      <c r="D22" s="116"/>
      <c r="E22" s="136"/>
      <c r="F22" s="116"/>
      <c r="G22" s="116"/>
      <c r="H22" s="116"/>
      <c r="I22" s="168"/>
      <c r="J22" s="116"/>
      <c r="K22" s="320" t="s">
        <v>338</v>
      </c>
      <c r="L22" s="178">
        <f>15%+(7.5%*N22)</f>
        <v>0.15</v>
      </c>
      <c r="M22" s="150" t="s">
        <v>45</v>
      </c>
      <c r="N22" s="163">
        <v>0</v>
      </c>
      <c r="O22" s="314" t="b">
        <v>0</v>
      </c>
      <c r="Q22" s="334" t="s">
        <v>344</v>
      </c>
      <c r="R22" s="324">
        <f>IF(T22=0,12%,40%)</f>
        <v>0.12</v>
      </c>
      <c r="S22" s="338" t="s">
        <v>45</v>
      </c>
      <c r="T22" s="332">
        <v>0</v>
      </c>
      <c r="U22" s="350" t="b">
        <v>0</v>
      </c>
    </row>
    <row r="23" spans="1:21" ht="18" thickBot="1" x14ac:dyDescent="0.3">
      <c r="A23" s="357" t="s">
        <v>23</v>
      </c>
      <c r="B23" s="357"/>
      <c r="C23" s="136"/>
      <c r="D23" s="116"/>
      <c r="E23" s="136"/>
      <c r="F23" s="116"/>
      <c r="G23" s="116"/>
      <c r="H23" s="116"/>
      <c r="I23" s="168"/>
      <c r="K23" s="321"/>
      <c r="L23" s="156" t="s">
        <v>34</v>
      </c>
      <c r="M23" s="152" t="s">
        <v>359</v>
      </c>
      <c r="N23" s="156" t="s">
        <v>34</v>
      </c>
      <c r="O23" s="315"/>
      <c r="P23" s="116"/>
      <c r="Q23" s="335"/>
      <c r="R23" s="325"/>
      <c r="S23" s="339"/>
      <c r="T23" s="333"/>
      <c r="U23" s="351"/>
    </row>
    <row r="24" spans="1:21" ht="17.25" customHeight="1" thickBot="1" x14ac:dyDescent="0.3">
      <c r="A24" s="128" t="s">
        <v>24</v>
      </c>
      <c r="B24" s="129">
        <f>(209*B6)+(239*C6)+(269*D6)+(299*E6)</f>
        <v>0</v>
      </c>
      <c r="C24" s="136"/>
      <c r="D24" s="116"/>
      <c r="E24" s="136"/>
      <c r="F24" s="116"/>
      <c r="G24" s="116"/>
      <c r="H24" s="116"/>
      <c r="I24" s="169"/>
      <c r="K24" s="340" t="s">
        <v>123</v>
      </c>
      <c r="L24" s="174">
        <f>25%+IF(N25=2,25%,0)</f>
        <v>0.25</v>
      </c>
      <c r="M24" s="175" t="s">
        <v>119</v>
      </c>
      <c r="N24" s="166" t="s">
        <v>34</v>
      </c>
      <c r="O24" s="304" t="b">
        <v>0</v>
      </c>
      <c r="P24" s="116"/>
      <c r="Q24" s="322" t="s">
        <v>316</v>
      </c>
      <c r="R24" s="326">
        <v>0.2</v>
      </c>
      <c r="S24" s="336" t="s">
        <v>2</v>
      </c>
      <c r="T24" s="336" t="s">
        <v>34</v>
      </c>
      <c r="U24" s="300" t="b">
        <v>0</v>
      </c>
    </row>
    <row r="25" spans="1:21" ht="17.25" thickBot="1" x14ac:dyDescent="0.3">
      <c r="A25" s="128" t="s">
        <v>25</v>
      </c>
      <c r="B25" s="138">
        <f>(4.1%*B7)+(4.7%*C7)+(5.3%*D7)+(5.8%*E7)</f>
        <v>0</v>
      </c>
      <c r="C25" s="136"/>
      <c r="D25" s="116"/>
      <c r="E25" s="136"/>
      <c r="F25" s="116"/>
      <c r="G25" s="116"/>
      <c r="H25" s="116"/>
      <c r="I25" s="169"/>
      <c r="J25" s="116"/>
      <c r="K25" s="341"/>
      <c r="L25" s="160">
        <f>0%+(N25*9%)</f>
        <v>0</v>
      </c>
      <c r="M25" s="160" t="s">
        <v>2</v>
      </c>
      <c r="N25" s="179">
        <v>0</v>
      </c>
      <c r="O25" s="305"/>
      <c r="P25" s="116"/>
      <c r="Q25" s="323"/>
      <c r="R25" s="327"/>
      <c r="S25" s="337"/>
      <c r="T25" s="337"/>
      <c r="U25" s="301"/>
    </row>
    <row r="26" spans="1:21" ht="17.25" customHeight="1" thickBot="1" x14ac:dyDescent="0.3">
      <c r="A26" s="131" t="s">
        <v>26</v>
      </c>
      <c r="B26" s="118">
        <f>(14*B8)+(16*C8)+(18*D8)+(19*E8)</f>
        <v>0</v>
      </c>
      <c r="C26" s="136"/>
      <c r="D26" s="116"/>
      <c r="E26" s="136"/>
      <c r="F26" s="116"/>
      <c r="G26" s="116"/>
      <c r="H26" s="116"/>
      <c r="I26" s="169"/>
      <c r="J26" s="116"/>
      <c r="K26" s="320" t="s">
        <v>133</v>
      </c>
      <c r="L26" s="154">
        <v>0.15</v>
      </c>
      <c r="M26" s="150" t="s">
        <v>45</v>
      </c>
      <c r="N26" s="163" t="s">
        <v>34</v>
      </c>
      <c r="O26" s="314" t="b">
        <v>0</v>
      </c>
      <c r="P26" s="116"/>
      <c r="Q26" s="334" t="s">
        <v>348</v>
      </c>
      <c r="R26" s="352">
        <v>0.2</v>
      </c>
      <c r="S26" s="330" t="s">
        <v>2</v>
      </c>
      <c r="T26" s="330" t="s">
        <v>34</v>
      </c>
      <c r="U26" s="342" t="b">
        <v>0</v>
      </c>
    </row>
    <row r="27" spans="1:21" ht="17.25" thickBot="1" x14ac:dyDescent="0.3">
      <c r="A27" s="131" t="s">
        <v>2</v>
      </c>
      <c r="B27" s="139">
        <f>(4.1%*B9)+(4.7%*C9)+(5.3%*D9)+(5.8%*E9)</f>
        <v>0</v>
      </c>
      <c r="C27" s="136"/>
      <c r="D27" s="116"/>
      <c r="E27" s="136"/>
      <c r="F27" s="116"/>
      <c r="G27" s="116"/>
      <c r="H27" s="116"/>
      <c r="I27" s="169"/>
      <c r="J27" s="116"/>
      <c r="K27" s="321"/>
      <c r="L27" s="156">
        <v>0.3</v>
      </c>
      <c r="M27" s="152" t="s">
        <v>130</v>
      </c>
      <c r="N27" s="156" t="s">
        <v>34</v>
      </c>
      <c r="O27" s="315"/>
      <c r="P27" s="116"/>
      <c r="Q27" s="335"/>
      <c r="R27" s="353"/>
      <c r="S27" s="331"/>
      <c r="T27" s="331"/>
      <c r="U27" s="343"/>
    </row>
    <row r="28" spans="1:21" ht="17.25" customHeight="1" thickBot="1" x14ac:dyDescent="0.3">
      <c r="A28" s="140" t="s">
        <v>28</v>
      </c>
      <c r="B28" s="121">
        <f>(16*B10)+(19*C10)+(21*D10)+(23*E10)</f>
        <v>0</v>
      </c>
      <c r="C28" s="136"/>
      <c r="D28" s="116"/>
      <c r="E28" s="136"/>
      <c r="F28" s="116"/>
      <c r="G28" s="116"/>
      <c r="H28" s="116"/>
      <c r="I28" s="169"/>
      <c r="K28" s="340" t="s">
        <v>337</v>
      </c>
      <c r="L28" s="174">
        <v>0.18</v>
      </c>
      <c r="M28" s="175" t="s">
        <v>2</v>
      </c>
      <c r="N28" s="166" t="s">
        <v>34</v>
      </c>
      <c r="O28" s="304" t="b">
        <v>0</v>
      </c>
      <c r="P28" s="116"/>
      <c r="Q28" s="340" t="s">
        <v>382</v>
      </c>
      <c r="R28" s="328">
        <f>IF(T28&lt;=2,60*T28,0)</f>
        <v>0</v>
      </c>
      <c r="S28" s="336" t="s">
        <v>31</v>
      </c>
      <c r="T28" s="336">
        <v>0</v>
      </c>
      <c r="U28" s="300" t="b">
        <v>0</v>
      </c>
    </row>
    <row r="29" spans="1:21" ht="17.25" thickBot="1" x14ac:dyDescent="0.3">
      <c r="A29" s="140" t="s">
        <v>29</v>
      </c>
      <c r="B29" s="141">
        <f>(5.1%*B11)+(5.8%*C11)+(6.6%*D11)+(7.3%*E11)</f>
        <v>0</v>
      </c>
      <c r="C29" s="136"/>
      <c r="D29" s="116"/>
      <c r="E29" s="136"/>
      <c r="F29" s="116"/>
      <c r="G29" s="116"/>
      <c r="H29" s="116"/>
      <c r="I29" s="169"/>
      <c r="J29" s="116"/>
      <c r="K29" s="341"/>
      <c r="L29" s="160">
        <v>0.5</v>
      </c>
      <c r="M29" s="180" t="s">
        <v>361</v>
      </c>
      <c r="N29" s="179" t="s">
        <v>34</v>
      </c>
      <c r="O29" s="305"/>
      <c r="P29" s="116"/>
      <c r="Q29" s="341"/>
      <c r="R29" s="329"/>
      <c r="S29" s="337"/>
      <c r="T29" s="337"/>
      <c r="U29" s="301"/>
    </row>
    <row r="30" spans="1:21" ht="17.25" customHeight="1" thickBot="1" x14ac:dyDescent="0.3">
      <c r="A30" s="142" t="s">
        <v>30</v>
      </c>
      <c r="B30" s="143">
        <f>(4.5%*B14)+(5.2%*C14)+(5.8%*D14)+(6.5%*E14)</f>
        <v>0</v>
      </c>
      <c r="C30" s="136"/>
      <c r="D30" s="116"/>
      <c r="E30" s="136"/>
      <c r="F30" s="116"/>
      <c r="G30" s="116"/>
      <c r="H30" s="116"/>
      <c r="I30" s="169"/>
      <c r="J30" s="116"/>
      <c r="K30" s="312" t="s">
        <v>362</v>
      </c>
      <c r="L30" s="154">
        <v>0.2</v>
      </c>
      <c r="M30" s="150" t="s">
        <v>30</v>
      </c>
      <c r="N30" s="163" t="s">
        <v>34</v>
      </c>
      <c r="O30" s="314" t="b">
        <v>0</v>
      </c>
      <c r="P30" s="116"/>
    </row>
    <row r="31" spans="1:21" ht="17.25" thickBot="1" x14ac:dyDescent="0.3">
      <c r="A31" s="144" t="s">
        <v>31</v>
      </c>
      <c r="B31" s="123">
        <f>(16*B15)+(19*C15)+(21*D15)+(23*E15)</f>
        <v>0</v>
      </c>
      <c r="C31" s="136"/>
      <c r="D31" s="116"/>
      <c r="E31" s="136"/>
      <c r="F31" s="116"/>
      <c r="G31" s="116"/>
      <c r="H31" s="116"/>
      <c r="I31" s="169"/>
      <c r="J31" s="116"/>
      <c r="K31" s="313"/>
      <c r="L31" s="156">
        <f>('Статы персонажа'!J8*25%)</f>
        <v>0.25</v>
      </c>
      <c r="M31" s="152" t="s">
        <v>137</v>
      </c>
      <c r="N31" s="156" t="s">
        <v>34</v>
      </c>
      <c r="O31" s="315"/>
      <c r="P31" s="116"/>
    </row>
    <row r="32" spans="1:21" ht="15.75" customHeight="1" thickBot="1" x14ac:dyDescent="0.3">
      <c r="A32" s="145" t="s">
        <v>32</v>
      </c>
      <c r="B32" s="146">
        <f>(2.7%*B12)+(3.1%*C12)+(3.5%*D12)+(3.9%*E12)</f>
        <v>0</v>
      </c>
      <c r="C32" s="136"/>
      <c r="D32" s="116"/>
      <c r="E32" s="136"/>
      <c r="F32" s="116"/>
      <c r="G32" s="116"/>
      <c r="H32" s="116"/>
      <c r="I32" s="169"/>
      <c r="K32" s="322" t="s">
        <v>340</v>
      </c>
      <c r="L32" s="174">
        <f>30%+IF(N32&lt;=4,N32*6%,0)</f>
        <v>0.3</v>
      </c>
      <c r="M32" s="175" t="s">
        <v>28</v>
      </c>
      <c r="N32" s="166">
        <v>0</v>
      </c>
      <c r="O32" s="304" t="b">
        <v>0</v>
      </c>
      <c r="P32" s="116"/>
    </row>
    <row r="33" spans="1:18" ht="17.25" thickBot="1" x14ac:dyDescent="0.3">
      <c r="A33" s="145" t="s">
        <v>33</v>
      </c>
      <c r="B33" s="146">
        <f>(5.4%*B13)+(6.2%*C13)+(7%*D13)+(7.8%*E13)</f>
        <v>0</v>
      </c>
      <c r="C33" s="136"/>
      <c r="D33" s="136"/>
      <c r="E33" s="136"/>
      <c r="F33" s="136"/>
      <c r="G33" s="136"/>
      <c r="H33" s="136"/>
      <c r="I33" s="169"/>
      <c r="K33" s="323"/>
      <c r="L33" s="160">
        <f>0%+IF(N32&lt;=4,N32*6%,0)</f>
        <v>0</v>
      </c>
      <c r="M33" s="175" t="s">
        <v>45</v>
      </c>
      <c r="N33" s="179" t="s">
        <v>34</v>
      </c>
      <c r="O33" s="305"/>
      <c r="P33" s="116"/>
    </row>
    <row r="34" spans="1:18" ht="15.75" customHeight="1" thickBot="1" x14ac:dyDescent="0.3">
      <c r="I34" s="169"/>
      <c r="J34" s="116"/>
      <c r="K34" s="320" t="s">
        <v>363</v>
      </c>
      <c r="L34" s="154">
        <v>0.18</v>
      </c>
      <c r="M34" s="150" t="s">
        <v>2</v>
      </c>
      <c r="N34" s="163" t="s">
        <v>34</v>
      </c>
      <c r="O34" s="314" t="b">
        <v>0</v>
      </c>
      <c r="P34" s="116"/>
    </row>
    <row r="35" spans="1:18" ht="17.25" thickBot="1" x14ac:dyDescent="0.3">
      <c r="I35" s="169"/>
      <c r="K35" s="321"/>
      <c r="L35" s="156">
        <f>8%+IF(N35&lt;=4,N35*10%,0)</f>
        <v>0.08</v>
      </c>
      <c r="M35" s="152" t="s">
        <v>2</v>
      </c>
      <c r="N35" s="173">
        <v>0</v>
      </c>
      <c r="O35" s="315"/>
      <c r="P35" s="116"/>
    </row>
    <row r="36" spans="1:18" ht="17.25" thickBot="1" x14ac:dyDescent="0.3">
      <c r="I36" s="169"/>
      <c r="J36" s="116"/>
      <c r="K36" s="322" t="s">
        <v>343</v>
      </c>
      <c r="L36" s="174">
        <v>0.18</v>
      </c>
      <c r="M36" s="175" t="s">
        <v>2</v>
      </c>
      <c r="N36" s="166" t="s">
        <v>34</v>
      </c>
      <c r="O36" s="304" t="b">
        <v>0</v>
      </c>
      <c r="P36" s="116"/>
    </row>
    <row r="37" spans="1:18" ht="17.25" thickBot="1" x14ac:dyDescent="0.3">
      <c r="I37" s="169"/>
      <c r="K37" s="323"/>
      <c r="L37" s="181">
        <f>'Статы персонажа'!J6*70%</f>
        <v>217.7</v>
      </c>
      <c r="M37" s="175" t="s">
        <v>128</v>
      </c>
      <c r="N37" s="179" t="s">
        <v>34</v>
      </c>
      <c r="O37" s="305"/>
      <c r="P37" s="116"/>
    </row>
    <row r="38" spans="1:18" ht="17.25" thickBot="1" x14ac:dyDescent="0.3">
      <c r="I38" s="169"/>
      <c r="J38" s="116"/>
      <c r="K38" s="320" t="s">
        <v>131</v>
      </c>
      <c r="L38" s="162">
        <f>80+IF(N38&lt;=3,N38*50,0)</f>
        <v>80</v>
      </c>
      <c r="M38" s="150" t="s">
        <v>31</v>
      </c>
      <c r="N38" s="163">
        <v>0</v>
      </c>
      <c r="O38" s="314" t="b">
        <v>0</v>
      </c>
      <c r="P38" s="116"/>
      <c r="Q38" s="116"/>
      <c r="R38" s="116"/>
    </row>
    <row r="39" spans="1:18" ht="17.25" thickBot="1" x14ac:dyDescent="0.35">
      <c r="A39" s="283" t="s">
        <v>307</v>
      </c>
      <c r="B39" s="284"/>
      <c r="I39" s="169"/>
      <c r="K39" s="321"/>
      <c r="L39" s="156">
        <f>0%+IF(N39&lt;=3,N39*14%,0)</f>
        <v>0</v>
      </c>
      <c r="M39" s="152" t="s">
        <v>2</v>
      </c>
      <c r="N39" s="173">
        <v>0</v>
      </c>
      <c r="O39" s="315"/>
      <c r="P39" s="116"/>
      <c r="Q39" s="116"/>
      <c r="R39" s="116"/>
    </row>
    <row r="40" spans="1:18" ht="17.25" customHeight="1" thickBot="1" x14ac:dyDescent="0.35">
      <c r="A40" s="79" t="s">
        <v>269</v>
      </c>
      <c r="B40" s="80" t="s">
        <v>268</v>
      </c>
      <c r="I40" s="169"/>
      <c r="J40" s="116"/>
      <c r="K40" s="302" t="s">
        <v>364</v>
      </c>
      <c r="L40" s="174">
        <v>0.15</v>
      </c>
      <c r="M40" s="175" t="s">
        <v>45</v>
      </c>
      <c r="N40" s="166" t="s">
        <v>34</v>
      </c>
      <c r="O40" s="304" t="b">
        <v>0</v>
      </c>
      <c r="P40" s="116"/>
      <c r="Q40" s="116"/>
      <c r="R40" s="116"/>
    </row>
    <row r="41" spans="1:18" ht="17.25" thickBot="1" x14ac:dyDescent="0.35">
      <c r="A41" s="27" t="s">
        <v>92</v>
      </c>
      <c r="B41" s="165">
        <f>IF(O36,L37,)</f>
        <v>0</v>
      </c>
      <c r="I41" s="169"/>
      <c r="K41" s="303"/>
      <c r="L41" s="160">
        <f>IF(N41=1,40%,0)</f>
        <v>0</v>
      </c>
      <c r="M41" s="180" t="s">
        <v>361</v>
      </c>
      <c r="N41" s="179">
        <v>0</v>
      </c>
      <c r="O41" s="305"/>
      <c r="P41" s="116"/>
      <c r="Q41" s="116"/>
      <c r="R41" s="116"/>
    </row>
    <row r="42" spans="1:18" ht="17.25" customHeight="1" thickBot="1" x14ac:dyDescent="0.35">
      <c r="A42" s="27" t="s">
        <v>94</v>
      </c>
      <c r="B42" s="165"/>
      <c r="I42" s="169"/>
      <c r="J42" s="116"/>
      <c r="K42" s="312" t="s">
        <v>347</v>
      </c>
      <c r="L42" s="162">
        <v>80</v>
      </c>
      <c r="M42" s="150" t="s">
        <v>31</v>
      </c>
      <c r="N42" s="163" t="s">
        <v>34</v>
      </c>
      <c r="O42" s="314" t="b">
        <v>0</v>
      </c>
      <c r="P42" s="116"/>
      <c r="Q42" s="116"/>
      <c r="R42" s="116"/>
    </row>
    <row r="43" spans="1:18" ht="17.25" thickBot="1" x14ac:dyDescent="0.35">
      <c r="A43" s="27" t="s">
        <v>98</v>
      </c>
      <c r="B43" s="165"/>
      <c r="K43" s="313"/>
      <c r="L43" s="156">
        <f>40%+IF(N43&lt;=4,25%*N43,0)</f>
        <v>0.4</v>
      </c>
      <c r="M43" s="152" t="s">
        <v>359</v>
      </c>
      <c r="N43" s="173">
        <v>0</v>
      </c>
      <c r="O43" s="315"/>
      <c r="P43" s="116"/>
      <c r="Q43" s="116"/>
      <c r="R43" s="116"/>
    </row>
    <row r="44" spans="1:18" ht="17.25" thickBot="1" x14ac:dyDescent="0.35">
      <c r="A44" s="27" t="s">
        <v>135</v>
      </c>
      <c r="B44" s="165"/>
      <c r="K44" s="322" t="s">
        <v>345</v>
      </c>
      <c r="L44" s="174" cm="1">
        <f t="array" ref="L44">_xlfn.SWITCH(N45,0,15%,1,19%,2,24%,3,30%)</f>
        <v>0.15</v>
      </c>
      <c r="M44" s="175" t="s">
        <v>45</v>
      </c>
      <c r="N44" s="166" t="s">
        <v>34</v>
      </c>
      <c r="O44" s="304" t="b">
        <v>0</v>
      </c>
      <c r="P44" s="116"/>
      <c r="Q44" s="116"/>
      <c r="R44" s="116"/>
    </row>
    <row r="45" spans="1:18" ht="17.25" thickBot="1" x14ac:dyDescent="0.35">
      <c r="A45" s="27" t="s">
        <v>136</v>
      </c>
      <c r="B45" s="165"/>
      <c r="J45" s="116"/>
      <c r="K45" s="323"/>
      <c r="L45" s="160" cm="1">
        <f t="array" ref="L45">_xlfn.SWITCH(N45,0,0%,1,7%,2,16%,3,25%)</f>
        <v>0</v>
      </c>
      <c r="M45" s="175" t="s">
        <v>2</v>
      </c>
      <c r="N45" s="179">
        <v>0</v>
      </c>
      <c r="O45" s="305"/>
      <c r="P45" s="116"/>
      <c r="Q45" s="116"/>
      <c r="R45" s="116"/>
    </row>
    <row r="46" spans="1:18" ht="17.25" thickBot="1" x14ac:dyDescent="0.35">
      <c r="A46" s="27"/>
      <c r="B46" s="37"/>
      <c r="J46" s="116"/>
      <c r="K46" s="320" t="s">
        <v>365</v>
      </c>
      <c r="L46" s="154">
        <v>0.2</v>
      </c>
      <c r="M46" s="150" t="s">
        <v>25</v>
      </c>
      <c r="N46" s="163" t="s">
        <v>34</v>
      </c>
      <c r="O46" s="314" t="b">
        <v>0</v>
      </c>
      <c r="P46" s="116"/>
      <c r="Q46" s="116"/>
      <c r="R46" s="116"/>
    </row>
    <row r="47" spans="1:18" ht="17.25" thickBot="1" x14ac:dyDescent="0.35">
      <c r="A47" s="274" t="s">
        <v>357</v>
      </c>
      <c r="B47" s="275"/>
      <c r="K47" s="321"/>
      <c r="L47" s="156">
        <f>10%+IF(N47&lt;=5,8%*N47,0)</f>
        <v>0.1</v>
      </c>
      <c r="M47" s="152" t="s">
        <v>134</v>
      </c>
      <c r="N47" s="173">
        <v>0</v>
      </c>
      <c r="O47" s="315"/>
      <c r="P47" s="116"/>
      <c r="Q47" s="116"/>
      <c r="R47" s="116"/>
    </row>
    <row r="48" spans="1:18" ht="17.25" thickBot="1" x14ac:dyDescent="0.35">
      <c r="A48" s="79" t="s">
        <v>269</v>
      </c>
      <c r="B48" s="80" t="s">
        <v>268</v>
      </c>
      <c r="J48" s="116"/>
      <c r="K48" s="302" t="s">
        <v>366</v>
      </c>
      <c r="L48" s="174">
        <v>0.15</v>
      </c>
      <c r="M48" s="175" t="s">
        <v>130</v>
      </c>
      <c r="N48" s="166" t="s">
        <v>34</v>
      </c>
      <c r="O48" s="304" t="b">
        <v>0</v>
      </c>
      <c r="P48" s="116"/>
      <c r="Q48" s="116"/>
      <c r="R48" s="116"/>
    </row>
    <row r="49" spans="1:15" ht="17.25" thickBot="1" x14ac:dyDescent="0.35">
      <c r="A49" s="27" t="s">
        <v>92</v>
      </c>
      <c r="B49" s="164">
        <f>IF(O8,35%,)+IF(O14,40%,)+IF(O26,30%,)+IF(O28,50%,)+IF(O40,L41,)+IF(O48,L48,)+IF(O62,IF(N63=1,L63,))+Разное!F7</f>
        <v>0</v>
      </c>
      <c r="K49" s="303"/>
      <c r="L49" s="160" cm="1">
        <f t="array" ref="L49">_xlfn.SWITCH(N49,0,0%,1,12%,2,24%,3,36%)</f>
        <v>0</v>
      </c>
      <c r="M49" s="175" t="s">
        <v>367</v>
      </c>
      <c r="N49" s="179">
        <v>0</v>
      </c>
      <c r="O49" s="305"/>
    </row>
    <row r="50" spans="1:15" ht="17.25" thickBot="1" x14ac:dyDescent="0.35">
      <c r="A50" s="27" t="s">
        <v>94</v>
      </c>
      <c r="B50" s="164">
        <f>IF(O12,50%,)+IF(O14,40%,)+IF(O26,30%,)+IF(O28,50%,)+IF(O40,L41,)+IF(O48,L48,)+Разное!F7</f>
        <v>0</v>
      </c>
      <c r="K50" s="320" t="s">
        <v>126</v>
      </c>
      <c r="L50" s="154">
        <v>0.2</v>
      </c>
      <c r="M50" s="150" t="s">
        <v>368</v>
      </c>
      <c r="N50" s="163" t="s">
        <v>34</v>
      </c>
      <c r="O50" s="314" t="b">
        <v>0</v>
      </c>
    </row>
    <row r="51" spans="1:15" ht="17.25" thickBot="1" x14ac:dyDescent="0.35">
      <c r="A51" s="27" t="s">
        <v>98</v>
      </c>
      <c r="B51" s="164">
        <f>IF(O28,50%,)+IF(O40,L41,)+IF(O60,L60+L61,)+Разное!F16+Разное!F7</f>
        <v>0</v>
      </c>
      <c r="K51" s="321"/>
      <c r="L51" s="156">
        <f>25%+IF(N51=1,25%,)</f>
        <v>0.25</v>
      </c>
      <c r="M51" s="150" t="s">
        <v>368</v>
      </c>
      <c r="N51" s="173">
        <v>0</v>
      </c>
      <c r="O51" s="315"/>
    </row>
    <row r="52" spans="1:15" ht="19.5" customHeight="1" thickBot="1" x14ac:dyDescent="0.35">
      <c r="A52" s="27" t="s">
        <v>135</v>
      </c>
      <c r="B52" s="164">
        <f>IF(O46,L47,)+IF(O50,L50+L51,)</f>
        <v>0</v>
      </c>
      <c r="K52" s="302" t="s">
        <v>369</v>
      </c>
      <c r="L52" s="174">
        <v>0.18</v>
      </c>
      <c r="M52" s="175" t="s">
        <v>2</v>
      </c>
      <c r="N52" s="166" t="s">
        <v>34</v>
      </c>
      <c r="O52" s="304" t="b">
        <v>0</v>
      </c>
    </row>
    <row r="53" spans="1:15" ht="15" customHeight="1" thickBot="1" x14ac:dyDescent="0.35">
      <c r="A53" s="27" t="s">
        <v>136</v>
      </c>
      <c r="B53" s="164">
        <f>IF(O30,L31,)+IF(O46,L47,)+IF(O62,IF(N63=2,L63,))</f>
        <v>0</v>
      </c>
      <c r="K53" s="303"/>
      <c r="L53" s="237">
        <f>IF(N53=0,0%,IF(N53=1,20%,IF(N53=2,50%,"")))</f>
        <v>0</v>
      </c>
      <c r="M53" s="175" t="s">
        <v>45</v>
      </c>
      <c r="N53" s="179">
        <v>0</v>
      </c>
      <c r="O53" s="305"/>
    </row>
    <row r="54" spans="1:15" ht="17.25" thickBot="1" x14ac:dyDescent="0.3">
      <c r="A54" s="3"/>
      <c r="B54" s="3"/>
      <c r="K54" s="318" t="s">
        <v>346</v>
      </c>
      <c r="L54" s="154">
        <v>0.18</v>
      </c>
      <c r="M54" s="150" t="s">
        <v>2</v>
      </c>
      <c r="N54" s="163" t="s">
        <v>34</v>
      </c>
      <c r="O54" s="314" t="b">
        <v>0</v>
      </c>
    </row>
    <row r="55" spans="1:15" ht="17.25" thickBot="1" x14ac:dyDescent="0.35">
      <c r="A55" s="274" t="s">
        <v>355</v>
      </c>
      <c r="B55" s="275"/>
      <c r="K55" s="319"/>
      <c r="L55" s="156" cm="1">
        <f t="array" ref="L55">_xlfn.SWITCH(N55,0,0%,1,18%,2,36%,3,54%)</f>
        <v>0</v>
      </c>
      <c r="M55" s="152" t="s">
        <v>370</v>
      </c>
      <c r="N55" s="173">
        <v>0</v>
      </c>
      <c r="O55" s="315"/>
    </row>
    <row r="56" spans="1:15" ht="17.25" thickBot="1" x14ac:dyDescent="0.35">
      <c r="A56" s="79" t="s">
        <v>269</v>
      </c>
      <c r="B56" s="80" t="s">
        <v>268</v>
      </c>
      <c r="K56" s="302" t="s">
        <v>129</v>
      </c>
      <c r="L56" s="174">
        <v>0.18</v>
      </c>
      <c r="M56" s="175" t="s">
        <v>2</v>
      </c>
      <c r="N56" s="166" t="s">
        <v>34</v>
      </c>
      <c r="O56" s="304" t="b">
        <v>0</v>
      </c>
    </row>
    <row r="57" spans="1:15" ht="17.25" thickBot="1" x14ac:dyDescent="0.3">
      <c r="A57" s="1" t="s">
        <v>21</v>
      </c>
      <c r="B57" s="164">
        <f>IF(B121,46.6%,)+IF(C121,46.6%,)+IF(D121,46.6%,)+B25+IF(O46,L46,)</f>
        <v>0</v>
      </c>
      <c r="K57" s="303"/>
      <c r="L57" s="160">
        <f>0%+IF(N57&lt;=5,N57*10%,0)</f>
        <v>0</v>
      </c>
      <c r="M57" s="175" t="s">
        <v>370</v>
      </c>
      <c r="N57" s="179">
        <v>0</v>
      </c>
      <c r="O57" s="305"/>
    </row>
    <row r="58" spans="1:15" ht="17.25" thickBot="1" x14ac:dyDescent="0.3">
      <c r="A58" s="1" t="s">
        <v>22</v>
      </c>
      <c r="B58" s="164">
        <f>IF(U24,20%,)+IF(O8,18%,)+IF(B120,46.6%,)+IF(C120,46.6%,)+IF(D120,46.6%,)+B27+IF(O24,L25,)+IF(O28,18%,)+IF(O34,L34+L35,)+IF(O36,18%,)+IF(O38,L39,)+IF(O44,L45,)+IF(O52,L52,)+IF(O54,L54,)+IF(O56,L56,)+Разное!G7+Разное!F8+Разное!G11+Разное!F12+Разное!F18</f>
        <v>0</v>
      </c>
      <c r="K58" s="320" t="s">
        <v>342</v>
      </c>
      <c r="L58" s="154">
        <v>0.15</v>
      </c>
      <c r="M58" s="150" t="s">
        <v>370</v>
      </c>
      <c r="N58" s="163" t="s">
        <v>34</v>
      </c>
      <c r="O58" s="314" t="b">
        <v>0</v>
      </c>
    </row>
    <row r="59" spans="1:15" ht="17.25" thickBot="1" x14ac:dyDescent="0.3">
      <c r="A59" s="1" t="s">
        <v>115</v>
      </c>
      <c r="B59" s="164">
        <f>+IF(B122,58.3%,)+IF(C122,58.3%,)+IF(D122,58.3%,)+B29+IF(O32,L32,)</f>
        <v>0</v>
      </c>
      <c r="K59" s="321"/>
      <c r="L59" s="156">
        <f>IF(N59=1,40%,)</f>
        <v>0</v>
      </c>
      <c r="M59" s="150" t="s">
        <v>371</v>
      </c>
      <c r="N59" s="173">
        <v>0</v>
      </c>
      <c r="O59" s="315"/>
    </row>
    <row r="60" spans="1:15" ht="17.25" thickBot="1" x14ac:dyDescent="0.3">
      <c r="A60" s="1" t="s">
        <v>118</v>
      </c>
      <c r="B60" s="164">
        <f>IF(U14,20%,)+IF(D124,51.8%,)+B30+IF(O30,20%,)+Разное!G4</f>
        <v>0</v>
      </c>
      <c r="K60" s="302" t="s">
        <v>372</v>
      </c>
      <c r="L60" s="174">
        <v>0.25</v>
      </c>
      <c r="M60" s="175" t="s">
        <v>373</v>
      </c>
      <c r="N60" s="166" t="s">
        <v>34</v>
      </c>
      <c r="O60" s="304" t="b">
        <v>0</v>
      </c>
    </row>
    <row r="61" spans="1:15" ht="17.25" thickBot="1" x14ac:dyDescent="0.3">
      <c r="A61" s="1" t="s">
        <v>117</v>
      </c>
      <c r="B61" s="164">
        <f>IF(O6,L7,)+B32+IF(B119,33.1%,)+IF(O48,L49,)+IF(O58,L59,)+IF(O64,L65,)</f>
        <v>0</v>
      </c>
      <c r="K61" s="303"/>
      <c r="L61" s="160">
        <f>IF(N61&lt;=5,15%*N61,)</f>
        <v>0</v>
      </c>
      <c r="M61" s="175" t="s">
        <v>373</v>
      </c>
      <c r="N61" s="179">
        <v>0</v>
      </c>
      <c r="O61" s="305"/>
    </row>
    <row r="62" spans="1:15" ht="17.25" thickBot="1" x14ac:dyDescent="0.3">
      <c r="A62" s="1" t="s">
        <v>116</v>
      </c>
      <c r="B62" s="164">
        <f>IF(B118,66.2%,)+B33</f>
        <v>0</v>
      </c>
      <c r="K62" s="312" t="s">
        <v>374</v>
      </c>
      <c r="L62" s="154">
        <v>0.15</v>
      </c>
      <c r="M62" s="150" t="s">
        <v>45</v>
      </c>
      <c r="N62" s="163" t="s">
        <v>34</v>
      </c>
      <c r="O62" s="314" t="b">
        <v>0</v>
      </c>
    </row>
    <row r="63" spans="1:15" ht="17.25" thickBot="1" x14ac:dyDescent="0.3">
      <c r="A63" s="1" t="s">
        <v>49</v>
      </c>
      <c r="B63" s="2">
        <f>IF(U16,120,)+IF(B123,187,)+IF(C123,187,)+IF(D123,187,)+B31+IF(O38,L38,)+IF(O42,L42,)+IF(U28,R28,)+IF(O64,L64,)+Разное!F3+Разное!F9+Разное!F11+Разное!F13</f>
        <v>0</v>
      </c>
      <c r="K63" s="313"/>
      <c r="L63" s="156">
        <v>0.6</v>
      </c>
      <c r="M63" s="182" t="s">
        <v>375</v>
      </c>
      <c r="N63" s="173">
        <v>1</v>
      </c>
      <c r="O63" s="315"/>
    </row>
    <row r="64" spans="1:15" ht="17.25" thickBot="1" x14ac:dyDescent="0.3">
      <c r="A64" s="1" t="s">
        <v>318</v>
      </c>
      <c r="B64" s="164">
        <f>IF(O6,15%,)+IF(O16,35%,)+IF(O18,35%,)+IF(C126,46.6%,)+IF(U6,35%,)+IF(O20,15%,)+IF(O22,L22,)+IF(O26,15%,)+IF(O32,L33,)+IF(O40,L40,)+IF(O44,L44,)+IF(O52,L53,)+IF(O54,L55,)+IF(O56,L57,)+IF(O58,L58,)+IF(O62,L62,)+Разное!F5+Разное!F15+Разное!F17</f>
        <v>0</v>
      </c>
      <c r="K64" s="302" t="s">
        <v>384</v>
      </c>
      <c r="L64" s="198">
        <v>80</v>
      </c>
      <c r="M64" s="175" t="s">
        <v>31</v>
      </c>
      <c r="N64" s="166" t="s">
        <v>34</v>
      </c>
      <c r="O64" s="304" t="b">
        <v>0</v>
      </c>
    </row>
    <row r="65" spans="1:15" ht="17.25" thickBot="1" x14ac:dyDescent="0.3">
      <c r="A65" s="1" t="s">
        <v>319</v>
      </c>
      <c r="B65" s="164">
        <f>IF(O12,25%,)+IF(O16,35%,)+IF(O18,35%,)+IF(C127,58.3%,)+IF(O24,L24,)+IF(O54,L55,)+IF(O56,L57,)+IF(O58,L58,)</f>
        <v>0</v>
      </c>
      <c r="K65" s="303"/>
      <c r="L65" s="160">
        <f>IF(N65&lt;=2,15%*N65,0)</f>
        <v>0</v>
      </c>
      <c r="M65" s="175" t="s">
        <v>371</v>
      </c>
      <c r="N65" s="179">
        <v>0</v>
      </c>
      <c r="O65" s="305"/>
    </row>
    <row r="66" spans="1:15" x14ac:dyDescent="0.25">
      <c r="A66" s="1" t="s">
        <v>121</v>
      </c>
      <c r="B66" s="164">
        <f>IF(B125,35.9%,)</f>
        <v>0</v>
      </c>
    </row>
    <row r="67" spans="1:15" x14ac:dyDescent="0.25">
      <c r="A67" s="1" t="s">
        <v>327</v>
      </c>
      <c r="B67" s="7">
        <f>IF(O14,35%,)</f>
        <v>0</v>
      </c>
    </row>
    <row r="69" spans="1:15" ht="16.5" x14ac:dyDescent="0.3">
      <c r="A69" s="285" t="s">
        <v>356</v>
      </c>
      <c r="B69" s="286"/>
    </row>
    <row r="70" spans="1:15" x14ac:dyDescent="0.25">
      <c r="A70" s="1" t="s">
        <v>21</v>
      </c>
      <c r="B70" s="172">
        <f>B18+B24</f>
        <v>4780</v>
      </c>
    </row>
    <row r="71" spans="1:15" x14ac:dyDescent="0.25">
      <c r="A71" s="1" t="s">
        <v>22</v>
      </c>
      <c r="B71" s="172">
        <f>B19+B26+Разное!G10+Разное!G14</f>
        <v>311</v>
      </c>
    </row>
    <row r="72" spans="1:15" x14ac:dyDescent="0.25">
      <c r="A72" s="1" t="s">
        <v>115</v>
      </c>
      <c r="B72" s="172">
        <f>B28</f>
        <v>0</v>
      </c>
    </row>
    <row r="73" spans="1:15" x14ac:dyDescent="0.25">
      <c r="A73" s="1"/>
      <c r="B73" s="7"/>
    </row>
    <row r="74" spans="1:15" ht="16.5" x14ac:dyDescent="0.3">
      <c r="A74" s="285" t="s">
        <v>332</v>
      </c>
      <c r="B74" s="286"/>
    </row>
    <row r="75" spans="1:15" x14ac:dyDescent="0.25">
      <c r="A75" s="1" t="s">
        <v>333</v>
      </c>
      <c r="B75" s="7">
        <f>IF(U8,30%,)+IF(U12,40%,)</f>
        <v>0</v>
      </c>
    </row>
    <row r="76" spans="1:15" x14ac:dyDescent="0.25">
      <c r="A76" s="1" t="s">
        <v>334</v>
      </c>
      <c r="B76" s="2"/>
    </row>
    <row r="77" spans="1:15" x14ac:dyDescent="0.25">
      <c r="A77" s="1" t="s">
        <v>442</v>
      </c>
      <c r="B77" s="2"/>
    </row>
    <row r="78" spans="1:15" x14ac:dyDescent="0.25">
      <c r="A78" s="1" t="s">
        <v>358</v>
      </c>
      <c r="B78" s="7">
        <f>IF(U10,20%,)</f>
        <v>0</v>
      </c>
    </row>
    <row r="79" spans="1:15" ht="16.5" x14ac:dyDescent="0.3">
      <c r="A79" s="285" t="s">
        <v>124</v>
      </c>
      <c r="B79" s="286"/>
    </row>
    <row r="80" spans="1:15" x14ac:dyDescent="0.25">
      <c r="A80" s="1" t="s">
        <v>69</v>
      </c>
      <c r="B80" s="177">
        <f>IF(O20,40%,)+IF(O22,40%,)</f>
        <v>0</v>
      </c>
    </row>
    <row r="81" spans="1:2" x14ac:dyDescent="0.25">
      <c r="A81" s="1" t="s">
        <v>106</v>
      </c>
      <c r="B81" s="177">
        <f>IF(O20,40%,)</f>
        <v>0</v>
      </c>
    </row>
    <row r="82" spans="1:2" x14ac:dyDescent="0.25">
      <c r="A82" s="1" t="s">
        <v>73</v>
      </c>
      <c r="B82" s="177">
        <f>IF(O20,40%,)</f>
        <v>0</v>
      </c>
    </row>
    <row r="83" spans="1:2" x14ac:dyDescent="0.25">
      <c r="A83" s="1" t="s">
        <v>70</v>
      </c>
      <c r="B83" s="177">
        <f>IF(O20,20%,)</f>
        <v>0</v>
      </c>
    </row>
    <row r="84" spans="1:2" x14ac:dyDescent="0.25">
      <c r="A84" s="1" t="s">
        <v>71</v>
      </c>
      <c r="B84" s="177"/>
    </row>
    <row r="85" spans="1:2" x14ac:dyDescent="0.25">
      <c r="A85" s="1" t="s">
        <v>72</v>
      </c>
      <c r="B85" s="177"/>
    </row>
    <row r="86" spans="1:2" x14ac:dyDescent="0.25">
      <c r="A86" s="1" t="s">
        <v>67</v>
      </c>
      <c r="B86" s="177">
        <f>IF(O22,15%,)</f>
        <v>0</v>
      </c>
    </row>
    <row r="87" spans="1:2" x14ac:dyDescent="0.25">
      <c r="A87" s="1" t="s">
        <v>68</v>
      </c>
      <c r="B87" s="177">
        <f>IF(O22,15%,)</f>
        <v>0</v>
      </c>
    </row>
    <row r="88" spans="1:2" x14ac:dyDescent="0.25">
      <c r="A88" s="1" t="s">
        <v>360</v>
      </c>
      <c r="B88" s="177">
        <f>IF(O20,40%,)+IF(O42,L43,)</f>
        <v>0</v>
      </c>
    </row>
    <row r="89" spans="1:2" x14ac:dyDescent="0.25">
      <c r="A89" s="1" t="s">
        <v>78</v>
      </c>
      <c r="B89" s="177">
        <f>IF(O22,40%,)+IF(O42,L43,)</f>
        <v>0</v>
      </c>
    </row>
    <row r="90" spans="1:2" x14ac:dyDescent="0.25">
      <c r="A90" s="1" t="s">
        <v>76</v>
      </c>
      <c r="B90" s="177">
        <f>IF(O42,L43,)</f>
        <v>0</v>
      </c>
    </row>
    <row r="91" spans="1:2" x14ac:dyDescent="0.25">
      <c r="A91" s="1" t="s">
        <v>79</v>
      </c>
      <c r="B91" s="177">
        <f>IF(O22,40%,)</f>
        <v>0</v>
      </c>
    </row>
    <row r="92" spans="1:2" x14ac:dyDescent="0.25">
      <c r="A92" s="1" t="s">
        <v>74</v>
      </c>
      <c r="B92" s="177"/>
    </row>
    <row r="93" spans="1:2" x14ac:dyDescent="0.25">
      <c r="A93" s="1" t="s">
        <v>383</v>
      </c>
      <c r="B93" s="177">
        <f>IF(U28,10%,)+IF(O64,10%,)+Разное!F19</f>
        <v>0</v>
      </c>
    </row>
    <row r="94" spans="1:2" ht="15.75" thickBot="1" x14ac:dyDescent="0.3"/>
    <row r="95" spans="1:2" ht="15.75" thickBot="1" x14ac:dyDescent="0.3">
      <c r="A95" s="249" t="s">
        <v>350</v>
      </c>
      <c r="B95" s="250">
        <f>IF(U24,R18,)</f>
        <v>0</v>
      </c>
    </row>
    <row r="117" spans="1:4" x14ac:dyDescent="0.25">
      <c r="A117" s="2"/>
      <c r="B117" s="1" t="s">
        <v>178</v>
      </c>
      <c r="C117" s="1" t="s">
        <v>176</v>
      </c>
      <c r="D117" s="1" t="s">
        <v>177</v>
      </c>
    </row>
    <row r="118" spans="1:4" x14ac:dyDescent="0.25">
      <c r="A118" s="1" t="s">
        <v>173</v>
      </c>
      <c r="B118" s="2" t="b">
        <v>0</v>
      </c>
      <c r="C118" s="2" t="s">
        <v>34</v>
      </c>
      <c r="D118" s="2" t="s">
        <v>34</v>
      </c>
    </row>
    <row r="119" spans="1:4" x14ac:dyDescent="0.25">
      <c r="A119" s="1" t="s">
        <v>179</v>
      </c>
      <c r="B119" s="2" t="b">
        <v>0</v>
      </c>
      <c r="C119" s="2" t="s">
        <v>34</v>
      </c>
      <c r="D119" s="2" t="s">
        <v>34</v>
      </c>
    </row>
    <row r="120" spans="1:4" x14ac:dyDescent="0.25">
      <c r="A120" s="1" t="s">
        <v>2</v>
      </c>
      <c r="B120" s="2" t="b">
        <v>0</v>
      </c>
      <c r="C120" s="2" t="b">
        <v>0</v>
      </c>
      <c r="D120" s="2" t="b">
        <v>0</v>
      </c>
    </row>
    <row r="121" spans="1:4" x14ac:dyDescent="0.25">
      <c r="A121" s="1" t="s">
        <v>25</v>
      </c>
      <c r="B121" s="2" t="b">
        <v>0</v>
      </c>
      <c r="C121" s="2" t="b">
        <v>0</v>
      </c>
      <c r="D121" s="2" t="b">
        <v>0</v>
      </c>
    </row>
    <row r="122" spans="1:4" x14ac:dyDescent="0.25">
      <c r="A122" s="1" t="s">
        <v>127</v>
      </c>
      <c r="B122" s="2" t="b">
        <v>0</v>
      </c>
      <c r="C122" s="2" t="b">
        <v>0</v>
      </c>
      <c r="D122" s="2" t="b">
        <v>0</v>
      </c>
    </row>
    <row r="123" spans="1:4" x14ac:dyDescent="0.25">
      <c r="A123" s="1" t="s">
        <v>31</v>
      </c>
      <c r="B123" s="2" t="b">
        <v>0</v>
      </c>
      <c r="C123" s="2" t="b">
        <v>0</v>
      </c>
      <c r="D123" s="2" t="b">
        <v>0</v>
      </c>
    </row>
    <row r="124" spans="1:4" x14ac:dyDescent="0.25">
      <c r="A124" s="1" t="s">
        <v>30</v>
      </c>
      <c r="B124" s="2" t="s">
        <v>34</v>
      </c>
      <c r="C124" s="2" t="s">
        <v>34</v>
      </c>
      <c r="D124" s="2" t="b">
        <v>0</v>
      </c>
    </row>
    <row r="125" spans="1:4" x14ac:dyDescent="0.25">
      <c r="A125" s="1" t="s">
        <v>121</v>
      </c>
      <c r="B125" s="2" t="b">
        <v>0</v>
      </c>
      <c r="C125" s="2" t="s">
        <v>34</v>
      </c>
      <c r="D125" s="2" t="s">
        <v>34</v>
      </c>
    </row>
    <row r="126" spans="1:4" x14ac:dyDescent="0.25">
      <c r="A126" s="1" t="s">
        <v>45</v>
      </c>
      <c r="B126" s="2" t="s">
        <v>34</v>
      </c>
      <c r="C126" s="2" t="b">
        <v>0</v>
      </c>
      <c r="D126" s="2" t="s">
        <v>34</v>
      </c>
    </row>
    <row r="127" spans="1:4" x14ac:dyDescent="0.25">
      <c r="A127" s="1" t="s">
        <v>119</v>
      </c>
      <c r="B127" s="2" t="s">
        <v>34</v>
      </c>
      <c r="C127" s="2" t="b">
        <v>0</v>
      </c>
      <c r="D127" s="2" t="s">
        <v>34</v>
      </c>
    </row>
    <row r="131" spans="1:1" ht="16.5" x14ac:dyDescent="0.3">
      <c r="A131" s="41"/>
    </row>
    <row r="132" spans="1:1" ht="16.5" x14ac:dyDescent="0.3">
      <c r="A132" s="41"/>
    </row>
    <row r="133" spans="1:1" ht="16.5" x14ac:dyDescent="0.3">
      <c r="A133" s="41"/>
    </row>
    <row r="134" spans="1:1" ht="16.5" x14ac:dyDescent="0.3">
      <c r="A134" s="41"/>
    </row>
    <row r="135" spans="1:1" ht="16.5" x14ac:dyDescent="0.3">
      <c r="A135" s="41"/>
    </row>
    <row r="136" spans="1:1" ht="16.5" x14ac:dyDescent="0.3">
      <c r="A136" s="41"/>
    </row>
    <row r="137" spans="1:1" ht="16.5" x14ac:dyDescent="0.3">
      <c r="A137" s="41"/>
    </row>
    <row r="138" spans="1:1" ht="16.5" x14ac:dyDescent="0.3">
      <c r="A138" s="41"/>
    </row>
    <row r="139" spans="1:1" ht="16.5" x14ac:dyDescent="0.3">
      <c r="A139" s="41"/>
    </row>
    <row r="140" spans="1:1" ht="16.5" x14ac:dyDescent="0.3">
      <c r="A140" s="41"/>
    </row>
    <row r="141" spans="1:1" ht="16.5" x14ac:dyDescent="0.3">
      <c r="A141" s="41"/>
    </row>
    <row r="142" spans="1:1" ht="16.5" x14ac:dyDescent="0.3">
      <c r="A142" s="41"/>
    </row>
    <row r="143" spans="1:1" ht="16.5" x14ac:dyDescent="0.3">
      <c r="A143" s="41"/>
    </row>
    <row r="144" spans="1:1" ht="16.5" x14ac:dyDescent="0.3">
      <c r="A144" s="41"/>
    </row>
    <row r="145" spans="1:1" ht="16.5" x14ac:dyDescent="0.3">
      <c r="A145" s="41"/>
    </row>
    <row r="146" spans="1:1" ht="16.5" x14ac:dyDescent="0.3">
      <c r="A146" s="41"/>
    </row>
    <row r="147" spans="1:1" ht="16.5" x14ac:dyDescent="0.3">
      <c r="A147" s="41"/>
    </row>
    <row r="148" spans="1:1" ht="16.5" x14ac:dyDescent="0.3">
      <c r="A148" s="41"/>
    </row>
    <row r="149" spans="1:1" ht="16.5" x14ac:dyDescent="0.3">
      <c r="A149" s="41"/>
    </row>
    <row r="150" spans="1:1" ht="16.5" x14ac:dyDescent="0.3">
      <c r="A150" s="41"/>
    </row>
    <row r="151" spans="1:1" ht="16.5" x14ac:dyDescent="0.3">
      <c r="A151" s="41"/>
    </row>
    <row r="152" spans="1:1" ht="16.5" x14ac:dyDescent="0.3">
      <c r="A152" s="41"/>
    </row>
    <row r="153" spans="1:1" ht="16.5" x14ac:dyDescent="0.3">
      <c r="A153" s="41"/>
    </row>
    <row r="154" spans="1:1" ht="16.5" x14ac:dyDescent="0.3">
      <c r="A154" s="41"/>
    </row>
    <row r="155" spans="1:1" ht="16.5" x14ac:dyDescent="0.3">
      <c r="A155" s="41"/>
    </row>
    <row r="156" spans="1:1" ht="16.5" x14ac:dyDescent="0.3">
      <c r="A156" s="41"/>
    </row>
    <row r="157" spans="1:1" ht="16.5" x14ac:dyDescent="0.3">
      <c r="A157" s="41"/>
    </row>
    <row r="158" spans="1:1" ht="16.5" x14ac:dyDescent="0.3">
      <c r="A158" s="41"/>
    </row>
    <row r="159" spans="1:1" ht="16.5" x14ac:dyDescent="0.3">
      <c r="A159" s="41"/>
    </row>
    <row r="160" spans="1:1" ht="16.5" x14ac:dyDescent="0.3">
      <c r="A160" s="41"/>
    </row>
    <row r="161" spans="1:4" ht="16.5" x14ac:dyDescent="0.3">
      <c r="A161" s="41"/>
    </row>
    <row r="162" spans="1:4" ht="16.5" x14ac:dyDescent="0.3">
      <c r="A162" s="41"/>
      <c r="C162" s="66"/>
      <c r="D162" s="65"/>
    </row>
    <row r="163" spans="1:4" ht="16.5" x14ac:dyDescent="0.3">
      <c r="A163" s="41"/>
    </row>
    <row r="164" spans="1:4" ht="16.5" x14ac:dyDescent="0.3">
      <c r="A164" s="41"/>
    </row>
    <row r="165" spans="1:4" ht="16.5" x14ac:dyDescent="0.3">
      <c r="A165" s="41"/>
    </row>
    <row r="166" spans="1:4" ht="16.5" x14ac:dyDescent="0.3">
      <c r="A166" s="41"/>
    </row>
    <row r="167" spans="1:4" ht="16.5" x14ac:dyDescent="0.3">
      <c r="A167" s="41"/>
    </row>
    <row r="168" spans="1:4" ht="16.5" x14ac:dyDescent="0.3">
      <c r="A168" s="41"/>
    </row>
  </sheetData>
  <mergeCells count="134">
    <mergeCell ref="A69:B69"/>
    <mergeCell ref="A79:B79"/>
    <mergeCell ref="K22:K23"/>
    <mergeCell ref="O22:O23"/>
    <mergeCell ref="K24:K25"/>
    <mergeCell ref="O24:O25"/>
    <mergeCell ref="K26:K27"/>
    <mergeCell ref="O26:O27"/>
    <mergeCell ref="K28:K29"/>
    <mergeCell ref="O28:O29"/>
    <mergeCell ref="K30:K31"/>
    <mergeCell ref="O30:O31"/>
    <mergeCell ref="A74:B74"/>
    <mergeCell ref="A55:B55"/>
    <mergeCell ref="K34:K35"/>
    <mergeCell ref="O34:O35"/>
    <mergeCell ref="K38:K39"/>
    <mergeCell ref="O38:O39"/>
    <mergeCell ref="K40:K41"/>
    <mergeCell ref="O40:O41"/>
    <mergeCell ref="A47:B47"/>
    <mergeCell ref="A39:B39"/>
    <mergeCell ref="O52:O53"/>
    <mergeCell ref="K42:K43"/>
    <mergeCell ref="B4:E4"/>
    <mergeCell ref="U18:U19"/>
    <mergeCell ref="U20:U21"/>
    <mergeCell ref="U6:U7"/>
    <mergeCell ref="U8:U9"/>
    <mergeCell ref="U10:U11"/>
    <mergeCell ref="U12:U13"/>
    <mergeCell ref="U14:U15"/>
    <mergeCell ref="U16:U17"/>
    <mergeCell ref="T6:T7"/>
    <mergeCell ref="T8:T9"/>
    <mergeCell ref="S6:S7"/>
    <mergeCell ref="S8:S9"/>
    <mergeCell ref="R6:R7"/>
    <mergeCell ref="R8:R9"/>
    <mergeCell ref="Q4:U4"/>
    <mergeCell ref="K4:O4"/>
    <mergeCell ref="T20:T21"/>
    <mergeCell ref="S18:S19"/>
    <mergeCell ref="R10:R11"/>
    <mergeCell ref="S10:S11"/>
    <mergeCell ref="T10:T11"/>
    <mergeCell ref="T18:T19"/>
    <mergeCell ref="T12:T13"/>
    <mergeCell ref="A17:B17"/>
    <mergeCell ref="A23:B23"/>
    <mergeCell ref="A16:B16"/>
    <mergeCell ref="K14:K15"/>
    <mergeCell ref="K36:K37"/>
    <mergeCell ref="O36:O37"/>
    <mergeCell ref="K6:K7"/>
    <mergeCell ref="O6:O7"/>
    <mergeCell ref="Q10:Q11"/>
    <mergeCell ref="Q20:Q21"/>
    <mergeCell ref="K20:K21"/>
    <mergeCell ref="O20:O21"/>
    <mergeCell ref="K32:K33"/>
    <mergeCell ref="O32:O33"/>
    <mergeCell ref="O14:O15"/>
    <mergeCell ref="K16:K17"/>
    <mergeCell ref="O16:O17"/>
    <mergeCell ref="Q16:Q17"/>
    <mergeCell ref="Q18:Q19"/>
    <mergeCell ref="U26:U27"/>
    <mergeCell ref="S12:S13"/>
    <mergeCell ref="S14:S15"/>
    <mergeCell ref="S16:S17"/>
    <mergeCell ref="Q6:Q7"/>
    <mergeCell ref="Q8:Q9"/>
    <mergeCell ref="K8:K9"/>
    <mergeCell ref="O8:O9"/>
    <mergeCell ref="K18:K19"/>
    <mergeCell ref="O18:O19"/>
    <mergeCell ref="Q12:Q13"/>
    <mergeCell ref="U24:U25"/>
    <mergeCell ref="K10:K11"/>
    <mergeCell ref="O10:O11"/>
    <mergeCell ref="U22:U23"/>
    <mergeCell ref="Q14:Q15"/>
    <mergeCell ref="R22:R23"/>
    <mergeCell ref="K12:K13"/>
    <mergeCell ref="O12:O13"/>
    <mergeCell ref="R24:R25"/>
    <mergeCell ref="R26:R27"/>
    <mergeCell ref="R18:R19"/>
    <mergeCell ref="R20:R21"/>
    <mergeCell ref="R12:R13"/>
    <mergeCell ref="O46:O47"/>
    <mergeCell ref="T14:T15"/>
    <mergeCell ref="T16:T17"/>
    <mergeCell ref="R16:R17"/>
    <mergeCell ref="S26:S27"/>
    <mergeCell ref="T22:T23"/>
    <mergeCell ref="T26:T27"/>
    <mergeCell ref="Q22:Q23"/>
    <mergeCell ref="Q24:Q25"/>
    <mergeCell ref="Q26:Q27"/>
    <mergeCell ref="S24:S25"/>
    <mergeCell ref="T24:T25"/>
    <mergeCell ref="S22:S23"/>
    <mergeCell ref="S20:S21"/>
    <mergeCell ref="Q28:Q29"/>
    <mergeCell ref="R28:R29"/>
    <mergeCell ref="S28:S29"/>
    <mergeCell ref="T28:T29"/>
    <mergeCell ref="R14:R15"/>
    <mergeCell ref="U28:U29"/>
    <mergeCell ref="K64:K65"/>
    <mergeCell ref="O64:O65"/>
    <mergeCell ref="A1:U2"/>
    <mergeCell ref="K60:K61"/>
    <mergeCell ref="O60:O61"/>
    <mergeCell ref="K62:K63"/>
    <mergeCell ref="O62:O63"/>
    <mergeCell ref="H4:I4"/>
    <mergeCell ref="K54:K55"/>
    <mergeCell ref="O54:O55"/>
    <mergeCell ref="K56:K57"/>
    <mergeCell ref="O56:O57"/>
    <mergeCell ref="K58:K59"/>
    <mergeCell ref="O58:O59"/>
    <mergeCell ref="K48:K49"/>
    <mergeCell ref="O48:O49"/>
    <mergeCell ref="K50:K51"/>
    <mergeCell ref="O50:O51"/>
    <mergeCell ref="K52:K53"/>
    <mergeCell ref="O42:O43"/>
    <mergeCell ref="K44:K45"/>
    <mergeCell ref="O44:O45"/>
    <mergeCell ref="K46:K47"/>
  </mergeCells>
  <conditionalFormatting sqref="K6:K65">
    <cfRule type="expression" dxfId="12" priority="22">
      <formula>$O6</formula>
    </cfRule>
  </conditionalFormatting>
  <conditionalFormatting sqref="Q26">
    <cfRule type="expression" dxfId="11" priority="29">
      <formula>$U26%</formula>
    </cfRule>
  </conditionalFormatting>
  <conditionalFormatting sqref="Q6:Q7">
    <cfRule type="expression" dxfId="10" priority="16">
      <formula>$U$6</formula>
    </cfRule>
  </conditionalFormatting>
  <conditionalFormatting sqref="Q8:Q9">
    <cfRule type="expression" dxfId="9" priority="15">
      <formula>$U$8</formula>
    </cfRule>
  </conditionalFormatting>
  <conditionalFormatting sqref="Q10:Q11">
    <cfRule type="expression" dxfId="8" priority="12">
      <formula>$U$10</formula>
    </cfRule>
  </conditionalFormatting>
  <conditionalFormatting sqref="Q12:Q13">
    <cfRule type="expression" dxfId="7" priority="11">
      <formula>$U$12</formula>
    </cfRule>
  </conditionalFormatting>
  <conditionalFormatting sqref="Q14:Q15">
    <cfRule type="expression" dxfId="6" priority="10">
      <formula>$U$14</formula>
    </cfRule>
  </conditionalFormatting>
  <conditionalFormatting sqref="Q28:Q29">
    <cfRule type="expression" dxfId="5" priority="1">
      <formula>U$28%</formula>
    </cfRule>
  </conditionalFormatting>
  <conditionalFormatting sqref="Q16:Q17">
    <cfRule type="expression" dxfId="4" priority="8">
      <formula>U$16%</formula>
    </cfRule>
  </conditionalFormatting>
  <conditionalFormatting sqref="Q18:Q19">
    <cfRule type="expression" dxfId="3" priority="5">
      <formula>U$18%</formula>
    </cfRule>
  </conditionalFormatting>
  <conditionalFormatting sqref="Q20:Q21">
    <cfRule type="expression" dxfId="2" priority="4">
      <formula>U$20%</formula>
    </cfRule>
  </conditionalFormatting>
  <conditionalFormatting sqref="Q24:Q25">
    <cfRule type="expression" dxfId="1" priority="3">
      <formula>U$24%</formula>
    </cfRule>
  </conditionalFormatting>
  <conditionalFormatting sqref="Q22:Q23">
    <cfRule type="expression" dxfId="0" priority="2">
      <formula>U$22%</formula>
    </cfRule>
  </conditionalFormatting>
  <pageMargins left="0.7" right="0.7" top="0.75" bottom="0.75" header="0.3" footer="0.3"/>
  <ignoredErrors>
    <ignoredError sqref="F10 F7"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5121" r:id="rId3" name="Check Box 1">
              <controlPr defaultSize="0" autoFill="0" autoLine="0" autoPict="0" altText="12">
                <anchor moveWithCells="1">
                  <from>
                    <xdr:col>4</xdr:col>
                    <xdr:colOff>523875</xdr:colOff>
                    <xdr:row>21</xdr:row>
                    <xdr:rowOff>0</xdr:rowOff>
                  </from>
                  <to>
                    <xdr:col>5</xdr:col>
                    <xdr:colOff>371475</xdr:colOff>
                    <xdr:row>21</xdr:row>
                    <xdr:rowOff>276225</xdr:rowOff>
                  </to>
                </anchor>
              </controlPr>
            </control>
          </mc:Choice>
        </mc:AlternateContent>
        <mc:AlternateContent xmlns:mc="http://schemas.openxmlformats.org/markup-compatibility/2006">
          <mc:Choice Requires="x14">
            <control shapeId="5122" r:id="rId4" name="Check Box 2">
              <controlPr defaultSize="0" autoFill="0" autoLine="0" autoPict="0" altText="">
                <anchor moveWithCells="1">
                  <from>
                    <xdr:col>3</xdr:col>
                    <xdr:colOff>619125</xdr:colOff>
                    <xdr:row>21</xdr:row>
                    <xdr:rowOff>9525</xdr:rowOff>
                  </from>
                  <to>
                    <xdr:col>4</xdr:col>
                    <xdr:colOff>523875</xdr:colOff>
                    <xdr:row>21</xdr:row>
                    <xdr:rowOff>257175</xdr:rowOff>
                  </to>
                </anchor>
              </controlPr>
            </control>
          </mc:Choice>
        </mc:AlternateContent>
        <mc:AlternateContent xmlns:mc="http://schemas.openxmlformats.org/markup-compatibility/2006">
          <mc:Choice Requires="x14">
            <control shapeId="5123" r:id="rId5" name="Check Box 3">
              <controlPr defaultSize="0" autoFill="0" autoLine="0" autoPict="0" altText="">
                <anchor moveWithCells="1">
                  <from>
                    <xdr:col>1</xdr:col>
                    <xdr:colOff>0</xdr:colOff>
                    <xdr:row>21</xdr:row>
                    <xdr:rowOff>0</xdr:rowOff>
                  </from>
                  <to>
                    <xdr:col>1</xdr:col>
                    <xdr:colOff>866775</xdr:colOff>
                    <xdr:row>21</xdr:row>
                    <xdr:rowOff>238125</xdr:rowOff>
                  </to>
                </anchor>
              </controlPr>
            </control>
          </mc:Choice>
        </mc:AlternateContent>
        <mc:AlternateContent xmlns:mc="http://schemas.openxmlformats.org/markup-compatibility/2006">
          <mc:Choice Requires="x14">
            <control shapeId="5124" r:id="rId6" name="Check Box 4">
              <controlPr defaultSize="0" autoFill="0" autoLine="0" autoPict="0" altText="">
                <anchor moveWithCells="1">
                  <from>
                    <xdr:col>2</xdr:col>
                    <xdr:colOff>657225</xdr:colOff>
                    <xdr:row>20</xdr:row>
                    <xdr:rowOff>266700</xdr:rowOff>
                  </from>
                  <to>
                    <xdr:col>3</xdr:col>
                    <xdr:colOff>190500</xdr:colOff>
                    <xdr:row>21</xdr:row>
                    <xdr:rowOff>228600</xdr:rowOff>
                  </to>
                </anchor>
              </controlPr>
            </control>
          </mc:Choice>
        </mc:AlternateContent>
        <mc:AlternateContent xmlns:mc="http://schemas.openxmlformats.org/markup-compatibility/2006">
          <mc:Choice Requires="x14">
            <control shapeId="5125" r:id="rId7" name="Check Box 5">
              <controlPr defaultSize="0" autoFill="0" autoLine="0" autoPict="0" altText="">
                <anchor moveWithCells="1">
                  <from>
                    <xdr:col>1</xdr:col>
                    <xdr:colOff>866775</xdr:colOff>
                    <xdr:row>21</xdr:row>
                    <xdr:rowOff>9525</xdr:rowOff>
                  </from>
                  <to>
                    <xdr:col>2</xdr:col>
                    <xdr:colOff>666750</xdr:colOff>
                    <xdr:row>21</xdr:row>
                    <xdr:rowOff>238125</xdr:rowOff>
                  </to>
                </anchor>
              </controlPr>
            </control>
          </mc:Choice>
        </mc:AlternateContent>
        <mc:AlternateContent xmlns:mc="http://schemas.openxmlformats.org/markup-compatibility/2006">
          <mc:Choice Requires="x14">
            <control shapeId="5126" r:id="rId8" name="Check Box 6">
              <controlPr defaultSize="0" autoFill="0" autoLine="0" autoPict="0" altText="">
                <anchor moveWithCells="1">
                  <from>
                    <xdr:col>5</xdr:col>
                    <xdr:colOff>361950</xdr:colOff>
                    <xdr:row>20</xdr:row>
                    <xdr:rowOff>276225</xdr:rowOff>
                  </from>
                  <to>
                    <xdr:col>6</xdr:col>
                    <xdr:colOff>390525</xdr:colOff>
                    <xdr:row>22</xdr:row>
                    <xdr:rowOff>0</xdr:rowOff>
                  </to>
                </anchor>
              </controlPr>
            </control>
          </mc:Choice>
        </mc:AlternateContent>
        <mc:AlternateContent xmlns:mc="http://schemas.openxmlformats.org/markup-compatibility/2006">
          <mc:Choice Requires="x14">
            <control shapeId="5127" r:id="rId9" name="Check Box 7">
              <controlPr defaultSize="0" autoFill="0" autoLine="0" autoPict="0" altText="">
                <anchor moveWithCells="1">
                  <from>
                    <xdr:col>3</xdr:col>
                    <xdr:colOff>190500</xdr:colOff>
                    <xdr:row>20</xdr:row>
                    <xdr:rowOff>257175</xdr:rowOff>
                  </from>
                  <to>
                    <xdr:col>3</xdr:col>
                    <xdr:colOff>628650</xdr:colOff>
                    <xdr:row>21</xdr:row>
                    <xdr:rowOff>238125</xdr:rowOff>
                  </to>
                </anchor>
              </controlPr>
            </control>
          </mc:Choice>
        </mc:AlternateContent>
        <mc:AlternateContent xmlns:mc="http://schemas.openxmlformats.org/markup-compatibility/2006">
          <mc:Choice Requires="x14">
            <control shapeId="5128" r:id="rId10" name="Check Box 8">
              <controlPr defaultSize="0" autoFill="0" autoLine="0" autoPict="0" altText="">
                <anchor moveWithCells="1">
                  <from>
                    <xdr:col>3</xdr:col>
                    <xdr:colOff>638175</xdr:colOff>
                    <xdr:row>20</xdr:row>
                    <xdr:rowOff>28575</xdr:rowOff>
                  </from>
                  <to>
                    <xdr:col>4</xdr:col>
                    <xdr:colOff>400050</xdr:colOff>
                    <xdr:row>20</xdr:row>
                    <xdr:rowOff>276225</xdr:rowOff>
                  </to>
                </anchor>
              </controlPr>
            </control>
          </mc:Choice>
        </mc:AlternateContent>
        <mc:AlternateContent xmlns:mc="http://schemas.openxmlformats.org/markup-compatibility/2006">
          <mc:Choice Requires="x14">
            <control shapeId="5129" r:id="rId11" name="Check Box 9">
              <controlPr defaultSize="0" autoFill="0" autoLine="0" autoPict="0" altText="">
                <anchor moveWithCells="1">
                  <from>
                    <xdr:col>4</xdr:col>
                    <xdr:colOff>381000</xdr:colOff>
                    <xdr:row>20</xdr:row>
                    <xdr:rowOff>28575</xdr:rowOff>
                  </from>
                  <to>
                    <xdr:col>5</xdr:col>
                    <xdr:colOff>190500</xdr:colOff>
                    <xdr:row>20</xdr:row>
                    <xdr:rowOff>276225</xdr:rowOff>
                  </to>
                </anchor>
              </controlPr>
            </control>
          </mc:Choice>
        </mc:AlternateContent>
        <mc:AlternateContent xmlns:mc="http://schemas.openxmlformats.org/markup-compatibility/2006">
          <mc:Choice Requires="x14">
            <control shapeId="5130" r:id="rId12" name="Check Box 10">
              <controlPr defaultSize="0" autoFill="0" autoLine="0" autoPict="0" altText="">
                <anchor moveWithCells="1">
                  <from>
                    <xdr:col>1</xdr:col>
                    <xdr:colOff>0</xdr:colOff>
                    <xdr:row>20</xdr:row>
                    <xdr:rowOff>38100</xdr:rowOff>
                  </from>
                  <to>
                    <xdr:col>1</xdr:col>
                    <xdr:colOff>876300</xdr:colOff>
                    <xdr:row>20</xdr:row>
                    <xdr:rowOff>276225</xdr:rowOff>
                  </to>
                </anchor>
              </controlPr>
            </control>
          </mc:Choice>
        </mc:AlternateContent>
        <mc:AlternateContent xmlns:mc="http://schemas.openxmlformats.org/markup-compatibility/2006">
          <mc:Choice Requires="x14">
            <control shapeId="5131" r:id="rId13" name="Check Box 11">
              <controlPr defaultSize="0" autoFill="0" autoLine="0" autoPict="0" altText="">
                <anchor moveWithCells="1">
                  <from>
                    <xdr:col>1</xdr:col>
                    <xdr:colOff>0</xdr:colOff>
                    <xdr:row>19</xdr:row>
                    <xdr:rowOff>9525</xdr:rowOff>
                  </from>
                  <to>
                    <xdr:col>1</xdr:col>
                    <xdr:colOff>885825</xdr:colOff>
                    <xdr:row>20</xdr:row>
                    <xdr:rowOff>28575</xdr:rowOff>
                  </to>
                </anchor>
              </controlPr>
            </control>
          </mc:Choice>
        </mc:AlternateContent>
        <mc:AlternateContent xmlns:mc="http://schemas.openxmlformats.org/markup-compatibility/2006">
          <mc:Choice Requires="x14">
            <control shapeId="5132" r:id="rId14" name="Check Box 12">
              <controlPr defaultSize="0" autoFill="0" autoLine="0" autoPict="0" altText="">
                <anchor moveWithCells="1">
                  <from>
                    <xdr:col>2</xdr:col>
                    <xdr:colOff>676275</xdr:colOff>
                    <xdr:row>20</xdr:row>
                    <xdr:rowOff>19050</xdr:rowOff>
                  </from>
                  <to>
                    <xdr:col>3</xdr:col>
                    <xdr:colOff>219075</xdr:colOff>
                    <xdr:row>20</xdr:row>
                    <xdr:rowOff>257175</xdr:rowOff>
                  </to>
                </anchor>
              </controlPr>
            </control>
          </mc:Choice>
        </mc:AlternateContent>
        <mc:AlternateContent xmlns:mc="http://schemas.openxmlformats.org/markup-compatibility/2006">
          <mc:Choice Requires="x14">
            <control shapeId="5133" r:id="rId15" name="Check Box 13">
              <controlPr defaultSize="0" autoFill="0" autoLine="0" autoPict="0" altText="">
                <anchor moveWithCells="1">
                  <from>
                    <xdr:col>2</xdr:col>
                    <xdr:colOff>704850</xdr:colOff>
                    <xdr:row>19</xdr:row>
                    <xdr:rowOff>19050</xdr:rowOff>
                  </from>
                  <to>
                    <xdr:col>3</xdr:col>
                    <xdr:colOff>228600</xdr:colOff>
                    <xdr:row>20</xdr:row>
                    <xdr:rowOff>28575</xdr:rowOff>
                  </to>
                </anchor>
              </controlPr>
            </control>
          </mc:Choice>
        </mc:AlternateContent>
        <mc:AlternateContent xmlns:mc="http://schemas.openxmlformats.org/markup-compatibility/2006">
          <mc:Choice Requires="x14">
            <control shapeId="5134" r:id="rId16" name="Check Box 14">
              <controlPr defaultSize="0" autoFill="0" autoLine="0" autoPict="0" altText="">
                <anchor moveWithCells="1">
                  <from>
                    <xdr:col>1</xdr:col>
                    <xdr:colOff>895350</xdr:colOff>
                    <xdr:row>20</xdr:row>
                    <xdr:rowOff>28575</xdr:rowOff>
                  </from>
                  <to>
                    <xdr:col>2</xdr:col>
                    <xdr:colOff>676275</xdr:colOff>
                    <xdr:row>20</xdr:row>
                    <xdr:rowOff>276225</xdr:rowOff>
                  </to>
                </anchor>
              </controlPr>
            </control>
          </mc:Choice>
        </mc:AlternateContent>
        <mc:AlternateContent xmlns:mc="http://schemas.openxmlformats.org/markup-compatibility/2006">
          <mc:Choice Requires="x14">
            <control shapeId="5135" r:id="rId17" name="Check Box 15">
              <controlPr defaultSize="0" autoFill="0" autoLine="0" autoPict="0" altText="">
                <anchor moveWithCells="1">
                  <from>
                    <xdr:col>1</xdr:col>
                    <xdr:colOff>904875</xdr:colOff>
                    <xdr:row>19</xdr:row>
                    <xdr:rowOff>9525</xdr:rowOff>
                  </from>
                  <to>
                    <xdr:col>2</xdr:col>
                    <xdr:colOff>695325</xdr:colOff>
                    <xdr:row>20</xdr:row>
                    <xdr:rowOff>38100</xdr:rowOff>
                  </to>
                </anchor>
              </controlPr>
            </control>
          </mc:Choice>
        </mc:AlternateContent>
        <mc:AlternateContent xmlns:mc="http://schemas.openxmlformats.org/markup-compatibility/2006">
          <mc:Choice Requires="x14">
            <control shapeId="5136" r:id="rId18" name="Check Box 16">
              <controlPr defaultSize="0" autoFill="0" autoLine="0" autoPict="0" altText="">
                <anchor moveWithCells="1">
                  <from>
                    <xdr:col>3</xdr:col>
                    <xdr:colOff>228600</xdr:colOff>
                    <xdr:row>20</xdr:row>
                    <xdr:rowOff>9525</xdr:rowOff>
                  </from>
                  <to>
                    <xdr:col>3</xdr:col>
                    <xdr:colOff>647700</xdr:colOff>
                    <xdr:row>20</xdr:row>
                    <xdr:rowOff>257175</xdr:rowOff>
                  </to>
                </anchor>
              </controlPr>
            </control>
          </mc:Choice>
        </mc:AlternateContent>
        <mc:AlternateContent xmlns:mc="http://schemas.openxmlformats.org/markup-compatibility/2006">
          <mc:Choice Requires="x14">
            <control shapeId="5137" r:id="rId19" name="Check Box 17">
              <controlPr defaultSize="0" autoFill="0" autoLine="0" autoPict="0" altText="">
                <anchor moveWithCells="1">
                  <from>
                    <xdr:col>3</xdr:col>
                    <xdr:colOff>228600</xdr:colOff>
                    <xdr:row>19</xdr:row>
                    <xdr:rowOff>19050</xdr:rowOff>
                  </from>
                  <to>
                    <xdr:col>3</xdr:col>
                    <xdr:colOff>666750</xdr:colOff>
                    <xdr:row>20</xdr:row>
                    <xdr:rowOff>38100</xdr:rowOff>
                  </to>
                </anchor>
              </controlPr>
            </control>
          </mc:Choice>
        </mc:AlternateContent>
        <mc:AlternateContent xmlns:mc="http://schemas.openxmlformats.org/markup-compatibility/2006">
          <mc:Choice Requires="x14">
            <control shapeId="5138" r:id="rId20" name="Check Box 18">
              <controlPr defaultSize="0" autoFill="0" autoLine="0" autoPict="0" altText="">
                <anchor moveWithCells="1">
                  <from>
                    <xdr:col>3</xdr:col>
                    <xdr:colOff>657225</xdr:colOff>
                    <xdr:row>19</xdr:row>
                    <xdr:rowOff>28575</xdr:rowOff>
                  </from>
                  <to>
                    <xdr:col>4</xdr:col>
                    <xdr:colOff>238125</xdr:colOff>
                    <xdr:row>20</xdr:row>
                    <xdr:rowOff>47625</xdr:rowOff>
                  </to>
                </anchor>
              </controlPr>
            </control>
          </mc:Choice>
        </mc:AlternateContent>
        <mc:AlternateContent xmlns:mc="http://schemas.openxmlformats.org/markup-compatibility/2006">
          <mc:Choice Requires="x14">
            <control shapeId="5236" r:id="rId21" name="Check Box 116">
              <controlPr locked="0" defaultSize="0" autoFill="0" autoLine="0" autoPict="0">
                <anchor moveWithCells="1">
                  <from>
                    <xdr:col>14</xdr:col>
                    <xdr:colOff>76200</xdr:colOff>
                    <xdr:row>5</xdr:row>
                    <xdr:rowOff>95250</xdr:rowOff>
                  </from>
                  <to>
                    <xdr:col>14</xdr:col>
                    <xdr:colOff>647700</xdr:colOff>
                    <xdr:row>6</xdr:row>
                    <xdr:rowOff>95250</xdr:rowOff>
                  </to>
                </anchor>
              </controlPr>
            </control>
          </mc:Choice>
        </mc:AlternateContent>
        <mc:AlternateContent xmlns:mc="http://schemas.openxmlformats.org/markup-compatibility/2006">
          <mc:Choice Requires="x14">
            <control shapeId="5246" r:id="rId22" name="Check Box 126">
              <controlPr locked="0" defaultSize="0" autoFill="0" autoLine="0" autoPict="0">
                <anchor moveWithCells="1">
                  <from>
                    <xdr:col>14</xdr:col>
                    <xdr:colOff>95250</xdr:colOff>
                    <xdr:row>7</xdr:row>
                    <xdr:rowOff>114300</xdr:rowOff>
                  </from>
                  <to>
                    <xdr:col>14</xdr:col>
                    <xdr:colOff>666750</xdr:colOff>
                    <xdr:row>8</xdr:row>
                    <xdr:rowOff>114300</xdr:rowOff>
                  </to>
                </anchor>
              </controlPr>
            </control>
          </mc:Choice>
        </mc:AlternateContent>
        <mc:AlternateContent xmlns:mc="http://schemas.openxmlformats.org/markup-compatibility/2006">
          <mc:Choice Requires="x14">
            <control shapeId="5248" r:id="rId23" name="Check Box 128">
              <controlPr locked="0" defaultSize="0" autoFill="0" autoLine="0" autoPict="0">
                <anchor moveWithCells="1">
                  <from>
                    <xdr:col>14</xdr:col>
                    <xdr:colOff>95250</xdr:colOff>
                    <xdr:row>9</xdr:row>
                    <xdr:rowOff>104775</xdr:rowOff>
                  </from>
                  <to>
                    <xdr:col>14</xdr:col>
                    <xdr:colOff>666750</xdr:colOff>
                    <xdr:row>10</xdr:row>
                    <xdr:rowOff>104775</xdr:rowOff>
                  </to>
                </anchor>
              </controlPr>
            </control>
          </mc:Choice>
        </mc:AlternateContent>
        <mc:AlternateContent xmlns:mc="http://schemas.openxmlformats.org/markup-compatibility/2006">
          <mc:Choice Requires="x14">
            <control shapeId="5254" r:id="rId24" name="Check Box 134">
              <controlPr locked="0" defaultSize="0" autoFill="0" autoLine="0" autoPict="0">
                <anchor moveWithCells="1">
                  <from>
                    <xdr:col>14</xdr:col>
                    <xdr:colOff>104775</xdr:colOff>
                    <xdr:row>13</xdr:row>
                    <xdr:rowOff>95250</xdr:rowOff>
                  </from>
                  <to>
                    <xdr:col>14</xdr:col>
                    <xdr:colOff>676275</xdr:colOff>
                    <xdr:row>14</xdr:row>
                    <xdr:rowOff>95250</xdr:rowOff>
                  </to>
                </anchor>
              </controlPr>
            </control>
          </mc:Choice>
        </mc:AlternateContent>
        <mc:AlternateContent xmlns:mc="http://schemas.openxmlformats.org/markup-compatibility/2006">
          <mc:Choice Requires="x14">
            <control shapeId="5250" r:id="rId25" name="Check Box 130">
              <controlPr locked="0" defaultSize="0" autoFill="0" autoLine="0" autoPict="0">
                <anchor moveWithCells="1">
                  <from>
                    <xdr:col>14</xdr:col>
                    <xdr:colOff>95250</xdr:colOff>
                    <xdr:row>11</xdr:row>
                    <xdr:rowOff>114300</xdr:rowOff>
                  </from>
                  <to>
                    <xdr:col>14</xdr:col>
                    <xdr:colOff>666750</xdr:colOff>
                    <xdr:row>12</xdr:row>
                    <xdr:rowOff>114300</xdr:rowOff>
                  </to>
                </anchor>
              </controlPr>
            </control>
          </mc:Choice>
        </mc:AlternateContent>
        <mc:AlternateContent xmlns:mc="http://schemas.openxmlformats.org/markup-compatibility/2006">
          <mc:Choice Requires="x14">
            <control shapeId="5223" r:id="rId26" name="Check Box 103">
              <controlPr locked="0" defaultSize="0" autoFill="0" autoLine="0" autoPict="0">
                <anchor moveWithCells="1">
                  <from>
                    <xdr:col>20</xdr:col>
                    <xdr:colOff>66675</xdr:colOff>
                    <xdr:row>13</xdr:row>
                    <xdr:rowOff>104775</xdr:rowOff>
                  </from>
                  <to>
                    <xdr:col>20</xdr:col>
                    <xdr:colOff>638175</xdr:colOff>
                    <xdr:row>14</xdr:row>
                    <xdr:rowOff>104775</xdr:rowOff>
                  </to>
                </anchor>
              </controlPr>
            </control>
          </mc:Choice>
        </mc:AlternateContent>
        <mc:AlternateContent xmlns:mc="http://schemas.openxmlformats.org/markup-compatibility/2006">
          <mc:Choice Requires="x14">
            <control shapeId="5270" r:id="rId27" name="Check Box 150">
              <controlPr locked="0" defaultSize="0" autoFill="0" autoLine="0" autoPict="0">
                <anchor moveWithCells="1">
                  <from>
                    <xdr:col>20</xdr:col>
                    <xdr:colOff>85725</xdr:colOff>
                    <xdr:row>25</xdr:row>
                    <xdr:rowOff>95250</xdr:rowOff>
                  </from>
                  <to>
                    <xdr:col>20</xdr:col>
                    <xdr:colOff>657225</xdr:colOff>
                    <xdr:row>26</xdr:row>
                    <xdr:rowOff>104775</xdr:rowOff>
                  </to>
                </anchor>
              </controlPr>
            </control>
          </mc:Choice>
        </mc:AlternateContent>
        <mc:AlternateContent xmlns:mc="http://schemas.openxmlformats.org/markup-compatibility/2006">
          <mc:Choice Requires="x14">
            <control shapeId="5269" r:id="rId28" name="Check Box 149">
              <controlPr locked="0" defaultSize="0" autoFill="0" autoLine="0" autoPict="0">
                <anchor moveWithCells="1">
                  <from>
                    <xdr:col>20</xdr:col>
                    <xdr:colOff>85725</xdr:colOff>
                    <xdr:row>11</xdr:row>
                    <xdr:rowOff>114300</xdr:rowOff>
                  </from>
                  <to>
                    <xdr:col>20</xdr:col>
                    <xdr:colOff>657225</xdr:colOff>
                    <xdr:row>12</xdr:row>
                    <xdr:rowOff>114300</xdr:rowOff>
                  </to>
                </anchor>
              </controlPr>
            </control>
          </mc:Choice>
        </mc:AlternateContent>
        <mc:AlternateContent xmlns:mc="http://schemas.openxmlformats.org/markup-compatibility/2006">
          <mc:Choice Requires="x14">
            <control shapeId="5228" r:id="rId29" name="Check Box 108">
              <controlPr locked="0" defaultSize="0" autoFill="0" autoLine="0" autoPict="0">
                <anchor moveWithCells="1">
                  <from>
                    <xdr:col>20</xdr:col>
                    <xdr:colOff>66675</xdr:colOff>
                    <xdr:row>15</xdr:row>
                    <xdr:rowOff>104775</xdr:rowOff>
                  </from>
                  <to>
                    <xdr:col>20</xdr:col>
                    <xdr:colOff>638175</xdr:colOff>
                    <xdr:row>16</xdr:row>
                    <xdr:rowOff>95250</xdr:rowOff>
                  </to>
                </anchor>
              </controlPr>
            </control>
          </mc:Choice>
        </mc:AlternateContent>
        <mc:AlternateContent xmlns:mc="http://schemas.openxmlformats.org/markup-compatibility/2006">
          <mc:Choice Requires="x14">
            <control shapeId="5283" r:id="rId30" name="Check Box 163">
              <controlPr locked="0" defaultSize="0" autoFill="0" autoLine="0" autoPict="0">
                <anchor moveWithCells="1">
                  <from>
                    <xdr:col>20</xdr:col>
                    <xdr:colOff>66675</xdr:colOff>
                    <xdr:row>5</xdr:row>
                    <xdr:rowOff>104775</xdr:rowOff>
                  </from>
                  <to>
                    <xdr:col>20</xdr:col>
                    <xdr:colOff>638175</xdr:colOff>
                    <xdr:row>6</xdr:row>
                    <xdr:rowOff>104775</xdr:rowOff>
                  </to>
                </anchor>
              </controlPr>
            </control>
          </mc:Choice>
        </mc:AlternateContent>
        <mc:AlternateContent xmlns:mc="http://schemas.openxmlformats.org/markup-compatibility/2006">
          <mc:Choice Requires="x14">
            <control shapeId="5284" r:id="rId31" name="Check Box 164">
              <controlPr locked="0" defaultSize="0" autoFill="0" autoLine="0" autoPict="0">
                <anchor moveWithCells="1">
                  <from>
                    <xdr:col>20</xdr:col>
                    <xdr:colOff>76200</xdr:colOff>
                    <xdr:row>7</xdr:row>
                    <xdr:rowOff>104775</xdr:rowOff>
                  </from>
                  <to>
                    <xdr:col>20</xdr:col>
                    <xdr:colOff>647700</xdr:colOff>
                    <xdr:row>8</xdr:row>
                    <xdr:rowOff>104775</xdr:rowOff>
                  </to>
                </anchor>
              </controlPr>
            </control>
          </mc:Choice>
        </mc:AlternateContent>
        <mc:AlternateContent xmlns:mc="http://schemas.openxmlformats.org/markup-compatibility/2006">
          <mc:Choice Requires="x14">
            <control shapeId="5285" r:id="rId32" name="Check Box 165">
              <controlPr locked="0" defaultSize="0" autoFill="0" autoLine="0" autoPict="0">
                <anchor moveWithCells="1">
                  <from>
                    <xdr:col>20</xdr:col>
                    <xdr:colOff>66675</xdr:colOff>
                    <xdr:row>9</xdr:row>
                    <xdr:rowOff>104775</xdr:rowOff>
                  </from>
                  <to>
                    <xdr:col>20</xdr:col>
                    <xdr:colOff>638175</xdr:colOff>
                    <xdr:row>10</xdr:row>
                    <xdr:rowOff>104775</xdr:rowOff>
                  </to>
                </anchor>
              </controlPr>
            </control>
          </mc:Choice>
        </mc:AlternateContent>
        <mc:AlternateContent xmlns:mc="http://schemas.openxmlformats.org/markup-compatibility/2006">
          <mc:Choice Requires="x14">
            <control shapeId="5286" r:id="rId33" name="Check Box 166">
              <controlPr locked="0" defaultSize="0" autoFill="0" autoLine="0" autoPict="0">
                <anchor moveWithCells="1">
                  <from>
                    <xdr:col>20</xdr:col>
                    <xdr:colOff>76200</xdr:colOff>
                    <xdr:row>17</xdr:row>
                    <xdr:rowOff>95250</xdr:rowOff>
                  </from>
                  <to>
                    <xdr:col>20</xdr:col>
                    <xdr:colOff>647700</xdr:colOff>
                    <xdr:row>18</xdr:row>
                    <xdr:rowOff>95250</xdr:rowOff>
                  </to>
                </anchor>
              </controlPr>
            </control>
          </mc:Choice>
        </mc:AlternateContent>
        <mc:AlternateContent xmlns:mc="http://schemas.openxmlformats.org/markup-compatibility/2006">
          <mc:Choice Requires="x14">
            <control shapeId="5287" r:id="rId34" name="Check Box 167">
              <controlPr locked="0" defaultSize="0" autoFill="0" autoLine="0" autoPict="0">
                <anchor moveWithCells="1">
                  <from>
                    <xdr:col>20</xdr:col>
                    <xdr:colOff>85725</xdr:colOff>
                    <xdr:row>19</xdr:row>
                    <xdr:rowOff>123825</xdr:rowOff>
                  </from>
                  <to>
                    <xdr:col>20</xdr:col>
                    <xdr:colOff>657225</xdr:colOff>
                    <xdr:row>20</xdr:row>
                    <xdr:rowOff>123825</xdr:rowOff>
                  </to>
                </anchor>
              </controlPr>
            </control>
          </mc:Choice>
        </mc:AlternateContent>
        <mc:AlternateContent xmlns:mc="http://schemas.openxmlformats.org/markup-compatibility/2006">
          <mc:Choice Requires="x14">
            <control shapeId="5288" r:id="rId35" name="Check Box 168">
              <controlPr locked="0" defaultSize="0" autoFill="0" autoLine="0" autoPict="0">
                <anchor moveWithCells="1">
                  <from>
                    <xdr:col>20</xdr:col>
                    <xdr:colOff>85725</xdr:colOff>
                    <xdr:row>21</xdr:row>
                    <xdr:rowOff>123825</xdr:rowOff>
                  </from>
                  <to>
                    <xdr:col>20</xdr:col>
                    <xdr:colOff>657225</xdr:colOff>
                    <xdr:row>22</xdr:row>
                    <xdr:rowOff>57150</xdr:rowOff>
                  </to>
                </anchor>
              </controlPr>
            </control>
          </mc:Choice>
        </mc:AlternateContent>
        <mc:AlternateContent xmlns:mc="http://schemas.openxmlformats.org/markup-compatibility/2006">
          <mc:Choice Requires="x14">
            <control shapeId="5257" r:id="rId36" name="Check Box 137">
              <controlPr locked="0" defaultSize="0" autoFill="0" autoLine="0" autoPict="0">
                <anchor moveWithCells="1">
                  <from>
                    <xdr:col>14</xdr:col>
                    <xdr:colOff>114300</xdr:colOff>
                    <xdr:row>15</xdr:row>
                    <xdr:rowOff>123825</xdr:rowOff>
                  </from>
                  <to>
                    <xdr:col>14</xdr:col>
                    <xdr:colOff>685800</xdr:colOff>
                    <xdr:row>16</xdr:row>
                    <xdr:rowOff>104775</xdr:rowOff>
                  </to>
                </anchor>
              </controlPr>
            </control>
          </mc:Choice>
        </mc:AlternateContent>
        <mc:AlternateContent xmlns:mc="http://schemas.openxmlformats.org/markup-compatibility/2006">
          <mc:Choice Requires="x14">
            <control shapeId="5260" r:id="rId37" name="Check Box 140">
              <controlPr locked="0" defaultSize="0" autoFill="0" autoLine="0" autoPict="0">
                <anchor moveWithCells="1">
                  <from>
                    <xdr:col>14</xdr:col>
                    <xdr:colOff>114300</xdr:colOff>
                    <xdr:row>17</xdr:row>
                    <xdr:rowOff>123825</xdr:rowOff>
                  </from>
                  <to>
                    <xdr:col>14</xdr:col>
                    <xdr:colOff>685800</xdr:colOff>
                    <xdr:row>18</xdr:row>
                    <xdr:rowOff>114300</xdr:rowOff>
                  </to>
                </anchor>
              </controlPr>
            </control>
          </mc:Choice>
        </mc:AlternateContent>
        <mc:AlternateContent xmlns:mc="http://schemas.openxmlformats.org/markup-compatibility/2006">
          <mc:Choice Requires="x14">
            <control shapeId="5342" r:id="rId38" name="Check Box 222">
              <controlPr locked="0" defaultSize="0" autoFill="0" autoLine="0" autoPict="0">
                <anchor moveWithCells="1">
                  <from>
                    <xdr:col>14</xdr:col>
                    <xdr:colOff>104775</xdr:colOff>
                    <xdr:row>19</xdr:row>
                    <xdr:rowOff>142875</xdr:rowOff>
                  </from>
                  <to>
                    <xdr:col>14</xdr:col>
                    <xdr:colOff>676275</xdr:colOff>
                    <xdr:row>20</xdr:row>
                    <xdr:rowOff>133350</xdr:rowOff>
                  </to>
                </anchor>
              </controlPr>
            </control>
          </mc:Choice>
        </mc:AlternateContent>
        <mc:AlternateContent xmlns:mc="http://schemas.openxmlformats.org/markup-compatibility/2006">
          <mc:Choice Requires="x14">
            <control shapeId="5346" r:id="rId39" name="Check Box 226">
              <controlPr locked="0" defaultSize="0" autoFill="0" autoLine="0" autoPict="0">
                <anchor moveWithCells="1">
                  <from>
                    <xdr:col>14</xdr:col>
                    <xdr:colOff>95250</xdr:colOff>
                    <xdr:row>21</xdr:row>
                    <xdr:rowOff>142875</xdr:rowOff>
                  </from>
                  <to>
                    <xdr:col>14</xdr:col>
                    <xdr:colOff>666750</xdr:colOff>
                    <xdr:row>22</xdr:row>
                    <xdr:rowOff>66675</xdr:rowOff>
                  </to>
                </anchor>
              </controlPr>
            </control>
          </mc:Choice>
        </mc:AlternateContent>
        <mc:AlternateContent xmlns:mc="http://schemas.openxmlformats.org/markup-compatibility/2006">
          <mc:Choice Requires="x14">
            <control shapeId="5349" r:id="rId40" name="Check Box 229">
              <controlPr locked="0" defaultSize="0" autoFill="0" autoLine="0" autoPict="0">
                <anchor moveWithCells="1">
                  <from>
                    <xdr:col>14</xdr:col>
                    <xdr:colOff>95250</xdr:colOff>
                    <xdr:row>23</xdr:row>
                    <xdr:rowOff>95250</xdr:rowOff>
                  </from>
                  <to>
                    <xdr:col>14</xdr:col>
                    <xdr:colOff>666750</xdr:colOff>
                    <xdr:row>24</xdr:row>
                    <xdr:rowOff>85725</xdr:rowOff>
                  </to>
                </anchor>
              </controlPr>
            </control>
          </mc:Choice>
        </mc:AlternateContent>
        <mc:AlternateContent xmlns:mc="http://schemas.openxmlformats.org/markup-compatibility/2006">
          <mc:Choice Requires="x14">
            <control shapeId="5352" r:id="rId41" name="Check Box 232">
              <controlPr locked="0" defaultSize="0" autoFill="0" autoLine="0" autoPict="0">
                <anchor moveWithCells="1">
                  <from>
                    <xdr:col>14</xdr:col>
                    <xdr:colOff>85725</xdr:colOff>
                    <xdr:row>25</xdr:row>
                    <xdr:rowOff>114300</xdr:rowOff>
                  </from>
                  <to>
                    <xdr:col>14</xdr:col>
                    <xdr:colOff>657225</xdr:colOff>
                    <xdr:row>26</xdr:row>
                    <xdr:rowOff>104775</xdr:rowOff>
                  </to>
                </anchor>
              </controlPr>
            </control>
          </mc:Choice>
        </mc:AlternateContent>
        <mc:AlternateContent xmlns:mc="http://schemas.openxmlformats.org/markup-compatibility/2006">
          <mc:Choice Requires="x14">
            <control shapeId="5357" r:id="rId42" name="Check Box 237">
              <controlPr locked="0" defaultSize="0" autoFill="0" autoLine="0" autoPict="0">
                <anchor moveWithCells="1">
                  <from>
                    <xdr:col>14</xdr:col>
                    <xdr:colOff>76200</xdr:colOff>
                    <xdr:row>27</xdr:row>
                    <xdr:rowOff>85725</xdr:rowOff>
                  </from>
                  <to>
                    <xdr:col>14</xdr:col>
                    <xdr:colOff>647700</xdr:colOff>
                    <xdr:row>28</xdr:row>
                    <xdr:rowOff>76200</xdr:rowOff>
                  </to>
                </anchor>
              </controlPr>
            </control>
          </mc:Choice>
        </mc:AlternateContent>
        <mc:AlternateContent xmlns:mc="http://schemas.openxmlformats.org/markup-compatibility/2006">
          <mc:Choice Requires="x14">
            <control shapeId="5359" r:id="rId43" name="Check Box 239">
              <controlPr locked="0" defaultSize="0" autoFill="0" autoLine="0" autoPict="0">
                <anchor moveWithCells="1">
                  <from>
                    <xdr:col>14</xdr:col>
                    <xdr:colOff>76200</xdr:colOff>
                    <xdr:row>29</xdr:row>
                    <xdr:rowOff>85725</xdr:rowOff>
                  </from>
                  <to>
                    <xdr:col>14</xdr:col>
                    <xdr:colOff>647700</xdr:colOff>
                    <xdr:row>30</xdr:row>
                    <xdr:rowOff>76200</xdr:rowOff>
                  </to>
                </anchor>
              </controlPr>
            </control>
          </mc:Choice>
        </mc:AlternateContent>
        <mc:AlternateContent xmlns:mc="http://schemas.openxmlformats.org/markup-compatibility/2006">
          <mc:Choice Requires="x14">
            <control shapeId="5363" r:id="rId44" name="Check Box 243">
              <controlPr locked="0" defaultSize="0" autoFill="0" autoLine="0" autoPict="0">
                <anchor moveWithCells="1">
                  <from>
                    <xdr:col>14</xdr:col>
                    <xdr:colOff>66675</xdr:colOff>
                    <xdr:row>31</xdr:row>
                    <xdr:rowOff>85725</xdr:rowOff>
                  </from>
                  <to>
                    <xdr:col>14</xdr:col>
                    <xdr:colOff>638175</xdr:colOff>
                    <xdr:row>32</xdr:row>
                    <xdr:rowOff>95250</xdr:rowOff>
                  </to>
                </anchor>
              </controlPr>
            </control>
          </mc:Choice>
        </mc:AlternateContent>
        <mc:AlternateContent xmlns:mc="http://schemas.openxmlformats.org/markup-compatibility/2006">
          <mc:Choice Requires="x14">
            <control shapeId="5369" r:id="rId45" name="Check Box 249">
              <controlPr locked="0" defaultSize="0" autoFill="0" autoLine="0" autoPict="0">
                <anchor moveWithCells="1">
                  <from>
                    <xdr:col>14</xdr:col>
                    <xdr:colOff>66675</xdr:colOff>
                    <xdr:row>33</xdr:row>
                    <xdr:rowOff>85725</xdr:rowOff>
                  </from>
                  <to>
                    <xdr:col>14</xdr:col>
                    <xdr:colOff>638175</xdr:colOff>
                    <xdr:row>34</xdr:row>
                    <xdr:rowOff>95250</xdr:rowOff>
                  </to>
                </anchor>
              </controlPr>
            </control>
          </mc:Choice>
        </mc:AlternateContent>
        <mc:AlternateContent xmlns:mc="http://schemas.openxmlformats.org/markup-compatibility/2006">
          <mc:Choice Requires="x14">
            <control shapeId="5373" r:id="rId46" name="Check Box 253">
              <controlPr locked="0" defaultSize="0" autoFill="0" autoLine="0" autoPict="0">
                <anchor moveWithCells="1">
                  <from>
                    <xdr:col>14</xdr:col>
                    <xdr:colOff>66675</xdr:colOff>
                    <xdr:row>35</xdr:row>
                    <xdr:rowOff>123825</xdr:rowOff>
                  </from>
                  <to>
                    <xdr:col>14</xdr:col>
                    <xdr:colOff>638175</xdr:colOff>
                    <xdr:row>36</xdr:row>
                    <xdr:rowOff>114300</xdr:rowOff>
                  </to>
                </anchor>
              </controlPr>
            </control>
          </mc:Choice>
        </mc:AlternateContent>
        <mc:AlternateContent xmlns:mc="http://schemas.openxmlformats.org/markup-compatibility/2006">
          <mc:Choice Requires="x14">
            <control shapeId="5388" r:id="rId47" name="Check Box 268">
              <controlPr locked="0" defaultSize="0" autoFill="0" autoLine="0" autoPict="0">
                <anchor moveWithCells="1">
                  <from>
                    <xdr:col>14</xdr:col>
                    <xdr:colOff>85725</xdr:colOff>
                    <xdr:row>43</xdr:row>
                    <xdr:rowOff>95250</xdr:rowOff>
                  </from>
                  <to>
                    <xdr:col>14</xdr:col>
                    <xdr:colOff>657225</xdr:colOff>
                    <xdr:row>44</xdr:row>
                    <xdr:rowOff>85725</xdr:rowOff>
                  </to>
                </anchor>
              </controlPr>
            </control>
          </mc:Choice>
        </mc:AlternateContent>
        <mc:AlternateContent xmlns:mc="http://schemas.openxmlformats.org/markup-compatibility/2006">
          <mc:Choice Requires="x14">
            <control shapeId="5376" r:id="rId48" name="Check Box 256">
              <controlPr locked="0" defaultSize="0" autoFill="0" autoLine="0" autoPict="0">
                <anchor moveWithCells="1">
                  <from>
                    <xdr:col>14</xdr:col>
                    <xdr:colOff>57150</xdr:colOff>
                    <xdr:row>37</xdr:row>
                    <xdr:rowOff>114300</xdr:rowOff>
                  </from>
                  <to>
                    <xdr:col>14</xdr:col>
                    <xdr:colOff>628650</xdr:colOff>
                    <xdr:row>38</xdr:row>
                    <xdr:rowOff>104775</xdr:rowOff>
                  </to>
                </anchor>
              </controlPr>
            </control>
          </mc:Choice>
        </mc:AlternateContent>
        <mc:AlternateContent xmlns:mc="http://schemas.openxmlformats.org/markup-compatibility/2006">
          <mc:Choice Requires="x14">
            <control shapeId="5382" r:id="rId49" name="Check Box 262">
              <controlPr locked="0" defaultSize="0" autoFill="0" autoLine="0" autoPict="0">
                <anchor moveWithCells="1">
                  <from>
                    <xdr:col>14</xdr:col>
                    <xdr:colOff>85725</xdr:colOff>
                    <xdr:row>39</xdr:row>
                    <xdr:rowOff>114300</xdr:rowOff>
                  </from>
                  <to>
                    <xdr:col>14</xdr:col>
                    <xdr:colOff>657225</xdr:colOff>
                    <xdr:row>40</xdr:row>
                    <xdr:rowOff>104775</xdr:rowOff>
                  </to>
                </anchor>
              </controlPr>
            </control>
          </mc:Choice>
        </mc:AlternateContent>
        <mc:AlternateContent xmlns:mc="http://schemas.openxmlformats.org/markup-compatibility/2006">
          <mc:Choice Requires="x14">
            <control shapeId="5392" r:id="rId50" name="Check Box 272">
              <controlPr locked="0" defaultSize="0" autoFill="0" autoLine="0" autoPict="0">
                <anchor moveWithCells="1">
                  <from>
                    <xdr:col>14</xdr:col>
                    <xdr:colOff>76200</xdr:colOff>
                    <xdr:row>45</xdr:row>
                    <xdr:rowOff>104775</xdr:rowOff>
                  </from>
                  <to>
                    <xdr:col>14</xdr:col>
                    <xdr:colOff>647700</xdr:colOff>
                    <xdr:row>46</xdr:row>
                    <xdr:rowOff>95250</xdr:rowOff>
                  </to>
                </anchor>
              </controlPr>
            </control>
          </mc:Choice>
        </mc:AlternateContent>
        <mc:AlternateContent xmlns:mc="http://schemas.openxmlformats.org/markup-compatibility/2006">
          <mc:Choice Requires="x14">
            <control shapeId="5394" r:id="rId51" name="Check Box 274">
              <controlPr locked="0" defaultSize="0" autoFill="0" autoLine="0" autoPict="0">
                <anchor moveWithCells="1">
                  <from>
                    <xdr:col>14</xdr:col>
                    <xdr:colOff>66675</xdr:colOff>
                    <xdr:row>47</xdr:row>
                    <xdr:rowOff>114300</xdr:rowOff>
                  </from>
                  <to>
                    <xdr:col>14</xdr:col>
                    <xdr:colOff>638175</xdr:colOff>
                    <xdr:row>48</xdr:row>
                    <xdr:rowOff>104775</xdr:rowOff>
                  </to>
                </anchor>
              </controlPr>
            </control>
          </mc:Choice>
        </mc:AlternateContent>
        <mc:AlternateContent xmlns:mc="http://schemas.openxmlformats.org/markup-compatibility/2006">
          <mc:Choice Requires="x14">
            <control shapeId="5409" r:id="rId52" name="Check Box 289">
              <controlPr locked="0" defaultSize="0" autoFill="0" autoLine="0" autoPict="0">
                <anchor moveWithCells="1">
                  <from>
                    <xdr:col>14</xdr:col>
                    <xdr:colOff>85725</xdr:colOff>
                    <xdr:row>53</xdr:row>
                    <xdr:rowOff>85725</xdr:rowOff>
                  </from>
                  <to>
                    <xdr:col>14</xdr:col>
                    <xdr:colOff>657225</xdr:colOff>
                    <xdr:row>54</xdr:row>
                    <xdr:rowOff>76200</xdr:rowOff>
                  </to>
                </anchor>
              </controlPr>
            </control>
          </mc:Choice>
        </mc:AlternateContent>
        <mc:AlternateContent xmlns:mc="http://schemas.openxmlformats.org/markup-compatibility/2006">
          <mc:Choice Requires="x14">
            <control shapeId="5404" r:id="rId53" name="Check Box 284">
              <controlPr locked="0" defaultSize="0" autoFill="0" autoLine="0" autoPict="0">
                <anchor moveWithCells="1">
                  <from>
                    <xdr:col>14</xdr:col>
                    <xdr:colOff>57150</xdr:colOff>
                    <xdr:row>51</xdr:row>
                    <xdr:rowOff>114300</xdr:rowOff>
                  </from>
                  <to>
                    <xdr:col>14</xdr:col>
                    <xdr:colOff>628650</xdr:colOff>
                    <xdr:row>52</xdr:row>
                    <xdr:rowOff>76200</xdr:rowOff>
                  </to>
                </anchor>
              </controlPr>
            </control>
          </mc:Choice>
        </mc:AlternateContent>
        <mc:AlternateContent xmlns:mc="http://schemas.openxmlformats.org/markup-compatibility/2006">
          <mc:Choice Requires="x14">
            <control shapeId="5398" r:id="rId54" name="Check Box 278">
              <controlPr locked="0" defaultSize="0" autoFill="0" autoLine="0" autoPict="0">
                <anchor moveWithCells="1">
                  <from>
                    <xdr:col>14</xdr:col>
                    <xdr:colOff>66675</xdr:colOff>
                    <xdr:row>49</xdr:row>
                    <xdr:rowOff>104775</xdr:rowOff>
                  </from>
                  <to>
                    <xdr:col>14</xdr:col>
                    <xdr:colOff>638175</xdr:colOff>
                    <xdr:row>50</xdr:row>
                    <xdr:rowOff>95250</xdr:rowOff>
                  </to>
                </anchor>
              </controlPr>
            </control>
          </mc:Choice>
        </mc:AlternateContent>
        <mc:AlternateContent xmlns:mc="http://schemas.openxmlformats.org/markup-compatibility/2006">
          <mc:Choice Requires="x14">
            <control shapeId="5418" r:id="rId55" name="Check Box 298">
              <controlPr locked="0" defaultSize="0" autoFill="0" autoLine="0" autoPict="0">
                <anchor moveWithCells="1">
                  <from>
                    <xdr:col>14</xdr:col>
                    <xdr:colOff>57150</xdr:colOff>
                    <xdr:row>57</xdr:row>
                    <xdr:rowOff>104775</xdr:rowOff>
                  </from>
                  <to>
                    <xdr:col>14</xdr:col>
                    <xdr:colOff>628650</xdr:colOff>
                    <xdr:row>58</xdr:row>
                    <xdr:rowOff>95250</xdr:rowOff>
                  </to>
                </anchor>
              </controlPr>
            </control>
          </mc:Choice>
        </mc:AlternateContent>
        <mc:AlternateContent xmlns:mc="http://schemas.openxmlformats.org/markup-compatibility/2006">
          <mc:Choice Requires="x14">
            <control shapeId="5412" r:id="rId56" name="Check Box 292">
              <controlPr locked="0" defaultSize="0" autoFill="0" autoLine="0" autoPict="0">
                <anchor moveWithCells="1">
                  <from>
                    <xdr:col>14</xdr:col>
                    <xdr:colOff>66675</xdr:colOff>
                    <xdr:row>55</xdr:row>
                    <xdr:rowOff>95250</xdr:rowOff>
                  </from>
                  <to>
                    <xdr:col>14</xdr:col>
                    <xdr:colOff>638175</xdr:colOff>
                    <xdr:row>56</xdr:row>
                    <xdr:rowOff>85725</xdr:rowOff>
                  </to>
                </anchor>
              </controlPr>
            </control>
          </mc:Choice>
        </mc:AlternateContent>
        <mc:AlternateContent xmlns:mc="http://schemas.openxmlformats.org/markup-compatibility/2006">
          <mc:Choice Requires="x14">
            <control shapeId="5386" r:id="rId57" name="Check Box 266">
              <controlPr locked="0" defaultSize="0" autoFill="0" autoLine="0" autoPict="0">
                <anchor moveWithCells="1">
                  <from>
                    <xdr:col>14</xdr:col>
                    <xdr:colOff>76200</xdr:colOff>
                    <xdr:row>41</xdr:row>
                    <xdr:rowOff>104775</xdr:rowOff>
                  </from>
                  <to>
                    <xdr:col>14</xdr:col>
                    <xdr:colOff>647700</xdr:colOff>
                    <xdr:row>42</xdr:row>
                    <xdr:rowOff>95250</xdr:rowOff>
                  </to>
                </anchor>
              </controlPr>
            </control>
          </mc:Choice>
        </mc:AlternateContent>
        <mc:AlternateContent xmlns:mc="http://schemas.openxmlformats.org/markup-compatibility/2006">
          <mc:Choice Requires="x14">
            <control shapeId="5424" r:id="rId58" name="Check Box 304">
              <controlPr locked="0" defaultSize="0" autoFill="0" autoLine="0" autoPict="0">
                <anchor moveWithCells="1">
                  <from>
                    <xdr:col>14</xdr:col>
                    <xdr:colOff>47625</xdr:colOff>
                    <xdr:row>61</xdr:row>
                    <xdr:rowOff>104775</xdr:rowOff>
                  </from>
                  <to>
                    <xdr:col>14</xdr:col>
                    <xdr:colOff>619125</xdr:colOff>
                    <xdr:row>62</xdr:row>
                    <xdr:rowOff>95250</xdr:rowOff>
                  </to>
                </anchor>
              </controlPr>
            </control>
          </mc:Choice>
        </mc:AlternateContent>
        <mc:AlternateContent xmlns:mc="http://schemas.openxmlformats.org/markup-compatibility/2006">
          <mc:Choice Requires="x14">
            <control shapeId="5233" r:id="rId59" name="Check Box 113">
              <controlPr locked="0" defaultSize="0" autoFill="0" autoLine="0" autoPict="0">
                <anchor moveWithCells="1">
                  <from>
                    <xdr:col>20</xdr:col>
                    <xdr:colOff>85725</xdr:colOff>
                    <xdr:row>23</xdr:row>
                    <xdr:rowOff>95250</xdr:rowOff>
                  </from>
                  <to>
                    <xdr:col>20</xdr:col>
                    <xdr:colOff>657225</xdr:colOff>
                    <xdr:row>24</xdr:row>
                    <xdr:rowOff>104775</xdr:rowOff>
                  </to>
                </anchor>
              </controlPr>
            </control>
          </mc:Choice>
        </mc:AlternateContent>
        <mc:AlternateContent xmlns:mc="http://schemas.openxmlformats.org/markup-compatibility/2006">
          <mc:Choice Requires="x14">
            <control shapeId="5427" r:id="rId60" name="Check Box 307">
              <controlPr locked="0" defaultSize="0" autoFill="0" autoLine="0" autoPict="0">
                <anchor moveWithCells="1">
                  <from>
                    <xdr:col>20</xdr:col>
                    <xdr:colOff>95250</xdr:colOff>
                    <xdr:row>27</xdr:row>
                    <xdr:rowOff>104775</xdr:rowOff>
                  </from>
                  <to>
                    <xdr:col>20</xdr:col>
                    <xdr:colOff>666750</xdr:colOff>
                    <xdr:row>28</xdr:row>
                    <xdr:rowOff>114300</xdr:rowOff>
                  </to>
                </anchor>
              </controlPr>
            </control>
          </mc:Choice>
        </mc:AlternateContent>
        <mc:AlternateContent xmlns:mc="http://schemas.openxmlformats.org/markup-compatibility/2006">
          <mc:Choice Requires="x14">
            <control shapeId="5422" r:id="rId61" name="Check Box 302">
              <controlPr locked="0" defaultSize="0" autoFill="0" autoLine="0" autoPict="0">
                <anchor moveWithCells="1">
                  <from>
                    <xdr:col>14</xdr:col>
                    <xdr:colOff>76200</xdr:colOff>
                    <xdr:row>59</xdr:row>
                    <xdr:rowOff>95250</xdr:rowOff>
                  </from>
                  <to>
                    <xdr:col>14</xdr:col>
                    <xdr:colOff>647700</xdr:colOff>
                    <xdr:row>60</xdr:row>
                    <xdr:rowOff>85725</xdr:rowOff>
                  </to>
                </anchor>
              </controlPr>
            </control>
          </mc:Choice>
        </mc:AlternateContent>
        <mc:AlternateContent xmlns:mc="http://schemas.openxmlformats.org/markup-compatibility/2006">
          <mc:Choice Requires="x14">
            <control shapeId="5434" r:id="rId62" name="Check Box 314">
              <controlPr locked="0" defaultSize="0" autoFill="0" autoLine="0" autoPict="0">
                <anchor moveWithCells="1">
                  <from>
                    <xdr:col>14</xdr:col>
                    <xdr:colOff>47625</xdr:colOff>
                    <xdr:row>63</xdr:row>
                    <xdr:rowOff>104775</xdr:rowOff>
                  </from>
                  <to>
                    <xdr:col>14</xdr:col>
                    <xdr:colOff>619125</xdr:colOff>
                    <xdr:row>64</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15C3F-A832-4F84-AE98-817ED40D13C4}">
  <sheetPr codeName="Лист4">
    <tabColor rgb="FF666699"/>
  </sheetPr>
  <dimension ref="A1:BO239"/>
  <sheetViews>
    <sheetView topLeftCell="H49" zoomScale="90" zoomScaleNormal="90" workbookViewId="0">
      <selection activeCell="J73" sqref="J73"/>
    </sheetView>
  </sheetViews>
  <sheetFormatPr defaultRowHeight="15" x14ac:dyDescent="0.25"/>
  <cols>
    <col min="3" max="3" width="10.5703125" bestFit="1" customWidth="1"/>
    <col min="4" max="4" width="10.140625" bestFit="1" customWidth="1"/>
    <col min="8" max="8" width="10.5703125" bestFit="1" customWidth="1"/>
    <col min="11" max="11" width="11.85546875" bestFit="1" customWidth="1"/>
    <col min="13" max="13" width="10.5703125" bestFit="1" customWidth="1"/>
    <col min="16" max="16" width="22.85546875" customWidth="1"/>
    <col min="17" max="17" width="18.7109375" customWidth="1"/>
    <col min="19" max="19" width="13.28515625" bestFit="1" customWidth="1"/>
    <col min="24" max="24" width="15.140625" customWidth="1"/>
    <col min="26" max="26" width="12.85546875" bestFit="1" customWidth="1"/>
    <col min="33" max="33" width="14.28515625" bestFit="1" customWidth="1"/>
    <col min="40" max="40" width="14.5703125" bestFit="1" customWidth="1"/>
    <col min="47" max="47" width="15.140625" bestFit="1" customWidth="1"/>
    <col min="54" max="54" width="15.7109375" bestFit="1" customWidth="1"/>
    <col min="61" max="61" width="13.85546875" bestFit="1" customWidth="1"/>
  </cols>
  <sheetData>
    <row r="1" spans="1:67" ht="17.25" x14ac:dyDescent="0.3">
      <c r="A1" s="272" t="s">
        <v>376</v>
      </c>
      <c r="B1" s="371"/>
      <c r="C1" s="371"/>
      <c r="D1" s="273"/>
      <c r="F1" s="272" t="s">
        <v>393</v>
      </c>
      <c r="G1" s="371"/>
      <c r="H1" s="371"/>
      <c r="I1" s="273"/>
      <c r="K1" s="272" t="s">
        <v>394</v>
      </c>
      <c r="L1" s="371"/>
      <c r="M1" s="371"/>
      <c r="N1" s="273"/>
      <c r="P1" s="283" t="s">
        <v>307</v>
      </c>
      <c r="Q1" s="284"/>
      <c r="S1" s="270" t="s">
        <v>213</v>
      </c>
      <c r="T1" s="270"/>
      <c r="U1" s="270"/>
      <c r="V1" s="270"/>
      <c r="W1" s="270"/>
      <c r="X1" s="270"/>
      <c r="Z1" s="270" t="s">
        <v>213</v>
      </c>
      <c r="AA1" s="270"/>
      <c r="AB1" s="270"/>
      <c r="AC1" s="270"/>
      <c r="AD1" s="270"/>
      <c r="AE1" s="270"/>
      <c r="AG1" s="270" t="s">
        <v>213</v>
      </c>
      <c r="AH1" s="270"/>
      <c r="AI1" s="270"/>
      <c r="AJ1" s="270"/>
      <c r="AK1" s="270"/>
      <c r="AL1" s="270"/>
      <c r="AN1" s="270" t="s">
        <v>213</v>
      </c>
      <c r="AO1" s="270"/>
      <c r="AP1" s="270"/>
      <c r="AQ1" s="270"/>
      <c r="AR1" s="270"/>
      <c r="AS1" s="270"/>
      <c r="AU1" s="270" t="s">
        <v>213</v>
      </c>
      <c r="AV1" s="270"/>
      <c r="AW1" s="270"/>
      <c r="AX1" s="270"/>
      <c r="AY1" s="270"/>
      <c r="AZ1" s="270"/>
      <c r="BB1" s="270" t="s">
        <v>213</v>
      </c>
      <c r="BC1" s="270"/>
      <c r="BD1" s="270"/>
      <c r="BE1" s="270"/>
      <c r="BF1" s="270"/>
      <c r="BG1" s="270"/>
      <c r="BI1" s="270" t="s">
        <v>213</v>
      </c>
      <c r="BJ1" s="270"/>
      <c r="BK1" s="270"/>
      <c r="BL1" s="270"/>
      <c r="BM1" s="270"/>
      <c r="BN1" s="270"/>
    </row>
    <row r="2" spans="1:67" ht="17.25" x14ac:dyDescent="0.3">
      <c r="B2" s="199">
        <f>IF(D3=1,56%,IF(D3=2,60.2%,IF(D3=3,64.4%,IF(D3=4,70%,IF(D3=5,74.2%,IF(D3=6,78.4%,IF(D3=7,84%,IF(D3=8,89.6%,IF(D3=9,95.2%,IF(D3=10,100.8%,IF(D3=11,106.4%,IF(D3=12,122%,IF(D3=13,119%,IF(D3=14,126%,IF(D3=15,133%,)))))))))))))))+IF(D4=1,20%,)</f>
        <v>1.19</v>
      </c>
      <c r="C2" s="197" t="s">
        <v>377</v>
      </c>
      <c r="D2" s="197">
        <v>90</v>
      </c>
      <c r="H2" s="197" t="s">
        <v>377</v>
      </c>
      <c r="I2" s="197">
        <v>90</v>
      </c>
      <c r="M2" s="197" t="s">
        <v>377</v>
      </c>
      <c r="N2" s="197">
        <v>90</v>
      </c>
      <c r="P2" s="79" t="s">
        <v>269</v>
      </c>
      <c r="Q2" s="80" t="s">
        <v>268</v>
      </c>
      <c r="S2" s="42" t="s">
        <v>214</v>
      </c>
      <c r="T2" s="42" t="s">
        <v>215</v>
      </c>
      <c r="U2" s="42" t="s">
        <v>201</v>
      </c>
      <c r="V2" s="42" t="s">
        <v>20</v>
      </c>
      <c r="W2" s="374" t="s">
        <v>266</v>
      </c>
      <c r="X2" s="375"/>
      <c r="Z2" s="42" t="s">
        <v>214</v>
      </c>
      <c r="AA2" s="42" t="s">
        <v>215</v>
      </c>
      <c r="AB2" s="42" t="s">
        <v>201</v>
      </c>
      <c r="AC2" s="42" t="s">
        <v>20</v>
      </c>
      <c r="AD2" s="374" t="s">
        <v>266</v>
      </c>
      <c r="AE2" s="375"/>
      <c r="AG2" s="42" t="s">
        <v>214</v>
      </c>
      <c r="AH2" s="42" t="s">
        <v>215</v>
      </c>
      <c r="AI2" s="42" t="s">
        <v>201</v>
      </c>
      <c r="AJ2" s="42" t="s">
        <v>20</v>
      </c>
      <c r="AK2" s="374" t="s">
        <v>266</v>
      </c>
      <c r="AL2" s="375"/>
      <c r="AN2" s="42" t="s">
        <v>214</v>
      </c>
      <c r="AO2" s="42" t="s">
        <v>215</v>
      </c>
      <c r="AP2" s="42" t="s">
        <v>201</v>
      </c>
      <c r="AQ2" s="42" t="s">
        <v>20</v>
      </c>
      <c r="AR2" s="374"/>
      <c r="AS2" s="375"/>
      <c r="AU2" s="42" t="s">
        <v>214</v>
      </c>
      <c r="AV2" s="42" t="s">
        <v>215</v>
      </c>
      <c r="AW2" s="42" t="s">
        <v>201</v>
      </c>
      <c r="AX2" s="42" t="s">
        <v>20</v>
      </c>
      <c r="AY2" s="374"/>
      <c r="AZ2" s="375"/>
      <c r="BB2" s="42" t="s">
        <v>214</v>
      </c>
      <c r="BC2" s="42" t="s">
        <v>215</v>
      </c>
      <c r="BD2" s="42" t="s">
        <v>201</v>
      </c>
      <c r="BE2" s="42" t="s">
        <v>20</v>
      </c>
      <c r="BF2" s="374"/>
      <c r="BG2" s="375"/>
      <c r="BI2" s="42" t="s">
        <v>214</v>
      </c>
      <c r="BJ2" s="42" t="s">
        <v>215</v>
      </c>
      <c r="BK2" s="42" t="s">
        <v>201</v>
      </c>
      <c r="BL2" s="42" t="s">
        <v>20</v>
      </c>
      <c r="BM2" s="374"/>
      <c r="BN2" s="375"/>
    </row>
    <row r="3" spans="1:67" ht="16.5" x14ac:dyDescent="0.3">
      <c r="C3" s="197" t="s">
        <v>380</v>
      </c>
      <c r="D3" s="196">
        <v>13</v>
      </c>
      <c r="H3" s="197" t="s">
        <v>380</v>
      </c>
      <c r="I3" s="196">
        <v>13</v>
      </c>
      <c r="M3" s="197" t="s">
        <v>380</v>
      </c>
      <c r="N3" s="196">
        <v>13</v>
      </c>
      <c r="P3" s="27" t="s">
        <v>92</v>
      </c>
      <c r="Q3" s="165">
        <f>IF(N16,N19,)+IF(N26,IF(N24&gt;=2,N28,))+IF(D36,D38,)+IF(N36,N39,)+IF(N56,N57,)+IF(D66,D69,)+IF(AE5,AF5*5%,)</f>
        <v>0</v>
      </c>
      <c r="S3" s="1" t="s">
        <v>216</v>
      </c>
      <c r="T3" s="70" t="s">
        <v>138</v>
      </c>
      <c r="U3" s="2" t="s">
        <v>265</v>
      </c>
      <c r="V3" s="2" t="s">
        <v>34</v>
      </c>
      <c r="W3" s="372" t="b">
        <v>0</v>
      </c>
      <c r="X3" s="373"/>
      <c r="Z3" s="1" t="s">
        <v>235</v>
      </c>
      <c r="AA3" s="71" t="s">
        <v>140</v>
      </c>
      <c r="AB3" s="2" t="s">
        <v>265</v>
      </c>
      <c r="AC3" s="2" t="s">
        <v>34</v>
      </c>
      <c r="AD3" s="376"/>
      <c r="AE3" s="377" t="b">
        <v>0</v>
      </c>
      <c r="AF3" s="4">
        <v>1</v>
      </c>
      <c r="AG3" s="1" t="s">
        <v>246</v>
      </c>
      <c r="AH3" s="72" t="s">
        <v>219</v>
      </c>
      <c r="AI3" s="2" t="s">
        <v>265</v>
      </c>
      <c r="AJ3" s="2" t="s">
        <v>34</v>
      </c>
      <c r="AK3" s="372" t="b">
        <v>0</v>
      </c>
      <c r="AL3" s="373"/>
      <c r="AN3" s="1" t="s">
        <v>256</v>
      </c>
      <c r="AO3" s="73" t="s">
        <v>139</v>
      </c>
      <c r="AP3" s="2" t="s">
        <v>265</v>
      </c>
      <c r="AQ3" s="2" t="s">
        <v>34</v>
      </c>
      <c r="AR3" s="372" t="b">
        <v>0</v>
      </c>
      <c r="AS3" s="373"/>
      <c r="AU3" s="1" t="s">
        <v>270</v>
      </c>
      <c r="AV3" s="95" t="s">
        <v>141</v>
      </c>
      <c r="AW3" s="2" t="s">
        <v>265</v>
      </c>
      <c r="AX3" s="2">
        <v>1</v>
      </c>
      <c r="AY3" s="207"/>
      <c r="AZ3" s="222" t="b">
        <v>0</v>
      </c>
      <c r="BB3" s="1" t="s">
        <v>279</v>
      </c>
      <c r="BC3" s="100" t="s">
        <v>142</v>
      </c>
      <c r="BD3" s="2" t="s">
        <v>265</v>
      </c>
      <c r="BE3" s="2" t="s">
        <v>34</v>
      </c>
      <c r="BF3" s="372" t="b">
        <v>0</v>
      </c>
      <c r="BG3" s="373"/>
      <c r="BH3" s="5"/>
      <c r="BI3" s="1" t="s">
        <v>292</v>
      </c>
      <c r="BJ3" s="102" t="s">
        <v>291</v>
      </c>
      <c r="BK3" s="2" t="s">
        <v>265</v>
      </c>
      <c r="BL3" s="2" t="s">
        <v>34</v>
      </c>
      <c r="BM3" s="372" t="b">
        <v>0</v>
      </c>
      <c r="BN3" s="373"/>
    </row>
    <row r="4" spans="1:67" ht="16.5" x14ac:dyDescent="0.3">
      <c r="C4" s="197" t="s">
        <v>378</v>
      </c>
      <c r="D4" s="196">
        <v>6</v>
      </c>
      <c r="H4" s="197" t="s">
        <v>378</v>
      </c>
      <c r="I4" s="196">
        <v>6</v>
      </c>
      <c r="M4" s="197" t="s">
        <v>378</v>
      </c>
      <c r="N4" s="196">
        <v>6</v>
      </c>
      <c r="P4" s="27" t="s">
        <v>94</v>
      </c>
      <c r="Q4" s="165">
        <f>IF(N16,N19,)+IF(N26,IF(N24&gt;=2,N28,))+IF(D36,D38,)+IF(N36,N39,)+IF(D66,D69,)+IF(AE5,AF5*5%,)</f>
        <v>0</v>
      </c>
      <c r="S4" s="1" t="s">
        <v>220</v>
      </c>
      <c r="T4" s="70" t="s">
        <v>138</v>
      </c>
      <c r="U4" s="2" t="s">
        <v>265</v>
      </c>
      <c r="V4" s="2" t="s">
        <v>34</v>
      </c>
      <c r="W4" s="372" t="b">
        <v>0</v>
      </c>
      <c r="X4" s="373"/>
      <c r="Y4" s="98" t="b">
        <v>0</v>
      </c>
      <c r="Z4" s="1" t="s">
        <v>236</v>
      </c>
      <c r="AA4" s="71" t="s">
        <v>140</v>
      </c>
      <c r="AB4" s="2" t="s">
        <v>265</v>
      </c>
      <c r="AC4" s="2" t="s">
        <v>34</v>
      </c>
      <c r="AD4" s="376"/>
      <c r="AE4" s="377" t="b">
        <v>0</v>
      </c>
      <c r="AG4" s="1" t="s">
        <v>247</v>
      </c>
      <c r="AH4" s="72" t="s">
        <v>219</v>
      </c>
      <c r="AI4" s="2" t="s">
        <v>265</v>
      </c>
      <c r="AJ4" s="2" t="s">
        <v>34</v>
      </c>
      <c r="AK4" s="372" t="b">
        <v>0</v>
      </c>
      <c r="AL4" s="373"/>
      <c r="AN4" s="1" t="s">
        <v>257</v>
      </c>
      <c r="AO4" s="73" t="s">
        <v>139</v>
      </c>
      <c r="AP4" s="2" t="s">
        <v>265</v>
      </c>
      <c r="AQ4" s="2" t="s">
        <v>34</v>
      </c>
      <c r="AR4" s="372" t="b">
        <v>0</v>
      </c>
      <c r="AS4" s="373"/>
      <c r="AU4" s="1" t="s">
        <v>271</v>
      </c>
      <c r="AV4" s="95" t="s">
        <v>141</v>
      </c>
      <c r="AW4" s="2" t="s">
        <v>265</v>
      </c>
      <c r="AX4" s="2" t="s">
        <v>34</v>
      </c>
      <c r="AY4" s="207"/>
      <c r="AZ4" s="222" t="b">
        <v>0</v>
      </c>
      <c r="BB4" s="1" t="s">
        <v>280</v>
      </c>
      <c r="BC4" s="100" t="s">
        <v>142</v>
      </c>
      <c r="BD4" s="2" t="s">
        <v>265</v>
      </c>
      <c r="BE4" s="2" t="s">
        <v>34</v>
      </c>
      <c r="BF4" s="372" t="b">
        <v>0</v>
      </c>
      <c r="BG4" s="373"/>
      <c r="BH4" s="5"/>
      <c r="BI4" s="1" t="s">
        <v>293</v>
      </c>
      <c r="BJ4" s="102" t="s">
        <v>291</v>
      </c>
      <c r="BK4" s="2" t="s">
        <v>265</v>
      </c>
      <c r="BL4" s="2">
        <v>1</v>
      </c>
      <c r="BM4" s="372" t="b">
        <v>0</v>
      </c>
      <c r="BN4" s="373"/>
    </row>
    <row r="5" spans="1:67" ht="16.5" x14ac:dyDescent="0.3">
      <c r="C5" s="197" t="s">
        <v>379</v>
      </c>
      <c r="D5" s="196">
        <v>865</v>
      </c>
      <c r="H5" s="197" t="s">
        <v>379</v>
      </c>
      <c r="I5" s="196">
        <v>870</v>
      </c>
      <c r="M5" s="197" t="s">
        <v>26</v>
      </c>
      <c r="N5" s="196">
        <v>3000</v>
      </c>
      <c r="P5" s="27" t="s">
        <v>98</v>
      </c>
      <c r="Q5" s="165">
        <f>IF(N16,N19,)+IF(N26,IF(N24&gt;=2,N28,))+IF(D36,D38,)+IF(N36,N39,)+IF(D56,D57,)+IF(D66,D69,)</f>
        <v>0</v>
      </c>
      <c r="S5" s="1" t="s">
        <v>221</v>
      </c>
      <c r="T5" s="70" t="s">
        <v>138</v>
      </c>
      <c r="U5" s="2" t="s">
        <v>265</v>
      </c>
      <c r="V5" s="2" t="s">
        <v>34</v>
      </c>
      <c r="W5" s="372" t="b">
        <v>0</v>
      </c>
      <c r="X5" s="373"/>
      <c r="Z5" s="1" t="s">
        <v>237</v>
      </c>
      <c r="AA5" s="71" t="s">
        <v>140</v>
      </c>
      <c r="AB5" s="2" t="s">
        <v>265</v>
      </c>
      <c r="AC5" s="2" t="s">
        <v>34</v>
      </c>
      <c r="AD5" s="376"/>
      <c r="AE5" s="377" t="b">
        <v>0</v>
      </c>
      <c r="AF5" s="6">
        <v>40000</v>
      </c>
      <c r="AG5" s="1" t="s">
        <v>218</v>
      </c>
      <c r="AH5" s="72" t="s">
        <v>219</v>
      </c>
      <c r="AI5" s="2" t="s">
        <v>265</v>
      </c>
      <c r="AJ5" s="2" t="s">
        <v>34</v>
      </c>
      <c r="AK5" s="372" t="b">
        <v>0</v>
      </c>
      <c r="AL5" s="373"/>
      <c r="AM5">
        <f>IF(AK5,15%,)</f>
        <v>0</v>
      </c>
      <c r="AN5" s="1" t="s">
        <v>258</v>
      </c>
      <c r="AO5" s="73" t="s">
        <v>139</v>
      </c>
      <c r="AP5" s="2" t="s">
        <v>265</v>
      </c>
      <c r="AQ5" s="2" t="s">
        <v>34</v>
      </c>
      <c r="AR5" s="372" t="b">
        <v>0</v>
      </c>
      <c r="AS5" s="373"/>
      <c r="AT5" s="6">
        <v>1</v>
      </c>
      <c r="AU5" s="1" t="s">
        <v>272</v>
      </c>
      <c r="AV5" s="95" t="s">
        <v>141</v>
      </c>
      <c r="AW5" s="2" t="s">
        <v>265</v>
      </c>
      <c r="AX5" s="2" t="s">
        <v>34</v>
      </c>
      <c r="AY5" s="207"/>
      <c r="AZ5" s="222" t="b">
        <v>0</v>
      </c>
      <c r="BB5" s="1" t="s">
        <v>281</v>
      </c>
      <c r="BC5" s="100" t="s">
        <v>142</v>
      </c>
      <c r="BD5" s="2" t="s">
        <v>265</v>
      </c>
      <c r="BE5" s="2" t="s">
        <v>34</v>
      </c>
      <c r="BF5" s="372" t="b">
        <v>0</v>
      </c>
      <c r="BG5" s="373"/>
      <c r="BH5" s="5"/>
      <c r="BI5" s="1" t="s">
        <v>294</v>
      </c>
      <c r="BJ5" s="102" t="s">
        <v>291</v>
      </c>
      <c r="BK5" s="2" t="s">
        <v>265</v>
      </c>
      <c r="BL5" s="2" t="s">
        <v>34</v>
      </c>
      <c r="BM5" s="372" t="b">
        <v>0</v>
      </c>
      <c r="BN5" s="373"/>
    </row>
    <row r="6" spans="1:67" ht="16.5" x14ac:dyDescent="0.3">
      <c r="C6" s="201"/>
      <c r="D6" s="202" t="b">
        <v>0</v>
      </c>
      <c r="H6" s="201"/>
      <c r="I6" s="202" t="b">
        <v>0</v>
      </c>
      <c r="M6" s="197" t="s">
        <v>398</v>
      </c>
      <c r="N6" s="196">
        <v>42</v>
      </c>
      <c r="P6" s="27" t="s">
        <v>135</v>
      </c>
      <c r="Q6" s="165">
        <f>IF(N26,IF(N24&gt;=2,N28,),)+IF(D36,D38,)+IF(N36,N39,)+IF(N46,N47,)+IF(D66,D69,)</f>
        <v>0</v>
      </c>
      <c r="S6" s="1" t="s">
        <v>222</v>
      </c>
      <c r="T6" s="70" t="s">
        <v>138</v>
      </c>
      <c r="U6" s="2" t="s">
        <v>265</v>
      </c>
      <c r="V6" s="2" t="s">
        <v>34</v>
      </c>
      <c r="W6" s="372" t="b">
        <v>0</v>
      </c>
      <c r="X6" s="373"/>
      <c r="Z6" s="1" t="s">
        <v>238</v>
      </c>
      <c r="AA6" s="71" t="s">
        <v>140</v>
      </c>
      <c r="AB6" s="2" t="s">
        <v>265</v>
      </c>
      <c r="AC6" s="2" t="s">
        <v>34</v>
      </c>
      <c r="AD6" s="376"/>
      <c r="AE6" s="377" t="b">
        <v>0</v>
      </c>
      <c r="AG6" s="1" t="s">
        <v>248</v>
      </c>
      <c r="AH6" s="72" t="s">
        <v>219</v>
      </c>
      <c r="AI6" s="2" t="s">
        <v>265</v>
      </c>
      <c r="AJ6" s="2">
        <v>1</v>
      </c>
      <c r="AK6" s="372" t="b">
        <v>0</v>
      </c>
      <c r="AL6" s="373"/>
      <c r="AN6" s="1" t="s">
        <v>259</v>
      </c>
      <c r="AO6" s="73" t="s">
        <v>139</v>
      </c>
      <c r="AP6" s="2" t="s">
        <v>265</v>
      </c>
      <c r="AQ6" s="2">
        <v>1</v>
      </c>
      <c r="AR6" s="372" t="b">
        <v>0</v>
      </c>
      <c r="AS6" s="373"/>
      <c r="AT6" s="67"/>
      <c r="AU6" s="1" t="s">
        <v>273</v>
      </c>
      <c r="AV6" s="95" t="s">
        <v>141</v>
      </c>
      <c r="AW6" s="2" t="s">
        <v>265</v>
      </c>
      <c r="AX6" s="2" t="s">
        <v>34</v>
      </c>
      <c r="AY6" s="207"/>
      <c r="AZ6" s="222" t="b">
        <v>0</v>
      </c>
      <c r="BB6" s="1" t="s">
        <v>282</v>
      </c>
      <c r="BC6" s="100" t="s">
        <v>142</v>
      </c>
      <c r="BD6" s="2" t="s">
        <v>265</v>
      </c>
      <c r="BE6" s="2" t="s">
        <v>34</v>
      </c>
      <c r="BF6" s="372" t="b">
        <v>0</v>
      </c>
      <c r="BG6" s="373"/>
      <c r="BH6" s="5"/>
      <c r="BI6" s="1" t="s">
        <v>295</v>
      </c>
      <c r="BJ6" s="102" t="s">
        <v>291</v>
      </c>
      <c r="BK6" s="2" t="s">
        <v>265</v>
      </c>
      <c r="BL6" s="2" t="s">
        <v>34</v>
      </c>
      <c r="BM6" s="372" t="b">
        <v>0</v>
      </c>
      <c r="BN6" s="373"/>
    </row>
    <row r="7" spans="1:67" ht="16.5" x14ac:dyDescent="0.3">
      <c r="C7" s="197" t="s">
        <v>385</v>
      </c>
      <c r="D7" s="200">
        <f>IF(D4=6,15%,)</f>
        <v>0.15</v>
      </c>
      <c r="H7" s="203" t="s">
        <v>395</v>
      </c>
      <c r="I7" s="200">
        <f>IF(I4=6,60%,)</f>
        <v>0.6</v>
      </c>
      <c r="J7" s="98"/>
      <c r="M7" s="201"/>
      <c r="N7" s="202" t="b">
        <v>0</v>
      </c>
      <c r="P7" s="27" t="s">
        <v>136</v>
      </c>
      <c r="Q7" s="165">
        <f>+IF(N26,IF(N24&gt;=2,N28,),)+IF(D36,D38,)+IF(N36,N39,)+IF(D66,D69,)</f>
        <v>0</v>
      </c>
      <c r="S7" s="1" t="s">
        <v>223</v>
      </c>
      <c r="T7" s="70" t="s">
        <v>138</v>
      </c>
      <c r="U7" s="2" t="s">
        <v>265</v>
      </c>
      <c r="V7" s="2" t="s">
        <v>34</v>
      </c>
      <c r="W7" s="372" t="b">
        <v>0</v>
      </c>
      <c r="X7" s="373"/>
      <c r="Z7" s="1" t="s">
        <v>239</v>
      </c>
      <c r="AA7" s="71" t="s">
        <v>140</v>
      </c>
      <c r="AB7" s="2" t="s">
        <v>265</v>
      </c>
      <c r="AC7" s="2" t="s">
        <v>34</v>
      </c>
      <c r="AD7" s="376"/>
      <c r="AE7" s="377" t="b">
        <v>0</v>
      </c>
      <c r="AG7" s="1" t="s">
        <v>249</v>
      </c>
      <c r="AH7" s="72" t="s">
        <v>219</v>
      </c>
      <c r="AI7" s="2" t="s">
        <v>265</v>
      </c>
      <c r="AJ7" s="2" t="s">
        <v>34</v>
      </c>
      <c r="AK7" s="372" t="b">
        <v>0</v>
      </c>
      <c r="AL7" s="373"/>
      <c r="AM7" s="4">
        <v>1</v>
      </c>
      <c r="AN7" s="1" t="s">
        <v>260</v>
      </c>
      <c r="AO7" s="73" t="s">
        <v>139</v>
      </c>
      <c r="AP7" s="2" t="s">
        <v>265</v>
      </c>
      <c r="AQ7" s="2" t="s">
        <v>34</v>
      </c>
      <c r="AR7" s="372" t="b">
        <v>0</v>
      </c>
      <c r="AS7" s="373"/>
      <c r="AT7" s="6">
        <v>30000</v>
      </c>
      <c r="AU7" s="1" t="s">
        <v>274</v>
      </c>
      <c r="AV7" s="95" t="s">
        <v>141</v>
      </c>
      <c r="AW7" s="2" t="s">
        <v>265</v>
      </c>
      <c r="AX7" s="2" t="s">
        <v>34</v>
      </c>
      <c r="AY7" s="207"/>
      <c r="AZ7" s="222" t="b">
        <v>0</v>
      </c>
      <c r="BB7" s="1" t="s">
        <v>283</v>
      </c>
      <c r="BC7" s="100" t="s">
        <v>142</v>
      </c>
      <c r="BD7" s="2" t="s">
        <v>265</v>
      </c>
      <c r="BE7" s="2" t="s">
        <v>34</v>
      </c>
      <c r="BF7" s="372" t="b">
        <v>0</v>
      </c>
      <c r="BG7" s="373"/>
      <c r="BH7" s="5"/>
      <c r="BI7" s="1" t="s">
        <v>296</v>
      </c>
      <c r="BJ7" s="102" t="s">
        <v>291</v>
      </c>
      <c r="BK7" s="2" t="s">
        <v>265</v>
      </c>
      <c r="BL7" s="2" t="s">
        <v>34</v>
      </c>
      <c r="BM7" s="372" t="b">
        <v>0</v>
      </c>
      <c r="BN7" s="373"/>
    </row>
    <row r="8" spans="1:67" ht="16.5" x14ac:dyDescent="0.3">
      <c r="C8" s="197" t="s">
        <v>381</v>
      </c>
      <c r="D8" s="197">
        <f>B2*D5</f>
        <v>1029.3499999999999</v>
      </c>
      <c r="G8" s="199">
        <f>IF(I3=1,43%,IF(I3=2,46.2%,IF(I3=3,49.4%,IF(I3=4,53.7%,IF(I3=5,56.9%,IF(I3=6,60.1%,IF(I3=7,64.4%,IF(I3=8,68.7%,IF(I3=9,73%,IF(I3=10,77.3%,IF(I3=11,81.6%,IF(I3=12,85.9%,IF(I3=13,91.3%,IF(I3=14,96.7%,IF(I3=15,102%,)))))))))))))))</f>
        <v>0.91299999999999992</v>
      </c>
      <c r="H8" s="197" t="s">
        <v>396</v>
      </c>
      <c r="I8" s="204">
        <f>G8*I5</f>
        <v>794.31</v>
      </c>
      <c r="L8" s="98">
        <f>IF(N3=1,330,IF(N3=2,370,IF(N3=3,410,IF(N3=4,450,IF(N3=5,490,IF(N3=6,530,IF(N3=7,570,IF(N3=8,610,IF(N3=9,650,IF(N3=10,690,IF(N3=11,730,IF(N3=12,770,IF(N3=13,810,IF(N3=14,850,IF(N3=15,890,)))))))))))))))</f>
        <v>810</v>
      </c>
      <c r="M8" s="197" t="s">
        <v>45</v>
      </c>
      <c r="N8" s="200">
        <f>IF(N4=6,25%,)</f>
        <v>0.25</v>
      </c>
      <c r="P8" s="27"/>
      <c r="Q8" s="37"/>
      <c r="S8" s="1" t="s">
        <v>224</v>
      </c>
      <c r="T8" s="70" t="s">
        <v>138</v>
      </c>
      <c r="U8" s="2" t="s">
        <v>265</v>
      </c>
      <c r="V8" s="2" t="s">
        <v>34</v>
      </c>
      <c r="W8" s="372" t="b">
        <v>0</v>
      </c>
      <c r="X8" s="373"/>
      <c r="Z8" s="1" t="s">
        <v>240</v>
      </c>
      <c r="AA8" s="71" t="s">
        <v>140</v>
      </c>
      <c r="AB8" s="2" t="s">
        <v>265</v>
      </c>
      <c r="AC8" s="2" t="s">
        <v>34</v>
      </c>
      <c r="AD8" s="376"/>
      <c r="AE8" s="377" t="b">
        <v>0</v>
      </c>
      <c r="AG8" s="1" t="s">
        <v>250</v>
      </c>
      <c r="AH8" s="72" t="s">
        <v>219</v>
      </c>
      <c r="AI8" s="2" t="s">
        <v>265</v>
      </c>
      <c r="AJ8" s="2" t="s">
        <v>34</v>
      </c>
      <c r="AK8" s="372" t="b">
        <v>0</v>
      </c>
      <c r="AL8" s="373"/>
      <c r="AM8" s="67"/>
      <c r="AN8" s="1" t="s">
        <v>261</v>
      </c>
      <c r="AO8" s="73" t="s">
        <v>139</v>
      </c>
      <c r="AP8" s="2" t="s">
        <v>265</v>
      </c>
      <c r="AQ8" s="2" t="s">
        <v>34</v>
      </c>
      <c r="AR8" s="207"/>
      <c r="AS8" s="208"/>
      <c r="AT8" s="6">
        <v>75000</v>
      </c>
      <c r="AU8" s="1" t="s">
        <v>275</v>
      </c>
      <c r="AV8" s="95" t="s">
        <v>141</v>
      </c>
      <c r="AW8" s="2" t="s">
        <v>265</v>
      </c>
      <c r="AX8" s="2" t="s">
        <v>34</v>
      </c>
      <c r="AY8" s="207"/>
      <c r="AZ8" s="222" t="b">
        <v>0</v>
      </c>
      <c r="BB8" s="1" t="s">
        <v>284</v>
      </c>
      <c r="BC8" s="100" t="s">
        <v>142</v>
      </c>
      <c r="BD8" s="2" t="s">
        <v>265</v>
      </c>
      <c r="BE8" s="2" t="s">
        <v>34</v>
      </c>
      <c r="BF8" s="372" t="b">
        <v>0</v>
      </c>
      <c r="BG8" s="373"/>
      <c r="BH8" s="5"/>
      <c r="BI8" s="1" t="s">
        <v>297</v>
      </c>
      <c r="BJ8" s="102" t="s">
        <v>291</v>
      </c>
      <c r="BK8" s="2" t="s">
        <v>265</v>
      </c>
      <c r="BL8" s="2" t="s">
        <v>34</v>
      </c>
      <c r="BM8" s="372" t="b">
        <v>0</v>
      </c>
      <c r="BN8" s="373" t="b">
        <v>0</v>
      </c>
    </row>
    <row r="9" spans="1:67" ht="16.5" x14ac:dyDescent="0.3">
      <c r="M9" s="197" t="s">
        <v>396</v>
      </c>
      <c r="N9" s="204">
        <f>IF(N4&lt;=4,IF(N5&gt;=2556,L8,N5*(0.5%*N6)))+IF(N4&gt;=5,IF(N5&gt;=3000,L8,N5*(0.5%*N6)))</f>
        <v>810</v>
      </c>
      <c r="P9" s="274" t="s">
        <v>357</v>
      </c>
      <c r="Q9" s="275"/>
      <c r="S9" s="1" t="s">
        <v>225</v>
      </c>
      <c r="T9" s="70" t="s">
        <v>138</v>
      </c>
      <c r="U9" s="2" t="s">
        <v>265</v>
      </c>
      <c r="V9" s="2" t="s">
        <v>34</v>
      </c>
      <c r="W9" s="372" t="b">
        <v>0</v>
      </c>
      <c r="X9" s="373"/>
      <c r="Z9" s="1" t="s">
        <v>241</v>
      </c>
      <c r="AA9" s="71" t="s">
        <v>140</v>
      </c>
      <c r="AB9" s="2" t="s">
        <v>265</v>
      </c>
      <c r="AC9" s="2" t="s">
        <v>34</v>
      </c>
      <c r="AD9" s="376"/>
      <c r="AE9" s="377" t="b">
        <v>0</v>
      </c>
      <c r="AG9" s="1" t="s">
        <v>251</v>
      </c>
      <c r="AH9" s="72" t="s">
        <v>219</v>
      </c>
      <c r="AI9" s="2" t="s">
        <v>265</v>
      </c>
      <c r="AJ9" s="2" t="s">
        <v>34</v>
      </c>
      <c r="AK9" s="372" t="b">
        <v>0</v>
      </c>
      <c r="AL9" s="373"/>
      <c r="AM9" s="6">
        <v>80</v>
      </c>
      <c r="AN9" s="1" t="s">
        <v>262</v>
      </c>
      <c r="AO9" s="73" t="s">
        <v>139</v>
      </c>
      <c r="AP9" s="2" t="s">
        <v>265</v>
      </c>
      <c r="AQ9" s="2" t="s">
        <v>34</v>
      </c>
      <c r="AR9" s="372" t="b">
        <v>0</v>
      </c>
      <c r="AS9" s="373"/>
      <c r="AU9" s="1" t="s">
        <v>276</v>
      </c>
      <c r="AV9" s="95" t="s">
        <v>141</v>
      </c>
      <c r="AW9" s="2" t="s">
        <v>265</v>
      </c>
      <c r="AX9" s="2" t="s">
        <v>34</v>
      </c>
      <c r="AY9" s="372" t="b">
        <v>0</v>
      </c>
      <c r="AZ9" s="373"/>
      <c r="BB9" s="1" t="s">
        <v>285</v>
      </c>
      <c r="BC9" s="100" t="s">
        <v>142</v>
      </c>
      <c r="BD9" s="2" t="s">
        <v>265</v>
      </c>
      <c r="BE9" s="2" t="s">
        <v>34</v>
      </c>
      <c r="BF9" s="372" t="b">
        <v>0</v>
      </c>
      <c r="BG9" s="373"/>
      <c r="BH9" s="5"/>
      <c r="BI9" s="1" t="s">
        <v>298</v>
      </c>
      <c r="BJ9" s="102" t="s">
        <v>291</v>
      </c>
      <c r="BK9" s="2" t="s">
        <v>265</v>
      </c>
      <c r="BL9" s="2" t="s">
        <v>34</v>
      </c>
      <c r="BM9" s="372" t="b">
        <v>0</v>
      </c>
      <c r="BN9" s="373" t="b">
        <v>0</v>
      </c>
    </row>
    <row r="10" spans="1:67" ht="16.5" x14ac:dyDescent="0.3">
      <c r="M10" s="197" t="s">
        <v>397</v>
      </c>
      <c r="N10" s="200">
        <f>IF(N4&gt;=2,30%,)</f>
        <v>0.3</v>
      </c>
      <c r="P10" s="79" t="s">
        <v>269</v>
      </c>
      <c r="Q10" s="80" t="s">
        <v>268</v>
      </c>
      <c r="S10" s="1" t="s">
        <v>226</v>
      </c>
      <c r="T10" s="70" t="s">
        <v>138</v>
      </c>
      <c r="U10" s="2" t="s">
        <v>265</v>
      </c>
      <c r="V10" s="2" t="s">
        <v>34</v>
      </c>
      <c r="W10" s="372" t="b">
        <v>0</v>
      </c>
      <c r="X10" s="373"/>
      <c r="Z10" s="1" t="s">
        <v>242</v>
      </c>
      <c r="AA10" s="71" t="s">
        <v>140</v>
      </c>
      <c r="AB10" s="2" t="s">
        <v>265</v>
      </c>
      <c r="AC10" s="2" t="s">
        <v>34</v>
      </c>
      <c r="AD10" s="376"/>
      <c r="AE10" s="377" t="b">
        <v>0</v>
      </c>
      <c r="AG10" s="1" t="s">
        <v>252</v>
      </c>
      <c r="AH10" s="72" t="s">
        <v>219</v>
      </c>
      <c r="AI10" s="2" t="s">
        <v>265</v>
      </c>
      <c r="AJ10" s="2" t="s">
        <v>34</v>
      </c>
      <c r="AK10" s="372" t="b">
        <v>0</v>
      </c>
      <c r="AL10" s="373"/>
      <c r="AN10" s="1" t="s">
        <v>263</v>
      </c>
      <c r="AO10" s="73" t="s">
        <v>139</v>
      </c>
      <c r="AP10" s="2" t="s">
        <v>265</v>
      </c>
      <c r="AQ10" s="2" t="s">
        <v>34</v>
      </c>
      <c r="AR10" s="372" t="b">
        <v>0</v>
      </c>
      <c r="AS10" s="373"/>
      <c r="AU10" s="1" t="s">
        <v>277</v>
      </c>
      <c r="AV10" s="95" t="s">
        <v>141</v>
      </c>
      <c r="AW10" s="2" t="s">
        <v>265</v>
      </c>
      <c r="AX10" s="2" t="s">
        <v>34</v>
      </c>
      <c r="AY10" s="372" t="b">
        <v>0</v>
      </c>
      <c r="AZ10" s="373"/>
      <c r="BB10" s="1" t="s">
        <v>286</v>
      </c>
      <c r="BC10" s="100" t="s">
        <v>142</v>
      </c>
      <c r="BD10" s="2" t="s">
        <v>265</v>
      </c>
      <c r="BE10" s="2">
        <v>1</v>
      </c>
      <c r="BF10" s="372" t="b">
        <v>0</v>
      </c>
      <c r="BG10" s="373"/>
      <c r="BH10" s="5"/>
      <c r="BI10" s="1" t="s">
        <v>464</v>
      </c>
      <c r="BJ10" s="102" t="s">
        <v>291</v>
      </c>
      <c r="BK10" s="2" t="s">
        <v>265</v>
      </c>
      <c r="BL10" s="2">
        <v>150</v>
      </c>
      <c r="BM10" s="372" t="b">
        <v>0</v>
      </c>
      <c r="BN10" s="373"/>
    </row>
    <row r="11" spans="1:67" ht="17.25" x14ac:dyDescent="0.3">
      <c r="A11" s="272" t="s">
        <v>399</v>
      </c>
      <c r="B11" s="371"/>
      <c r="C11" s="371"/>
      <c r="D11" s="273"/>
      <c r="F11" s="272" t="s">
        <v>400</v>
      </c>
      <c r="G11" s="371"/>
      <c r="H11" s="371"/>
      <c r="I11" s="273"/>
      <c r="K11" s="272" t="s">
        <v>401</v>
      </c>
      <c r="L11" s="371"/>
      <c r="M11" s="371"/>
      <c r="N11" s="273"/>
      <c r="P11" s="27" t="s">
        <v>92</v>
      </c>
      <c r="Q11" s="164">
        <f>IF(D36,D39,)+IF(N56,N58,)+IF(W5,15%,)+IF(AR7,(AT7/1000)*0.5%,)</f>
        <v>0</v>
      </c>
      <c r="S11" s="1" t="s">
        <v>227</v>
      </c>
      <c r="T11" s="70" t="s">
        <v>138</v>
      </c>
      <c r="U11" s="2" t="s">
        <v>265</v>
      </c>
      <c r="V11" s="2" t="s">
        <v>34</v>
      </c>
      <c r="W11" s="372" t="b">
        <v>0</v>
      </c>
      <c r="X11" s="373"/>
      <c r="Z11" s="1" t="s">
        <v>243</v>
      </c>
      <c r="AA11" s="71" t="s">
        <v>140</v>
      </c>
      <c r="AB11" s="2" t="s">
        <v>265</v>
      </c>
      <c r="AC11" s="2" t="s">
        <v>34</v>
      </c>
      <c r="AD11" s="207"/>
      <c r="AE11" s="222" t="b">
        <v>0</v>
      </c>
      <c r="AF11" s="98"/>
      <c r="AG11" s="1" t="s">
        <v>253</v>
      </c>
      <c r="AH11" s="72" t="s">
        <v>219</v>
      </c>
      <c r="AI11" s="2" t="s">
        <v>265</v>
      </c>
      <c r="AJ11" s="2" t="s">
        <v>34</v>
      </c>
      <c r="AK11" s="372" t="b">
        <v>0</v>
      </c>
      <c r="AL11" s="373"/>
      <c r="AN11" s="1" t="s">
        <v>264</v>
      </c>
      <c r="AO11" s="73" t="s">
        <v>139</v>
      </c>
      <c r="AP11" s="2" t="s">
        <v>265</v>
      </c>
      <c r="AQ11" s="2" t="s">
        <v>34</v>
      </c>
      <c r="AR11" s="372" t="b">
        <v>0</v>
      </c>
      <c r="AS11" s="373"/>
      <c r="AU11" s="1" t="s">
        <v>278</v>
      </c>
      <c r="AV11" s="95" t="s">
        <v>141</v>
      </c>
      <c r="AW11" s="2" t="s">
        <v>265</v>
      </c>
      <c r="AX11" s="2" t="s">
        <v>34</v>
      </c>
      <c r="AY11" s="372" t="b">
        <v>0</v>
      </c>
      <c r="AZ11" s="373"/>
      <c r="BB11" s="1" t="s">
        <v>287</v>
      </c>
      <c r="BC11" s="100" t="s">
        <v>142</v>
      </c>
      <c r="BD11" s="2" t="s">
        <v>265</v>
      </c>
      <c r="BE11" s="2" t="s">
        <v>34</v>
      </c>
      <c r="BF11" s="221"/>
      <c r="BG11" s="222" t="b">
        <v>0</v>
      </c>
      <c r="BH11" s="6">
        <v>50000</v>
      </c>
      <c r="BI11" s="1" t="s">
        <v>465</v>
      </c>
      <c r="BJ11" s="102" t="s">
        <v>291</v>
      </c>
      <c r="BK11" s="2" t="s">
        <v>265</v>
      </c>
      <c r="BL11" s="2">
        <f>IF(BM11,50,)</f>
        <v>0</v>
      </c>
      <c r="BM11" s="372" t="b">
        <v>0</v>
      </c>
      <c r="BN11" s="373"/>
      <c r="BO11" s="6"/>
    </row>
    <row r="12" spans="1:67" ht="16.5" x14ac:dyDescent="0.3">
      <c r="C12" s="197" t="s">
        <v>377</v>
      </c>
      <c r="D12" s="197">
        <v>90</v>
      </c>
      <c r="H12" s="197" t="s">
        <v>377</v>
      </c>
      <c r="I12" s="197">
        <v>90</v>
      </c>
      <c r="M12" s="197" t="s">
        <v>377</v>
      </c>
      <c r="N12" s="197">
        <v>90</v>
      </c>
      <c r="P12" s="27" t="s">
        <v>94</v>
      </c>
      <c r="Q12" s="164">
        <f>IF(D36,D39,)+IF(W5,15%,)+IF(AR3,20%,)</f>
        <v>0</v>
      </c>
      <c r="S12" s="1" t="s">
        <v>228</v>
      </c>
      <c r="T12" s="70" t="s">
        <v>138</v>
      </c>
      <c r="U12" s="2" t="s">
        <v>265</v>
      </c>
      <c r="V12" s="2" t="s">
        <v>34</v>
      </c>
      <c r="W12" s="372" t="b">
        <v>0</v>
      </c>
      <c r="X12" s="373"/>
      <c r="Z12" s="1" t="s">
        <v>244</v>
      </c>
      <c r="AA12" s="71" t="s">
        <v>140</v>
      </c>
      <c r="AB12" s="2" t="s">
        <v>265</v>
      </c>
      <c r="AC12" s="2" t="s">
        <v>34</v>
      </c>
      <c r="AD12" s="376"/>
      <c r="AE12" s="377" t="b">
        <v>0</v>
      </c>
      <c r="AG12" s="1" t="s">
        <v>254</v>
      </c>
      <c r="AH12" s="72" t="s">
        <v>219</v>
      </c>
      <c r="AI12" s="2" t="s">
        <v>265</v>
      </c>
      <c r="AJ12" s="2" t="s">
        <v>34</v>
      </c>
      <c r="AK12" s="372" t="b">
        <v>0</v>
      </c>
      <c r="AL12" s="373"/>
      <c r="AN12" s="1" t="s">
        <v>466</v>
      </c>
      <c r="AO12" s="73" t="s">
        <v>139</v>
      </c>
      <c r="AP12" s="2" t="s">
        <v>265</v>
      </c>
      <c r="AQ12" s="2" t="s">
        <v>34</v>
      </c>
      <c r="AR12" s="372" t="b">
        <v>0</v>
      </c>
      <c r="AS12" s="373"/>
      <c r="BA12" s="5"/>
      <c r="BB12" s="1" t="s">
        <v>288</v>
      </c>
      <c r="BC12" s="100" t="s">
        <v>142</v>
      </c>
      <c r="BD12" s="2" t="s">
        <v>265</v>
      </c>
      <c r="BE12" s="2" t="s">
        <v>34</v>
      </c>
      <c r="BF12" s="221"/>
      <c r="BG12" s="222" t="b">
        <v>0</v>
      </c>
      <c r="BH12" s="5"/>
      <c r="BI12" s="74"/>
      <c r="BM12" s="74"/>
    </row>
    <row r="13" spans="1:67" ht="16.5" x14ac:dyDescent="0.3">
      <c r="C13" s="197" t="s">
        <v>380</v>
      </c>
      <c r="D13" s="196">
        <v>10</v>
      </c>
      <c r="H13" s="197" t="s">
        <v>380</v>
      </c>
      <c r="I13" s="196">
        <v>10</v>
      </c>
      <c r="M13" s="197" t="s">
        <v>405</v>
      </c>
      <c r="N13" s="196">
        <v>10</v>
      </c>
      <c r="P13" s="27" t="s">
        <v>98</v>
      </c>
      <c r="Q13" s="164">
        <f>IF(D36,D39,)+IF(W5,15%,)+IF(AZ5,30%,)</f>
        <v>0</v>
      </c>
      <c r="S13" s="1" t="s">
        <v>229</v>
      </c>
      <c r="T13" s="70" t="s">
        <v>138</v>
      </c>
      <c r="U13" s="2" t="s">
        <v>265</v>
      </c>
      <c r="V13" s="2" t="s">
        <v>34</v>
      </c>
      <c r="W13" s="372" t="b">
        <v>0</v>
      </c>
      <c r="X13" s="373"/>
      <c r="Z13" s="1" t="s">
        <v>245</v>
      </c>
      <c r="AA13" s="71" t="s">
        <v>140</v>
      </c>
      <c r="AB13" s="2" t="s">
        <v>265</v>
      </c>
      <c r="AC13" s="2" t="s">
        <v>34</v>
      </c>
      <c r="AD13" s="376"/>
      <c r="AE13" s="377" t="b">
        <v>0</v>
      </c>
      <c r="AG13" s="1" t="s">
        <v>255</v>
      </c>
      <c r="AH13" s="72" t="s">
        <v>219</v>
      </c>
      <c r="AI13" s="2" t="s">
        <v>265</v>
      </c>
      <c r="AJ13" s="2" t="s">
        <v>34</v>
      </c>
      <c r="AK13" s="372" t="b">
        <v>0</v>
      </c>
      <c r="AL13" s="373"/>
      <c r="AN13" s="1" t="s">
        <v>467</v>
      </c>
      <c r="AO13" s="73" t="s">
        <v>139</v>
      </c>
      <c r="AP13" s="2" t="s">
        <v>265</v>
      </c>
      <c r="AQ13" s="2">
        <v>1</v>
      </c>
      <c r="AR13" s="372" t="b">
        <v>0</v>
      </c>
      <c r="AS13" s="373"/>
      <c r="BA13" s="5"/>
      <c r="BB13" s="1" t="s">
        <v>289</v>
      </c>
      <c r="BC13" s="100" t="s">
        <v>142</v>
      </c>
      <c r="BD13" s="2" t="s">
        <v>265</v>
      </c>
      <c r="BE13" s="2" t="s">
        <v>34</v>
      </c>
      <c r="BF13" s="372" t="b">
        <v>0</v>
      </c>
      <c r="BG13" s="373" t="b">
        <v>0</v>
      </c>
      <c r="BH13" s="5"/>
    </row>
    <row r="14" spans="1:67" ht="16.5" x14ac:dyDescent="0.3">
      <c r="C14" s="197" t="s">
        <v>378</v>
      </c>
      <c r="D14" s="196">
        <v>0</v>
      </c>
      <c r="H14" s="197" t="s">
        <v>378</v>
      </c>
      <c r="I14" s="196">
        <v>0</v>
      </c>
      <c r="M14" s="197" t="s">
        <v>378</v>
      </c>
      <c r="N14" s="196">
        <v>0</v>
      </c>
      <c r="P14" s="27" t="s">
        <v>135</v>
      </c>
      <c r="Q14" s="164">
        <f>IF(D36,D39,)</f>
        <v>0</v>
      </c>
      <c r="S14" s="1" t="s">
        <v>230</v>
      </c>
      <c r="T14" s="70" t="s">
        <v>138</v>
      </c>
      <c r="U14" s="2" t="s">
        <v>265</v>
      </c>
      <c r="V14" s="2" t="s">
        <v>34</v>
      </c>
      <c r="W14" s="372" t="b">
        <v>0</v>
      </c>
      <c r="X14" s="373"/>
      <c r="AG14" s="390" t="s">
        <v>457</v>
      </c>
      <c r="AH14" s="72" t="s">
        <v>219</v>
      </c>
      <c r="AI14" s="2" t="s">
        <v>265</v>
      </c>
      <c r="AJ14" s="2" t="s">
        <v>34</v>
      </c>
      <c r="AK14" s="372" t="b">
        <v>0</v>
      </c>
      <c r="AL14" s="373"/>
      <c r="BA14" s="5"/>
      <c r="BB14" s="1" t="s">
        <v>290</v>
      </c>
      <c r="BC14" s="100" t="s">
        <v>142</v>
      </c>
      <c r="BD14" s="2" t="s">
        <v>265</v>
      </c>
      <c r="BE14" s="2" t="s">
        <v>34</v>
      </c>
      <c r="BF14" s="378" t="b">
        <v>0</v>
      </c>
      <c r="BG14" s="378"/>
      <c r="BH14" s="5"/>
    </row>
    <row r="15" spans="1:67" ht="16.5" x14ac:dyDescent="0.3">
      <c r="C15" s="197" t="s">
        <v>402</v>
      </c>
      <c r="D15" s="196">
        <f>300+IF(D14&gt;=1,100)</f>
        <v>300</v>
      </c>
      <c r="H15" s="197"/>
      <c r="I15" s="196"/>
      <c r="M15" s="197" t="s">
        <v>28</v>
      </c>
      <c r="N15" s="196">
        <v>4000</v>
      </c>
      <c r="P15" s="27" t="s">
        <v>136</v>
      </c>
      <c r="Q15" s="164">
        <f>IF(D36,D39,)+IF(AK9,AM9*0.3%,)</f>
        <v>0</v>
      </c>
      <c r="S15" s="1" t="s">
        <v>231</v>
      </c>
      <c r="T15" s="70" t="s">
        <v>138</v>
      </c>
      <c r="U15" s="2" t="s">
        <v>265</v>
      </c>
      <c r="V15" s="2" t="s">
        <v>34</v>
      </c>
      <c r="W15" s="372" t="b">
        <v>0</v>
      </c>
      <c r="X15" s="373"/>
      <c r="Y15" s="220">
        <v>10</v>
      </c>
      <c r="AG15" s="390" t="s">
        <v>457</v>
      </c>
      <c r="AH15" s="72" t="s">
        <v>219</v>
      </c>
      <c r="AI15" s="2" t="s">
        <v>265</v>
      </c>
      <c r="AJ15" s="2" t="s">
        <v>34</v>
      </c>
      <c r="AK15" s="372" t="b">
        <v>0</v>
      </c>
      <c r="AL15" s="373"/>
      <c r="AT15" s="6"/>
    </row>
    <row r="16" spans="1:67" x14ac:dyDescent="0.25">
      <c r="C16" s="201"/>
      <c r="D16" s="202" t="b">
        <v>0</v>
      </c>
      <c r="H16" s="201"/>
      <c r="I16" s="202"/>
      <c r="M16" s="201"/>
      <c r="N16" s="202" t="b">
        <v>0</v>
      </c>
      <c r="P16" s="3"/>
      <c r="Q16" s="3"/>
      <c r="S16" s="1" t="s">
        <v>232</v>
      </c>
      <c r="T16" s="70" t="s">
        <v>138</v>
      </c>
      <c r="U16" s="2" t="s">
        <v>265</v>
      </c>
      <c r="V16" s="2" t="s">
        <v>34</v>
      </c>
      <c r="W16" s="372" t="b">
        <v>0</v>
      </c>
      <c r="X16" s="373"/>
      <c r="Y16" s="6">
        <v>1</v>
      </c>
      <c r="AG16" s="390" t="s">
        <v>459</v>
      </c>
      <c r="AH16" s="72" t="s">
        <v>219</v>
      </c>
      <c r="AI16" s="2" t="s">
        <v>265</v>
      </c>
      <c r="AJ16" s="2" t="s">
        <v>34</v>
      </c>
      <c r="AK16" s="372" t="b">
        <v>0</v>
      </c>
      <c r="AL16" s="373"/>
      <c r="AT16" s="6"/>
    </row>
    <row r="17" spans="1:39" ht="16.5" x14ac:dyDescent="0.3">
      <c r="C17" s="197" t="s">
        <v>45</v>
      </c>
      <c r="D17" s="200">
        <f>D15*B18</f>
        <v>0.75</v>
      </c>
      <c r="H17" s="197" t="s">
        <v>45</v>
      </c>
      <c r="I17" s="200">
        <f>G18</f>
        <v>0.60000000000000009</v>
      </c>
      <c r="M17" s="197" t="s">
        <v>404</v>
      </c>
      <c r="N17" s="200">
        <f>IF(AND(N13&gt;=1,N13&lt;=15),6%+N13*3%,9%)</f>
        <v>0.36</v>
      </c>
      <c r="P17" s="274" t="s">
        <v>355</v>
      </c>
      <c r="Q17" s="275"/>
      <c r="S17" s="1" t="s">
        <v>233</v>
      </c>
      <c r="T17" s="70" t="s">
        <v>138</v>
      </c>
      <c r="U17" s="2" t="s">
        <v>265</v>
      </c>
      <c r="V17" s="2" t="s">
        <v>34</v>
      </c>
      <c r="W17" s="372" t="b">
        <v>0</v>
      </c>
      <c r="X17" s="373"/>
      <c r="AG17" s="390" t="s">
        <v>460</v>
      </c>
      <c r="AH17" s="72" t="s">
        <v>219</v>
      </c>
      <c r="AI17" s="2" t="s">
        <v>265</v>
      </c>
      <c r="AJ17" s="2" t="s">
        <v>34</v>
      </c>
      <c r="AK17" s="372" t="b">
        <v>0</v>
      </c>
      <c r="AL17" s="373"/>
    </row>
    <row r="18" spans="1:39" ht="16.5" x14ac:dyDescent="0.3">
      <c r="A18" s="199">
        <f>IF(AND(D13&gt;=1,D13&lt;=15),0%+D13*0.01%,"")</f>
        <v>1E-3</v>
      </c>
      <c r="B18" s="199">
        <f>IF(AND(D13&gt;=1,D13&lt;=15),0.05%+D13*0.02%,"")</f>
        <v>2.5000000000000001E-3</v>
      </c>
      <c r="C18" s="197" t="s">
        <v>403</v>
      </c>
      <c r="D18" s="200">
        <f>D15*A18</f>
        <v>0.3</v>
      </c>
      <c r="G18" s="205">
        <f>IF(AND(I13&gt;=1,I13&lt;=10),40%+I13*2%,60%)</f>
        <v>0.60000000000000009</v>
      </c>
      <c r="H18" s="197" t="s">
        <v>407</v>
      </c>
      <c r="I18" s="200">
        <f>IF(I14&gt;=4,15%,)</f>
        <v>0</v>
      </c>
      <c r="M18" s="197" t="s">
        <v>406</v>
      </c>
      <c r="N18" s="197">
        <v>0</v>
      </c>
      <c r="P18" s="79" t="s">
        <v>269</v>
      </c>
      <c r="Q18" s="80" t="s">
        <v>268</v>
      </c>
      <c r="S18" s="1" t="s">
        <v>234</v>
      </c>
      <c r="T18" s="70" t="s">
        <v>138</v>
      </c>
      <c r="U18" s="2" t="s">
        <v>265</v>
      </c>
      <c r="V18" s="2" t="s">
        <v>34</v>
      </c>
      <c r="W18" s="372" t="b">
        <v>0</v>
      </c>
      <c r="X18" s="373"/>
      <c r="AG18" s="390" t="s">
        <v>461</v>
      </c>
      <c r="AH18" s="72" t="s">
        <v>219</v>
      </c>
      <c r="AI18" s="2" t="s">
        <v>265</v>
      </c>
      <c r="AJ18" s="2">
        <v>2000</v>
      </c>
      <c r="AK18" s="372" t="b">
        <v>0</v>
      </c>
      <c r="AL18" s="373"/>
    </row>
    <row r="19" spans="1:39" x14ac:dyDescent="0.25">
      <c r="H19" s="197" t="s">
        <v>408</v>
      </c>
      <c r="I19" s="200">
        <f>IF(I14&gt;=1,15%,)</f>
        <v>0</v>
      </c>
      <c r="M19" s="197" t="s">
        <v>407</v>
      </c>
      <c r="N19" s="197">
        <f>IF(N14&gt;=4,N15*65%,)</f>
        <v>0</v>
      </c>
      <c r="P19" s="1" t="s">
        <v>21</v>
      </c>
      <c r="Q19" s="164">
        <f>IF(N16,IF(N18=3,45%,),)+IF(AR6,10%*AQ6,)</f>
        <v>0</v>
      </c>
      <c r="S19" s="1" t="s">
        <v>267</v>
      </c>
      <c r="T19" s="70" t="s">
        <v>138</v>
      </c>
      <c r="U19" s="2" t="s">
        <v>265</v>
      </c>
      <c r="V19" s="2" t="s">
        <v>34</v>
      </c>
      <c r="W19" s="372" t="b">
        <v>0</v>
      </c>
      <c r="X19" s="373"/>
      <c r="AG19" s="390" t="s">
        <v>462</v>
      </c>
      <c r="AH19" s="72" t="s">
        <v>219</v>
      </c>
      <c r="AI19" s="2" t="s">
        <v>265</v>
      </c>
      <c r="AJ19" s="2" t="s">
        <v>34</v>
      </c>
      <c r="AK19" s="372" t="b">
        <v>0</v>
      </c>
      <c r="AL19" s="373"/>
    </row>
    <row r="20" spans="1:39" x14ac:dyDescent="0.25">
      <c r="P20" s="1" t="s">
        <v>22</v>
      </c>
      <c r="Q20" s="164">
        <f>IF(N7,N10,)+IF(N16,IF(N18=2,45%,))+IF(I56,I57,)+IF(W3,15%,)+IF(W15,10%+(1%*Y15),)+IF(W19,10%,)+IF(AE11,8%,)+IF(BM4,4%+(4%*BL4),)+IF(AZ7,20%,)+IF(AK6,10%*AJ6,)+IF(AK10,30%,)</f>
        <v>0</v>
      </c>
      <c r="AG20" s="390" t="s">
        <v>463</v>
      </c>
      <c r="AH20" s="72" t="s">
        <v>219</v>
      </c>
      <c r="AI20" s="2" t="s">
        <v>265</v>
      </c>
      <c r="AJ20" s="2" t="s">
        <v>34</v>
      </c>
      <c r="AK20" s="372" t="b">
        <v>0</v>
      </c>
      <c r="AL20" s="373"/>
      <c r="AM20" s="67"/>
    </row>
    <row r="21" spans="1:39" ht="17.25" x14ac:dyDescent="0.3">
      <c r="A21" s="272" t="s">
        <v>409</v>
      </c>
      <c r="B21" s="371"/>
      <c r="C21" s="371"/>
      <c r="D21" s="273"/>
      <c r="F21" s="272" t="s">
        <v>410</v>
      </c>
      <c r="G21" s="371"/>
      <c r="H21" s="371"/>
      <c r="I21" s="273"/>
      <c r="K21" s="272" t="s">
        <v>411</v>
      </c>
      <c r="L21" s="371"/>
      <c r="M21" s="371"/>
      <c r="N21" s="273"/>
      <c r="P21" s="1" t="s">
        <v>115</v>
      </c>
      <c r="Q21" s="164">
        <f>IF(I36,I38,)+IF(AZ3,4%+(4%*AX3),)+IF(AZ7,20%,)</f>
        <v>0</v>
      </c>
    </row>
    <row r="22" spans="1:39" x14ac:dyDescent="0.25">
      <c r="C22" s="197" t="s">
        <v>377</v>
      </c>
      <c r="D22" s="197">
        <v>90</v>
      </c>
      <c r="H22" s="197" t="s">
        <v>377</v>
      </c>
      <c r="I22" s="197">
        <v>90</v>
      </c>
      <c r="M22" s="197" t="s">
        <v>377</v>
      </c>
      <c r="N22" s="197">
        <v>90</v>
      </c>
      <c r="P22" s="1" t="s">
        <v>118</v>
      </c>
      <c r="Q22" s="164">
        <f>IF(AK3,30%,)+IF(AK7,20%+10%*AM7,)</f>
        <v>0</v>
      </c>
    </row>
    <row r="23" spans="1:39" x14ac:dyDescent="0.25">
      <c r="C23" s="197" t="s">
        <v>31</v>
      </c>
      <c r="D23" s="196">
        <v>1000</v>
      </c>
      <c r="H23" s="197" t="s">
        <v>31</v>
      </c>
      <c r="I23" s="196">
        <v>1000</v>
      </c>
      <c r="M23" s="197" t="s">
        <v>31</v>
      </c>
      <c r="N23" s="196">
        <v>800</v>
      </c>
      <c r="P23" s="1" t="s">
        <v>117</v>
      </c>
      <c r="Q23" s="164">
        <f>IF(I16,I18,)+IF(D56,D58,)+IF(W10,12%,)+IF(W11,12%,)+IF(AE3,IF(AF3*15%&lt;=15%,AF3*15%,15%),)+IF(AY10,10%,)</f>
        <v>0</v>
      </c>
    </row>
    <row r="24" spans="1:39" x14ac:dyDescent="0.25">
      <c r="C24" s="197" t="s">
        <v>378</v>
      </c>
      <c r="D24" s="196">
        <v>0</v>
      </c>
      <c r="H24" s="197" t="s">
        <v>378</v>
      </c>
      <c r="I24" s="196">
        <v>0</v>
      </c>
      <c r="M24" s="197" t="s">
        <v>378</v>
      </c>
      <c r="N24" s="196">
        <v>0</v>
      </c>
      <c r="P24" s="1" t="s">
        <v>116</v>
      </c>
      <c r="Q24" s="164">
        <f>IF(I6,I7,)+IF(N16,IF(N18=4,60%,))+IF(D36,D40,)+IF(I36,I39,)+IF(N36,N40,)+IF(D46,D48,)+IF(D66,D68,)</f>
        <v>0</v>
      </c>
    </row>
    <row r="25" spans="1:39" x14ac:dyDescent="0.25">
      <c r="C25" s="197"/>
      <c r="D25" s="196"/>
      <c r="H25" s="197"/>
      <c r="I25" s="196"/>
      <c r="M25" s="197"/>
      <c r="N25" s="196"/>
      <c r="P25" s="1" t="s">
        <v>49</v>
      </c>
      <c r="Q25" s="2">
        <f>IF(D26,D28,)+IF(I26,I27,)+IF(N26,IF(N24&gt;=2,250,),)+IF(AE10,200,)+IF(BM5,60,)+IF(BM6,80,)+IF(BG12,60,)+IF(BF10,30*BE10,)+IF(BF8,120,)+IF(BF6,60,)+IF(BF4,60,)+IF(AZ4,125,)+IF(AR9,100,)+IF(AK12,80,)+IF(I66,I67,)+Разное!F20+IF(AK18,6%*AJ18,)+IF(AR12,80,)</f>
        <v>0</v>
      </c>
    </row>
    <row r="26" spans="1:39" x14ac:dyDescent="0.25">
      <c r="C26" s="201"/>
      <c r="D26" s="202" t="b">
        <v>0</v>
      </c>
      <c r="H26" s="201"/>
      <c r="I26" s="202" t="b">
        <v>0</v>
      </c>
      <c r="M26" s="201"/>
      <c r="N26" s="202" t="b">
        <v>0</v>
      </c>
      <c r="P26" s="1" t="s">
        <v>386</v>
      </c>
      <c r="Q26" s="164">
        <f>IF(D6,D7,)+IF(N7,N8,)+IF(D16,D17,)+IF(I16,I17,)+IF(D26,IF(D27=1,B29,))+IF(I26,IF(I28=1,G28,))+IF(N26,IF(N24=6,N30*1.5%,))+IF(I46,I48,)+IF(I56,IF(I54=6,20%*I59,),)+IF(W4,6%,)+IF(Y4,15%,)+IF(W9,15%,)+IF(W14,10%,)+IF(W16,40%-(2%*Y16),)+IF(W18,50%,)+IF(AE8,25%,)+IF(BF5,12%,)+IF(BF4,12%,)+IF(AZ6,17%,)+IF(AR5,1%+(3.5%*AT5),)</f>
        <v>0</v>
      </c>
    </row>
    <row r="27" spans="1:39" x14ac:dyDescent="0.25">
      <c r="C27" s="197" t="s">
        <v>45</v>
      </c>
      <c r="D27" s="206">
        <v>1</v>
      </c>
      <c r="H27" s="197" t="s">
        <v>31</v>
      </c>
      <c r="I27" s="206">
        <f>20%*I23+50</f>
        <v>250</v>
      </c>
      <c r="M27" s="197" t="s">
        <v>46</v>
      </c>
      <c r="N27" s="200">
        <f>20%+IF(N24&gt;=2,20%,)</f>
        <v>0.2</v>
      </c>
      <c r="P27" s="1" t="s">
        <v>387</v>
      </c>
      <c r="Q27" s="164">
        <f>IF(N7,N8,)+IF(D16,D17,)+IF(I16,I17,)+IF(D26,IF(D27=2,B29,))+IF(I26,IF(I28=2,G28,))+IF(N26,IF(N24=6,N30*1.5%,))+IF(I46,I48,)+IF(W4,6%,)+IF(Y4,15%,)+IF(W16,40%-(2%*Y16),)+IF(W18,50%,)+IF(AE8,25%,)+IF(BF5,12%,)+IF(BF4,12%,)+IF(AZ6,17%,)+IF(AR4,15%,)+IF(AR5,1%+(3.5%*AT5),)</f>
        <v>0</v>
      </c>
    </row>
    <row r="28" spans="1:39" x14ac:dyDescent="0.25">
      <c r="C28" s="197" t="s">
        <v>406</v>
      </c>
      <c r="D28" s="206">
        <f>IF(D24&gt;=2,200,)</f>
        <v>0</v>
      </c>
      <c r="G28" s="205">
        <v>0.2</v>
      </c>
      <c r="H28" s="197" t="s">
        <v>413</v>
      </c>
      <c r="I28" s="206">
        <v>0</v>
      </c>
      <c r="M28" s="197" t="s">
        <v>408</v>
      </c>
      <c r="N28" s="206">
        <f>IF(N24&gt;=1,200%*(N23+IF(N24&gt;=2,125,)),)</f>
        <v>0</v>
      </c>
      <c r="P28" s="1" t="s">
        <v>388</v>
      </c>
      <c r="Q28" s="164">
        <f>IF(N7,N8,)+IF(D16,D17,)+IF(I16,I17,)+IF(N36,N38,)+IF(W4,6%,)+IF(Y4,15%,)+IF(W16,40%-(2%*Y16),)+IF(W18,50%,)+IF(AE8,25%,)+IF(BF5,12%,)+IF(AZ6,17%,)+IF(AR5,1%+(3.5%*AT5),)</f>
        <v>0</v>
      </c>
    </row>
    <row r="29" spans="1:39" x14ac:dyDescent="0.25">
      <c r="B29" s="98">
        <f>0.04%*D23</f>
        <v>0.4</v>
      </c>
      <c r="M29" s="200" t="s">
        <v>406</v>
      </c>
      <c r="N29" s="200" t="s">
        <v>34</v>
      </c>
      <c r="P29" s="1" t="s">
        <v>389</v>
      </c>
      <c r="Q29" s="164">
        <f>IF(N7,N8,)+IF(D16,D17,)+IF(N16,IF(N18=1,50%,))+IF(I16,I17,)+IF(I36,I40,)+IF(W4,6%,)+IF(Y4,15%,)+IF(W16,40%-(2%*Y16),)+IF(W18,50%,)+IF(AE8,25%,)+IF(BF5,12%,)+IF(AZ6,17%,)+IF(AY9,12%,)+IF(AR5,1%+(3.5%*AT5),)</f>
        <v>0</v>
      </c>
    </row>
    <row r="30" spans="1:39" x14ac:dyDescent="0.25">
      <c r="M30" s="200" t="s">
        <v>413</v>
      </c>
      <c r="N30" s="206">
        <v>40</v>
      </c>
      <c r="P30" s="1" t="s">
        <v>390</v>
      </c>
      <c r="Q30" s="164">
        <f>IF(N7,N8,)+IF(D16,D17,)+IF(I16,I17,)+IF(D26,IF(D27=3,B29,))+IF(I26,IF(I28=3,G28,))+IF(I46,I48,)+IF(I56,IF(I54=6,20%*I59,),)+IF(W4,6%,)+IF(Y4,15%,)+IF(W16,40%-(2%*Y16),)+IF(W18,50%,)+IF(AE8,25%,)+IF(BF5,12%,)+IF(BF4,12%,)+IF(AZ6,17%,)+IF(AR5,1%+(3.5%*AT5),)+IF(AK13,20%,)</f>
        <v>0</v>
      </c>
    </row>
    <row r="31" spans="1:39" ht="17.25" x14ac:dyDescent="0.3">
      <c r="A31" s="272" t="s">
        <v>414</v>
      </c>
      <c r="B31" s="371"/>
      <c r="C31" s="371"/>
      <c r="D31" s="273"/>
      <c r="F31" s="272" t="s">
        <v>415</v>
      </c>
      <c r="G31" s="371"/>
      <c r="H31" s="371"/>
      <c r="I31" s="273"/>
      <c r="K31" s="272" t="s">
        <v>416</v>
      </c>
      <c r="L31" s="371"/>
      <c r="M31" s="371"/>
      <c r="N31" s="273"/>
      <c r="P31" s="1" t="s">
        <v>391</v>
      </c>
      <c r="Q31" s="164">
        <f>IF(N7,N8,)+IF(D16,D17,)+IF(I16,I17,)+IF(W4,6%,)+IF(Y4,15%,)+IF(W16,40%-(2%*Y16),)+IF(W18,50%,)+IF(AE8,25%,)+IF(BF5,12%,)+IF(BF3,15%,)+IF(AZ6,17%,)+IF(AR5,1%+(3.5%*AT5),)</f>
        <v>0</v>
      </c>
    </row>
    <row r="32" spans="1:39" x14ac:dyDescent="0.25">
      <c r="C32" s="197" t="s">
        <v>377</v>
      </c>
      <c r="D32" s="197">
        <v>90</v>
      </c>
      <c r="H32" s="197" t="s">
        <v>377</v>
      </c>
      <c r="I32" s="197">
        <v>90</v>
      </c>
      <c r="M32" s="197" t="s">
        <v>377</v>
      </c>
      <c r="N32" s="197">
        <v>90</v>
      </c>
      <c r="P32" s="1" t="s">
        <v>392</v>
      </c>
      <c r="Q32" s="164">
        <f>IF(N7,N8,)+IF(D16,D17,)+IF(I16,I17,)+IF(D26,IF(D27=4,B29,))+IF(I26,IF(I28=4,G28,))+IF(I46,I48,)+IF(W4,6%,)+IF(Y4,15%,)+IF(W16,40%-(2%*Y16),)+IF(W18,50%,)+IF(AE6,20%,)+IF(AE8,25%,)+IF(BF5,12%,)+IF(AZ6,17%,)+IF(AR5,1%+(3.5%*AT5),)</f>
        <v>0</v>
      </c>
    </row>
    <row r="33" spans="1:17" x14ac:dyDescent="0.25">
      <c r="C33" s="197" t="s">
        <v>26</v>
      </c>
      <c r="D33" s="196">
        <v>3000</v>
      </c>
      <c r="H33" s="197" t="s">
        <v>405</v>
      </c>
      <c r="I33" s="196">
        <v>13</v>
      </c>
      <c r="M33" s="197" t="s">
        <v>431</v>
      </c>
      <c r="N33" s="196">
        <v>791</v>
      </c>
      <c r="P33" s="1" t="s">
        <v>319</v>
      </c>
      <c r="Q33" s="164">
        <f>IF(N7,N8,)+IF(D16,D17,)+IF(I16,I17,)+IF(D46,D47,)+IF(W4,6%,)+IF(Y4,15%,)+IF(W6,15%,)+IF(W16,40%-(2%*Y16),)+IF(W18,50%,)+IF(AE8,25%,)+IF(BF5,12%,)+IF(AZ6,17%,)+IF(AR5,1%+(3.5%*AT5),)</f>
        <v>0</v>
      </c>
    </row>
    <row r="34" spans="1:17" x14ac:dyDescent="0.25">
      <c r="C34" s="197" t="s">
        <v>378</v>
      </c>
      <c r="D34" s="196">
        <v>0</v>
      </c>
      <c r="H34" s="197" t="s">
        <v>378</v>
      </c>
      <c r="I34" s="196">
        <v>6</v>
      </c>
      <c r="M34" s="197" t="s">
        <v>378</v>
      </c>
      <c r="N34" s="196">
        <v>0</v>
      </c>
      <c r="P34" s="1" t="s">
        <v>121</v>
      </c>
      <c r="Q34" s="164"/>
    </row>
    <row r="35" spans="1:17" x14ac:dyDescent="0.25">
      <c r="C35" s="197" t="s">
        <v>405</v>
      </c>
      <c r="D35" s="196">
        <v>10</v>
      </c>
      <c r="H35" s="197" t="s">
        <v>428</v>
      </c>
      <c r="I35" s="196">
        <v>3</v>
      </c>
      <c r="M35" s="197" t="s">
        <v>380</v>
      </c>
      <c r="N35" s="196">
        <v>10</v>
      </c>
      <c r="P35" s="1" t="s">
        <v>327</v>
      </c>
      <c r="Q35" s="7"/>
    </row>
    <row r="36" spans="1:17" ht="16.5" x14ac:dyDescent="0.3">
      <c r="C36" s="201"/>
      <c r="D36" s="202" t="b">
        <v>0</v>
      </c>
      <c r="H36" s="201"/>
      <c r="I36" s="202" t="b">
        <v>0</v>
      </c>
      <c r="M36" s="201"/>
      <c r="N36" s="202" t="b">
        <v>0</v>
      </c>
      <c r="P36" s="285" t="s">
        <v>356</v>
      </c>
      <c r="Q36" s="286"/>
    </row>
    <row r="37" spans="1:17" x14ac:dyDescent="0.25">
      <c r="C37" s="197" t="s">
        <v>380</v>
      </c>
      <c r="D37" s="217">
        <v>10</v>
      </c>
      <c r="H37" s="197" t="s">
        <v>28</v>
      </c>
      <c r="I37" s="206">
        <f>IF(I33=1,206,IF(I33=2,222,IF(I33=3,237,IF(I33=4,258,IF(I33=5,273,IF(I33=6,289,IF(I33=7,309,IF(I33=8,330,IF(I33=9,350,IF(I33=10,371,IF(I33=11,392,IF(I33=12,412,IF(I33=13,438,IF(I33=14,464,IF(I33=15,490,)))))))))))))))</f>
        <v>438</v>
      </c>
      <c r="M37" s="197" t="s">
        <v>46</v>
      </c>
      <c r="N37" s="200">
        <v>0.3</v>
      </c>
      <c r="P37" s="1" t="s">
        <v>21</v>
      </c>
      <c r="Q37" s="172"/>
    </row>
    <row r="38" spans="1:17" x14ac:dyDescent="0.25">
      <c r="C38" s="197" t="s">
        <v>426</v>
      </c>
      <c r="D38" s="206">
        <f>D33*B39</f>
        <v>2466</v>
      </c>
      <c r="H38" s="197" t="s">
        <v>29</v>
      </c>
      <c r="I38" s="200">
        <f>0.25</f>
        <v>0.25</v>
      </c>
      <c r="M38" s="219" t="s">
        <v>432</v>
      </c>
      <c r="N38" s="218">
        <f>IF(N35=1,18%,IF(N35=2,19.4%,IF(N35=3,20.7%,IF(N35=4,22.5%,IF(N35=5,23.9%,IF(N35=6,25.2%,IF(N35=7,27%,IF(N35=8,28.8%,IF(N35=9,30.6%,IF(N35=10,32.4%,IF(N35=11,34.2%,IF(N35=12,36%,IF(N35=13,38.3%,IF(N35=14,40.5%,IF(N35=15,42.8%,)))))))))))))))</f>
        <v>0.32400000000000001</v>
      </c>
      <c r="P38" s="1" t="s">
        <v>22</v>
      </c>
      <c r="Q38" s="172">
        <f>IF(D6,D8,)+IF(I6,I8,)+IF(N7,N9,)</f>
        <v>0</v>
      </c>
    </row>
    <row r="39" spans="1:17" x14ac:dyDescent="0.25">
      <c r="A39" s="205">
        <f>IF(AND(D37&gt;=1,D37&lt;=10),5%+D37*1%,15%)</f>
        <v>0.15000000000000002</v>
      </c>
      <c r="B39" s="216">
        <f>IF(D35=1,45.7%,IF(D35=2,49.1%,IF(D35=3,52.5%,IF(D35=4,57.1%,IF(D35=5,60.5%,IF(D35=6,63.9%,IF(D35=7,68.5%,IF(D35=8,73%,IF(D35=9,77.6%,IF(D35=10,82.2%,IF(D35=11,86.7%,IF(D35=12,91.3%,IF(D35=13,97%,IF(D35=14,102.7%,IF(D35=15,108.4%,)))))))))))))))</f>
        <v>0.82200000000000006</v>
      </c>
      <c r="C39" s="200" t="s">
        <v>46</v>
      </c>
      <c r="D39" s="200">
        <f>A39</f>
        <v>0.15000000000000002</v>
      </c>
      <c r="H39" s="200" t="s">
        <v>429</v>
      </c>
      <c r="I39" s="200">
        <f>IF(I34=6,IF(I35=1,10%,IF(I35=2,20%,IF(I35=3,40%,))),)</f>
        <v>0.4</v>
      </c>
      <c r="M39" s="200" t="s">
        <v>433</v>
      </c>
      <c r="N39" s="204">
        <f>32%*N33</f>
        <v>253.12</v>
      </c>
      <c r="P39" s="1" t="s">
        <v>115</v>
      </c>
      <c r="Q39" s="172">
        <f>IF(I36,I37,)</f>
        <v>0</v>
      </c>
    </row>
    <row r="40" spans="1:17" x14ac:dyDescent="0.25">
      <c r="C40" s="200" t="s">
        <v>427</v>
      </c>
      <c r="D40" s="206">
        <f>IF(D34&gt;=2,15%,)</f>
        <v>0</v>
      </c>
      <c r="H40" s="200" t="s">
        <v>430</v>
      </c>
      <c r="I40" s="200">
        <f>IF(I35=3,15%,)</f>
        <v>0.15</v>
      </c>
      <c r="M40" s="200" t="s">
        <v>429</v>
      </c>
      <c r="N40" s="200">
        <f>IF(N34=6,40%,)</f>
        <v>0</v>
      </c>
      <c r="P40" s="1"/>
      <c r="Q40" s="7"/>
    </row>
    <row r="41" spans="1:17" ht="17.25" x14ac:dyDescent="0.3">
      <c r="A41" s="272" t="s">
        <v>417</v>
      </c>
      <c r="B41" s="371"/>
      <c r="C41" s="371"/>
      <c r="D41" s="273"/>
      <c r="F41" s="272" t="s">
        <v>418</v>
      </c>
      <c r="G41" s="371"/>
      <c r="H41" s="371"/>
      <c r="I41" s="273"/>
      <c r="K41" s="272" t="s">
        <v>419</v>
      </c>
      <c r="L41" s="371"/>
      <c r="M41" s="371"/>
      <c r="N41" s="273"/>
      <c r="P41" s="285" t="s">
        <v>332</v>
      </c>
      <c r="Q41" s="286"/>
    </row>
    <row r="42" spans="1:17" x14ac:dyDescent="0.25">
      <c r="C42" s="197" t="s">
        <v>377</v>
      </c>
      <c r="D42" s="197">
        <v>90</v>
      </c>
      <c r="H42" s="197" t="s">
        <v>377</v>
      </c>
      <c r="I42" s="197">
        <v>90</v>
      </c>
      <c r="M42" s="197" t="s">
        <v>377</v>
      </c>
      <c r="N42" s="197">
        <v>90</v>
      </c>
      <c r="P42" s="1" t="s">
        <v>333</v>
      </c>
      <c r="Q42" s="7">
        <f>IF(N16,N17,)+IF(N26,N27,)+IF(D36,D39,)+IF(N36,N37,)+IF(N46,N48)+IF(I56,I58,)+IF(D66,B69,)+IF(W8,15%,)+IF(W12,20%,)+IF(AE7,15%,)+IF(AE12,25%,)+IF(AE13,10%,)+IF(BM3,40%,)+IF(BM7,20%,)+IF(BM8,12%+IF(BN8,12%,),)+IF(BM9,20%,)+IF(BF9,30%,)+IF(BF7,30%,)+IF(AZ8,20%,)+IF(AY11,20%,)+IF(AR10,35%,)+IF(AR11,10%,)+IF(AK4,15%,)+IF(AK8,15%,)+IF(AK16,25%,)</f>
        <v>0</v>
      </c>
    </row>
    <row r="43" spans="1:17" x14ac:dyDescent="0.25">
      <c r="C43" s="197"/>
      <c r="D43" s="196"/>
      <c r="H43" s="197" t="s">
        <v>405</v>
      </c>
      <c r="I43" s="196">
        <v>13</v>
      </c>
      <c r="M43" s="197" t="s">
        <v>24</v>
      </c>
      <c r="N43" s="196">
        <v>65000</v>
      </c>
      <c r="P43" s="1" t="s">
        <v>334</v>
      </c>
      <c r="Q43" s="7">
        <f>IF(D36,D39,)+IF(W7,15%,)+IF(AE4,20%,)+IF(AE12,25%,)+IF(BM8,12%+IF(BN8,12%,),)+IF(AY11,20%,)</f>
        <v>0</v>
      </c>
    </row>
    <row r="44" spans="1:17" x14ac:dyDescent="0.25">
      <c r="C44" s="197" t="s">
        <v>378</v>
      </c>
      <c r="D44" s="196">
        <v>0</v>
      </c>
      <c r="H44" s="197" t="s">
        <v>378</v>
      </c>
      <c r="I44" s="196">
        <v>0</v>
      </c>
      <c r="M44" s="197" t="s">
        <v>378</v>
      </c>
      <c r="N44" s="196">
        <v>0</v>
      </c>
      <c r="P44" s="1" t="s">
        <v>442</v>
      </c>
      <c r="Q44" s="7">
        <f>IF(I66,I70,)+IF(W13,23%,)+IF(W17,20%,)+IF(AE9,30%,)+IF(AK5,15%,)+IF(AK11,15%,)</f>
        <v>0</v>
      </c>
    </row>
    <row r="45" spans="1:17" x14ac:dyDescent="0.25">
      <c r="C45" s="197" t="s">
        <v>434</v>
      </c>
      <c r="D45" s="196">
        <v>5</v>
      </c>
      <c r="H45" s="197" t="s">
        <v>31</v>
      </c>
      <c r="I45" s="196">
        <v>1000</v>
      </c>
      <c r="M45" s="197"/>
      <c r="N45" s="196"/>
      <c r="P45" s="1" t="s">
        <v>358</v>
      </c>
      <c r="Q45" s="7">
        <f>IF(D16,D18,)</f>
        <v>0</v>
      </c>
    </row>
    <row r="46" spans="1:17" ht="16.5" x14ac:dyDescent="0.3">
      <c r="C46" s="201"/>
      <c r="D46" s="202" t="b">
        <v>0</v>
      </c>
      <c r="H46" s="201"/>
      <c r="I46" s="202" t="b">
        <v>0</v>
      </c>
      <c r="M46" s="201"/>
      <c r="N46" s="202" t="b">
        <v>0</v>
      </c>
      <c r="P46" s="285" t="s">
        <v>124</v>
      </c>
      <c r="Q46" s="286"/>
    </row>
    <row r="47" spans="1:17" x14ac:dyDescent="0.25">
      <c r="C47" s="197" t="s">
        <v>119</v>
      </c>
      <c r="D47" s="200">
        <f>IF(D46,D45*10%,)</f>
        <v>0</v>
      </c>
      <c r="H47" s="197" t="s">
        <v>435</v>
      </c>
      <c r="I47" s="218">
        <f>I45*G49</f>
        <v>5.4</v>
      </c>
      <c r="M47" s="197" t="s">
        <v>368</v>
      </c>
      <c r="N47" s="206">
        <f>((N43-30000)/1000)*(80+IF(N44&gt;=1,20,))</f>
        <v>2800</v>
      </c>
      <c r="P47" s="1" t="s">
        <v>69</v>
      </c>
      <c r="Q47" s="7"/>
    </row>
    <row r="48" spans="1:17" x14ac:dyDescent="0.25">
      <c r="C48" s="197" t="s">
        <v>429</v>
      </c>
      <c r="D48" s="200">
        <f>IF(D44=6,60%,)</f>
        <v>0</v>
      </c>
      <c r="H48" s="197" t="s">
        <v>406</v>
      </c>
      <c r="I48" s="218">
        <f>IF(I44&gt;=2,0.04%*I45,)</f>
        <v>0</v>
      </c>
      <c r="M48" s="197" t="s">
        <v>46</v>
      </c>
      <c r="N48" s="200">
        <f>IF(N44&gt;=2,35%,)</f>
        <v>0</v>
      </c>
      <c r="P48" s="1" t="s">
        <v>106</v>
      </c>
      <c r="Q48" s="7">
        <f>IF(I16,I19,)+IF(BM10,(BL10+BL11)*1.5%,)+IF(AR13,IF(AQ13=1,15%,IF(AQ13=2,35%,)),)</f>
        <v>0</v>
      </c>
    </row>
    <row r="49" spans="1:19" x14ac:dyDescent="0.25">
      <c r="C49" s="200"/>
      <c r="D49" s="200"/>
      <c r="G49" s="199">
        <f>IF(AND(I43&gt;=1,I43&lt;=15),0.15%+I43*0.03%,0.6%)</f>
        <v>5.4000000000000003E-3</v>
      </c>
      <c r="H49" s="200" t="s">
        <v>413</v>
      </c>
      <c r="I49" s="200">
        <f>IF(I44=6,30%,)</f>
        <v>0</v>
      </c>
      <c r="M49" s="200"/>
      <c r="N49" s="200"/>
      <c r="P49" s="1" t="s">
        <v>73</v>
      </c>
      <c r="Q49" s="7"/>
    </row>
    <row r="50" spans="1:19" x14ac:dyDescent="0.25">
      <c r="C50" s="200"/>
      <c r="D50" s="206"/>
      <c r="H50" s="200"/>
      <c r="I50" s="200">
        <f>IF(I44=6,100%,)</f>
        <v>0</v>
      </c>
      <c r="M50" s="200"/>
      <c r="N50" s="206"/>
      <c r="P50" s="1" t="s">
        <v>70</v>
      </c>
      <c r="Q50" s="7">
        <f>IF(BG11,(BH11/1000)*0.8%,)</f>
        <v>0</v>
      </c>
    </row>
    <row r="51" spans="1:19" ht="17.25" x14ac:dyDescent="0.3">
      <c r="A51" s="272" t="s">
        <v>420</v>
      </c>
      <c r="B51" s="371"/>
      <c r="C51" s="371"/>
      <c r="D51" s="273"/>
      <c r="F51" s="272" t="s">
        <v>421</v>
      </c>
      <c r="G51" s="371"/>
      <c r="H51" s="371"/>
      <c r="I51" s="273"/>
      <c r="K51" s="272" t="s">
        <v>422</v>
      </c>
      <c r="L51" s="371"/>
      <c r="M51" s="371"/>
      <c r="N51" s="273"/>
      <c r="P51" s="1" t="s">
        <v>71</v>
      </c>
      <c r="Q51" s="7">
        <f>IF(BG11,(BH11/1000)*0.8%,)</f>
        <v>0</v>
      </c>
    </row>
    <row r="52" spans="1:19" x14ac:dyDescent="0.25">
      <c r="C52" s="197" t="s">
        <v>377</v>
      </c>
      <c r="D52" s="197">
        <v>90</v>
      </c>
      <c r="H52" s="197" t="s">
        <v>377</v>
      </c>
      <c r="I52" s="197">
        <v>90</v>
      </c>
      <c r="M52" s="197" t="s">
        <v>377</v>
      </c>
      <c r="N52" s="197">
        <v>90</v>
      </c>
      <c r="P52" s="1" t="s">
        <v>72</v>
      </c>
      <c r="Q52" s="7"/>
    </row>
    <row r="53" spans="1:19" x14ac:dyDescent="0.25">
      <c r="C53" s="197" t="s">
        <v>26</v>
      </c>
      <c r="D53" s="196">
        <v>2000</v>
      </c>
      <c r="H53" s="197" t="s">
        <v>24</v>
      </c>
      <c r="I53" s="196">
        <v>40000</v>
      </c>
      <c r="M53" s="197" t="s">
        <v>28</v>
      </c>
      <c r="N53" s="196">
        <v>3000</v>
      </c>
      <c r="P53" s="1" t="s">
        <v>67</v>
      </c>
      <c r="Q53" s="7">
        <f>IF(I16,I19,)</f>
        <v>0</v>
      </c>
    </row>
    <row r="54" spans="1:19" x14ac:dyDescent="0.25">
      <c r="C54" s="197" t="s">
        <v>378</v>
      </c>
      <c r="D54" s="196">
        <v>0</v>
      </c>
      <c r="H54" s="197" t="s">
        <v>378</v>
      </c>
      <c r="I54" s="196">
        <v>6</v>
      </c>
      <c r="M54" s="197" t="s">
        <v>378</v>
      </c>
      <c r="N54" s="196">
        <v>0</v>
      </c>
      <c r="P54" s="1" t="s">
        <v>68</v>
      </c>
      <c r="Q54" s="7"/>
    </row>
    <row r="55" spans="1:19" x14ac:dyDescent="0.25">
      <c r="C55" s="197" t="s">
        <v>434</v>
      </c>
      <c r="D55" s="196">
        <v>1</v>
      </c>
      <c r="H55" s="197"/>
      <c r="I55" s="196"/>
      <c r="M55" s="197" t="s">
        <v>380</v>
      </c>
      <c r="N55" s="196">
        <v>1</v>
      </c>
      <c r="P55" s="1" t="s">
        <v>360</v>
      </c>
      <c r="Q55" s="7">
        <f>IF(BG11,(BH11/1000)*2%,)+Разное!G20</f>
        <v>0</v>
      </c>
      <c r="R55" s="4">
        <f>IF($I$66,$I$68,)+IF(N66,IF(N68=1,N69,),)</f>
        <v>0</v>
      </c>
      <c r="S55" s="4">
        <f>(IF(OR($I$66,$N$66),100%,))</f>
        <v>0</v>
      </c>
    </row>
    <row r="56" spans="1:19" x14ac:dyDescent="0.25">
      <c r="C56" s="201"/>
      <c r="D56" s="202" t="b">
        <v>0</v>
      </c>
      <c r="H56" s="201"/>
      <c r="I56" s="202" t="b">
        <v>0</v>
      </c>
      <c r="M56" s="201"/>
      <c r="N56" s="202"/>
      <c r="P56" s="1" t="s">
        <v>78</v>
      </c>
      <c r="Q56" s="7">
        <f>IF(BG11,(BH11/1000)*2%,)+Разное!G20</f>
        <v>0</v>
      </c>
      <c r="R56" s="4">
        <f>IF($I$66,$I$68,)+IF(N66,IF(N68=1,N69,),)</f>
        <v>0</v>
      </c>
      <c r="S56" s="4">
        <f t="shared" ref="S56:S57" si="0">IF(OR($I$66,$N$66),100%,)</f>
        <v>0</v>
      </c>
    </row>
    <row r="57" spans="1:19" x14ac:dyDescent="0.25">
      <c r="C57" s="197" t="s">
        <v>436</v>
      </c>
      <c r="D57" s="206">
        <f>IF(200%*D53&lt;=9000,200%*D53,9000)*IF(D54&gt;=2,200%,1)</f>
        <v>4000</v>
      </c>
      <c r="H57" s="197" t="s">
        <v>2</v>
      </c>
      <c r="I57" s="200">
        <f>I53/100000</f>
        <v>0.4</v>
      </c>
      <c r="J57" s="67"/>
      <c r="M57" s="197" t="s">
        <v>438</v>
      </c>
      <c r="N57" s="215">
        <f>N53*L59</f>
        <v>966</v>
      </c>
      <c r="P57" s="1" t="s">
        <v>76</v>
      </c>
      <c r="Q57" s="7">
        <f>IF(BG11,(BH11/1000)*2%,)+IF(BF13,49.5%+IF(BG13,8.9%,),)+IF(BF14,60%,)+IF(AS8,IF(AT8-30000&lt;=45000,((AT8-30000)/1000)*9%,400%))+Разное!G18+IF(AR13,IF(AQ13=1,15%,IF(AQ13=2,35%,)),)</f>
        <v>0</v>
      </c>
      <c r="R57" s="4">
        <f>IF($I$66,$I$68,)+IF(N66,IF(N68=1,N69,),)</f>
        <v>0</v>
      </c>
      <c r="S57" s="4">
        <f t="shared" si="0"/>
        <v>0</v>
      </c>
    </row>
    <row r="58" spans="1:19" x14ac:dyDescent="0.25">
      <c r="C58" s="197" t="s">
        <v>367</v>
      </c>
      <c r="D58" s="200">
        <f>IF(AND(D55&gt;=1,D55&lt;=4),2%+D55*2%,10%)</f>
        <v>0.04</v>
      </c>
      <c r="H58" s="197" t="s">
        <v>46</v>
      </c>
      <c r="I58" s="200">
        <v>0.4</v>
      </c>
      <c r="M58" s="197" t="s">
        <v>439</v>
      </c>
      <c r="N58" s="218">
        <f>IF(N54&gt;=2,15%,)+IF(N59&lt;4,2.5%*N59,11.5%)</f>
        <v>2.5000000000000001E-2</v>
      </c>
      <c r="P58" s="1" t="s">
        <v>79</v>
      </c>
      <c r="Q58" s="177"/>
      <c r="R58" s="4">
        <f>IF($I$66,$I$68,)</f>
        <v>0</v>
      </c>
      <c r="S58" s="4">
        <f>IF($I$66,I69,)</f>
        <v>0</v>
      </c>
    </row>
    <row r="59" spans="1:19" x14ac:dyDescent="0.25">
      <c r="C59" s="200"/>
      <c r="D59" s="200"/>
      <c r="H59" s="200" t="s">
        <v>437</v>
      </c>
      <c r="I59" s="206">
        <v>0</v>
      </c>
      <c r="L59" s="98">
        <f>IF(N55=1,32.2%,IF(N55=2,34.6%,IF(N55=3,37%,IF(N55=4,40.2%,IF(N55=5,42.6%,IF(N55=6,45%,IF(N55=7,48.2%,IF(N55=8,51.5%,IF(N55=9,54.7%,IF(N55=10,57.9%,IF(N55=11,61.1%,IF(N55=12,64.3%,IF(N55=13,68.3%,IF(N55=14,72.4%,IF(N55=15,76.4%,)))))))))))))))</f>
        <v>0.32200000000000001</v>
      </c>
      <c r="M59" s="200" t="s">
        <v>440</v>
      </c>
      <c r="N59" s="206">
        <v>1</v>
      </c>
      <c r="P59" s="1" t="s">
        <v>74</v>
      </c>
      <c r="Q59" s="7">
        <f>IF(I16,I19,)+IF(I46,I47,)+IF(BM10,(BL10+BL11)*1.5%,)</f>
        <v>0</v>
      </c>
      <c r="R59" s="4">
        <f>IF($I$46,$I$49,)</f>
        <v>0</v>
      </c>
      <c r="S59" s="4">
        <f>IF($I$46,$I$50,)</f>
        <v>0</v>
      </c>
    </row>
    <row r="60" spans="1:19" x14ac:dyDescent="0.25">
      <c r="C60" s="200"/>
      <c r="D60" s="206"/>
      <c r="H60" s="200"/>
      <c r="I60" s="206"/>
      <c r="M60" s="200"/>
      <c r="N60" s="206"/>
      <c r="P60" s="1" t="s">
        <v>412</v>
      </c>
      <c r="Q60" s="7">
        <f>IF(I16,I19,)+IF(AK15,20%,)+IF(AK17,10%,)+IF(AK20,IF(AJ18/100*2.5%&lt;=50%,(AJ18/100)*2.5%,50%))+IF(BM10,(BL10+BL11)*0.2%,)+IF(AR13,IF(AQ13=1,15%,IF(AQ13=2,35%,)),)</f>
        <v>0</v>
      </c>
    </row>
    <row r="61" spans="1:19" ht="17.25" x14ac:dyDescent="0.3">
      <c r="A61" s="272" t="s">
        <v>423</v>
      </c>
      <c r="B61" s="371"/>
      <c r="C61" s="371"/>
      <c r="D61" s="273"/>
      <c r="F61" s="272" t="s">
        <v>424</v>
      </c>
      <c r="G61" s="371"/>
      <c r="H61" s="371"/>
      <c r="I61" s="273"/>
      <c r="K61" s="272" t="s">
        <v>425</v>
      </c>
      <c r="L61" s="371"/>
      <c r="M61" s="371"/>
      <c r="N61" s="273"/>
      <c r="P61" s="1" t="s">
        <v>455</v>
      </c>
      <c r="Q61" s="7">
        <f>Разное!G19+IF(N64&gt;=2,40%,)+IF(N64&gt;=6,25%,)+IF(AR13,IF(AQ13=1,15%,IF(AQ13=2,35%,)),)</f>
        <v>0</v>
      </c>
      <c r="R61" s="4">
        <f>IF(N66,IF(N68=2,10%,),)</f>
        <v>0</v>
      </c>
      <c r="S61" s="4">
        <f>IF(N66,IF(N68=2,20%,),)</f>
        <v>0</v>
      </c>
    </row>
    <row r="62" spans="1:19" x14ac:dyDescent="0.25">
      <c r="C62" s="197" t="s">
        <v>377</v>
      </c>
      <c r="D62" s="197">
        <v>90</v>
      </c>
      <c r="H62" s="197" t="s">
        <v>377</v>
      </c>
      <c r="I62" s="197">
        <v>90</v>
      </c>
      <c r="M62" s="197" t="s">
        <v>377</v>
      </c>
      <c r="N62" s="197">
        <v>90</v>
      </c>
    </row>
    <row r="63" spans="1:19" x14ac:dyDescent="0.25">
      <c r="C63" s="197" t="s">
        <v>26</v>
      </c>
      <c r="D63" s="196">
        <v>2000</v>
      </c>
      <c r="H63" s="197" t="s">
        <v>31</v>
      </c>
      <c r="I63" s="196">
        <v>1000</v>
      </c>
      <c r="M63" s="197" t="s">
        <v>31</v>
      </c>
      <c r="N63" s="196">
        <v>1000</v>
      </c>
    </row>
    <row r="64" spans="1:19" x14ac:dyDescent="0.25">
      <c r="C64" s="197" t="s">
        <v>378</v>
      </c>
      <c r="D64" s="196">
        <v>2</v>
      </c>
      <c r="H64" s="197" t="s">
        <v>378</v>
      </c>
      <c r="I64" s="196">
        <v>2</v>
      </c>
      <c r="M64" s="197" t="s">
        <v>378</v>
      </c>
      <c r="N64" s="196">
        <v>0</v>
      </c>
    </row>
    <row r="65" spans="2:14" x14ac:dyDescent="0.25">
      <c r="C65" s="197"/>
      <c r="D65" s="196"/>
      <c r="H65" s="197"/>
      <c r="I65" s="196"/>
      <c r="M65" s="197" t="s">
        <v>456</v>
      </c>
      <c r="N65" s="196">
        <v>10</v>
      </c>
    </row>
    <row r="66" spans="2:14" x14ac:dyDescent="0.25">
      <c r="C66" s="201"/>
      <c r="D66" s="202" t="b">
        <v>0</v>
      </c>
      <c r="H66" s="201"/>
      <c r="I66" s="202" t="b">
        <v>0</v>
      </c>
      <c r="M66" s="201"/>
      <c r="N66" s="202" t="b">
        <v>0</v>
      </c>
    </row>
    <row r="67" spans="2:14" x14ac:dyDescent="0.25">
      <c r="C67" s="197" t="s">
        <v>46</v>
      </c>
      <c r="D67" s="206">
        <v>4</v>
      </c>
      <c r="H67" s="197" t="s">
        <v>441</v>
      </c>
      <c r="I67" s="206">
        <f>IF(I63*25%&lt;=250,I63*25%,250)</f>
        <v>250</v>
      </c>
      <c r="M67" s="197" t="s">
        <v>46</v>
      </c>
      <c r="N67" s="200">
        <f>IF(AND(N65&gt;=1,N65&lt;=10),0%+N65*2.5%,25%+(N65-10)*3%)</f>
        <v>0.25</v>
      </c>
    </row>
    <row r="68" spans="2:14" x14ac:dyDescent="0.25">
      <c r="C68" s="197" t="s">
        <v>408</v>
      </c>
      <c r="D68" s="200">
        <f>IF(D64&gt;=1,60%,)</f>
        <v>0.6</v>
      </c>
      <c r="H68" s="197" t="s">
        <v>427</v>
      </c>
      <c r="I68" s="200">
        <f>IF(I64&gt;=2,20%,)</f>
        <v>0.2</v>
      </c>
      <c r="M68" s="197" t="s">
        <v>453</v>
      </c>
      <c r="N68" s="206">
        <v>1</v>
      </c>
    </row>
    <row r="69" spans="2:14" x14ac:dyDescent="0.25">
      <c r="B69" s="98">
        <f>IF(D67=1,5%,IF(D67=2,10%,IF(D67=3,15%,IF(D67=4,55%,))))</f>
        <v>0.55000000000000004</v>
      </c>
      <c r="C69" s="200" t="s">
        <v>406</v>
      </c>
      <c r="D69" s="215">
        <f>IF(D64&gt;=2,D63*240%,)</f>
        <v>4800</v>
      </c>
      <c r="H69" s="200" t="s">
        <v>427</v>
      </c>
      <c r="I69" s="200">
        <f>IF(I64&gt;=2,100%,)</f>
        <v>1</v>
      </c>
      <c r="K69" s="389">
        <f>IF(N66,(L69+IF(N64&gt;=2,500%,))*N63,)</f>
        <v>0</v>
      </c>
      <c r="L69" s="199">
        <f>IF(N65=1,277.76%,IF(N65=2,298.59%,IF(N65=3,319.42%,IF(N65=4,347.2%,IF(N65=5,368.03%,IF(N65=6,388.86%,IF(N65=7,416.64%,IF(N65=8,444.42%,IF(N65=9,472.19%,IF(N65=10,499.97%,IF(N65=11,527.74%,IF(N65=12,555.52%,IF(N65=13,590.24%,IF(N65=14,624.96%,IF(N65=15,659.68%,)))))))))))))))</f>
        <v>4.9997000000000007</v>
      </c>
      <c r="M69" s="200" t="s">
        <v>179</v>
      </c>
      <c r="N69" s="200">
        <f>IF(N68=1,20%,)</f>
        <v>0.2</v>
      </c>
    </row>
    <row r="70" spans="2:14" x14ac:dyDescent="0.25">
      <c r="C70" s="200"/>
      <c r="D70" s="206"/>
      <c r="H70" s="200" t="s">
        <v>427</v>
      </c>
      <c r="I70" s="200">
        <f>IF(I64&gt;=2,30%,)</f>
        <v>0.3</v>
      </c>
      <c r="K70" s="389">
        <f>IF(N66,N63*(L70+IF(N64&gt;=2,400%,)),)</f>
        <v>0</v>
      </c>
      <c r="L70" s="199">
        <f>IF(N65=1,222.24%,IF(N65=2,238.91%,IF(N65=3,255.58%,IF(N65=4,277.8%,IF(N65=5,294.47%,IF(N65=6,311.14%,IF(N65=7,333.36%,IF(N65=8,355.58%,IF(N65=9,377.81%,IF(N65=10,400.03%,IF(N65=11,422.26%,IF(N65=12,444.48%,IF(N65=13,472.26%,IF(N65=14,500.04%,IF(N65=15,527.82%,)))))))))))))))</f>
        <v>4.0002999999999993</v>
      </c>
      <c r="M70" s="200" t="s">
        <v>173</v>
      </c>
      <c r="N70" s="200">
        <f>IF(N68=1,100%,)</f>
        <v>1</v>
      </c>
    </row>
    <row r="173" spans="2:14" x14ac:dyDescent="0.25">
      <c r="N173" t="b">
        <v>0</v>
      </c>
    </row>
    <row r="175" spans="2:14" x14ac:dyDescent="0.25">
      <c r="N175" t="b">
        <v>0</v>
      </c>
    </row>
    <row r="176" spans="2:14" x14ac:dyDescent="0.25">
      <c r="B176" t="b">
        <v>0</v>
      </c>
    </row>
    <row r="180" spans="2:14" x14ac:dyDescent="0.25">
      <c r="N180" t="b">
        <v>0</v>
      </c>
    </row>
    <row r="185" spans="2:14" x14ac:dyDescent="0.25">
      <c r="B185" t="b">
        <v>0</v>
      </c>
    </row>
    <row r="193" spans="2:2" x14ac:dyDescent="0.25">
      <c r="B193" t="b">
        <v>0</v>
      </c>
    </row>
    <row r="198" spans="2:2" x14ac:dyDescent="0.25">
      <c r="B198" t="b">
        <v>1</v>
      </c>
    </row>
    <row r="199" spans="2:2" x14ac:dyDescent="0.25">
      <c r="B199" t="b">
        <v>0</v>
      </c>
    </row>
    <row r="200" spans="2:2" x14ac:dyDescent="0.25">
      <c r="B200" t="b">
        <v>1</v>
      </c>
    </row>
    <row r="201" spans="2:2" x14ac:dyDescent="0.25">
      <c r="B201" t="b">
        <v>0</v>
      </c>
    </row>
    <row r="218" spans="2:2" x14ac:dyDescent="0.25">
      <c r="B218" t="b">
        <v>0</v>
      </c>
    </row>
    <row r="219" spans="2:2" x14ac:dyDescent="0.25">
      <c r="B219" t="b">
        <v>0</v>
      </c>
    </row>
    <row r="223" spans="2:2" x14ac:dyDescent="0.25">
      <c r="B223" t="b">
        <v>1</v>
      </c>
    </row>
    <row r="239" spans="2:2" x14ac:dyDescent="0.25">
      <c r="B239" t="b">
        <v>0</v>
      </c>
    </row>
  </sheetData>
  <mergeCells count="118">
    <mergeCell ref="AR12:AS12"/>
    <mergeCell ref="AR13:AS13"/>
    <mergeCell ref="AK14:AL14"/>
    <mergeCell ref="AK15:AL15"/>
    <mergeCell ref="AK16:AL16"/>
    <mergeCell ref="AK17:AL17"/>
    <mergeCell ref="AK18:AL18"/>
    <mergeCell ref="AK19:AL19"/>
    <mergeCell ref="AK20:AL20"/>
    <mergeCell ref="BM8:BN8"/>
    <mergeCell ref="BM9:BN9"/>
    <mergeCell ref="BF13:BG13"/>
    <mergeCell ref="BF14:BG14"/>
    <mergeCell ref="BI1:BN1"/>
    <mergeCell ref="BM2:BN2"/>
    <mergeCell ref="BM3:BN3"/>
    <mergeCell ref="BM4:BN4"/>
    <mergeCell ref="BM5:BN5"/>
    <mergeCell ref="BM6:BN6"/>
    <mergeCell ref="BM7:BN7"/>
    <mergeCell ref="BB1:BG1"/>
    <mergeCell ref="BF2:BG2"/>
    <mergeCell ref="BF3:BG3"/>
    <mergeCell ref="BF4:BG4"/>
    <mergeCell ref="BF5:BG5"/>
    <mergeCell ref="BF6:BG6"/>
    <mergeCell ref="BF7:BG7"/>
    <mergeCell ref="BF8:BG8"/>
    <mergeCell ref="BF9:BG9"/>
    <mergeCell ref="BF10:BG10"/>
    <mergeCell ref="BM10:BN10"/>
    <mergeCell ref="BM11:BN11"/>
    <mergeCell ref="AY9:AZ9"/>
    <mergeCell ref="AY10:AZ10"/>
    <mergeCell ref="AY11:AZ11"/>
    <mergeCell ref="AR11:AS11"/>
    <mergeCell ref="AU1:AZ1"/>
    <mergeCell ref="AY2:AZ2"/>
    <mergeCell ref="AK12:AL12"/>
    <mergeCell ref="AK13:AL13"/>
    <mergeCell ref="AN1:AS1"/>
    <mergeCell ref="AR2:AS2"/>
    <mergeCell ref="AR3:AS3"/>
    <mergeCell ref="AR4:AS4"/>
    <mergeCell ref="AR5:AS5"/>
    <mergeCell ref="AR6:AS6"/>
    <mergeCell ref="AR7:AS7"/>
    <mergeCell ref="AR9:AS9"/>
    <mergeCell ref="AR10:AS10"/>
    <mergeCell ref="AG1:AL1"/>
    <mergeCell ref="AK2:AL2"/>
    <mergeCell ref="AK3:AL3"/>
    <mergeCell ref="AK4:AL4"/>
    <mergeCell ref="AK5:AL5"/>
    <mergeCell ref="AK6:AL6"/>
    <mergeCell ref="AK7:AL7"/>
    <mergeCell ref="S1:X1"/>
    <mergeCell ref="W2:X2"/>
    <mergeCell ref="W3:X3"/>
    <mergeCell ref="AK8:AL8"/>
    <mergeCell ref="AK9:AL9"/>
    <mergeCell ref="AK10:AL10"/>
    <mergeCell ref="AK11:AL11"/>
    <mergeCell ref="AD12:AE12"/>
    <mergeCell ref="AD13:AE13"/>
    <mergeCell ref="AD10:AE10"/>
    <mergeCell ref="W11:X11"/>
    <mergeCell ref="W12:X12"/>
    <mergeCell ref="W13:X13"/>
    <mergeCell ref="W14:X14"/>
    <mergeCell ref="W15:X15"/>
    <mergeCell ref="W6:X6"/>
    <mergeCell ref="W7:X7"/>
    <mergeCell ref="W8:X8"/>
    <mergeCell ref="W9:X9"/>
    <mergeCell ref="W10:X10"/>
    <mergeCell ref="Z1:AE1"/>
    <mergeCell ref="AD2:AE2"/>
    <mergeCell ref="AD3:AE3"/>
    <mergeCell ref="AD4:AE4"/>
    <mergeCell ref="AD5:AE5"/>
    <mergeCell ref="AD6:AE6"/>
    <mergeCell ref="AD7:AE7"/>
    <mergeCell ref="AD8:AE8"/>
    <mergeCell ref="AD9:AE9"/>
    <mergeCell ref="W4:X4"/>
    <mergeCell ref="W5:X5"/>
    <mergeCell ref="A51:D51"/>
    <mergeCell ref="F51:I51"/>
    <mergeCell ref="K51:N51"/>
    <mergeCell ref="A61:D61"/>
    <mergeCell ref="F61:I61"/>
    <mergeCell ref="K61:N61"/>
    <mergeCell ref="F31:I31"/>
    <mergeCell ref="K31:N31"/>
    <mergeCell ref="A41:D41"/>
    <mergeCell ref="F41:I41"/>
    <mergeCell ref="K41:N41"/>
    <mergeCell ref="P46:Q46"/>
    <mergeCell ref="W19:X19"/>
    <mergeCell ref="W16:X16"/>
    <mergeCell ref="W17:X17"/>
    <mergeCell ref="W18:X18"/>
    <mergeCell ref="F1:I1"/>
    <mergeCell ref="K1:N1"/>
    <mergeCell ref="A1:D1"/>
    <mergeCell ref="P1:Q1"/>
    <mergeCell ref="P9:Q9"/>
    <mergeCell ref="P17:Q17"/>
    <mergeCell ref="P41:Q41"/>
    <mergeCell ref="P36:Q36"/>
    <mergeCell ref="A11:D11"/>
    <mergeCell ref="F11:I11"/>
    <mergeCell ref="K11:N11"/>
    <mergeCell ref="A21:D21"/>
    <mergeCell ref="F21:I21"/>
    <mergeCell ref="K21:N21"/>
    <mergeCell ref="A31:D3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54" r:id="rId3" name="Check Box 10">
              <controlPr defaultSize="0" autoFill="0" autoLine="0" autoPict="0">
                <anchor moveWithCells="1">
                  <from>
                    <xdr:col>8</xdr:col>
                    <xdr:colOff>104775</xdr:colOff>
                    <xdr:row>5</xdr:row>
                    <xdr:rowOff>9525</xdr:rowOff>
                  </from>
                  <to>
                    <xdr:col>8</xdr:col>
                    <xdr:colOff>495300</xdr:colOff>
                    <xdr:row>6</xdr:row>
                    <xdr:rowOff>0</xdr:rowOff>
                  </to>
                </anchor>
              </controlPr>
            </control>
          </mc:Choice>
        </mc:AlternateContent>
        <mc:AlternateContent xmlns:mc="http://schemas.openxmlformats.org/markup-compatibility/2006">
          <mc:Choice Requires="x14">
            <control shapeId="6155" r:id="rId4" name="Check Box 11">
              <controlPr defaultSize="0" autoFill="0" autoLine="0" autoPict="0">
                <anchor moveWithCells="1">
                  <from>
                    <xdr:col>13</xdr:col>
                    <xdr:colOff>95250</xdr:colOff>
                    <xdr:row>6</xdr:row>
                    <xdr:rowOff>9525</xdr:rowOff>
                  </from>
                  <to>
                    <xdr:col>13</xdr:col>
                    <xdr:colOff>485775</xdr:colOff>
                    <xdr:row>7</xdr:row>
                    <xdr:rowOff>0</xdr:rowOff>
                  </to>
                </anchor>
              </controlPr>
            </control>
          </mc:Choice>
        </mc:AlternateContent>
        <mc:AlternateContent xmlns:mc="http://schemas.openxmlformats.org/markup-compatibility/2006">
          <mc:Choice Requires="x14">
            <control shapeId="6148" r:id="rId5" name="Check Box 4">
              <controlPr defaultSize="0" autoFill="0" autoLine="0" autoPict="0">
                <anchor moveWithCells="1">
                  <from>
                    <xdr:col>3</xdr:col>
                    <xdr:colOff>142875</xdr:colOff>
                    <xdr:row>5</xdr:row>
                    <xdr:rowOff>9525</xdr:rowOff>
                  </from>
                  <to>
                    <xdr:col>3</xdr:col>
                    <xdr:colOff>533400</xdr:colOff>
                    <xdr:row>6</xdr:row>
                    <xdr:rowOff>0</xdr:rowOff>
                  </to>
                </anchor>
              </controlPr>
            </control>
          </mc:Choice>
        </mc:AlternateContent>
        <mc:AlternateContent xmlns:mc="http://schemas.openxmlformats.org/markup-compatibility/2006">
          <mc:Choice Requires="x14">
            <control shapeId="6159" r:id="rId6" name="Check Box 15">
              <controlPr defaultSize="0" autoFill="0" autoLine="0" autoPict="0">
                <anchor moveWithCells="1">
                  <from>
                    <xdr:col>8</xdr:col>
                    <xdr:colOff>104775</xdr:colOff>
                    <xdr:row>14</xdr:row>
                    <xdr:rowOff>200025</xdr:rowOff>
                  </from>
                  <to>
                    <xdr:col>8</xdr:col>
                    <xdr:colOff>495300</xdr:colOff>
                    <xdr:row>16</xdr:row>
                    <xdr:rowOff>0</xdr:rowOff>
                  </to>
                </anchor>
              </controlPr>
            </control>
          </mc:Choice>
        </mc:AlternateContent>
        <mc:AlternateContent xmlns:mc="http://schemas.openxmlformats.org/markup-compatibility/2006">
          <mc:Choice Requires="x14">
            <control shapeId="6160" r:id="rId7" name="Check Box 16">
              <controlPr defaultSize="0" autoFill="0" autoLine="0" autoPict="0">
                <anchor moveWithCells="1">
                  <from>
                    <xdr:col>13</xdr:col>
                    <xdr:colOff>95250</xdr:colOff>
                    <xdr:row>15</xdr:row>
                    <xdr:rowOff>0</xdr:rowOff>
                  </from>
                  <to>
                    <xdr:col>13</xdr:col>
                    <xdr:colOff>485775</xdr:colOff>
                    <xdr:row>16</xdr:row>
                    <xdr:rowOff>9525</xdr:rowOff>
                  </to>
                </anchor>
              </controlPr>
            </control>
          </mc:Choice>
        </mc:AlternateContent>
        <mc:AlternateContent xmlns:mc="http://schemas.openxmlformats.org/markup-compatibility/2006">
          <mc:Choice Requires="x14">
            <control shapeId="6158" r:id="rId8" name="Check Box 14">
              <controlPr defaultSize="0" autoFill="0" autoLine="0" autoPict="0">
                <anchor moveWithCells="1">
                  <from>
                    <xdr:col>3</xdr:col>
                    <xdr:colOff>123825</xdr:colOff>
                    <xdr:row>14</xdr:row>
                    <xdr:rowOff>200025</xdr:rowOff>
                  </from>
                  <to>
                    <xdr:col>3</xdr:col>
                    <xdr:colOff>514350</xdr:colOff>
                    <xdr:row>16</xdr:row>
                    <xdr:rowOff>0</xdr:rowOff>
                  </to>
                </anchor>
              </controlPr>
            </control>
          </mc:Choice>
        </mc:AlternateContent>
        <mc:AlternateContent xmlns:mc="http://schemas.openxmlformats.org/markup-compatibility/2006">
          <mc:Choice Requires="x14">
            <control shapeId="6179" r:id="rId9" name="Check Box 35">
              <controlPr defaultSize="0" autoFill="0" autoLine="0" autoPict="0">
                <anchor moveWithCells="1">
                  <from>
                    <xdr:col>3</xdr:col>
                    <xdr:colOff>104775</xdr:colOff>
                    <xdr:row>25</xdr:row>
                    <xdr:rowOff>0</xdr:rowOff>
                  </from>
                  <to>
                    <xdr:col>3</xdr:col>
                    <xdr:colOff>495300</xdr:colOff>
                    <xdr:row>26</xdr:row>
                    <xdr:rowOff>9525</xdr:rowOff>
                  </to>
                </anchor>
              </controlPr>
            </control>
          </mc:Choice>
        </mc:AlternateContent>
        <mc:AlternateContent xmlns:mc="http://schemas.openxmlformats.org/markup-compatibility/2006">
          <mc:Choice Requires="x14">
            <control shapeId="6180" r:id="rId10" name="Check Box 36">
              <controlPr defaultSize="0" autoFill="0" autoLine="0" autoPict="0">
                <anchor moveWithCells="1">
                  <from>
                    <xdr:col>8</xdr:col>
                    <xdr:colOff>95250</xdr:colOff>
                    <xdr:row>25</xdr:row>
                    <xdr:rowOff>0</xdr:rowOff>
                  </from>
                  <to>
                    <xdr:col>8</xdr:col>
                    <xdr:colOff>485775</xdr:colOff>
                    <xdr:row>26</xdr:row>
                    <xdr:rowOff>9525</xdr:rowOff>
                  </to>
                </anchor>
              </controlPr>
            </control>
          </mc:Choice>
        </mc:AlternateContent>
        <mc:AlternateContent xmlns:mc="http://schemas.openxmlformats.org/markup-compatibility/2006">
          <mc:Choice Requires="x14">
            <control shapeId="6181" r:id="rId11" name="Check Box 37">
              <controlPr defaultSize="0" autoFill="0" autoLine="0" autoPict="0">
                <anchor moveWithCells="1">
                  <from>
                    <xdr:col>13</xdr:col>
                    <xdr:colOff>133350</xdr:colOff>
                    <xdr:row>25</xdr:row>
                    <xdr:rowOff>0</xdr:rowOff>
                  </from>
                  <to>
                    <xdr:col>13</xdr:col>
                    <xdr:colOff>523875</xdr:colOff>
                    <xdr:row>26</xdr:row>
                    <xdr:rowOff>9525</xdr:rowOff>
                  </to>
                </anchor>
              </controlPr>
            </control>
          </mc:Choice>
        </mc:AlternateContent>
        <mc:AlternateContent xmlns:mc="http://schemas.openxmlformats.org/markup-compatibility/2006">
          <mc:Choice Requires="x14">
            <control shapeId="6210" r:id="rId12" name="Check Box 66">
              <controlPr defaultSize="0" autoFill="0" autoLine="0" autoPict="0">
                <anchor moveWithCells="1">
                  <from>
                    <xdr:col>3</xdr:col>
                    <xdr:colOff>104775</xdr:colOff>
                    <xdr:row>35</xdr:row>
                    <xdr:rowOff>0</xdr:rowOff>
                  </from>
                  <to>
                    <xdr:col>3</xdr:col>
                    <xdr:colOff>495300</xdr:colOff>
                    <xdr:row>35</xdr:row>
                    <xdr:rowOff>200025</xdr:rowOff>
                  </to>
                </anchor>
              </controlPr>
            </control>
          </mc:Choice>
        </mc:AlternateContent>
        <mc:AlternateContent xmlns:mc="http://schemas.openxmlformats.org/markup-compatibility/2006">
          <mc:Choice Requires="x14">
            <control shapeId="6211" r:id="rId13" name="Check Box 67">
              <controlPr defaultSize="0" autoFill="0" autoLine="0" autoPict="0">
                <anchor moveWithCells="1">
                  <from>
                    <xdr:col>8</xdr:col>
                    <xdr:colOff>104775</xdr:colOff>
                    <xdr:row>35</xdr:row>
                    <xdr:rowOff>0</xdr:rowOff>
                  </from>
                  <to>
                    <xdr:col>8</xdr:col>
                    <xdr:colOff>495300</xdr:colOff>
                    <xdr:row>35</xdr:row>
                    <xdr:rowOff>200025</xdr:rowOff>
                  </to>
                </anchor>
              </controlPr>
            </control>
          </mc:Choice>
        </mc:AlternateContent>
        <mc:AlternateContent xmlns:mc="http://schemas.openxmlformats.org/markup-compatibility/2006">
          <mc:Choice Requires="x14">
            <control shapeId="6212" r:id="rId14" name="Check Box 68">
              <controlPr defaultSize="0" autoFill="0" autoLine="0" autoPict="0">
                <anchor moveWithCells="1">
                  <from>
                    <xdr:col>13</xdr:col>
                    <xdr:colOff>104775</xdr:colOff>
                    <xdr:row>35</xdr:row>
                    <xdr:rowOff>0</xdr:rowOff>
                  </from>
                  <to>
                    <xdr:col>13</xdr:col>
                    <xdr:colOff>495300</xdr:colOff>
                    <xdr:row>35</xdr:row>
                    <xdr:rowOff>200025</xdr:rowOff>
                  </to>
                </anchor>
              </controlPr>
            </control>
          </mc:Choice>
        </mc:AlternateContent>
        <mc:AlternateContent xmlns:mc="http://schemas.openxmlformats.org/markup-compatibility/2006">
          <mc:Choice Requires="x14">
            <control shapeId="6213" r:id="rId15" name="Check Box 69">
              <controlPr defaultSize="0" autoFill="0" autoLine="0" autoPict="0">
                <anchor moveWithCells="1">
                  <from>
                    <xdr:col>3</xdr:col>
                    <xdr:colOff>104775</xdr:colOff>
                    <xdr:row>45</xdr:row>
                    <xdr:rowOff>0</xdr:rowOff>
                  </from>
                  <to>
                    <xdr:col>3</xdr:col>
                    <xdr:colOff>495300</xdr:colOff>
                    <xdr:row>45</xdr:row>
                    <xdr:rowOff>200025</xdr:rowOff>
                  </to>
                </anchor>
              </controlPr>
            </control>
          </mc:Choice>
        </mc:AlternateContent>
        <mc:AlternateContent xmlns:mc="http://schemas.openxmlformats.org/markup-compatibility/2006">
          <mc:Choice Requires="x14">
            <control shapeId="6214" r:id="rId16" name="Check Box 70">
              <controlPr defaultSize="0" autoFill="0" autoLine="0" autoPict="0">
                <anchor moveWithCells="1">
                  <from>
                    <xdr:col>8</xdr:col>
                    <xdr:colOff>104775</xdr:colOff>
                    <xdr:row>45</xdr:row>
                    <xdr:rowOff>0</xdr:rowOff>
                  </from>
                  <to>
                    <xdr:col>8</xdr:col>
                    <xdr:colOff>495300</xdr:colOff>
                    <xdr:row>45</xdr:row>
                    <xdr:rowOff>200025</xdr:rowOff>
                  </to>
                </anchor>
              </controlPr>
            </control>
          </mc:Choice>
        </mc:AlternateContent>
        <mc:AlternateContent xmlns:mc="http://schemas.openxmlformats.org/markup-compatibility/2006">
          <mc:Choice Requires="x14">
            <control shapeId="6215" r:id="rId17" name="Check Box 71">
              <controlPr defaultSize="0" autoFill="0" autoLine="0" autoPict="0">
                <anchor moveWithCells="1">
                  <from>
                    <xdr:col>13</xdr:col>
                    <xdr:colOff>104775</xdr:colOff>
                    <xdr:row>45</xdr:row>
                    <xdr:rowOff>0</xdr:rowOff>
                  </from>
                  <to>
                    <xdr:col>13</xdr:col>
                    <xdr:colOff>495300</xdr:colOff>
                    <xdr:row>45</xdr:row>
                    <xdr:rowOff>200025</xdr:rowOff>
                  </to>
                </anchor>
              </controlPr>
            </control>
          </mc:Choice>
        </mc:AlternateContent>
        <mc:AlternateContent xmlns:mc="http://schemas.openxmlformats.org/markup-compatibility/2006">
          <mc:Choice Requires="x14">
            <control shapeId="6216" r:id="rId18" name="Check Box 72">
              <controlPr defaultSize="0" autoFill="0" autoLine="0" autoPict="0">
                <anchor moveWithCells="1">
                  <from>
                    <xdr:col>3</xdr:col>
                    <xdr:colOff>104775</xdr:colOff>
                    <xdr:row>55</xdr:row>
                    <xdr:rowOff>0</xdr:rowOff>
                  </from>
                  <to>
                    <xdr:col>3</xdr:col>
                    <xdr:colOff>495300</xdr:colOff>
                    <xdr:row>56</xdr:row>
                    <xdr:rowOff>9525</xdr:rowOff>
                  </to>
                </anchor>
              </controlPr>
            </control>
          </mc:Choice>
        </mc:AlternateContent>
        <mc:AlternateContent xmlns:mc="http://schemas.openxmlformats.org/markup-compatibility/2006">
          <mc:Choice Requires="x14">
            <control shapeId="6217" r:id="rId19" name="Check Box 73">
              <controlPr defaultSize="0" autoFill="0" autoLine="0" autoPict="0">
                <anchor moveWithCells="1">
                  <from>
                    <xdr:col>8</xdr:col>
                    <xdr:colOff>104775</xdr:colOff>
                    <xdr:row>55</xdr:row>
                    <xdr:rowOff>0</xdr:rowOff>
                  </from>
                  <to>
                    <xdr:col>8</xdr:col>
                    <xdr:colOff>495300</xdr:colOff>
                    <xdr:row>56</xdr:row>
                    <xdr:rowOff>9525</xdr:rowOff>
                  </to>
                </anchor>
              </controlPr>
            </control>
          </mc:Choice>
        </mc:AlternateContent>
        <mc:AlternateContent xmlns:mc="http://schemas.openxmlformats.org/markup-compatibility/2006">
          <mc:Choice Requires="x14">
            <control shapeId="6218" r:id="rId20" name="Check Box 74">
              <controlPr defaultSize="0" autoFill="0" autoLine="0" autoPict="0">
                <anchor moveWithCells="1">
                  <from>
                    <xdr:col>13</xdr:col>
                    <xdr:colOff>104775</xdr:colOff>
                    <xdr:row>55</xdr:row>
                    <xdr:rowOff>0</xdr:rowOff>
                  </from>
                  <to>
                    <xdr:col>13</xdr:col>
                    <xdr:colOff>495300</xdr:colOff>
                    <xdr:row>56</xdr:row>
                    <xdr:rowOff>9525</xdr:rowOff>
                  </to>
                </anchor>
              </controlPr>
            </control>
          </mc:Choice>
        </mc:AlternateContent>
        <mc:AlternateContent xmlns:mc="http://schemas.openxmlformats.org/markup-compatibility/2006">
          <mc:Choice Requires="x14">
            <control shapeId="6219" r:id="rId21" name="Check Box 75">
              <controlPr defaultSize="0" autoFill="0" autoLine="0" autoPict="0">
                <anchor moveWithCells="1">
                  <from>
                    <xdr:col>13</xdr:col>
                    <xdr:colOff>104775</xdr:colOff>
                    <xdr:row>65</xdr:row>
                    <xdr:rowOff>0</xdr:rowOff>
                  </from>
                  <to>
                    <xdr:col>13</xdr:col>
                    <xdr:colOff>495300</xdr:colOff>
                    <xdr:row>66</xdr:row>
                    <xdr:rowOff>9525</xdr:rowOff>
                  </to>
                </anchor>
              </controlPr>
            </control>
          </mc:Choice>
        </mc:AlternateContent>
        <mc:AlternateContent xmlns:mc="http://schemas.openxmlformats.org/markup-compatibility/2006">
          <mc:Choice Requires="x14">
            <control shapeId="6220" r:id="rId22" name="Check Box 76">
              <controlPr defaultSize="0" autoFill="0" autoLine="0" autoPict="0">
                <anchor moveWithCells="1">
                  <from>
                    <xdr:col>8</xdr:col>
                    <xdr:colOff>104775</xdr:colOff>
                    <xdr:row>65</xdr:row>
                    <xdr:rowOff>0</xdr:rowOff>
                  </from>
                  <to>
                    <xdr:col>8</xdr:col>
                    <xdr:colOff>495300</xdr:colOff>
                    <xdr:row>66</xdr:row>
                    <xdr:rowOff>9525</xdr:rowOff>
                  </to>
                </anchor>
              </controlPr>
            </control>
          </mc:Choice>
        </mc:AlternateContent>
        <mc:AlternateContent xmlns:mc="http://schemas.openxmlformats.org/markup-compatibility/2006">
          <mc:Choice Requires="x14">
            <control shapeId="6221" r:id="rId23" name="Check Box 77">
              <controlPr defaultSize="0" autoFill="0" autoLine="0" autoPict="0">
                <anchor moveWithCells="1">
                  <from>
                    <xdr:col>3</xdr:col>
                    <xdr:colOff>104775</xdr:colOff>
                    <xdr:row>65</xdr:row>
                    <xdr:rowOff>0</xdr:rowOff>
                  </from>
                  <to>
                    <xdr:col>3</xdr:col>
                    <xdr:colOff>495300</xdr:colOff>
                    <xdr:row>66</xdr:row>
                    <xdr:rowOff>9525</xdr:rowOff>
                  </to>
                </anchor>
              </controlPr>
            </control>
          </mc:Choice>
        </mc:AlternateContent>
        <mc:AlternateContent xmlns:mc="http://schemas.openxmlformats.org/markup-compatibility/2006">
          <mc:Choice Requires="x14">
            <control shapeId="6260" r:id="rId24" name="Check Box 116">
              <controlPr defaultSize="0" autoFill="0" autoLine="0" autoPict="0">
                <anchor moveWithCells="1">
                  <from>
                    <xdr:col>22</xdr:col>
                    <xdr:colOff>0</xdr:colOff>
                    <xdr:row>1</xdr:row>
                    <xdr:rowOff>219075</xdr:rowOff>
                  </from>
                  <to>
                    <xdr:col>23</xdr:col>
                    <xdr:colOff>790575</xdr:colOff>
                    <xdr:row>3</xdr:row>
                    <xdr:rowOff>9525</xdr:rowOff>
                  </to>
                </anchor>
              </controlPr>
            </control>
          </mc:Choice>
        </mc:AlternateContent>
        <mc:AlternateContent xmlns:mc="http://schemas.openxmlformats.org/markup-compatibility/2006">
          <mc:Choice Requires="x14">
            <control shapeId="6261" r:id="rId25" name="Check Box 117">
              <controlPr defaultSize="0" autoFill="0" autoLine="0" autoPict="0">
                <anchor moveWithCells="1">
                  <from>
                    <xdr:col>22</xdr:col>
                    <xdr:colOff>0</xdr:colOff>
                    <xdr:row>3</xdr:row>
                    <xdr:rowOff>9525</xdr:rowOff>
                  </from>
                  <to>
                    <xdr:col>23</xdr:col>
                    <xdr:colOff>85725</xdr:colOff>
                    <xdr:row>4</xdr:row>
                    <xdr:rowOff>19050</xdr:rowOff>
                  </to>
                </anchor>
              </controlPr>
            </control>
          </mc:Choice>
        </mc:AlternateContent>
        <mc:AlternateContent xmlns:mc="http://schemas.openxmlformats.org/markup-compatibility/2006">
          <mc:Choice Requires="x14">
            <control shapeId="6262" r:id="rId26" name="Check Box 118">
              <controlPr defaultSize="0" autoFill="0" autoLine="0" autoPict="0">
                <anchor moveWithCells="1">
                  <from>
                    <xdr:col>23</xdr:col>
                    <xdr:colOff>161925</xdr:colOff>
                    <xdr:row>3</xdr:row>
                    <xdr:rowOff>9525</xdr:rowOff>
                  </from>
                  <to>
                    <xdr:col>23</xdr:col>
                    <xdr:colOff>857250</xdr:colOff>
                    <xdr:row>4</xdr:row>
                    <xdr:rowOff>19050</xdr:rowOff>
                  </to>
                </anchor>
              </controlPr>
            </control>
          </mc:Choice>
        </mc:AlternateContent>
        <mc:AlternateContent xmlns:mc="http://schemas.openxmlformats.org/markup-compatibility/2006">
          <mc:Choice Requires="x14">
            <control shapeId="6263" r:id="rId27" name="Check Box 119">
              <controlPr defaultSize="0" autoFill="0" autoLine="0" autoPict="0">
                <anchor moveWithCells="1">
                  <from>
                    <xdr:col>22</xdr:col>
                    <xdr:colOff>9525</xdr:colOff>
                    <xdr:row>3</xdr:row>
                    <xdr:rowOff>219075</xdr:rowOff>
                  </from>
                  <to>
                    <xdr:col>23</xdr:col>
                    <xdr:colOff>800100</xdr:colOff>
                    <xdr:row>5</xdr:row>
                    <xdr:rowOff>19050</xdr:rowOff>
                  </to>
                </anchor>
              </controlPr>
            </control>
          </mc:Choice>
        </mc:AlternateContent>
        <mc:AlternateContent xmlns:mc="http://schemas.openxmlformats.org/markup-compatibility/2006">
          <mc:Choice Requires="x14">
            <control shapeId="6264" r:id="rId28" name="Check Box 120">
              <controlPr defaultSize="0" autoFill="0" autoLine="0" autoPict="0">
                <anchor moveWithCells="1">
                  <from>
                    <xdr:col>22</xdr:col>
                    <xdr:colOff>19050</xdr:colOff>
                    <xdr:row>4</xdr:row>
                    <xdr:rowOff>209550</xdr:rowOff>
                  </from>
                  <to>
                    <xdr:col>23</xdr:col>
                    <xdr:colOff>809625</xdr:colOff>
                    <xdr:row>6</xdr:row>
                    <xdr:rowOff>19050</xdr:rowOff>
                  </to>
                </anchor>
              </controlPr>
            </control>
          </mc:Choice>
        </mc:AlternateContent>
        <mc:AlternateContent xmlns:mc="http://schemas.openxmlformats.org/markup-compatibility/2006">
          <mc:Choice Requires="x14">
            <control shapeId="6265" r:id="rId29" name="Check Box 121">
              <controlPr defaultSize="0" autoFill="0" autoLine="0" autoPict="0">
                <anchor moveWithCells="1">
                  <from>
                    <xdr:col>22</xdr:col>
                    <xdr:colOff>28575</xdr:colOff>
                    <xdr:row>5</xdr:row>
                    <xdr:rowOff>200025</xdr:rowOff>
                  </from>
                  <to>
                    <xdr:col>23</xdr:col>
                    <xdr:colOff>819150</xdr:colOff>
                    <xdr:row>7</xdr:row>
                    <xdr:rowOff>9525</xdr:rowOff>
                  </to>
                </anchor>
              </controlPr>
            </control>
          </mc:Choice>
        </mc:AlternateContent>
        <mc:AlternateContent xmlns:mc="http://schemas.openxmlformats.org/markup-compatibility/2006">
          <mc:Choice Requires="x14">
            <control shapeId="6266" r:id="rId30" name="Check Box 122">
              <controlPr defaultSize="0" autoFill="0" autoLine="0" autoPict="0">
                <anchor moveWithCells="1">
                  <from>
                    <xdr:col>22</xdr:col>
                    <xdr:colOff>38100</xdr:colOff>
                    <xdr:row>6</xdr:row>
                    <xdr:rowOff>209550</xdr:rowOff>
                  </from>
                  <to>
                    <xdr:col>23</xdr:col>
                    <xdr:colOff>828675</xdr:colOff>
                    <xdr:row>8</xdr:row>
                    <xdr:rowOff>19050</xdr:rowOff>
                  </to>
                </anchor>
              </controlPr>
            </control>
          </mc:Choice>
        </mc:AlternateContent>
        <mc:AlternateContent xmlns:mc="http://schemas.openxmlformats.org/markup-compatibility/2006">
          <mc:Choice Requires="x14">
            <control shapeId="6267" r:id="rId31" name="Check Box 123">
              <controlPr defaultSize="0" autoFill="0" autoLine="0" autoPict="0">
                <anchor moveWithCells="1">
                  <from>
                    <xdr:col>22</xdr:col>
                    <xdr:colOff>47625</xdr:colOff>
                    <xdr:row>7</xdr:row>
                    <xdr:rowOff>200025</xdr:rowOff>
                  </from>
                  <to>
                    <xdr:col>23</xdr:col>
                    <xdr:colOff>838200</xdr:colOff>
                    <xdr:row>9</xdr:row>
                    <xdr:rowOff>9525</xdr:rowOff>
                  </to>
                </anchor>
              </controlPr>
            </control>
          </mc:Choice>
        </mc:AlternateContent>
        <mc:AlternateContent xmlns:mc="http://schemas.openxmlformats.org/markup-compatibility/2006">
          <mc:Choice Requires="x14">
            <control shapeId="6268" r:id="rId32" name="Check Box 124">
              <controlPr defaultSize="0" autoFill="0" autoLine="0" autoPict="0">
                <anchor moveWithCells="1">
                  <from>
                    <xdr:col>22</xdr:col>
                    <xdr:colOff>47625</xdr:colOff>
                    <xdr:row>8</xdr:row>
                    <xdr:rowOff>200025</xdr:rowOff>
                  </from>
                  <to>
                    <xdr:col>23</xdr:col>
                    <xdr:colOff>838200</xdr:colOff>
                    <xdr:row>10</xdr:row>
                    <xdr:rowOff>9525</xdr:rowOff>
                  </to>
                </anchor>
              </controlPr>
            </control>
          </mc:Choice>
        </mc:AlternateContent>
        <mc:AlternateContent xmlns:mc="http://schemas.openxmlformats.org/markup-compatibility/2006">
          <mc:Choice Requires="x14">
            <control shapeId="6269" r:id="rId33" name="Check Box 125">
              <controlPr defaultSize="0" autoFill="0" autoLine="0" autoPict="0">
                <anchor moveWithCells="1">
                  <from>
                    <xdr:col>22</xdr:col>
                    <xdr:colOff>57150</xdr:colOff>
                    <xdr:row>9</xdr:row>
                    <xdr:rowOff>200025</xdr:rowOff>
                  </from>
                  <to>
                    <xdr:col>23</xdr:col>
                    <xdr:colOff>847725</xdr:colOff>
                    <xdr:row>11</xdr:row>
                    <xdr:rowOff>0</xdr:rowOff>
                  </to>
                </anchor>
              </controlPr>
            </control>
          </mc:Choice>
        </mc:AlternateContent>
        <mc:AlternateContent xmlns:mc="http://schemas.openxmlformats.org/markup-compatibility/2006">
          <mc:Choice Requires="x14">
            <control shapeId="6270" r:id="rId34" name="Check Box 126">
              <controlPr defaultSize="0" autoFill="0" autoLine="0" autoPict="0">
                <anchor moveWithCells="1">
                  <from>
                    <xdr:col>22</xdr:col>
                    <xdr:colOff>57150</xdr:colOff>
                    <xdr:row>10</xdr:row>
                    <xdr:rowOff>209550</xdr:rowOff>
                  </from>
                  <to>
                    <xdr:col>23</xdr:col>
                    <xdr:colOff>847725</xdr:colOff>
                    <xdr:row>12</xdr:row>
                    <xdr:rowOff>9525</xdr:rowOff>
                  </to>
                </anchor>
              </controlPr>
            </control>
          </mc:Choice>
        </mc:AlternateContent>
        <mc:AlternateContent xmlns:mc="http://schemas.openxmlformats.org/markup-compatibility/2006">
          <mc:Choice Requires="x14">
            <control shapeId="6271" r:id="rId35" name="Check Box 127">
              <controlPr defaultSize="0" autoFill="0" autoLine="0" autoPict="0">
                <anchor moveWithCells="1">
                  <from>
                    <xdr:col>22</xdr:col>
                    <xdr:colOff>66675</xdr:colOff>
                    <xdr:row>12</xdr:row>
                    <xdr:rowOff>9525</xdr:rowOff>
                  </from>
                  <to>
                    <xdr:col>23</xdr:col>
                    <xdr:colOff>857250</xdr:colOff>
                    <xdr:row>13</xdr:row>
                    <xdr:rowOff>28575</xdr:rowOff>
                  </to>
                </anchor>
              </controlPr>
            </control>
          </mc:Choice>
        </mc:AlternateContent>
        <mc:AlternateContent xmlns:mc="http://schemas.openxmlformats.org/markup-compatibility/2006">
          <mc:Choice Requires="x14">
            <control shapeId="6272" r:id="rId36" name="Check Box 128">
              <controlPr defaultSize="0" autoFill="0" autoLine="0" autoPict="0">
                <anchor moveWithCells="1">
                  <from>
                    <xdr:col>22</xdr:col>
                    <xdr:colOff>66675</xdr:colOff>
                    <xdr:row>13</xdr:row>
                    <xdr:rowOff>19050</xdr:rowOff>
                  </from>
                  <to>
                    <xdr:col>23</xdr:col>
                    <xdr:colOff>857250</xdr:colOff>
                    <xdr:row>14</xdr:row>
                    <xdr:rowOff>38100</xdr:rowOff>
                  </to>
                </anchor>
              </controlPr>
            </control>
          </mc:Choice>
        </mc:AlternateContent>
        <mc:AlternateContent xmlns:mc="http://schemas.openxmlformats.org/markup-compatibility/2006">
          <mc:Choice Requires="x14">
            <control shapeId="6273" r:id="rId37" name="Check Box 129">
              <controlPr defaultSize="0" autoFill="0" autoLine="0" autoPict="0">
                <anchor moveWithCells="1">
                  <from>
                    <xdr:col>22</xdr:col>
                    <xdr:colOff>66675</xdr:colOff>
                    <xdr:row>14</xdr:row>
                    <xdr:rowOff>9525</xdr:rowOff>
                  </from>
                  <to>
                    <xdr:col>23</xdr:col>
                    <xdr:colOff>857250</xdr:colOff>
                    <xdr:row>15</xdr:row>
                    <xdr:rowOff>19050</xdr:rowOff>
                  </to>
                </anchor>
              </controlPr>
            </control>
          </mc:Choice>
        </mc:AlternateContent>
        <mc:AlternateContent xmlns:mc="http://schemas.openxmlformats.org/markup-compatibility/2006">
          <mc:Choice Requires="x14">
            <control shapeId="6281" r:id="rId38" name="Check Box 137">
              <controlPr defaultSize="0" autoFill="0" autoLine="0" autoPict="0">
                <anchor moveWithCells="1">
                  <from>
                    <xdr:col>22</xdr:col>
                    <xdr:colOff>114300</xdr:colOff>
                    <xdr:row>15</xdr:row>
                    <xdr:rowOff>0</xdr:rowOff>
                  </from>
                  <to>
                    <xdr:col>22</xdr:col>
                    <xdr:colOff>581025</xdr:colOff>
                    <xdr:row>16</xdr:row>
                    <xdr:rowOff>38100</xdr:rowOff>
                  </to>
                </anchor>
              </controlPr>
            </control>
          </mc:Choice>
        </mc:AlternateContent>
        <mc:AlternateContent xmlns:mc="http://schemas.openxmlformats.org/markup-compatibility/2006">
          <mc:Choice Requires="x14">
            <control shapeId="6282" r:id="rId39" name="Check Box 138">
              <controlPr defaultSize="0" autoFill="0" autoLine="0" autoPict="0">
                <anchor moveWithCells="1">
                  <from>
                    <xdr:col>22</xdr:col>
                    <xdr:colOff>104775</xdr:colOff>
                    <xdr:row>15</xdr:row>
                    <xdr:rowOff>219075</xdr:rowOff>
                  </from>
                  <to>
                    <xdr:col>23</xdr:col>
                    <xdr:colOff>895350</xdr:colOff>
                    <xdr:row>17</xdr:row>
                    <xdr:rowOff>19050</xdr:rowOff>
                  </to>
                </anchor>
              </controlPr>
            </control>
          </mc:Choice>
        </mc:AlternateContent>
        <mc:AlternateContent xmlns:mc="http://schemas.openxmlformats.org/markup-compatibility/2006">
          <mc:Choice Requires="x14">
            <control shapeId="6283" r:id="rId40" name="Check Box 139">
              <controlPr defaultSize="0" autoFill="0" autoLine="0" autoPict="0">
                <anchor moveWithCells="1">
                  <from>
                    <xdr:col>22</xdr:col>
                    <xdr:colOff>104775</xdr:colOff>
                    <xdr:row>17</xdr:row>
                    <xdr:rowOff>9525</xdr:rowOff>
                  </from>
                  <to>
                    <xdr:col>23</xdr:col>
                    <xdr:colOff>895350</xdr:colOff>
                    <xdr:row>18</xdr:row>
                    <xdr:rowOff>28575</xdr:rowOff>
                  </to>
                </anchor>
              </controlPr>
            </control>
          </mc:Choice>
        </mc:AlternateContent>
        <mc:AlternateContent xmlns:mc="http://schemas.openxmlformats.org/markup-compatibility/2006">
          <mc:Choice Requires="x14">
            <control shapeId="6284" r:id="rId41" name="Check Box 140">
              <controlPr defaultSize="0" autoFill="0" autoLine="0" autoPict="0">
                <anchor moveWithCells="1">
                  <from>
                    <xdr:col>22</xdr:col>
                    <xdr:colOff>123825</xdr:colOff>
                    <xdr:row>18</xdr:row>
                    <xdr:rowOff>0</xdr:rowOff>
                  </from>
                  <to>
                    <xdr:col>23</xdr:col>
                    <xdr:colOff>914400</xdr:colOff>
                    <xdr:row>19</xdr:row>
                    <xdr:rowOff>38100</xdr:rowOff>
                  </to>
                </anchor>
              </controlPr>
            </control>
          </mc:Choice>
        </mc:AlternateContent>
        <mc:AlternateContent xmlns:mc="http://schemas.openxmlformats.org/markup-compatibility/2006">
          <mc:Choice Requires="x14">
            <control shapeId="6312" r:id="rId42" name="Check Box 168">
              <controlPr defaultSize="0" autoFill="0" autoLine="0" autoPict="0">
                <anchor moveWithCells="1">
                  <from>
                    <xdr:col>29</xdr:col>
                    <xdr:colOff>0</xdr:colOff>
                    <xdr:row>2</xdr:row>
                    <xdr:rowOff>9525</xdr:rowOff>
                  </from>
                  <to>
                    <xdr:col>30</xdr:col>
                    <xdr:colOff>590550</xdr:colOff>
                    <xdr:row>3</xdr:row>
                    <xdr:rowOff>19050</xdr:rowOff>
                  </to>
                </anchor>
              </controlPr>
            </control>
          </mc:Choice>
        </mc:AlternateContent>
        <mc:AlternateContent xmlns:mc="http://schemas.openxmlformats.org/markup-compatibility/2006">
          <mc:Choice Requires="x14">
            <control shapeId="6313" r:id="rId43" name="Check Box 169">
              <controlPr defaultSize="0" autoFill="0" autoLine="0" autoPict="0">
                <anchor moveWithCells="1">
                  <from>
                    <xdr:col>29</xdr:col>
                    <xdr:colOff>19050</xdr:colOff>
                    <xdr:row>3</xdr:row>
                    <xdr:rowOff>9525</xdr:rowOff>
                  </from>
                  <to>
                    <xdr:col>31</xdr:col>
                    <xdr:colOff>0</xdr:colOff>
                    <xdr:row>4</xdr:row>
                    <xdr:rowOff>19050</xdr:rowOff>
                  </to>
                </anchor>
              </controlPr>
            </control>
          </mc:Choice>
        </mc:AlternateContent>
        <mc:AlternateContent xmlns:mc="http://schemas.openxmlformats.org/markup-compatibility/2006">
          <mc:Choice Requires="x14">
            <control shapeId="6314" r:id="rId44" name="Check Box 170">
              <controlPr defaultSize="0" autoFill="0" autoLine="0" autoPict="0">
                <anchor moveWithCells="1">
                  <from>
                    <xdr:col>29</xdr:col>
                    <xdr:colOff>9525</xdr:colOff>
                    <xdr:row>4</xdr:row>
                    <xdr:rowOff>9525</xdr:rowOff>
                  </from>
                  <to>
                    <xdr:col>31</xdr:col>
                    <xdr:colOff>0</xdr:colOff>
                    <xdr:row>5</xdr:row>
                    <xdr:rowOff>28575</xdr:rowOff>
                  </to>
                </anchor>
              </controlPr>
            </control>
          </mc:Choice>
        </mc:AlternateContent>
        <mc:AlternateContent xmlns:mc="http://schemas.openxmlformats.org/markup-compatibility/2006">
          <mc:Choice Requires="x14">
            <control shapeId="6315" r:id="rId45" name="Check Box 171">
              <controlPr defaultSize="0" autoFill="0" autoLine="0" autoPict="0">
                <anchor moveWithCells="1">
                  <from>
                    <xdr:col>29</xdr:col>
                    <xdr:colOff>9525</xdr:colOff>
                    <xdr:row>5</xdr:row>
                    <xdr:rowOff>9525</xdr:rowOff>
                  </from>
                  <to>
                    <xdr:col>31</xdr:col>
                    <xdr:colOff>0</xdr:colOff>
                    <xdr:row>6</xdr:row>
                    <xdr:rowOff>28575</xdr:rowOff>
                  </to>
                </anchor>
              </controlPr>
            </control>
          </mc:Choice>
        </mc:AlternateContent>
        <mc:AlternateContent xmlns:mc="http://schemas.openxmlformats.org/markup-compatibility/2006">
          <mc:Choice Requires="x14">
            <control shapeId="6316" r:id="rId46" name="Check Box 172">
              <controlPr defaultSize="0" autoFill="0" autoLine="0" autoPict="0">
                <anchor moveWithCells="1">
                  <from>
                    <xdr:col>29</xdr:col>
                    <xdr:colOff>9525</xdr:colOff>
                    <xdr:row>5</xdr:row>
                    <xdr:rowOff>219075</xdr:rowOff>
                  </from>
                  <to>
                    <xdr:col>31</xdr:col>
                    <xdr:colOff>0</xdr:colOff>
                    <xdr:row>7</xdr:row>
                    <xdr:rowOff>9525</xdr:rowOff>
                  </to>
                </anchor>
              </controlPr>
            </control>
          </mc:Choice>
        </mc:AlternateContent>
        <mc:AlternateContent xmlns:mc="http://schemas.openxmlformats.org/markup-compatibility/2006">
          <mc:Choice Requires="x14">
            <control shapeId="6317" r:id="rId47" name="Check Box 173">
              <controlPr defaultSize="0" autoFill="0" autoLine="0" autoPict="0">
                <anchor moveWithCells="1">
                  <from>
                    <xdr:col>29</xdr:col>
                    <xdr:colOff>9525</xdr:colOff>
                    <xdr:row>7</xdr:row>
                    <xdr:rowOff>0</xdr:rowOff>
                  </from>
                  <to>
                    <xdr:col>31</xdr:col>
                    <xdr:colOff>0</xdr:colOff>
                    <xdr:row>8</xdr:row>
                    <xdr:rowOff>9525</xdr:rowOff>
                  </to>
                </anchor>
              </controlPr>
            </control>
          </mc:Choice>
        </mc:AlternateContent>
        <mc:AlternateContent xmlns:mc="http://schemas.openxmlformats.org/markup-compatibility/2006">
          <mc:Choice Requires="x14">
            <control shapeId="6318" r:id="rId48" name="Check Box 174">
              <controlPr defaultSize="0" autoFill="0" autoLine="0" autoPict="0">
                <anchor moveWithCells="1">
                  <from>
                    <xdr:col>29</xdr:col>
                    <xdr:colOff>9525</xdr:colOff>
                    <xdr:row>8</xdr:row>
                    <xdr:rowOff>0</xdr:rowOff>
                  </from>
                  <to>
                    <xdr:col>31</xdr:col>
                    <xdr:colOff>0</xdr:colOff>
                    <xdr:row>9</xdr:row>
                    <xdr:rowOff>9525</xdr:rowOff>
                  </to>
                </anchor>
              </controlPr>
            </control>
          </mc:Choice>
        </mc:AlternateContent>
        <mc:AlternateContent xmlns:mc="http://schemas.openxmlformats.org/markup-compatibility/2006">
          <mc:Choice Requires="x14">
            <control shapeId="6319" r:id="rId49" name="Check Box 175">
              <controlPr defaultSize="0" autoFill="0" autoLine="0" autoPict="0">
                <anchor moveWithCells="1">
                  <from>
                    <xdr:col>29</xdr:col>
                    <xdr:colOff>9525</xdr:colOff>
                    <xdr:row>9</xdr:row>
                    <xdr:rowOff>19050</xdr:rowOff>
                  </from>
                  <to>
                    <xdr:col>31</xdr:col>
                    <xdr:colOff>0</xdr:colOff>
                    <xdr:row>10</xdr:row>
                    <xdr:rowOff>28575</xdr:rowOff>
                  </to>
                </anchor>
              </controlPr>
            </control>
          </mc:Choice>
        </mc:AlternateContent>
        <mc:AlternateContent xmlns:mc="http://schemas.openxmlformats.org/markup-compatibility/2006">
          <mc:Choice Requires="x14">
            <control shapeId="6322" r:id="rId50" name="Check Box 178">
              <controlPr defaultSize="0" autoFill="0" autoLine="0" autoPict="0">
                <anchor moveWithCells="1">
                  <from>
                    <xdr:col>29</xdr:col>
                    <xdr:colOff>38100</xdr:colOff>
                    <xdr:row>10</xdr:row>
                    <xdr:rowOff>9525</xdr:rowOff>
                  </from>
                  <to>
                    <xdr:col>31</xdr:col>
                    <xdr:colOff>28575</xdr:colOff>
                    <xdr:row>11</xdr:row>
                    <xdr:rowOff>9525</xdr:rowOff>
                  </to>
                </anchor>
              </controlPr>
            </control>
          </mc:Choice>
        </mc:AlternateContent>
        <mc:AlternateContent xmlns:mc="http://schemas.openxmlformats.org/markup-compatibility/2006">
          <mc:Choice Requires="x14">
            <control shapeId="6323" r:id="rId51" name="Check Box 179">
              <controlPr defaultSize="0" autoFill="0" autoLine="0" autoPict="0">
                <anchor moveWithCells="1">
                  <from>
                    <xdr:col>29</xdr:col>
                    <xdr:colOff>28575</xdr:colOff>
                    <xdr:row>11</xdr:row>
                    <xdr:rowOff>28575</xdr:rowOff>
                  </from>
                  <to>
                    <xdr:col>31</xdr:col>
                    <xdr:colOff>19050</xdr:colOff>
                    <xdr:row>12</xdr:row>
                    <xdr:rowOff>38100</xdr:rowOff>
                  </to>
                </anchor>
              </controlPr>
            </control>
          </mc:Choice>
        </mc:AlternateContent>
        <mc:AlternateContent xmlns:mc="http://schemas.openxmlformats.org/markup-compatibility/2006">
          <mc:Choice Requires="x14">
            <control shapeId="6324" r:id="rId52" name="Check Box 180">
              <controlPr defaultSize="0" autoFill="0" autoLine="0" autoPict="0">
                <anchor moveWithCells="1">
                  <from>
                    <xdr:col>29</xdr:col>
                    <xdr:colOff>28575</xdr:colOff>
                    <xdr:row>12</xdr:row>
                    <xdr:rowOff>9525</xdr:rowOff>
                  </from>
                  <to>
                    <xdr:col>31</xdr:col>
                    <xdr:colOff>19050</xdr:colOff>
                    <xdr:row>13</xdr:row>
                    <xdr:rowOff>19050</xdr:rowOff>
                  </to>
                </anchor>
              </controlPr>
            </control>
          </mc:Choice>
        </mc:AlternateContent>
        <mc:AlternateContent xmlns:mc="http://schemas.openxmlformats.org/markup-compatibility/2006">
          <mc:Choice Requires="x14">
            <control shapeId="6364" r:id="rId53" name="Check Box 220">
              <controlPr defaultSize="0" autoFill="0" autoLine="0" autoPict="0">
                <anchor moveWithCells="1">
                  <from>
                    <xdr:col>36</xdr:col>
                    <xdr:colOff>0</xdr:colOff>
                    <xdr:row>2</xdr:row>
                    <xdr:rowOff>28575</xdr:rowOff>
                  </from>
                  <to>
                    <xdr:col>37</xdr:col>
                    <xdr:colOff>304800</xdr:colOff>
                    <xdr:row>3</xdr:row>
                    <xdr:rowOff>9525</xdr:rowOff>
                  </to>
                </anchor>
              </controlPr>
            </control>
          </mc:Choice>
        </mc:AlternateContent>
        <mc:AlternateContent xmlns:mc="http://schemas.openxmlformats.org/markup-compatibility/2006">
          <mc:Choice Requires="x14">
            <control shapeId="6365" r:id="rId54" name="Check Box 221">
              <controlPr defaultSize="0" autoFill="0" autoLine="0" autoPict="0">
                <anchor moveWithCells="1">
                  <from>
                    <xdr:col>36</xdr:col>
                    <xdr:colOff>19050</xdr:colOff>
                    <xdr:row>2</xdr:row>
                    <xdr:rowOff>200025</xdr:rowOff>
                  </from>
                  <to>
                    <xdr:col>37</xdr:col>
                    <xdr:colOff>285750</xdr:colOff>
                    <xdr:row>4</xdr:row>
                    <xdr:rowOff>19050</xdr:rowOff>
                  </to>
                </anchor>
              </controlPr>
            </control>
          </mc:Choice>
        </mc:AlternateContent>
        <mc:AlternateContent xmlns:mc="http://schemas.openxmlformats.org/markup-compatibility/2006">
          <mc:Choice Requires="x14">
            <control shapeId="6366" r:id="rId55" name="Check Box 222">
              <controlPr defaultSize="0" autoFill="0" autoLine="0" autoPict="0">
                <anchor moveWithCells="1">
                  <from>
                    <xdr:col>36</xdr:col>
                    <xdr:colOff>9525</xdr:colOff>
                    <xdr:row>4</xdr:row>
                    <xdr:rowOff>9525</xdr:rowOff>
                  </from>
                  <to>
                    <xdr:col>37</xdr:col>
                    <xdr:colOff>247650</xdr:colOff>
                    <xdr:row>5</xdr:row>
                    <xdr:rowOff>9525</xdr:rowOff>
                  </to>
                </anchor>
              </controlPr>
            </control>
          </mc:Choice>
        </mc:AlternateContent>
        <mc:AlternateContent xmlns:mc="http://schemas.openxmlformats.org/markup-compatibility/2006">
          <mc:Choice Requires="x14">
            <control shapeId="6367" r:id="rId56" name="Check Box 223">
              <controlPr defaultSize="0" autoFill="0" autoLine="0" autoPict="0">
                <anchor moveWithCells="1">
                  <from>
                    <xdr:col>36</xdr:col>
                    <xdr:colOff>9525</xdr:colOff>
                    <xdr:row>5</xdr:row>
                    <xdr:rowOff>9525</xdr:rowOff>
                  </from>
                  <to>
                    <xdr:col>37</xdr:col>
                    <xdr:colOff>228600</xdr:colOff>
                    <xdr:row>6</xdr:row>
                    <xdr:rowOff>9525</xdr:rowOff>
                  </to>
                </anchor>
              </controlPr>
            </control>
          </mc:Choice>
        </mc:AlternateContent>
        <mc:AlternateContent xmlns:mc="http://schemas.openxmlformats.org/markup-compatibility/2006">
          <mc:Choice Requires="x14">
            <control shapeId="6368" r:id="rId57" name="Check Box 224">
              <controlPr defaultSize="0" autoFill="0" autoLine="0" autoPict="0">
                <anchor moveWithCells="1">
                  <from>
                    <xdr:col>36</xdr:col>
                    <xdr:colOff>28575</xdr:colOff>
                    <xdr:row>6</xdr:row>
                    <xdr:rowOff>19050</xdr:rowOff>
                  </from>
                  <to>
                    <xdr:col>37</xdr:col>
                    <xdr:colOff>171450</xdr:colOff>
                    <xdr:row>7</xdr:row>
                    <xdr:rowOff>9525</xdr:rowOff>
                  </to>
                </anchor>
              </controlPr>
            </control>
          </mc:Choice>
        </mc:AlternateContent>
        <mc:AlternateContent xmlns:mc="http://schemas.openxmlformats.org/markup-compatibility/2006">
          <mc:Choice Requires="x14">
            <control shapeId="6369" r:id="rId58" name="Check Box 225">
              <controlPr defaultSize="0" autoFill="0" autoLine="0" autoPict="0">
                <anchor moveWithCells="1">
                  <from>
                    <xdr:col>36</xdr:col>
                    <xdr:colOff>19050</xdr:colOff>
                    <xdr:row>7</xdr:row>
                    <xdr:rowOff>9525</xdr:rowOff>
                  </from>
                  <to>
                    <xdr:col>37</xdr:col>
                    <xdr:colOff>171450</xdr:colOff>
                    <xdr:row>8</xdr:row>
                    <xdr:rowOff>9525</xdr:rowOff>
                  </to>
                </anchor>
              </controlPr>
            </control>
          </mc:Choice>
        </mc:AlternateContent>
        <mc:AlternateContent xmlns:mc="http://schemas.openxmlformats.org/markup-compatibility/2006">
          <mc:Choice Requires="x14">
            <control shapeId="6370" r:id="rId59" name="Check Box 226">
              <controlPr defaultSize="0" autoFill="0" autoLine="0" autoPict="0">
                <anchor moveWithCells="1">
                  <from>
                    <xdr:col>36</xdr:col>
                    <xdr:colOff>9525</xdr:colOff>
                    <xdr:row>8</xdr:row>
                    <xdr:rowOff>200025</xdr:rowOff>
                  </from>
                  <to>
                    <xdr:col>37</xdr:col>
                    <xdr:colOff>133350</xdr:colOff>
                    <xdr:row>10</xdr:row>
                    <xdr:rowOff>9525</xdr:rowOff>
                  </to>
                </anchor>
              </controlPr>
            </control>
          </mc:Choice>
        </mc:AlternateContent>
        <mc:AlternateContent xmlns:mc="http://schemas.openxmlformats.org/markup-compatibility/2006">
          <mc:Choice Requires="x14">
            <control shapeId="6371" r:id="rId60" name="Check Box 227">
              <controlPr defaultSize="0" autoFill="0" autoLine="0" autoPict="0">
                <anchor moveWithCells="1">
                  <from>
                    <xdr:col>36</xdr:col>
                    <xdr:colOff>28575</xdr:colOff>
                    <xdr:row>10</xdr:row>
                    <xdr:rowOff>9525</xdr:rowOff>
                  </from>
                  <to>
                    <xdr:col>37</xdr:col>
                    <xdr:colOff>161925</xdr:colOff>
                    <xdr:row>11</xdr:row>
                    <xdr:rowOff>28575</xdr:rowOff>
                  </to>
                </anchor>
              </controlPr>
            </control>
          </mc:Choice>
        </mc:AlternateContent>
        <mc:AlternateContent xmlns:mc="http://schemas.openxmlformats.org/markup-compatibility/2006">
          <mc:Choice Requires="x14">
            <control shapeId="6377" r:id="rId61" name="Check Box 233">
              <controlPr defaultSize="0" autoFill="0" autoLine="0" autoPict="0">
                <anchor moveWithCells="1">
                  <from>
                    <xdr:col>36</xdr:col>
                    <xdr:colOff>28575</xdr:colOff>
                    <xdr:row>7</xdr:row>
                    <xdr:rowOff>200025</xdr:rowOff>
                  </from>
                  <to>
                    <xdr:col>37</xdr:col>
                    <xdr:colOff>85725</xdr:colOff>
                    <xdr:row>9</xdr:row>
                    <xdr:rowOff>19050</xdr:rowOff>
                  </to>
                </anchor>
              </controlPr>
            </control>
          </mc:Choice>
        </mc:AlternateContent>
        <mc:AlternateContent xmlns:mc="http://schemas.openxmlformats.org/markup-compatibility/2006">
          <mc:Choice Requires="x14">
            <control shapeId="6394" r:id="rId62" name="Check Box 250">
              <controlPr defaultSize="0" autoFill="0" autoLine="0" autoPict="0">
                <anchor moveWithCells="1">
                  <from>
                    <xdr:col>43</xdr:col>
                    <xdr:colOff>0</xdr:colOff>
                    <xdr:row>1</xdr:row>
                    <xdr:rowOff>190500</xdr:rowOff>
                  </from>
                  <to>
                    <xdr:col>44</xdr:col>
                    <xdr:colOff>476250</xdr:colOff>
                    <xdr:row>3</xdr:row>
                    <xdr:rowOff>9525</xdr:rowOff>
                  </to>
                </anchor>
              </controlPr>
            </control>
          </mc:Choice>
        </mc:AlternateContent>
        <mc:AlternateContent xmlns:mc="http://schemas.openxmlformats.org/markup-compatibility/2006">
          <mc:Choice Requires="x14">
            <control shapeId="6395" r:id="rId63" name="Check Box 251">
              <controlPr defaultSize="0" autoFill="0" autoLine="0" autoPict="0">
                <anchor moveWithCells="1">
                  <from>
                    <xdr:col>43</xdr:col>
                    <xdr:colOff>9525</xdr:colOff>
                    <xdr:row>2</xdr:row>
                    <xdr:rowOff>190500</xdr:rowOff>
                  </from>
                  <to>
                    <xdr:col>44</xdr:col>
                    <xdr:colOff>409575</xdr:colOff>
                    <xdr:row>4</xdr:row>
                    <xdr:rowOff>28575</xdr:rowOff>
                  </to>
                </anchor>
              </controlPr>
            </control>
          </mc:Choice>
        </mc:AlternateContent>
        <mc:AlternateContent xmlns:mc="http://schemas.openxmlformats.org/markup-compatibility/2006">
          <mc:Choice Requires="x14">
            <control shapeId="6396" r:id="rId64" name="Check Box 252">
              <controlPr defaultSize="0" autoFill="0" autoLine="0" autoPict="0">
                <anchor moveWithCells="1">
                  <from>
                    <xdr:col>43</xdr:col>
                    <xdr:colOff>28575</xdr:colOff>
                    <xdr:row>4</xdr:row>
                    <xdr:rowOff>9525</xdr:rowOff>
                  </from>
                  <to>
                    <xdr:col>44</xdr:col>
                    <xdr:colOff>409575</xdr:colOff>
                    <xdr:row>5</xdr:row>
                    <xdr:rowOff>28575</xdr:rowOff>
                  </to>
                </anchor>
              </controlPr>
            </control>
          </mc:Choice>
        </mc:AlternateContent>
        <mc:AlternateContent xmlns:mc="http://schemas.openxmlformats.org/markup-compatibility/2006">
          <mc:Choice Requires="x14">
            <control shapeId="6397" r:id="rId65" name="Check Box 253">
              <controlPr defaultSize="0" autoFill="0" autoLine="0" autoPict="0">
                <anchor moveWithCells="1">
                  <from>
                    <xdr:col>43</xdr:col>
                    <xdr:colOff>28575</xdr:colOff>
                    <xdr:row>5</xdr:row>
                    <xdr:rowOff>0</xdr:rowOff>
                  </from>
                  <to>
                    <xdr:col>44</xdr:col>
                    <xdr:colOff>381000</xdr:colOff>
                    <xdr:row>6</xdr:row>
                    <xdr:rowOff>28575</xdr:rowOff>
                  </to>
                </anchor>
              </controlPr>
            </control>
          </mc:Choice>
        </mc:AlternateContent>
        <mc:AlternateContent xmlns:mc="http://schemas.openxmlformats.org/markup-compatibility/2006">
          <mc:Choice Requires="x14">
            <control shapeId="6398" r:id="rId66" name="Check Box 254">
              <controlPr defaultSize="0" autoFill="0" autoLine="0" autoPict="0">
                <anchor moveWithCells="1">
                  <from>
                    <xdr:col>43</xdr:col>
                    <xdr:colOff>38100</xdr:colOff>
                    <xdr:row>6</xdr:row>
                    <xdr:rowOff>0</xdr:rowOff>
                  </from>
                  <to>
                    <xdr:col>44</xdr:col>
                    <xdr:colOff>352425</xdr:colOff>
                    <xdr:row>7</xdr:row>
                    <xdr:rowOff>28575</xdr:rowOff>
                  </to>
                </anchor>
              </controlPr>
            </control>
          </mc:Choice>
        </mc:AlternateContent>
        <mc:AlternateContent xmlns:mc="http://schemas.openxmlformats.org/markup-compatibility/2006">
          <mc:Choice Requires="x14">
            <control shapeId="6399" r:id="rId67" name="Check Box 255">
              <controlPr defaultSize="0" autoFill="0" autoLine="0" autoPict="0">
                <anchor moveWithCells="1">
                  <from>
                    <xdr:col>43</xdr:col>
                    <xdr:colOff>38100</xdr:colOff>
                    <xdr:row>7</xdr:row>
                    <xdr:rowOff>19050</xdr:rowOff>
                  </from>
                  <to>
                    <xdr:col>44</xdr:col>
                    <xdr:colOff>361950</xdr:colOff>
                    <xdr:row>8</xdr:row>
                    <xdr:rowOff>28575</xdr:rowOff>
                  </to>
                </anchor>
              </controlPr>
            </control>
          </mc:Choice>
        </mc:AlternateContent>
        <mc:AlternateContent xmlns:mc="http://schemas.openxmlformats.org/markup-compatibility/2006">
          <mc:Choice Requires="x14">
            <control shapeId="6400" r:id="rId68" name="Check Box 256">
              <controlPr defaultSize="0" autoFill="0" autoLine="0" autoPict="0">
                <anchor moveWithCells="1">
                  <from>
                    <xdr:col>43</xdr:col>
                    <xdr:colOff>38100</xdr:colOff>
                    <xdr:row>8</xdr:row>
                    <xdr:rowOff>9525</xdr:rowOff>
                  </from>
                  <to>
                    <xdr:col>44</xdr:col>
                    <xdr:colOff>352425</xdr:colOff>
                    <xdr:row>9</xdr:row>
                    <xdr:rowOff>28575</xdr:rowOff>
                  </to>
                </anchor>
              </controlPr>
            </control>
          </mc:Choice>
        </mc:AlternateContent>
        <mc:AlternateContent xmlns:mc="http://schemas.openxmlformats.org/markup-compatibility/2006">
          <mc:Choice Requires="x14">
            <control shapeId="6404" r:id="rId69" name="Check Box 260">
              <controlPr defaultSize="0" autoFill="0" autoLine="0" autoPict="0">
                <anchor moveWithCells="1">
                  <from>
                    <xdr:col>43</xdr:col>
                    <xdr:colOff>66675</xdr:colOff>
                    <xdr:row>9</xdr:row>
                    <xdr:rowOff>19050</xdr:rowOff>
                  </from>
                  <to>
                    <xdr:col>44</xdr:col>
                    <xdr:colOff>304800</xdr:colOff>
                    <xdr:row>10</xdr:row>
                    <xdr:rowOff>38100</xdr:rowOff>
                  </to>
                </anchor>
              </controlPr>
            </control>
          </mc:Choice>
        </mc:AlternateContent>
        <mc:AlternateContent xmlns:mc="http://schemas.openxmlformats.org/markup-compatibility/2006">
          <mc:Choice Requires="x14">
            <control shapeId="6405" r:id="rId70" name="Check Box 261">
              <controlPr defaultSize="0" autoFill="0" autoLine="0" autoPict="0">
                <anchor moveWithCells="1">
                  <from>
                    <xdr:col>43</xdr:col>
                    <xdr:colOff>66675</xdr:colOff>
                    <xdr:row>10</xdr:row>
                    <xdr:rowOff>9525</xdr:rowOff>
                  </from>
                  <to>
                    <xdr:col>44</xdr:col>
                    <xdr:colOff>295275</xdr:colOff>
                    <xdr:row>11</xdr:row>
                    <xdr:rowOff>9525</xdr:rowOff>
                  </to>
                </anchor>
              </controlPr>
            </control>
          </mc:Choice>
        </mc:AlternateContent>
        <mc:AlternateContent xmlns:mc="http://schemas.openxmlformats.org/markup-compatibility/2006">
          <mc:Choice Requires="x14">
            <control shapeId="6438" r:id="rId71" name="Check Box 294">
              <controlPr defaultSize="0" autoFill="0" autoLine="0" autoPict="0">
                <anchor moveWithCells="1">
                  <from>
                    <xdr:col>49</xdr:col>
                    <xdr:colOff>590550</xdr:colOff>
                    <xdr:row>1</xdr:row>
                    <xdr:rowOff>209550</xdr:rowOff>
                  </from>
                  <to>
                    <xdr:col>51</xdr:col>
                    <xdr:colOff>561975</xdr:colOff>
                    <xdr:row>3</xdr:row>
                    <xdr:rowOff>0</xdr:rowOff>
                  </to>
                </anchor>
              </controlPr>
            </control>
          </mc:Choice>
        </mc:AlternateContent>
        <mc:AlternateContent xmlns:mc="http://schemas.openxmlformats.org/markup-compatibility/2006">
          <mc:Choice Requires="x14">
            <control shapeId="6439" r:id="rId72" name="Check Box 295">
              <controlPr defaultSize="0" autoFill="0" autoLine="0" autoPict="0">
                <anchor moveWithCells="1">
                  <from>
                    <xdr:col>49</xdr:col>
                    <xdr:colOff>590550</xdr:colOff>
                    <xdr:row>3</xdr:row>
                    <xdr:rowOff>0</xdr:rowOff>
                  </from>
                  <to>
                    <xdr:col>51</xdr:col>
                    <xdr:colOff>523875</xdr:colOff>
                    <xdr:row>4</xdr:row>
                    <xdr:rowOff>9525</xdr:rowOff>
                  </to>
                </anchor>
              </controlPr>
            </control>
          </mc:Choice>
        </mc:AlternateContent>
        <mc:AlternateContent xmlns:mc="http://schemas.openxmlformats.org/markup-compatibility/2006">
          <mc:Choice Requires="x14">
            <control shapeId="6440" r:id="rId73" name="Check Box 296">
              <controlPr defaultSize="0" autoFill="0" autoLine="0" autoPict="0">
                <anchor moveWithCells="1">
                  <from>
                    <xdr:col>49</xdr:col>
                    <xdr:colOff>590550</xdr:colOff>
                    <xdr:row>4</xdr:row>
                    <xdr:rowOff>0</xdr:rowOff>
                  </from>
                  <to>
                    <xdr:col>51</xdr:col>
                    <xdr:colOff>561975</xdr:colOff>
                    <xdr:row>5</xdr:row>
                    <xdr:rowOff>9525</xdr:rowOff>
                  </to>
                </anchor>
              </controlPr>
            </control>
          </mc:Choice>
        </mc:AlternateContent>
        <mc:AlternateContent xmlns:mc="http://schemas.openxmlformats.org/markup-compatibility/2006">
          <mc:Choice Requires="x14">
            <control shapeId="6441" r:id="rId74" name="Check Box 297">
              <controlPr defaultSize="0" autoFill="0" autoLine="0" autoPict="0">
                <anchor moveWithCells="1">
                  <from>
                    <xdr:col>49</xdr:col>
                    <xdr:colOff>590550</xdr:colOff>
                    <xdr:row>4</xdr:row>
                    <xdr:rowOff>190500</xdr:rowOff>
                  </from>
                  <to>
                    <xdr:col>51</xdr:col>
                    <xdr:colOff>438150</xdr:colOff>
                    <xdr:row>6</xdr:row>
                    <xdr:rowOff>9525</xdr:rowOff>
                  </to>
                </anchor>
              </controlPr>
            </control>
          </mc:Choice>
        </mc:AlternateContent>
        <mc:AlternateContent xmlns:mc="http://schemas.openxmlformats.org/markup-compatibility/2006">
          <mc:Choice Requires="x14">
            <control shapeId="6442" r:id="rId75" name="Check Box 298">
              <controlPr defaultSize="0" autoFill="0" autoLine="0" autoPict="0">
                <anchor moveWithCells="1">
                  <from>
                    <xdr:col>49</xdr:col>
                    <xdr:colOff>590550</xdr:colOff>
                    <xdr:row>5</xdr:row>
                    <xdr:rowOff>200025</xdr:rowOff>
                  </from>
                  <to>
                    <xdr:col>51</xdr:col>
                    <xdr:colOff>419100</xdr:colOff>
                    <xdr:row>7</xdr:row>
                    <xdr:rowOff>0</xdr:rowOff>
                  </to>
                </anchor>
              </controlPr>
            </control>
          </mc:Choice>
        </mc:AlternateContent>
        <mc:AlternateContent xmlns:mc="http://schemas.openxmlformats.org/markup-compatibility/2006">
          <mc:Choice Requires="x14">
            <control shapeId="6443" r:id="rId76" name="Check Box 299">
              <controlPr defaultSize="0" autoFill="0" autoLine="0" autoPict="0">
                <anchor moveWithCells="1">
                  <from>
                    <xdr:col>49</xdr:col>
                    <xdr:colOff>590550</xdr:colOff>
                    <xdr:row>6</xdr:row>
                    <xdr:rowOff>200025</xdr:rowOff>
                  </from>
                  <to>
                    <xdr:col>51</xdr:col>
                    <xdr:colOff>466725</xdr:colOff>
                    <xdr:row>8</xdr:row>
                    <xdr:rowOff>0</xdr:rowOff>
                  </to>
                </anchor>
              </controlPr>
            </control>
          </mc:Choice>
        </mc:AlternateContent>
        <mc:AlternateContent xmlns:mc="http://schemas.openxmlformats.org/markup-compatibility/2006">
          <mc:Choice Requires="x14">
            <control shapeId="6444" r:id="rId77" name="Check Box 300">
              <controlPr defaultSize="0" autoFill="0" autoLine="0" autoPict="0">
                <anchor moveWithCells="1">
                  <from>
                    <xdr:col>49</xdr:col>
                    <xdr:colOff>590550</xdr:colOff>
                    <xdr:row>8</xdr:row>
                    <xdr:rowOff>9525</xdr:rowOff>
                  </from>
                  <to>
                    <xdr:col>51</xdr:col>
                    <xdr:colOff>409575</xdr:colOff>
                    <xdr:row>9</xdr:row>
                    <xdr:rowOff>9525</xdr:rowOff>
                  </to>
                </anchor>
              </controlPr>
            </control>
          </mc:Choice>
        </mc:AlternateContent>
        <mc:AlternateContent xmlns:mc="http://schemas.openxmlformats.org/markup-compatibility/2006">
          <mc:Choice Requires="x14">
            <control shapeId="6445" r:id="rId78" name="Check Box 301">
              <controlPr defaultSize="0" autoFill="0" autoLine="0" autoPict="0">
                <anchor moveWithCells="1">
                  <from>
                    <xdr:col>49</xdr:col>
                    <xdr:colOff>590550</xdr:colOff>
                    <xdr:row>9</xdr:row>
                    <xdr:rowOff>9525</xdr:rowOff>
                  </from>
                  <to>
                    <xdr:col>51</xdr:col>
                    <xdr:colOff>390525</xdr:colOff>
                    <xdr:row>10</xdr:row>
                    <xdr:rowOff>19050</xdr:rowOff>
                  </to>
                </anchor>
              </controlPr>
            </control>
          </mc:Choice>
        </mc:AlternateContent>
        <mc:AlternateContent xmlns:mc="http://schemas.openxmlformats.org/markup-compatibility/2006">
          <mc:Choice Requires="x14">
            <control shapeId="6446" r:id="rId79" name="Check Box 302">
              <controlPr defaultSize="0" autoFill="0" autoLine="0" autoPict="0">
                <anchor moveWithCells="1">
                  <from>
                    <xdr:col>49</xdr:col>
                    <xdr:colOff>590550</xdr:colOff>
                    <xdr:row>10</xdr:row>
                    <xdr:rowOff>9525</xdr:rowOff>
                  </from>
                  <to>
                    <xdr:col>51</xdr:col>
                    <xdr:colOff>381000</xdr:colOff>
                    <xdr:row>11</xdr:row>
                    <xdr:rowOff>9525</xdr:rowOff>
                  </to>
                </anchor>
              </controlPr>
            </control>
          </mc:Choice>
        </mc:AlternateContent>
        <mc:AlternateContent xmlns:mc="http://schemas.openxmlformats.org/markup-compatibility/2006">
          <mc:Choice Requires="x14">
            <control shapeId="6479" r:id="rId80" name="Check Box 335">
              <controlPr defaultSize="0" autoFill="0" autoLine="0" autoPict="0">
                <anchor moveWithCells="1">
                  <from>
                    <xdr:col>56</xdr:col>
                    <xdr:colOff>600075</xdr:colOff>
                    <xdr:row>2</xdr:row>
                    <xdr:rowOff>0</xdr:rowOff>
                  </from>
                  <to>
                    <xdr:col>58</xdr:col>
                    <xdr:colOff>523875</xdr:colOff>
                    <xdr:row>3</xdr:row>
                    <xdr:rowOff>9525</xdr:rowOff>
                  </to>
                </anchor>
              </controlPr>
            </control>
          </mc:Choice>
        </mc:AlternateContent>
        <mc:AlternateContent xmlns:mc="http://schemas.openxmlformats.org/markup-compatibility/2006">
          <mc:Choice Requires="x14">
            <control shapeId="6480" r:id="rId81" name="Check Box 336">
              <controlPr defaultSize="0" autoFill="0" autoLine="0" autoPict="0">
                <anchor moveWithCells="1">
                  <from>
                    <xdr:col>56</xdr:col>
                    <xdr:colOff>600075</xdr:colOff>
                    <xdr:row>2</xdr:row>
                    <xdr:rowOff>200025</xdr:rowOff>
                  </from>
                  <to>
                    <xdr:col>58</xdr:col>
                    <xdr:colOff>523875</xdr:colOff>
                    <xdr:row>4</xdr:row>
                    <xdr:rowOff>0</xdr:rowOff>
                  </to>
                </anchor>
              </controlPr>
            </control>
          </mc:Choice>
        </mc:AlternateContent>
        <mc:AlternateContent xmlns:mc="http://schemas.openxmlformats.org/markup-compatibility/2006">
          <mc:Choice Requires="x14">
            <control shapeId="6481" r:id="rId82" name="Check Box 337">
              <controlPr defaultSize="0" autoFill="0" autoLine="0" autoPict="0">
                <anchor moveWithCells="1">
                  <from>
                    <xdr:col>56</xdr:col>
                    <xdr:colOff>600075</xdr:colOff>
                    <xdr:row>3</xdr:row>
                    <xdr:rowOff>200025</xdr:rowOff>
                  </from>
                  <to>
                    <xdr:col>58</xdr:col>
                    <xdr:colOff>523875</xdr:colOff>
                    <xdr:row>5</xdr:row>
                    <xdr:rowOff>0</xdr:rowOff>
                  </to>
                </anchor>
              </controlPr>
            </control>
          </mc:Choice>
        </mc:AlternateContent>
        <mc:AlternateContent xmlns:mc="http://schemas.openxmlformats.org/markup-compatibility/2006">
          <mc:Choice Requires="x14">
            <control shapeId="6482" r:id="rId83" name="Check Box 338">
              <controlPr defaultSize="0" autoFill="0" autoLine="0" autoPict="0">
                <anchor moveWithCells="1">
                  <from>
                    <xdr:col>56</xdr:col>
                    <xdr:colOff>600075</xdr:colOff>
                    <xdr:row>4</xdr:row>
                    <xdr:rowOff>200025</xdr:rowOff>
                  </from>
                  <to>
                    <xdr:col>58</xdr:col>
                    <xdr:colOff>523875</xdr:colOff>
                    <xdr:row>6</xdr:row>
                    <xdr:rowOff>0</xdr:rowOff>
                  </to>
                </anchor>
              </controlPr>
            </control>
          </mc:Choice>
        </mc:AlternateContent>
        <mc:AlternateContent xmlns:mc="http://schemas.openxmlformats.org/markup-compatibility/2006">
          <mc:Choice Requires="x14">
            <control shapeId="6483" r:id="rId84" name="Check Box 339">
              <controlPr defaultSize="0" autoFill="0" autoLine="0" autoPict="0">
                <anchor moveWithCells="1">
                  <from>
                    <xdr:col>56</xdr:col>
                    <xdr:colOff>600075</xdr:colOff>
                    <xdr:row>6</xdr:row>
                    <xdr:rowOff>0</xdr:rowOff>
                  </from>
                  <to>
                    <xdr:col>58</xdr:col>
                    <xdr:colOff>523875</xdr:colOff>
                    <xdr:row>7</xdr:row>
                    <xdr:rowOff>9525</xdr:rowOff>
                  </to>
                </anchor>
              </controlPr>
            </control>
          </mc:Choice>
        </mc:AlternateContent>
        <mc:AlternateContent xmlns:mc="http://schemas.openxmlformats.org/markup-compatibility/2006">
          <mc:Choice Requires="x14">
            <control shapeId="6484" r:id="rId85" name="Check Box 340">
              <controlPr defaultSize="0" autoFill="0" autoLine="0" autoPict="0">
                <anchor moveWithCells="1">
                  <from>
                    <xdr:col>56</xdr:col>
                    <xdr:colOff>600075</xdr:colOff>
                    <xdr:row>7</xdr:row>
                    <xdr:rowOff>0</xdr:rowOff>
                  </from>
                  <to>
                    <xdr:col>58</xdr:col>
                    <xdr:colOff>523875</xdr:colOff>
                    <xdr:row>8</xdr:row>
                    <xdr:rowOff>9525</xdr:rowOff>
                  </to>
                </anchor>
              </controlPr>
            </control>
          </mc:Choice>
        </mc:AlternateContent>
        <mc:AlternateContent xmlns:mc="http://schemas.openxmlformats.org/markup-compatibility/2006">
          <mc:Choice Requires="x14">
            <control shapeId="6485" r:id="rId86" name="Check Box 341">
              <controlPr defaultSize="0" autoFill="0" autoLine="0" autoPict="0">
                <anchor moveWithCells="1">
                  <from>
                    <xdr:col>56</xdr:col>
                    <xdr:colOff>600075</xdr:colOff>
                    <xdr:row>8</xdr:row>
                    <xdr:rowOff>0</xdr:rowOff>
                  </from>
                  <to>
                    <xdr:col>58</xdr:col>
                    <xdr:colOff>523875</xdr:colOff>
                    <xdr:row>9</xdr:row>
                    <xdr:rowOff>9525</xdr:rowOff>
                  </to>
                </anchor>
              </controlPr>
            </control>
          </mc:Choice>
        </mc:AlternateContent>
        <mc:AlternateContent xmlns:mc="http://schemas.openxmlformats.org/markup-compatibility/2006">
          <mc:Choice Requires="x14">
            <control shapeId="6486" r:id="rId87" name="Check Box 342">
              <controlPr defaultSize="0" autoFill="0" autoLine="0" autoPict="0">
                <anchor moveWithCells="1">
                  <from>
                    <xdr:col>56</xdr:col>
                    <xdr:colOff>600075</xdr:colOff>
                    <xdr:row>8</xdr:row>
                    <xdr:rowOff>200025</xdr:rowOff>
                  </from>
                  <to>
                    <xdr:col>58</xdr:col>
                    <xdr:colOff>523875</xdr:colOff>
                    <xdr:row>10</xdr:row>
                    <xdr:rowOff>0</xdr:rowOff>
                  </to>
                </anchor>
              </controlPr>
            </control>
          </mc:Choice>
        </mc:AlternateContent>
        <mc:AlternateContent xmlns:mc="http://schemas.openxmlformats.org/markup-compatibility/2006">
          <mc:Choice Requires="x14">
            <control shapeId="6489" r:id="rId88" name="Check Box 345">
              <controlPr defaultSize="0" autoFill="0" autoLine="0" autoPict="0">
                <anchor moveWithCells="1">
                  <from>
                    <xdr:col>56</xdr:col>
                    <xdr:colOff>600075</xdr:colOff>
                    <xdr:row>10</xdr:row>
                    <xdr:rowOff>9525</xdr:rowOff>
                  </from>
                  <to>
                    <xdr:col>58</xdr:col>
                    <xdr:colOff>523875</xdr:colOff>
                    <xdr:row>11</xdr:row>
                    <xdr:rowOff>9525</xdr:rowOff>
                  </to>
                </anchor>
              </controlPr>
            </control>
          </mc:Choice>
        </mc:AlternateContent>
        <mc:AlternateContent xmlns:mc="http://schemas.openxmlformats.org/markup-compatibility/2006">
          <mc:Choice Requires="x14">
            <control shapeId="6490" r:id="rId89" name="Check Box 346">
              <controlPr defaultSize="0" autoFill="0" autoLine="0" autoPict="0">
                <anchor moveWithCells="1">
                  <from>
                    <xdr:col>56</xdr:col>
                    <xdr:colOff>600075</xdr:colOff>
                    <xdr:row>11</xdr:row>
                    <xdr:rowOff>0</xdr:rowOff>
                  </from>
                  <to>
                    <xdr:col>58</xdr:col>
                    <xdr:colOff>523875</xdr:colOff>
                    <xdr:row>12</xdr:row>
                    <xdr:rowOff>19050</xdr:rowOff>
                  </to>
                </anchor>
              </controlPr>
            </control>
          </mc:Choice>
        </mc:AlternateContent>
        <mc:AlternateContent xmlns:mc="http://schemas.openxmlformats.org/markup-compatibility/2006">
          <mc:Choice Requires="x14">
            <control shapeId="6491" r:id="rId90" name="Check Box 347">
              <controlPr defaultSize="0" autoFill="0" autoLine="0" autoPict="0">
                <anchor moveWithCells="1">
                  <from>
                    <xdr:col>56</xdr:col>
                    <xdr:colOff>590550</xdr:colOff>
                    <xdr:row>12</xdr:row>
                    <xdr:rowOff>9525</xdr:rowOff>
                  </from>
                  <to>
                    <xdr:col>57</xdr:col>
                    <xdr:colOff>428625</xdr:colOff>
                    <xdr:row>13</xdr:row>
                    <xdr:rowOff>28575</xdr:rowOff>
                  </to>
                </anchor>
              </controlPr>
            </control>
          </mc:Choice>
        </mc:AlternateContent>
        <mc:AlternateContent xmlns:mc="http://schemas.openxmlformats.org/markup-compatibility/2006">
          <mc:Choice Requires="x14">
            <control shapeId="6492" r:id="rId91" name="Check Box 348">
              <controlPr defaultSize="0" autoFill="0" autoLine="0" autoPict="0">
                <anchor moveWithCells="1">
                  <from>
                    <xdr:col>58</xdr:col>
                    <xdr:colOff>9525</xdr:colOff>
                    <xdr:row>11</xdr:row>
                    <xdr:rowOff>200025</xdr:rowOff>
                  </from>
                  <to>
                    <xdr:col>58</xdr:col>
                    <xdr:colOff>457200</xdr:colOff>
                    <xdr:row>13</xdr:row>
                    <xdr:rowOff>9525</xdr:rowOff>
                  </to>
                </anchor>
              </controlPr>
            </control>
          </mc:Choice>
        </mc:AlternateContent>
        <mc:AlternateContent xmlns:mc="http://schemas.openxmlformats.org/markup-compatibility/2006">
          <mc:Choice Requires="x14">
            <control shapeId="6493" r:id="rId92" name="Check Box 349">
              <controlPr defaultSize="0" autoFill="0" autoLine="0" autoPict="0">
                <anchor moveWithCells="1">
                  <from>
                    <xdr:col>56</xdr:col>
                    <xdr:colOff>600075</xdr:colOff>
                    <xdr:row>12</xdr:row>
                    <xdr:rowOff>200025</xdr:rowOff>
                  </from>
                  <to>
                    <xdr:col>58</xdr:col>
                    <xdr:colOff>523875</xdr:colOff>
                    <xdr:row>14</xdr:row>
                    <xdr:rowOff>19050</xdr:rowOff>
                  </to>
                </anchor>
              </controlPr>
            </control>
          </mc:Choice>
        </mc:AlternateContent>
        <mc:AlternateContent xmlns:mc="http://schemas.openxmlformats.org/markup-compatibility/2006">
          <mc:Choice Requires="x14">
            <control shapeId="6511" r:id="rId93" name="Check Box 367">
              <controlPr defaultSize="0" autoFill="0" autoLine="0" autoPict="0">
                <anchor moveWithCells="1">
                  <from>
                    <xdr:col>63</xdr:col>
                    <xdr:colOff>600075</xdr:colOff>
                    <xdr:row>1</xdr:row>
                    <xdr:rowOff>200025</xdr:rowOff>
                  </from>
                  <to>
                    <xdr:col>65</xdr:col>
                    <xdr:colOff>523875</xdr:colOff>
                    <xdr:row>3</xdr:row>
                    <xdr:rowOff>0</xdr:rowOff>
                  </to>
                </anchor>
              </controlPr>
            </control>
          </mc:Choice>
        </mc:AlternateContent>
        <mc:AlternateContent xmlns:mc="http://schemas.openxmlformats.org/markup-compatibility/2006">
          <mc:Choice Requires="x14">
            <control shapeId="6512" r:id="rId94" name="Check Box 368">
              <controlPr defaultSize="0" autoFill="0" autoLine="0" autoPict="0">
                <anchor moveWithCells="1">
                  <from>
                    <xdr:col>63</xdr:col>
                    <xdr:colOff>600075</xdr:colOff>
                    <xdr:row>3</xdr:row>
                    <xdr:rowOff>9525</xdr:rowOff>
                  </from>
                  <to>
                    <xdr:col>65</xdr:col>
                    <xdr:colOff>523875</xdr:colOff>
                    <xdr:row>4</xdr:row>
                    <xdr:rowOff>28575</xdr:rowOff>
                  </to>
                </anchor>
              </controlPr>
            </control>
          </mc:Choice>
        </mc:AlternateContent>
        <mc:AlternateContent xmlns:mc="http://schemas.openxmlformats.org/markup-compatibility/2006">
          <mc:Choice Requires="x14">
            <control shapeId="6513" r:id="rId95" name="Check Box 369">
              <controlPr defaultSize="0" autoFill="0" autoLine="0" autoPict="0">
                <anchor moveWithCells="1">
                  <from>
                    <xdr:col>63</xdr:col>
                    <xdr:colOff>600075</xdr:colOff>
                    <xdr:row>4</xdr:row>
                    <xdr:rowOff>0</xdr:rowOff>
                  </from>
                  <to>
                    <xdr:col>65</xdr:col>
                    <xdr:colOff>523875</xdr:colOff>
                    <xdr:row>5</xdr:row>
                    <xdr:rowOff>28575</xdr:rowOff>
                  </to>
                </anchor>
              </controlPr>
            </control>
          </mc:Choice>
        </mc:AlternateContent>
        <mc:AlternateContent xmlns:mc="http://schemas.openxmlformats.org/markup-compatibility/2006">
          <mc:Choice Requires="x14">
            <control shapeId="6517" r:id="rId96" name="Check Box 373">
              <controlPr defaultSize="0" autoFill="0" autoLine="0" autoPict="0">
                <anchor moveWithCells="1">
                  <from>
                    <xdr:col>63</xdr:col>
                    <xdr:colOff>600075</xdr:colOff>
                    <xdr:row>4</xdr:row>
                    <xdr:rowOff>200025</xdr:rowOff>
                  </from>
                  <to>
                    <xdr:col>65</xdr:col>
                    <xdr:colOff>523875</xdr:colOff>
                    <xdr:row>6</xdr:row>
                    <xdr:rowOff>19050</xdr:rowOff>
                  </to>
                </anchor>
              </controlPr>
            </control>
          </mc:Choice>
        </mc:AlternateContent>
        <mc:AlternateContent xmlns:mc="http://schemas.openxmlformats.org/markup-compatibility/2006">
          <mc:Choice Requires="x14">
            <control shapeId="6518" r:id="rId97" name="Check Box 374">
              <controlPr defaultSize="0" autoFill="0" autoLine="0" autoPict="0">
                <anchor moveWithCells="1">
                  <from>
                    <xdr:col>63</xdr:col>
                    <xdr:colOff>600075</xdr:colOff>
                    <xdr:row>5</xdr:row>
                    <xdr:rowOff>200025</xdr:rowOff>
                  </from>
                  <to>
                    <xdr:col>65</xdr:col>
                    <xdr:colOff>523875</xdr:colOff>
                    <xdr:row>7</xdr:row>
                    <xdr:rowOff>19050</xdr:rowOff>
                  </to>
                </anchor>
              </controlPr>
            </control>
          </mc:Choice>
        </mc:AlternateContent>
        <mc:AlternateContent xmlns:mc="http://schemas.openxmlformats.org/markup-compatibility/2006">
          <mc:Choice Requires="x14">
            <control shapeId="6375" r:id="rId98" name="Check Box 231">
              <controlPr defaultSize="0" autoFill="0" autoLine="0" autoPict="0">
                <anchor moveWithCells="1">
                  <from>
                    <xdr:col>36</xdr:col>
                    <xdr:colOff>19050</xdr:colOff>
                    <xdr:row>10</xdr:row>
                    <xdr:rowOff>209550</xdr:rowOff>
                  </from>
                  <to>
                    <xdr:col>37</xdr:col>
                    <xdr:colOff>95250</xdr:colOff>
                    <xdr:row>12</xdr:row>
                    <xdr:rowOff>19050</xdr:rowOff>
                  </to>
                </anchor>
              </controlPr>
            </control>
          </mc:Choice>
        </mc:AlternateContent>
        <mc:AlternateContent xmlns:mc="http://schemas.openxmlformats.org/markup-compatibility/2006">
          <mc:Choice Requires="x14">
            <control shapeId="6376" r:id="rId99" name="Check Box 232">
              <controlPr defaultSize="0" autoFill="0" autoLine="0" autoPict="0">
                <anchor moveWithCells="1">
                  <from>
                    <xdr:col>36</xdr:col>
                    <xdr:colOff>38100</xdr:colOff>
                    <xdr:row>11</xdr:row>
                    <xdr:rowOff>200025</xdr:rowOff>
                  </from>
                  <to>
                    <xdr:col>37</xdr:col>
                    <xdr:colOff>152400</xdr:colOff>
                    <xdr:row>13</xdr:row>
                    <xdr:rowOff>28575</xdr:rowOff>
                  </to>
                </anchor>
              </controlPr>
            </control>
          </mc:Choice>
        </mc:AlternateContent>
        <mc:AlternateContent xmlns:mc="http://schemas.openxmlformats.org/markup-compatibility/2006">
          <mc:Choice Requires="x14">
            <control shapeId="6551" r:id="rId100" name="Check Box 407">
              <controlPr defaultSize="0" autoFill="0" autoLine="0" autoPict="0">
                <anchor moveWithCells="1">
                  <from>
                    <xdr:col>36</xdr:col>
                    <xdr:colOff>38100</xdr:colOff>
                    <xdr:row>12</xdr:row>
                    <xdr:rowOff>209550</xdr:rowOff>
                  </from>
                  <to>
                    <xdr:col>37</xdr:col>
                    <xdr:colOff>152400</xdr:colOff>
                    <xdr:row>14</xdr:row>
                    <xdr:rowOff>28575</xdr:rowOff>
                  </to>
                </anchor>
              </controlPr>
            </control>
          </mc:Choice>
        </mc:AlternateContent>
        <mc:AlternateContent xmlns:mc="http://schemas.openxmlformats.org/markup-compatibility/2006">
          <mc:Choice Requires="x14">
            <control shapeId="6553" r:id="rId101" name="Check Box 409">
              <controlPr defaultSize="0" autoFill="0" autoLine="0" autoPict="0">
                <anchor moveWithCells="1">
                  <from>
                    <xdr:col>36</xdr:col>
                    <xdr:colOff>57150</xdr:colOff>
                    <xdr:row>14</xdr:row>
                    <xdr:rowOff>0</xdr:rowOff>
                  </from>
                  <to>
                    <xdr:col>37</xdr:col>
                    <xdr:colOff>171450</xdr:colOff>
                    <xdr:row>15</xdr:row>
                    <xdr:rowOff>28575</xdr:rowOff>
                  </to>
                </anchor>
              </controlPr>
            </control>
          </mc:Choice>
        </mc:AlternateContent>
        <mc:AlternateContent xmlns:mc="http://schemas.openxmlformats.org/markup-compatibility/2006">
          <mc:Choice Requires="x14">
            <control shapeId="6555" r:id="rId102" name="Check Box 411">
              <controlPr defaultSize="0" autoFill="0" autoLine="0" autoPict="0">
                <anchor moveWithCells="1">
                  <from>
                    <xdr:col>36</xdr:col>
                    <xdr:colOff>47625</xdr:colOff>
                    <xdr:row>14</xdr:row>
                    <xdr:rowOff>190500</xdr:rowOff>
                  </from>
                  <to>
                    <xdr:col>37</xdr:col>
                    <xdr:colOff>161925</xdr:colOff>
                    <xdr:row>16</xdr:row>
                    <xdr:rowOff>28575</xdr:rowOff>
                  </to>
                </anchor>
              </controlPr>
            </control>
          </mc:Choice>
        </mc:AlternateContent>
        <mc:AlternateContent xmlns:mc="http://schemas.openxmlformats.org/markup-compatibility/2006">
          <mc:Choice Requires="x14">
            <control shapeId="6557" r:id="rId103" name="Check Box 413">
              <controlPr defaultSize="0" autoFill="0" autoLine="0" autoPict="0">
                <anchor moveWithCells="1">
                  <from>
                    <xdr:col>36</xdr:col>
                    <xdr:colOff>47625</xdr:colOff>
                    <xdr:row>15</xdr:row>
                    <xdr:rowOff>190500</xdr:rowOff>
                  </from>
                  <to>
                    <xdr:col>37</xdr:col>
                    <xdr:colOff>161925</xdr:colOff>
                    <xdr:row>17</xdr:row>
                    <xdr:rowOff>28575</xdr:rowOff>
                  </to>
                </anchor>
              </controlPr>
            </control>
          </mc:Choice>
        </mc:AlternateContent>
        <mc:AlternateContent xmlns:mc="http://schemas.openxmlformats.org/markup-compatibility/2006">
          <mc:Choice Requires="x14">
            <control shapeId="6560" r:id="rId104" name="Check Box 416">
              <controlPr defaultSize="0" autoFill="0" autoLine="0" autoPict="0">
                <anchor moveWithCells="1">
                  <from>
                    <xdr:col>36</xdr:col>
                    <xdr:colOff>38100</xdr:colOff>
                    <xdr:row>16</xdr:row>
                    <xdr:rowOff>209550</xdr:rowOff>
                  </from>
                  <to>
                    <xdr:col>37</xdr:col>
                    <xdr:colOff>152400</xdr:colOff>
                    <xdr:row>18</xdr:row>
                    <xdr:rowOff>19050</xdr:rowOff>
                  </to>
                </anchor>
              </controlPr>
            </control>
          </mc:Choice>
        </mc:AlternateContent>
        <mc:AlternateContent xmlns:mc="http://schemas.openxmlformats.org/markup-compatibility/2006">
          <mc:Choice Requires="x14">
            <control shapeId="6561" r:id="rId105" name="Check Box 417">
              <controlPr defaultSize="0" autoFill="0" autoLine="0" autoPict="0">
                <anchor moveWithCells="1">
                  <from>
                    <xdr:col>36</xdr:col>
                    <xdr:colOff>47625</xdr:colOff>
                    <xdr:row>17</xdr:row>
                    <xdr:rowOff>190500</xdr:rowOff>
                  </from>
                  <to>
                    <xdr:col>37</xdr:col>
                    <xdr:colOff>161925</xdr:colOff>
                    <xdr:row>19</xdr:row>
                    <xdr:rowOff>28575</xdr:rowOff>
                  </to>
                </anchor>
              </controlPr>
            </control>
          </mc:Choice>
        </mc:AlternateContent>
        <mc:AlternateContent xmlns:mc="http://schemas.openxmlformats.org/markup-compatibility/2006">
          <mc:Choice Requires="x14">
            <control shapeId="6564" r:id="rId106" name="Check Box 420">
              <controlPr defaultSize="0" autoFill="0" autoLine="0" autoPict="0">
                <anchor moveWithCells="1">
                  <from>
                    <xdr:col>36</xdr:col>
                    <xdr:colOff>47625</xdr:colOff>
                    <xdr:row>18</xdr:row>
                    <xdr:rowOff>190500</xdr:rowOff>
                  </from>
                  <to>
                    <xdr:col>37</xdr:col>
                    <xdr:colOff>161925</xdr:colOff>
                    <xdr:row>20</xdr:row>
                    <xdr:rowOff>57150</xdr:rowOff>
                  </to>
                </anchor>
              </controlPr>
            </control>
          </mc:Choice>
        </mc:AlternateContent>
        <mc:AlternateContent xmlns:mc="http://schemas.openxmlformats.org/markup-compatibility/2006">
          <mc:Choice Requires="x14">
            <control shapeId="6521" r:id="rId107" name="Check Box 377">
              <controlPr defaultSize="0" autoFill="0" autoLine="0" autoPict="0">
                <anchor moveWithCells="1">
                  <from>
                    <xdr:col>63</xdr:col>
                    <xdr:colOff>600075</xdr:colOff>
                    <xdr:row>7</xdr:row>
                    <xdr:rowOff>0</xdr:rowOff>
                  </from>
                  <to>
                    <xdr:col>64</xdr:col>
                    <xdr:colOff>371475</xdr:colOff>
                    <xdr:row>8</xdr:row>
                    <xdr:rowOff>28575</xdr:rowOff>
                  </to>
                </anchor>
              </controlPr>
            </control>
          </mc:Choice>
        </mc:AlternateContent>
        <mc:AlternateContent xmlns:mc="http://schemas.openxmlformats.org/markup-compatibility/2006">
          <mc:Choice Requires="x14">
            <control shapeId="6522" r:id="rId108" name="Check Box 378">
              <controlPr defaultSize="0" autoFill="0" autoLine="0" autoPict="0">
                <anchor moveWithCells="1">
                  <from>
                    <xdr:col>64</xdr:col>
                    <xdr:colOff>523875</xdr:colOff>
                    <xdr:row>7</xdr:row>
                    <xdr:rowOff>0</xdr:rowOff>
                  </from>
                  <to>
                    <xdr:col>65</xdr:col>
                    <xdr:colOff>409575</xdr:colOff>
                    <xdr:row>8</xdr:row>
                    <xdr:rowOff>28575</xdr:rowOff>
                  </to>
                </anchor>
              </controlPr>
            </control>
          </mc:Choice>
        </mc:AlternateContent>
        <mc:AlternateContent xmlns:mc="http://schemas.openxmlformats.org/markup-compatibility/2006">
          <mc:Choice Requires="x14">
            <control shapeId="6523" r:id="rId109" name="Check Box 379">
              <controlPr defaultSize="0" autoFill="0" autoLine="0" autoPict="0">
                <anchor moveWithCells="1">
                  <from>
                    <xdr:col>63</xdr:col>
                    <xdr:colOff>600075</xdr:colOff>
                    <xdr:row>8</xdr:row>
                    <xdr:rowOff>0</xdr:rowOff>
                  </from>
                  <to>
                    <xdr:col>65</xdr:col>
                    <xdr:colOff>523875</xdr:colOff>
                    <xdr:row>9</xdr:row>
                    <xdr:rowOff>28575</xdr:rowOff>
                  </to>
                </anchor>
              </controlPr>
            </control>
          </mc:Choice>
        </mc:AlternateContent>
        <mc:AlternateContent xmlns:mc="http://schemas.openxmlformats.org/markup-compatibility/2006">
          <mc:Choice Requires="x14">
            <control shapeId="6571" r:id="rId110" name="Check Box 427">
              <controlPr defaultSize="0" autoFill="0" autoLine="0" autoPict="0">
                <anchor moveWithCells="1">
                  <from>
                    <xdr:col>63</xdr:col>
                    <xdr:colOff>600075</xdr:colOff>
                    <xdr:row>8</xdr:row>
                    <xdr:rowOff>209550</xdr:rowOff>
                  </from>
                  <to>
                    <xdr:col>65</xdr:col>
                    <xdr:colOff>523875</xdr:colOff>
                    <xdr:row>10</xdr:row>
                    <xdr:rowOff>19050</xdr:rowOff>
                  </to>
                </anchor>
              </controlPr>
            </control>
          </mc:Choice>
        </mc:AlternateContent>
        <mc:AlternateContent xmlns:mc="http://schemas.openxmlformats.org/markup-compatibility/2006">
          <mc:Choice Requires="x14">
            <control shapeId="6573" r:id="rId111" name="Check Box 429">
              <controlPr defaultSize="0" autoFill="0" autoLine="0" autoPict="0">
                <anchor moveWithCells="1">
                  <from>
                    <xdr:col>63</xdr:col>
                    <xdr:colOff>600075</xdr:colOff>
                    <xdr:row>9</xdr:row>
                    <xdr:rowOff>209550</xdr:rowOff>
                  </from>
                  <to>
                    <xdr:col>65</xdr:col>
                    <xdr:colOff>523875</xdr:colOff>
                    <xdr:row>11</xdr:row>
                    <xdr:rowOff>9525</xdr:rowOff>
                  </to>
                </anchor>
              </controlPr>
            </control>
          </mc:Choice>
        </mc:AlternateContent>
        <mc:AlternateContent xmlns:mc="http://schemas.openxmlformats.org/markup-compatibility/2006">
          <mc:Choice Requires="x14">
            <control shapeId="6576" r:id="rId112" name="Check Box 432">
              <controlPr defaultSize="0" autoFill="0" autoLine="0" autoPict="0">
                <anchor moveWithCells="1">
                  <from>
                    <xdr:col>43</xdr:col>
                    <xdr:colOff>66675</xdr:colOff>
                    <xdr:row>11</xdr:row>
                    <xdr:rowOff>9525</xdr:rowOff>
                  </from>
                  <to>
                    <xdr:col>44</xdr:col>
                    <xdr:colOff>295275</xdr:colOff>
                    <xdr:row>12</xdr:row>
                    <xdr:rowOff>19050</xdr:rowOff>
                  </to>
                </anchor>
              </controlPr>
            </control>
          </mc:Choice>
        </mc:AlternateContent>
        <mc:AlternateContent xmlns:mc="http://schemas.openxmlformats.org/markup-compatibility/2006">
          <mc:Choice Requires="x14">
            <control shapeId="6579" r:id="rId113" name="Check Box 435">
              <controlPr defaultSize="0" autoFill="0" autoLine="0" autoPict="0">
                <anchor moveWithCells="1">
                  <from>
                    <xdr:col>43</xdr:col>
                    <xdr:colOff>66675</xdr:colOff>
                    <xdr:row>12</xdr:row>
                    <xdr:rowOff>9525</xdr:rowOff>
                  </from>
                  <to>
                    <xdr:col>44</xdr:col>
                    <xdr:colOff>295275</xdr:colOff>
                    <xdr:row>13</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C9141-F78C-4809-AD6A-E93BFB8305BF}">
  <sheetPr codeName="Лист5">
    <tabColor theme="4" tint="0.39997558519241921"/>
  </sheetPr>
  <dimension ref="A1:U118"/>
  <sheetViews>
    <sheetView topLeftCell="A13" zoomScale="70" zoomScaleNormal="70" workbookViewId="0">
      <selection activeCell="L23" sqref="L23"/>
    </sheetView>
  </sheetViews>
  <sheetFormatPr defaultRowHeight="15" x14ac:dyDescent="0.25"/>
  <cols>
    <col min="1" max="1" width="36.85546875" bestFit="1" customWidth="1"/>
    <col min="3" max="3" width="13.85546875" bestFit="1" customWidth="1"/>
    <col min="8" max="8" width="19.5703125" bestFit="1" customWidth="1"/>
    <col min="9" max="9" width="10.28515625" bestFit="1" customWidth="1"/>
    <col min="11" max="11" width="32.85546875" bestFit="1" customWidth="1"/>
    <col min="12" max="12" width="11.5703125" bestFit="1" customWidth="1"/>
    <col min="14" max="14" width="19.5703125" bestFit="1" customWidth="1"/>
    <col min="15" max="15" width="35.5703125" bestFit="1" customWidth="1"/>
    <col min="16" max="16" width="15.5703125" bestFit="1" customWidth="1"/>
    <col min="20" max="20" width="12.140625" customWidth="1"/>
    <col min="21" max="21" width="11" customWidth="1"/>
  </cols>
  <sheetData>
    <row r="1" spans="1:21" ht="17.25" x14ac:dyDescent="0.3">
      <c r="A1" s="371" t="s">
        <v>195</v>
      </c>
      <c r="B1" s="371"/>
      <c r="C1" s="273"/>
      <c r="D1" s="99"/>
      <c r="E1" s="383"/>
      <c r="F1" s="383"/>
      <c r="G1" s="383"/>
      <c r="H1" s="276" t="s">
        <v>107</v>
      </c>
      <c r="I1" s="278"/>
      <c r="J1" s="10"/>
      <c r="K1" s="276" t="s">
        <v>75</v>
      </c>
      <c r="L1" s="278"/>
      <c r="M1" s="10"/>
      <c r="N1" s="283" t="s">
        <v>50</v>
      </c>
      <c r="O1" s="284"/>
      <c r="P1" s="10"/>
      <c r="T1" s="238"/>
      <c r="U1" s="238"/>
    </row>
    <row r="2" spans="1:21" ht="17.25" x14ac:dyDescent="0.3">
      <c r="A2" s="209" t="s">
        <v>81</v>
      </c>
      <c r="B2" s="42" t="s">
        <v>200</v>
      </c>
      <c r="C2" s="42" t="s">
        <v>266</v>
      </c>
      <c r="E2" s="383"/>
      <c r="F2" s="383"/>
      <c r="G2" s="383"/>
      <c r="H2" s="46" t="s">
        <v>67</v>
      </c>
      <c r="I2" s="47">
        <v>2</v>
      </c>
      <c r="J2" s="10"/>
      <c r="K2" s="46" t="s">
        <v>67</v>
      </c>
      <c r="L2" s="48">
        <f>I2*(1+2.78*('Статы персонажа'!J9/(1400+'Статы персонажа'!J9)))+IF(H112,'Статы персонажа'!J9,)+IF(H166,15%,)</f>
        <v>2</v>
      </c>
      <c r="M2" s="10"/>
      <c r="N2" s="111" t="s">
        <v>51</v>
      </c>
      <c r="O2" s="112" t="s">
        <v>60</v>
      </c>
      <c r="P2" s="10"/>
      <c r="T2" s="226"/>
      <c r="U2" s="226"/>
    </row>
    <row r="3" spans="1:21" ht="16.5" x14ac:dyDescent="0.3">
      <c r="A3" s="64" t="s">
        <v>196</v>
      </c>
      <c r="B3" s="9">
        <v>1</v>
      </c>
      <c r="C3" s="1"/>
      <c r="D3" s="104"/>
      <c r="E3" s="383" t="b">
        <v>0</v>
      </c>
      <c r="F3" s="383">
        <f>IF(E3,45+(15*B3),)</f>
        <v>0</v>
      </c>
      <c r="G3" s="383"/>
      <c r="H3" s="46" t="s">
        <v>67</v>
      </c>
      <c r="I3" s="19">
        <v>1.5</v>
      </c>
      <c r="J3" s="10"/>
      <c r="K3" s="46" t="s">
        <v>67</v>
      </c>
      <c r="L3" s="50">
        <f>I3*(1+2.78*('Статы персонажа'!J9/(1400+'Статы персонажа'!J9)))+IF(H112,'Статы персонажа'!J9,)+IF(H166,15%,)</f>
        <v>1.5</v>
      </c>
      <c r="M3" s="10"/>
      <c r="N3" s="88" t="s">
        <v>1</v>
      </c>
      <c r="O3" s="89">
        <v>103</v>
      </c>
      <c r="P3" s="10"/>
      <c r="T3" s="38"/>
      <c r="U3" s="259"/>
    </row>
    <row r="4" spans="1:21" ht="16.5" x14ac:dyDescent="0.3">
      <c r="A4" s="64" t="s">
        <v>212</v>
      </c>
      <c r="B4" s="9">
        <v>1</v>
      </c>
      <c r="C4" s="1"/>
      <c r="D4" s="103">
        <v>1000</v>
      </c>
      <c r="E4" s="383" t="b">
        <v>0</v>
      </c>
      <c r="F4" s="384">
        <f>IF(E4,(0.027%+(0.009%*B4))*D4,)</f>
        <v>0</v>
      </c>
      <c r="G4" s="384">
        <f>F4*0.3</f>
        <v>0</v>
      </c>
      <c r="H4" s="46" t="s">
        <v>68</v>
      </c>
      <c r="I4" s="47">
        <v>2</v>
      </c>
      <c r="J4" s="10"/>
      <c r="K4" s="46" t="s">
        <v>68</v>
      </c>
      <c r="L4" s="48">
        <f>I4*(1+2.78*('Статы персонажа'!J9/(1400+'Статы персонажа'!J9)))+IF(H112,'Статы персонажа'!J9,)</f>
        <v>2</v>
      </c>
      <c r="M4" s="10"/>
      <c r="N4" s="90" t="s">
        <v>38</v>
      </c>
      <c r="O4" s="91">
        <v>1020</v>
      </c>
      <c r="P4" s="10"/>
      <c r="T4" s="38"/>
      <c r="U4" s="259"/>
    </row>
    <row r="5" spans="1:21" ht="16.5" x14ac:dyDescent="0.3">
      <c r="A5" s="64" t="s">
        <v>197</v>
      </c>
      <c r="B5" s="9">
        <v>1</v>
      </c>
      <c r="C5" s="1"/>
      <c r="D5" s="103">
        <v>3200</v>
      </c>
      <c r="E5" s="383" t="b">
        <v>0</v>
      </c>
      <c r="F5" s="384" t="b">
        <f>IF(E5,IF(8%*(D5/1000)&lt;=25.6%,(6%+2%*B5)*(D5/1000),19.2%+6.4%*B5))</f>
        <v>0</v>
      </c>
      <c r="G5" s="383"/>
      <c r="H5" s="46" t="s">
        <v>68</v>
      </c>
      <c r="I5" s="19">
        <v>1.5</v>
      </c>
      <c r="J5" s="10"/>
      <c r="K5" s="46" t="s">
        <v>68</v>
      </c>
      <c r="L5" s="50">
        <f>I3*(1+2.78*('Статы персонажа'!J9/(1400+'Статы персонажа'!J9)))+IF(H112,'Статы персонажа'!J9,)</f>
        <v>1.5</v>
      </c>
      <c r="M5" s="10"/>
      <c r="N5" s="88" t="s">
        <v>52</v>
      </c>
      <c r="O5" s="92">
        <v>0.1</v>
      </c>
      <c r="P5" s="10"/>
      <c r="T5" s="38"/>
      <c r="U5" s="259"/>
    </row>
    <row r="6" spans="1:21" ht="16.5" x14ac:dyDescent="0.3">
      <c r="A6" s="64" t="s">
        <v>198</v>
      </c>
      <c r="B6" s="9">
        <v>1</v>
      </c>
      <c r="C6" s="1"/>
      <c r="D6" s="103">
        <v>70000</v>
      </c>
      <c r="E6" s="383" t="b">
        <v>0</v>
      </c>
      <c r="F6" s="383">
        <f>IF(E6,0.15%+(0.05%*B6)*D6,)</f>
        <v>0</v>
      </c>
      <c r="G6" s="383"/>
      <c r="H6" s="49" t="s">
        <v>70</v>
      </c>
      <c r="I6" s="47">
        <v>1.1499999999999999</v>
      </c>
      <c r="J6" s="10"/>
      <c r="K6" s="49" t="s">
        <v>70</v>
      </c>
      <c r="L6" s="48">
        <f>(1+5*'Статы персонажа'!J9/('Статы персонажа'!J9+1200))+IF(H113,'Статы персонажа'!J9,)+'Статы персонажа'!B77</f>
        <v>1</v>
      </c>
      <c r="M6" s="10"/>
      <c r="N6" s="88" t="s">
        <v>53</v>
      </c>
      <c r="O6" s="92">
        <v>0.1</v>
      </c>
      <c r="P6" s="10"/>
      <c r="T6" s="38"/>
      <c r="U6" s="259"/>
    </row>
    <row r="7" spans="1:21" ht="16.5" x14ac:dyDescent="0.3">
      <c r="A7" s="64" t="s">
        <v>199</v>
      </c>
      <c r="B7" s="9">
        <v>1</v>
      </c>
      <c r="C7" s="1"/>
      <c r="E7" s="383" t="b">
        <v>0</v>
      </c>
      <c r="F7" s="385">
        <f>IF(E7,12%+(4%*B7),)</f>
        <v>0</v>
      </c>
      <c r="G7" s="385">
        <f>IF(E7,15%+(5%*B7),)</f>
        <v>0</v>
      </c>
      <c r="H7" s="49" t="s">
        <v>71</v>
      </c>
      <c r="I7" s="19">
        <v>1.25</v>
      </c>
      <c r="J7" s="10"/>
      <c r="K7" s="49" t="s">
        <v>71</v>
      </c>
      <c r="L7" s="50">
        <f>(1+5*'Статы персонажа'!J9/('Статы персонажа'!J9+1200))+IF(H207,J207,)+'Статы персонажа'!B78</f>
        <v>1</v>
      </c>
      <c r="M7" s="10"/>
      <c r="N7" s="88" t="s">
        <v>54</v>
      </c>
      <c r="O7" s="92">
        <v>0.1</v>
      </c>
      <c r="P7" s="10"/>
      <c r="T7" s="38"/>
      <c r="U7" s="259"/>
    </row>
    <row r="8" spans="1:21" ht="16.5" x14ac:dyDescent="0.3">
      <c r="A8" s="64" t="s">
        <v>202</v>
      </c>
      <c r="B8" s="9">
        <v>1</v>
      </c>
      <c r="C8" s="1"/>
      <c r="E8" s="383" t="b">
        <v>0</v>
      </c>
      <c r="F8" s="386">
        <f>IF(E8,30%+(10%*B8),)</f>
        <v>0</v>
      </c>
      <c r="G8" s="383"/>
      <c r="H8" s="49" t="s">
        <v>69</v>
      </c>
      <c r="I8" s="47">
        <v>2.75</v>
      </c>
      <c r="J8" s="10"/>
      <c r="K8" s="49" t="s">
        <v>69</v>
      </c>
      <c r="L8" s="48">
        <f>(1+16*'Статы персонажа'!J9/(2000+'Статы персонажа'!J9))+IF(H112,'Статы персонажа'!J9,)+IF(H113,'Статы персонажа'!J9,)+'Статы персонажа'!B74</f>
        <v>1</v>
      </c>
      <c r="M8" s="10"/>
      <c r="N8" s="88" t="s">
        <v>55</v>
      </c>
      <c r="O8" s="92">
        <v>0.1</v>
      </c>
      <c r="P8" s="10"/>
      <c r="T8" s="38"/>
      <c r="U8" s="236"/>
    </row>
    <row r="9" spans="1:21" ht="16.5" x14ac:dyDescent="0.3">
      <c r="A9" s="64" t="s">
        <v>203</v>
      </c>
      <c r="B9" s="9">
        <v>1</v>
      </c>
      <c r="C9" s="1"/>
      <c r="E9" s="383" t="b">
        <v>0</v>
      </c>
      <c r="F9" s="383"/>
      <c r="G9" s="383"/>
      <c r="H9" s="49" t="s">
        <v>73</v>
      </c>
      <c r="I9" s="19">
        <v>2.5</v>
      </c>
      <c r="J9" s="10"/>
      <c r="K9" s="49" t="s">
        <v>73</v>
      </c>
      <c r="L9" s="50">
        <f>(1+16*'Статы персонажа'!J9/(2000+'Статы персонажа'!J9))+IF(H113,'Статы персонажа'!J9,)+'Статы персонажа'!B76</f>
        <v>1</v>
      </c>
      <c r="M9" s="10"/>
      <c r="N9" s="88" t="s">
        <v>56</v>
      </c>
      <c r="O9" s="92">
        <v>0.1</v>
      </c>
      <c r="P9" s="10"/>
      <c r="T9" s="238"/>
      <c r="U9" s="238"/>
    </row>
    <row r="10" spans="1:21" ht="16.5" x14ac:dyDescent="0.3">
      <c r="A10" s="64" t="s">
        <v>204</v>
      </c>
      <c r="B10" s="9">
        <v>1</v>
      </c>
      <c r="C10" s="1"/>
      <c r="D10" s="103">
        <v>1000</v>
      </c>
      <c r="E10" s="383" t="b">
        <v>0</v>
      </c>
      <c r="F10" s="383">
        <f>IF(E10,18%+(6%*B10)*D10,)</f>
        <v>0</v>
      </c>
      <c r="G10" s="383">
        <f>F10*0.3</f>
        <v>0</v>
      </c>
      <c r="H10" s="49" t="s">
        <v>76</v>
      </c>
      <c r="I10" s="47">
        <v>2</v>
      </c>
      <c r="J10" s="10"/>
      <c r="K10" s="49" t="s">
        <v>76</v>
      </c>
      <c r="L10" s="48">
        <f>(1+16*'Статы персонажа'!J9/(2000+'Статы персонажа'!J9))+IF(H120,'Статы персонажа'!J9,)+IF(H168,I168,)+IF(H207,I207,)+J209+K209+IF(H210,60%,)+'Статы персонажа'!B84</f>
        <v>1</v>
      </c>
      <c r="M10" s="10"/>
      <c r="N10" s="88" t="s">
        <v>57</v>
      </c>
      <c r="O10" s="92">
        <v>0.1</v>
      </c>
      <c r="P10" s="10"/>
      <c r="T10" s="226"/>
      <c r="U10" s="226"/>
    </row>
    <row r="11" spans="1:21" ht="16.5" x14ac:dyDescent="0.3">
      <c r="A11" s="64" t="s">
        <v>205</v>
      </c>
      <c r="B11" s="9">
        <v>1</v>
      </c>
      <c r="C11" s="1"/>
      <c r="E11" s="383" t="b">
        <v>0</v>
      </c>
      <c r="F11" s="383">
        <f>IF(E11,75+(25*B11),)</f>
        <v>0</v>
      </c>
      <c r="G11" s="384">
        <f>IF(E11,15%+(5%*B11),)</f>
        <v>0</v>
      </c>
      <c r="H11" s="49" t="s">
        <v>77</v>
      </c>
      <c r="I11" s="19">
        <v>3</v>
      </c>
      <c r="J11" s="10"/>
      <c r="K11" s="49" t="s">
        <v>77</v>
      </c>
      <c r="L11" s="50">
        <f>(1+16*'Статы персонажа'!J9/(2000+'Статы персонажа'!J9))+IF(H113,'Статы персонажа'!J9,)+IF(H120,'Статы персонажа'!J9,)+IF(H207,I207,)+'Статы персонажа'!B82</f>
        <v>1</v>
      </c>
      <c r="M11" s="10"/>
      <c r="N11" s="88" t="s">
        <v>58</v>
      </c>
      <c r="O11" s="92">
        <v>0.1</v>
      </c>
      <c r="P11" s="10"/>
      <c r="T11" s="38"/>
      <c r="U11" s="115"/>
    </row>
    <row r="12" spans="1:21" ht="17.25" thickBot="1" x14ac:dyDescent="0.35">
      <c r="A12" s="64" t="s">
        <v>206</v>
      </c>
      <c r="B12" s="9">
        <v>1</v>
      </c>
      <c r="C12" s="1"/>
      <c r="E12" s="383" t="b">
        <v>0</v>
      </c>
      <c r="F12" s="384">
        <f>IF(E12,18%+(6%*B12),)</f>
        <v>0</v>
      </c>
      <c r="G12" s="383"/>
      <c r="H12" s="49" t="s">
        <v>78</v>
      </c>
      <c r="I12" s="47">
        <v>3</v>
      </c>
      <c r="J12" s="10"/>
      <c r="K12" s="49" t="s">
        <v>78</v>
      </c>
      <c r="L12" s="48">
        <f>(1+16*'Статы персонажа'!J9/(2000+'Статы персонажа'!J9))+IF(H112,'Статы персонажа'!J9,)+IF(H120,'Статы персонажа'!J9,)+IF(H207,I207,)+'Статы персонажа'!B83</f>
        <v>1</v>
      </c>
      <c r="M12" s="10"/>
      <c r="N12" s="93" t="s">
        <v>59</v>
      </c>
      <c r="O12" s="94">
        <v>0.1</v>
      </c>
      <c r="P12" s="10"/>
      <c r="T12" s="38"/>
      <c r="U12" s="115"/>
    </row>
    <row r="13" spans="1:21" ht="16.5" x14ac:dyDescent="0.3">
      <c r="A13" s="64" t="s">
        <v>207</v>
      </c>
      <c r="B13" s="9">
        <v>1</v>
      </c>
      <c r="C13" s="1"/>
      <c r="E13" s="383" t="b">
        <v>0</v>
      </c>
      <c r="F13" s="383">
        <f>IF(E13,38+(2*B13),)</f>
        <v>0</v>
      </c>
      <c r="G13" s="383"/>
      <c r="H13" s="49" t="s">
        <v>79</v>
      </c>
      <c r="I13" s="19">
        <f>25%+1</f>
        <v>1.25</v>
      </c>
      <c r="J13" s="10"/>
      <c r="K13" s="49" t="s">
        <v>79</v>
      </c>
      <c r="L13" s="50">
        <f>(1+16*'Статы персонажа'!J9/(2000+'Статы персонажа'!J9))+IF(H112,'Статы персонажа'!J9,)+IF(H207,I207,)+'Статы персонажа'!B85</f>
        <v>1</v>
      </c>
      <c r="M13" s="10"/>
      <c r="N13" s="41"/>
      <c r="O13" s="38"/>
      <c r="P13" s="10"/>
      <c r="T13" s="38"/>
      <c r="U13" s="115"/>
    </row>
    <row r="14" spans="1:21" ht="16.5" x14ac:dyDescent="0.3">
      <c r="A14" s="64" t="s">
        <v>208</v>
      </c>
      <c r="B14" s="9">
        <v>1</v>
      </c>
      <c r="C14" s="1"/>
      <c r="D14" s="103">
        <v>1000</v>
      </c>
      <c r="E14" s="383" t="b">
        <v>0</v>
      </c>
      <c r="F14" s="383">
        <f>IF(E14,18%+(6%*B14)*D14,)</f>
        <v>0</v>
      </c>
      <c r="G14" s="383">
        <f>IF(E14,18%+(6%*B14)*D14,)*0.3</f>
        <v>0</v>
      </c>
      <c r="H14" s="49" t="s">
        <v>74</v>
      </c>
      <c r="I14" s="47">
        <v>0.6</v>
      </c>
      <c r="J14" s="10"/>
      <c r="K14" s="49" t="s">
        <v>74</v>
      </c>
      <c r="L14" s="48">
        <f>(1+16*'Статы персонажа'!J9/(2000+'Статы персонажа'!J9))+IF(H166,15%,)+I237+'Статы персонажа'!B86</f>
        <v>1</v>
      </c>
      <c r="M14" s="10"/>
      <c r="N14" s="10"/>
      <c r="O14" s="10"/>
      <c r="P14" s="10"/>
      <c r="T14" s="38"/>
      <c r="U14" s="115"/>
    </row>
    <row r="15" spans="1:21" ht="16.5" x14ac:dyDescent="0.3">
      <c r="A15" s="64" t="s">
        <v>209</v>
      </c>
      <c r="B15" s="9">
        <v>1</v>
      </c>
      <c r="C15" s="1"/>
      <c r="E15" s="383" t="b">
        <v>0</v>
      </c>
      <c r="F15" s="384">
        <f>IF(E15,7.5%+(2.5%*B15),)</f>
        <v>0</v>
      </c>
      <c r="G15" s="383"/>
      <c r="H15" s="49" t="s">
        <v>72</v>
      </c>
      <c r="I15" s="19">
        <v>3</v>
      </c>
      <c r="J15" s="10"/>
      <c r="K15" s="49" t="s">
        <v>72</v>
      </c>
      <c r="L15" s="50">
        <f>(1+16*'Статы персонажа'!J9/(2000+'Статы персонажа'!J9))+'Статы персонажа'!B79</f>
        <v>1</v>
      </c>
      <c r="M15" s="10"/>
      <c r="N15" s="381" t="s">
        <v>91</v>
      </c>
      <c r="O15" s="381"/>
      <c r="P15" s="10"/>
      <c r="T15" s="38"/>
      <c r="U15" s="115"/>
    </row>
    <row r="16" spans="1:21" ht="16.5" x14ac:dyDescent="0.3">
      <c r="A16" s="64" t="s">
        <v>210</v>
      </c>
      <c r="B16" s="9">
        <v>1</v>
      </c>
      <c r="C16" s="1"/>
      <c r="E16" s="383" t="b">
        <v>0</v>
      </c>
      <c r="F16" s="384">
        <f>IF(E16,15%+(13%*B16),)</f>
        <v>0</v>
      </c>
      <c r="G16" s="383"/>
      <c r="H16" s="49" t="s">
        <v>106</v>
      </c>
      <c r="I16" s="47">
        <v>2</v>
      </c>
      <c r="J16" s="10"/>
      <c r="K16" s="49" t="s">
        <v>106</v>
      </c>
      <c r="L16" s="48">
        <f>(1+16*'Статы персонажа'!J9/(2000+'Статы персонажа'!J9))+IF(H113,'Статы персонажа'!J9,)+IF(H166,15%,)+'Статы персонажа'!B75</f>
        <v>1</v>
      </c>
      <c r="M16" s="10"/>
      <c r="N16" s="11" t="s">
        <v>92</v>
      </c>
      <c r="O16" s="27" t="s">
        <v>93</v>
      </c>
      <c r="P16" s="10"/>
    </row>
    <row r="17" spans="1:21" ht="16.5" x14ac:dyDescent="0.3">
      <c r="A17" s="64" t="s">
        <v>211</v>
      </c>
      <c r="B17" s="9">
        <v>1</v>
      </c>
      <c r="C17" s="1"/>
      <c r="E17" s="383" t="b">
        <v>0</v>
      </c>
      <c r="F17" s="384">
        <f>IF(E17,21%+(7%*B17),)</f>
        <v>0</v>
      </c>
      <c r="G17" s="383"/>
      <c r="H17" s="10"/>
      <c r="I17" s="10"/>
      <c r="J17" s="10"/>
      <c r="K17" s="49" t="s">
        <v>412</v>
      </c>
      <c r="L17" s="50">
        <f>(1+6*'Статы персонажа'!J9/(2000+'Статы персонажа'!J9))+'Статы персонажа'!B87</f>
        <v>1</v>
      </c>
      <c r="M17" s="10"/>
      <c r="N17" s="11" t="s">
        <v>94</v>
      </c>
      <c r="O17" s="27" t="s">
        <v>95</v>
      </c>
      <c r="P17" s="10"/>
      <c r="T17" s="238"/>
      <c r="U17" s="238"/>
    </row>
    <row r="18" spans="1:21" ht="16.5" x14ac:dyDescent="0.3">
      <c r="A18" s="18" t="s">
        <v>445</v>
      </c>
      <c r="B18" s="9">
        <v>1</v>
      </c>
      <c r="C18" s="3"/>
      <c r="E18" s="383" t="b">
        <v>0</v>
      </c>
      <c r="F18" s="384">
        <f>IF(E18,24%+(8%*B18),)</f>
        <v>0</v>
      </c>
      <c r="G18" s="386">
        <f>IF(E20,90%+(30%*B20),)</f>
        <v>0</v>
      </c>
      <c r="H18" s="276" t="s">
        <v>108</v>
      </c>
      <c r="I18" s="278"/>
      <c r="J18" s="51"/>
      <c r="K18" s="276" t="s">
        <v>109</v>
      </c>
      <c r="L18" s="278"/>
      <c r="M18" s="10"/>
      <c r="N18" s="11" t="s">
        <v>96</v>
      </c>
      <c r="O18" s="27" t="s">
        <v>97</v>
      </c>
      <c r="P18" s="10"/>
      <c r="T18" s="226"/>
      <c r="U18" s="226"/>
    </row>
    <row r="19" spans="1:21" ht="16.5" x14ac:dyDescent="0.3">
      <c r="A19" s="18" t="s">
        <v>446</v>
      </c>
      <c r="B19" s="9">
        <v>1</v>
      </c>
      <c r="C19" s="3"/>
      <c r="E19" s="383" t="b">
        <v>0</v>
      </c>
      <c r="F19" s="384">
        <f>IF(E19,30%+(10%*B19),)</f>
        <v>0</v>
      </c>
      <c r="G19" s="386">
        <f>IF(E20,30%+(10%*B20),)</f>
        <v>0</v>
      </c>
      <c r="H19" s="49" t="s">
        <v>70</v>
      </c>
      <c r="I19" s="45">
        <v>1663.88</v>
      </c>
      <c r="J19" s="10"/>
      <c r="K19" s="49" t="s">
        <v>70</v>
      </c>
      <c r="L19" s="44">
        <f>(I19*I6)*L6</f>
        <v>1913.462</v>
      </c>
      <c r="M19" s="10"/>
      <c r="N19" s="11" t="s">
        <v>98</v>
      </c>
      <c r="O19" s="27" t="s">
        <v>99</v>
      </c>
      <c r="P19" s="10"/>
      <c r="T19" s="5"/>
      <c r="U19" s="115"/>
    </row>
    <row r="20" spans="1:21" ht="16.5" x14ac:dyDescent="0.3">
      <c r="A20" s="18" t="s">
        <v>454</v>
      </c>
      <c r="B20" s="9">
        <v>1</v>
      </c>
      <c r="C20" s="3"/>
      <c r="E20" s="383" t="b">
        <v>0</v>
      </c>
      <c r="F20" s="383">
        <f>IF(E20,45+(15*B20),)</f>
        <v>0</v>
      </c>
      <c r="G20" s="386">
        <f>IF(E20,60%+(20%*B20),)</f>
        <v>0</v>
      </c>
      <c r="H20" s="49" t="s">
        <v>71</v>
      </c>
      <c r="I20" s="27">
        <v>1808.57</v>
      </c>
      <c r="J20" s="10"/>
      <c r="K20" s="49" t="s">
        <v>71</v>
      </c>
      <c r="L20" s="43">
        <f>(I20*I7)*L7</f>
        <v>2260.7125000000001</v>
      </c>
      <c r="M20" s="10"/>
      <c r="N20" s="11" t="s">
        <v>102</v>
      </c>
      <c r="O20" s="27" t="s">
        <v>103</v>
      </c>
      <c r="P20" s="10"/>
      <c r="T20" s="5"/>
      <c r="U20" s="115"/>
    </row>
    <row r="21" spans="1:21" ht="16.5" x14ac:dyDescent="0.3">
      <c r="E21" s="383"/>
      <c r="F21" s="383"/>
      <c r="G21" s="383"/>
      <c r="H21" s="49" t="s">
        <v>69</v>
      </c>
      <c r="I21" s="45">
        <v>2893.71</v>
      </c>
      <c r="J21" s="10"/>
      <c r="K21" s="49" t="s">
        <v>69</v>
      </c>
      <c r="L21" s="44">
        <f>I21*I8*L8*'Статы персонажа'!J18</f>
        <v>7161.9322500000007</v>
      </c>
      <c r="M21" s="10"/>
      <c r="N21" s="11" t="s">
        <v>100</v>
      </c>
      <c r="O21" s="27" t="s">
        <v>101</v>
      </c>
      <c r="P21" s="10"/>
      <c r="T21" s="5"/>
      <c r="U21" s="115"/>
    </row>
    <row r="22" spans="1:21" ht="16.5" x14ac:dyDescent="0.3">
      <c r="H22" s="49" t="s">
        <v>73</v>
      </c>
      <c r="I22" s="27">
        <v>723.43</v>
      </c>
      <c r="J22" s="10"/>
      <c r="K22" s="49" t="s">
        <v>73</v>
      </c>
      <c r="L22" s="43">
        <f>I22*I9*L9</f>
        <v>1808.5749999999998</v>
      </c>
      <c r="M22" s="10"/>
      <c r="N22" s="11" t="s">
        <v>135</v>
      </c>
      <c r="O22" s="27" t="s">
        <v>86</v>
      </c>
      <c r="P22" s="10"/>
      <c r="T22" s="5"/>
      <c r="U22" s="115"/>
    </row>
    <row r="23" spans="1:21" ht="16.5" x14ac:dyDescent="0.3">
      <c r="H23" s="49" t="s">
        <v>76</v>
      </c>
      <c r="I23" s="52">
        <v>2893.71</v>
      </c>
      <c r="J23" s="10"/>
      <c r="K23" s="49" t="s">
        <v>76</v>
      </c>
      <c r="L23" s="44">
        <f>(I23+'Баффы персонажей'!K69)*L10*'Статы персонажа'!J18</f>
        <v>2604.3389999999999</v>
      </c>
      <c r="M23" s="382">
        <f>L23*(1+'Баффы персонажей'!$S$55*'Баффы персонажей'!$R$55)</f>
        <v>2604.3389999999999</v>
      </c>
      <c r="N23" s="11" t="s">
        <v>136</v>
      </c>
      <c r="O23" s="27" t="s">
        <v>87</v>
      </c>
      <c r="P23" s="10"/>
      <c r="T23" s="5"/>
      <c r="U23" s="115"/>
    </row>
    <row r="24" spans="1:21" ht="16.5" x14ac:dyDescent="0.3">
      <c r="H24" s="49" t="s">
        <v>77</v>
      </c>
      <c r="I24" s="27">
        <v>4340.5600000000004</v>
      </c>
      <c r="J24" s="10"/>
      <c r="K24" s="49" t="s">
        <v>77</v>
      </c>
      <c r="L24" s="43">
        <f>(I24+'Баффы персонажей'!K69)*L11*'Статы персонажа'!J18</f>
        <v>3906.5040000000004</v>
      </c>
      <c r="M24" s="382">
        <f>L24*(1+'Баффы персонажей'!$S$55*'Баффы персонажей'!$R$55)</f>
        <v>3906.5040000000004</v>
      </c>
      <c r="N24" s="10"/>
      <c r="O24" s="10"/>
      <c r="P24" s="10"/>
      <c r="T24" s="5"/>
      <c r="U24" s="115"/>
    </row>
    <row r="25" spans="1:21" ht="16.5" x14ac:dyDescent="0.3">
      <c r="H25" s="49" t="s">
        <v>78</v>
      </c>
      <c r="I25" s="45">
        <v>4340.5600000000004</v>
      </c>
      <c r="J25" s="10"/>
      <c r="K25" s="49" t="s">
        <v>78</v>
      </c>
      <c r="L25" s="44">
        <f>(I25+'Баффы персонажей'!K69)*L12*'Статы персонажа'!J18</f>
        <v>3906.5040000000004</v>
      </c>
      <c r="M25" s="382">
        <f>L25*(1+'Баффы персонажей'!$S$55*'Баффы персонажей'!$R$55)</f>
        <v>3906.5040000000004</v>
      </c>
      <c r="N25" s="10"/>
      <c r="O25" s="10"/>
      <c r="P25" s="10"/>
      <c r="T25" s="5"/>
      <c r="U25" s="6"/>
    </row>
    <row r="26" spans="1:21" ht="16.5" x14ac:dyDescent="0.3">
      <c r="H26" s="49" t="s">
        <v>79</v>
      </c>
      <c r="I26" s="27">
        <v>361.7</v>
      </c>
      <c r="J26" s="10"/>
      <c r="K26" s="49" t="s">
        <v>79</v>
      </c>
      <c r="L26" s="43">
        <f>I26*I13*L13*'Статы персонажа'!J18</f>
        <v>406.91250000000002</v>
      </c>
      <c r="M26" s="382">
        <f>L26*(1+'Баффы персонажей'!$S$55*'Баффы персонажей'!$R$55)</f>
        <v>406.91250000000002</v>
      </c>
      <c r="N26" s="379" t="s">
        <v>159</v>
      </c>
      <c r="O26" s="380"/>
      <c r="P26" s="380"/>
      <c r="T26" s="5"/>
      <c r="U26" s="115"/>
    </row>
    <row r="27" spans="1:21" ht="16.5" x14ac:dyDescent="0.3">
      <c r="H27" s="49" t="s">
        <v>74</v>
      </c>
      <c r="I27" s="45">
        <v>868.1</v>
      </c>
      <c r="J27" s="10"/>
      <c r="K27" s="49" t="s">
        <v>72</v>
      </c>
      <c r="L27" s="44">
        <f>I28*I15*L15*'Статы персонажа'!J18</f>
        <v>5859.81</v>
      </c>
      <c r="M27" s="10"/>
      <c r="N27" s="11" t="s">
        <v>138</v>
      </c>
      <c r="O27" s="19">
        <v>0.25</v>
      </c>
      <c r="P27" s="27" t="s">
        <v>2</v>
      </c>
      <c r="R27" s="98" t="b">
        <v>0</v>
      </c>
      <c r="S27" s="98">
        <f>IF(R27,25%,)</f>
        <v>0</v>
      </c>
      <c r="T27" s="5"/>
      <c r="U27" s="115"/>
    </row>
    <row r="28" spans="1:21" ht="16.5" x14ac:dyDescent="0.3">
      <c r="H28" s="49" t="s">
        <v>72</v>
      </c>
      <c r="I28" s="27">
        <v>2170.3000000000002</v>
      </c>
      <c r="J28" s="10"/>
      <c r="K28" s="49" t="s">
        <v>106</v>
      </c>
      <c r="L28" s="43">
        <f>I16*1446*L16*'Статы персонажа'!J18</f>
        <v>2602.8000000000002</v>
      </c>
      <c r="M28" s="10"/>
      <c r="N28" s="11" t="s">
        <v>139</v>
      </c>
      <c r="O28" s="19">
        <v>0.25</v>
      </c>
      <c r="P28" s="27" t="s">
        <v>25</v>
      </c>
      <c r="R28" s="98" t="b">
        <v>0</v>
      </c>
      <c r="S28" s="98">
        <f t="shared" ref="S28" si="0">IF(R28,25%,)</f>
        <v>0</v>
      </c>
      <c r="T28" s="5"/>
      <c r="U28" s="115"/>
    </row>
    <row r="29" spans="1:21" ht="16.5" x14ac:dyDescent="0.3">
      <c r="H29" s="49" t="s">
        <v>106</v>
      </c>
      <c r="I29" s="45">
        <v>1736.2</v>
      </c>
      <c r="J29" s="10"/>
      <c r="K29" s="49" t="s">
        <v>160</v>
      </c>
      <c r="L29" s="44">
        <f t="shared" ref="L29:L32" si="1">($C$63+$I$27)*$L$14</f>
        <v>868.1</v>
      </c>
      <c r="M29" s="382">
        <f>Разное!L29*(1+'Баффы персонажей'!$S$59*'Баффы персонажей'!$R$59)</f>
        <v>868.1</v>
      </c>
      <c r="N29" s="11" t="s">
        <v>140</v>
      </c>
      <c r="O29" s="19">
        <v>0.15</v>
      </c>
      <c r="P29" s="27" t="s">
        <v>125</v>
      </c>
      <c r="R29" s="98" t="b">
        <v>0</v>
      </c>
      <c r="S29" s="98">
        <f>IF(R29,15%,)</f>
        <v>0</v>
      </c>
      <c r="T29" s="5"/>
      <c r="U29" s="244"/>
    </row>
    <row r="30" spans="1:21" ht="16.5" x14ac:dyDescent="0.3">
      <c r="H30" s="49" t="s">
        <v>412</v>
      </c>
      <c r="I30" s="27">
        <v>1447</v>
      </c>
      <c r="J30" s="10"/>
      <c r="K30" s="49" t="s">
        <v>161</v>
      </c>
      <c r="L30" s="54">
        <f t="shared" si="1"/>
        <v>868.1</v>
      </c>
      <c r="M30" s="382">
        <f>Разное!L30*(1+'Баффы персонажей'!$S$59*'Баффы персонажей'!$R$59)</f>
        <v>868.1</v>
      </c>
      <c r="N30" s="11" t="s">
        <v>141</v>
      </c>
      <c r="O30" s="19">
        <v>0.15</v>
      </c>
      <c r="P30" s="27" t="s">
        <v>36</v>
      </c>
      <c r="R30" s="98" t="b">
        <v>0</v>
      </c>
      <c r="S30" s="98">
        <f>IF(R30,15%,)</f>
        <v>0</v>
      </c>
    </row>
    <row r="31" spans="1:21" ht="16.5" x14ac:dyDescent="0.3">
      <c r="H31" s="10"/>
      <c r="I31" s="10"/>
      <c r="J31" s="10"/>
      <c r="K31" s="49" t="s">
        <v>162</v>
      </c>
      <c r="L31" s="44">
        <f>($C$63+$I$27)*$L$14</f>
        <v>868.1</v>
      </c>
      <c r="M31" s="382">
        <f>Разное!L31*(1+'Баффы персонажей'!$S$59*'Баффы персонажей'!$R$59)</f>
        <v>868.1</v>
      </c>
      <c r="N31" s="11" t="s">
        <v>141</v>
      </c>
      <c r="O31" s="19">
        <v>-0.2</v>
      </c>
      <c r="P31" s="27" t="s">
        <v>143</v>
      </c>
      <c r="R31" s="98" t="b">
        <v>0</v>
      </c>
      <c r="S31" s="98">
        <f>IF(R31,20%,)</f>
        <v>0</v>
      </c>
      <c r="T31" s="235"/>
      <c r="U31" s="235"/>
    </row>
    <row r="32" spans="1:21" ht="16.5" x14ac:dyDescent="0.3">
      <c r="H32" s="10"/>
      <c r="I32" s="10"/>
      <c r="J32" s="10"/>
      <c r="K32" s="49" t="s">
        <v>163</v>
      </c>
      <c r="L32" s="54">
        <f t="shared" si="1"/>
        <v>868.1</v>
      </c>
      <c r="M32" s="382">
        <f>Разное!L32*(1+'Баффы персонажей'!$S$59*'Баффы персонажей'!$R$59)</f>
        <v>868.1</v>
      </c>
      <c r="N32" s="11" t="s">
        <v>142</v>
      </c>
      <c r="O32" s="27">
        <v>50</v>
      </c>
      <c r="P32" s="27" t="s">
        <v>31</v>
      </c>
      <c r="R32" s="98" t="b">
        <v>0</v>
      </c>
      <c r="S32" s="98">
        <f>IF(R32,50,)</f>
        <v>0</v>
      </c>
      <c r="T32" s="5"/>
      <c r="U32" s="66"/>
    </row>
    <row r="33" spans="8:21" ht="16.5" x14ac:dyDescent="0.3">
      <c r="H33" s="10"/>
      <c r="I33" s="10"/>
      <c r="J33" s="10"/>
      <c r="K33" s="49" t="s">
        <v>164</v>
      </c>
      <c r="L33" s="44">
        <f>(I27+I14)*L14*L2*'Статы персонажа'!J18</f>
        <v>1563.66</v>
      </c>
      <c r="M33" s="382">
        <f>Разное!L33*(1+'Баффы персонажей'!$S$59*'Баффы персонажей'!$R$59)</f>
        <v>1563.66</v>
      </c>
      <c r="N33" s="11" t="s">
        <v>142</v>
      </c>
      <c r="O33" s="27">
        <v>50</v>
      </c>
      <c r="P33" s="27" t="s">
        <v>31</v>
      </c>
      <c r="R33" s="98" t="b">
        <v>0</v>
      </c>
      <c r="S33" s="98">
        <f>IF(R33,50,)</f>
        <v>0</v>
      </c>
      <c r="T33" s="5"/>
      <c r="U33" s="66"/>
    </row>
    <row r="34" spans="8:21" ht="16.5" x14ac:dyDescent="0.3">
      <c r="H34" s="10"/>
      <c r="I34" s="10"/>
      <c r="J34" s="10"/>
      <c r="K34" s="49" t="s">
        <v>165</v>
      </c>
      <c r="L34" s="54">
        <f>(I27+I14)*L14*L3*'Статы персонажа'!J18</f>
        <v>1172.7450000000001</v>
      </c>
      <c r="M34" s="382">
        <f>Разное!L34*(1+'Баффы персонажей'!$S$59*'Баффы персонажей'!$R$59)</f>
        <v>1172.7450000000001</v>
      </c>
      <c r="N34" s="11" t="s">
        <v>73</v>
      </c>
      <c r="O34" s="19">
        <v>-0.4</v>
      </c>
      <c r="P34" s="27" t="s">
        <v>143</v>
      </c>
      <c r="R34" s="98" t="b">
        <v>0</v>
      </c>
      <c r="S34" s="98">
        <f>IF(R34,40%,)</f>
        <v>0</v>
      </c>
      <c r="T34" s="5"/>
      <c r="U34" s="66"/>
    </row>
    <row r="35" spans="8:21" ht="16.5" x14ac:dyDescent="0.3">
      <c r="H35" s="10"/>
      <c r="I35" s="10"/>
      <c r="J35" s="10"/>
      <c r="K35" s="49" t="s">
        <v>166</v>
      </c>
      <c r="L35" s="44">
        <f>(I27+I14)*L14*L3*'Статы персонажа'!J18</f>
        <v>1172.7450000000001</v>
      </c>
      <c r="M35" s="382">
        <f>Разное!L35*(1+'Баффы персонажей'!$S$59*'Баффы персонажей'!$R$59)</f>
        <v>1172.7450000000001</v>
      </c>
      <c r="N35" s="10"/>
      <c r="O35" s="10"/>
      <c r="P35" s="10"/>
      <c r="T35" s="5"/>
      <c r="U35" s="244"/>
    </row>
    <row r="36" spans="8:21" ht="16.5" x14ac:dyDescent="0.3">
      <c r="H36" s="10"/>
      <c r="I36" s="10"/>
      <c r="J36" s="10"/>
      <c r="K36" s="49" t="s">
        <v>167</v>
      </c>
      <c r="L36" s="54">
        <f>(I27+I14)*L14+L19*L6*'Статы персонажа'!J18</f>
        <v>2590.8158000000003</v>
      </c>
      <c r="M36" s="382">
        <f>Разное!L36*(1+'Баффы персонажей'!$S$59*'Баффы персонажей'!$R$59)</f>
        <v>2590.8158000000003</v>
      </c>
      <c r="P36" s="10"/>
      <c r="T36" s="235"/>
      <c r="U36" s="235"/>
    </row>
    <row r="37" spans="8:21" ht="16.5" x14ac:dyDescent="0.3">
      <c r="H37" s="10"/>
      <c r="I37" s="10"/>
      <c r="J37" s="10"/>
      <c r="K37" s="49" t="s">
        <v>412</v>
      </c>
      <c r="L37" s="44">
        <f>1.8*I30*(1+0)*(L17+'Статы персонажа'!B87)*(1+'Статы персонажа'!J11*'Статы персонажа'!J10)*'Статы персонажа'!J18</f>
        <v>2402.7434999999996</v>
      </c>
      <c r="M37" s="10"/>
      <c r="P37" s="10"/>
      <c r="T37" s="5"/>
      <c r="U37" s="244"/>
    </row>
    <row r="38" spans="8:21" x14ac:dyDescent="0.25">
      <c r="T38" s="5"/>
      <c r="U38" s="6"/>
    </row>
    <row r="39" spans="8:21" x14ac:dyDescent="0.25">
      <c r="T39" s="5"/>
      <c r="U39" s="6"/>
    </row>
    <row r="40" spans="8:21" x14ac:dyDescent="0.25">
      <c r="T40" s="5"/>
      <c r="U40" s="244"/>
    </row>
    <row r="41" spans="8:21" ht="16.5" x14ac:dyDescent="0.3">
      <c r="T41" s="235"/>
      <c r="U41" s="235"/>
    </row>
    <row r="42" spans="8:21" x14ac:dyDescent="0.25">
      <c r="T42" s="5"/>
      <c r="U42" s="4"/>
    </row>
    <row r="43" spans="8:21" x14ac:dyDescent="0.25">
      <c r="T43" s="5"/>
      <c r="U43" s="4"/>
    </row>
    <row r="44" spans="8:21" x14ac:dyDescent="0.25">
      <c r="T44" s="5"/>
      <c r="U44" s="4"/>
    </row>
    <row r="45" spans="8:21" x14ac:dyDescent="0.25">
      <c r="T45" s="5"/>
      <c r="U45" s="4"/>
    </row>
    <row r="46" spans="8:21" x14ac:dyDescent="0.25">
      <c r="T46" s="5"/>
      <c r="U46" s="4"/>
    </row>
    <row r="47" spans="8:21" x14ac:dyDescent="0.25">
      <c r="T47" s="5"/>
      <c r="U47" s="4"/>
    </row>
    <row r="48" spans="8:21" x14ac:dyDescent="0.25">
      <c r="T48" s="5"/>
      <c r="U48" s="4"/>
    </row>
    <row r="49" spans="20:21" x14ac:dyDescent="0.25">
      <c r="T49" s="5"/>
      <c r="U49" s="4"/>
    </row>
    <row r="50" spans="20:21" x14ac:dyDescent="0.25">
      <c r="T50" s="5"/>
      <c r="U50" s="4"/>
    </row>
    <row r="51" spans="20:21" x14ac:dyDescent="0.25">
      <c r="T51" s="5"/>
      <c r="U51" s="4"/>
    </row>
    <row r="52" spans="20:21" x14ac:dyDescent="0.25">
      <c r="T52" s="5"/>
      <c r="U52" s="4"/>
    </row>
    <row r="53" spans="20:21" x14ac:dyDescent="0.25">
      <c r="T53" s="5"/>
      <c r="U53" s="4"/>
    </row>
    <row r="54" spans="20:21" x14ac:dyDescent="0.25">
      <c r="T54" s="5"/>
      <c r="U54" s="4"/>
    </row>
    <row r="55" spans="20:21" x14ac:dyDescent="0.25">
      <c r="T55" s="5"/>
      <c r="U55" s="4"/>
    </row>
    <row r="56" spans="20:21" ht="16.5" x14ac:dyDescent="0.3">
      <c r="T56" s="38"/>
      <c r="U56" s="115"/>
    </row>
    <row r="99" spans="1:5" x14ac:dyDescent="0.25">
      <c r="A99" s="387"/>
    </row>
    <row r="100" spans="1:5" ht="16.5" x14ac:dyDescent="0.3">
      <c r="A100" s="388"/>
      <c r="B100" s="383"/>
      <c r="C100" s="383"/>
      <c r="D100" s="383"/>
      <c r="E100" s="383"/>
    </row>
    <row r="101" spans="1:5" ht="16.5" x14ac:dyDescent="0.3">
      <c r="A101" s="388"/>
      <c r="B101" s="383"/>
      <c r="C101" s="383"/>
      <c r="D101" s="384"/>
      <c r="E101" s="384"/>
    </row>
    <row r="102" spans="1:5" ht="16.5" x14ac:dyDescent="0.3">
      <c r="A102" s="388"/>
      <c r="B102" s="383"/>
      <c r="C102" s="383"/>
      <c r="D102" s="384"/>
      <c r="E102" s="383"/>
    </row>
    <row r="103" spans="1:5" ht="16.5" x14ac:dyDescent="0.3">
      <c r="A103" s="388"/>
      <c r="B103" s="383"/>
      <c r="C103" s="383"/>
      <c r="D103" s="383"/>
      <c r="E103" s="383"/>
    </row>
    <row r="104" spans="1:5" ht="16.5" x14ac:dyDescent="0.3">
      <c r="A104" s="388"/>
      <c r="B104" s="383"/>
      <c r="C104" s="383"/>
      <c r="D104" s="385"/>
      <c r="E104" s="385"/>
    </row>
    <row r="105" spans="1:5" ht="16.5" x14ac:dyDescent="0.3">
      <c r="A105" s="388"/>
      <c r="B105" s="383"/>
      <c r="C105" s="383"/>
      <c r="D105" s="386"/>
      <c r="E105" s="383"/>
    </row>
    <row r="106" spans="1:5" ht="16.5" x14ac:dyDescent="0.3">
      <c r="A106" s="388"/>
      <c r="B106" s="383"/>
      <c r="C106" s="383"/>
      <c r="D106" s="383"/>
      <c r="E106" s="383"/>
    </row>
    <row r="107" spans="1:5" ht="16.5" x14ac:dyDescent="0.3">
      <c r="A107" s="388"/>
      <c r="B107" s="383"/>
      <c r="C107" s="383"/>
      <c r="D107" s="383"/>
      <c r="E107" s="383"/>
    </row>
    <row r="108" spans="1:5" ht="16.5" x14ac:dyDescent="0.3">
      <c r="A108" s="388"/>
      <c r="B108" s="383"/>
      <c r="C108" s="383"/>
      <c r="D108" s="383"/>
      <c r="E108" s="384"/>
    </row>
    <row r="109" spans="1:5" ht="16.5" x14ac:dyDescent="0.3">
      <c r="A109" s="388"/>
      <c r="B109" s="383"/>
      <c r="C109" s="383"/>
      <c r="D109" s="384"/>
      <c r="E109" s="383"/>
    </row>
    <row r="110" spans="1:5" ht="16.5" x14ac:dyDescent="0.3">
      <c r="A110" s="388"/>
      <c r="B110" s="383"/>
      <c r="C110" s="383"/>
      <c r="D110" s="383"/>
      <c r="E110" s="383"/>
    </row>
    <row r="111" spans="1:5" ht="16.5" x14ac:dyDescent="0.3">
      <c r="A111" s="388"/>
      <c r="B111" s="383"/>
      <c r="C111" s="383"/>
      <c r="D111" s="383"/>
      <c r="E111" s="383"/>
    </row>
    <row r="112" spans="1:5" ht="16.5" x14ac:dyDescent="0.3">
      <c r="A112" s="388"/>
      <c r="B112" s="383"/>
      <c r="C112" s="383"/>
      <c r="D112" s="384"/>
      <c r="E112" s="383"/>
    </row>
    <row r="113" spans="1:5" ht="16.5" x14ac:dyDescent="0.3">
      <c r="A113" s="388"/>
      <c r="B113" s="383"/>
      <c r="C113" s="383"/>
      <c r="D113" s="384"/>
      <c r="E113" s="383"/>
    </row>
    <row r="114" spans="1:5" ht="16.5" x14ac:dyDescent="0.3">
      <c r="A114" s="388"/>
      <c r="B114" s="383"/>
      <c r="C114" s="383"/>
      <c r="D114" s="384"/>
      <c r="E114" s="383"/>
    </row>
    <row r="115" spans="1:5" x14ac:dyDescent="0.25">
      <c r="A115" s="387"/>
      <c r="B115" s="383"/>
      <c r="C115" s="383"/>
      <c r="D115" s="384"/>
      <c r="E115" s="386"/>
    </row>
    <row r="116" spans="1:5" x14ac:dyDescent="0.25">
      <c r="A116" s="387"/>
      <c r="B116" s="383"/>
      <c r="C116" s="383"/>
      <c r="D116" s="384"/>
      <c r="E116" s="386"/>
    </row>
    <row r="117" spans="1:5" x14ac:dyDescent="0.25">
      <c r="A117" s="387"/>
      <c r="B117" s="383"/>
      <c r="C117" s="383"/>
      <c r="D117" s="383"/>
      <c r="E117" s="386"/>
    </row>
    <row r="118" spans="1:5" x14ac:dyDescent="0.25">
      <c r="C118" s="383"/>
      <c r="D118" s="383"/>
      <c r="E118" s="383"/>
    </row>
  </sheetData>
  <mergeCells count="8">
    <mergeCell ref="N26:P26"/>
    <mergeCell ref="A1:C1"/>
    <mergeCell ref="H1:I1"/>
    <mergeCell ref="K1:L1"/>
    <mergeCell ref="N1:O1"/>
    <mergeCell ref="N15:O15"/>
    <mergeCell ref="H18:I18"/>
    <mergeCell ref="K18: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2</xdr:col>
                    <xdr:colOff>19050</xdr:colOff>
                    <xdr:row>1</xdr:row>
                    <xdr:rowOff>200025</xdr:rowOff>
                  </from>
                  <to>
                    <xdr:col>3</xdr:col>
                    <xdr:colOff>0</xdr:colOff>
                    <xdr:row>3</xdr:row>
                    <xdr:rowOff>38100</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2</xdr:col>
                    <xdr:colOff>38100</xdr:colOff>
                    <xdr:row>3</xdr:row>
                    <xdr:rowOff>9525</xdr:rowOff>
                  </from>
                  <to>
                    <xdr:col>3</xdr:col>
                    <xdr:colOff>9525</xdr:colOff>
                    <xdr:row>4</xdr:row>
                    <xdr:rowOff>9525</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2</xdr:col>
                    <xdr:colOff>47625</xdr:colOff>
                    <xdr:row>4</xdr:row>
                    <xdr:rowOff>9525</xdr:rowOff>
                  </from>
                  <to>
                    <xdr:col>3</xdr:col>
                    <xdr:colOff>0</xdr:colOff>
                    <xdr:row>5</xdr:row>
                    <xdr:rowOff>19050</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2</xdr:col>
                    <xdr:colOff>38100</xdr:colOff>
                    <xdr:row>5</xdr:row>
                    <xdr:rowOff>28575</xdr:rowOff>
                  </from>
                  <to>
                    <xdr:col>2</xdr:col>
                    <xdr:colOff>914400</xdr:colOff>
                    <xdr:row>6</xdr:row>
                    <xdr:rowOff>38100</xdr:rowOff>
                  </to>
                </anchor>
              </controlPr>
            </control>
          </mc:Choice>
        </mc:AlternateContent>
        <mc:AlternateContent xmlns:mc="http://schemas.openxmlformats.org/markup-compatibility/2006">
          <mc:Choice Requires="x14">
            <control shapeId="7173" r:id="rId7" name="Check Box 5">
              <controlPr defaultSize="0" autoFill="0" autoLine="0" autoPict="0">
                <anchor moveWithCells="1">
                  <from>
                    <xdr:col>2</xdr:col>
                    <xdr:colOff>38100</xdr:colOff>
                    <xdr:row>6</xdr:row>
                    <xdr:rowOff>9525</xdr:rowOff>
                  </from>
                  <to>
                    <xdr:col>2</xdr:col>
                    <xdr:colOff>914400</xdr:colOff>
                    <xdr:row>7</xdr:row>
                    <xdr:rowOff>38100</xdr:rowOff>
                  </to>
                </anchor>
              </controlPr>
            </control>
          </mc:Choice>
        </mc:AlternateContent>
        <mc:AlternateContent xmlns:mc="http://schemas.openxmlformats.org/markup-compatibility/2006">
          <mc:Choice Requires="x14">
            <control shapeId="7174" r:id="rId8" name="Check Box 6">
              <controlPr defaultSize="0" autoFill="0" autoLine="0" autoPict="0">
                <anchor moveWithCells="1">
                  <from>
                    <xdr:col>2</xdr:col>
                    <xdr:colOff>47625</xdr:colOff>
                    <xdr:row>7</xdr:row>
                    <xdr:rowOff>0</xdr:rowOff>
                  </from>
                  <to>
                    <xdr:col>2</xdr:col>
                    <xdr:colOff>914400</xdr:colOff>
                    <xdr:row>8</xdr:row>
                    <xdr:rowOff>38100</xdr:rowOff>
                  </to>
                </anchor>
              </controlPr>
            </control>
          </mc:Choice>
        </mc:AlternateContent>
        <mc:AlternateContent xmlns:mc="http://schemas.openxmlformats.org/markup-compatibility/2006">
          <mc:Choice Requires="x14">
            <control shapeId="7175" r:id="rId9" name="Check Box 7">
              <controlPr defaultSize="0" autoFill="0" autoLine="0" autoPict="0">
                <anchor moveWithCells="1">
                  <from>
                    <xdr:col>2</xdr:col>
                    <xdr:colOff>57150</xdr:colOff>
                    <xdr:row>8</xdr:row>
                    <xdr:rowOff>0</xdr:rowOff>
                  </from>
                  <to>
                    <xdr:col>3</xdr:col>
                    <xdr:colOff>0</xdr:colOff>
                    <xdr:row>9</xdr:row>
                    <xdr:rowOff>38100</xdr:rowOff>
                  </to>
                </anchor>
              </controlPr>
            </control>
          </mc:Choice>
        </mc:AlternateContent>
        <mc:AlternateContent xmlns:mc="http://schemas.openxmlformats.org/markup-compatibility/2006">
          <mc:Choice Requires="x14">
            <control shapeId="7176" r:id="rId10" name="Check Box 8">
              <controlPr defaultSize="0" autoFill="0" autoLine="0" autoPict="0">
                <anchor moveWithCells="1">
                  <from>
                    <xdr:col>2</xdr:col>
                    <xdr:colOff>66675</xdr:colOff>
                    <xdr:row>9</xdr:row>
                    <xdr:rowOff>9525</xdr:rowOff>
                  </from>
                  <to>
                    <xdr:col>2</xdr:col>
                    <xdr:colOff>895350</xdr:colOff>
                    <xdr:row>10</xdr:row>
                    <xdr:rowOff>28575</xdr:rowOff>
                  </to>
                </anchor>
              </controlPr>
            </control>
          </mc:Choice>
        </mc:AlternateContent>
        <mc:AlternateContent xmlns:mc="http://schemas.openxmlformats.org/markup-compatibility/2006">
          <mc:Choice Requires="x14">
            <control shapeId="7177" r:id="rId11" name="Check Box 9">
              <controlPr defaultSize="0" autoFill="0" autoLine="0" autoPict="0">
                <anchor moveWithCells="1">
                  <from>
                    <xdr:col>2</xdr:col>
                    <xdr:colOff>85725</xdr:colOff>
                    <xdr:row>10</xdr:row>
                    <xdr:rowOff>9525</xdr:rowOff>
                  </from>
                  <to>
                    <xdr:col>2</xdr:col>
                    <xdr:colOff>895350</xdr:colOff>
                    <xdr:row>11</xdr:row>
                    <xdr:rowOff>38100</xdr:rowOff>
                  </to>
                </anchor>
              </controlPr>
            </control>
          </mc:Choice>
        </mc:AlternateContent>
        <mc:AlternateContent xmlns:mc="http://schemas.openxmlformats.org/markup-compatibility/2006">
          <mc:Choice Requires="x14">
            <control shapeId="7178" r:id="rId12" name="Check Box 10">
              <controlPr defaultSize="0" autoFill="0" autoLine="0" autoPict="0">
                <anchor moveWithCells="1">
                  <from>
                    <xdr:col>2</xdr:col>
                    <xdr:colOff>85725</xdr:colOff>
                    <xdr:row>11</xdr:row>
                    <xdr:rowOff>28575</xdr:rowOff>
                  </from>
                  <to>
                    <xdr:col>2</xdr:col>
                    <xdr:colOff>914400</xdr:colOff>
                    <xdr:row>12</xdr:row>
                    <xdr:rowOff>38100</xdr:rowOff>
                  </to>
                </anchor>
              </controlPr>
            </control>
          </mc:Choice>
        </mc:AlternateContent>
        <mc:AlternateContent xmlns:mc="http://schemas.openxmlformats.org/markup-compatibility/2006">
          <mc:Choice Requires="x14">
            <control shapeId="7179" r:id="rId13" name="Check Box 11">
              <controlPr defaultSize="0" autoFill="0" autoLine="0" autoPict="0">
                <anchor moveWithCells="1">
                  <from>
                    <xdr:col>2</xdr:col>
                    <xdr:colOff>85725</xdr:colOff>
                    <xdr:row>12</xdr:row>
                    <xdr:rowOff>0</xdr:rowOff>
                  </from>
                  <to>
                    <xdr:col>2</xdr:col>
                    <xdr:colOff>914400</xdr:colOff>
                    <xdr:row>13</xdr:row>
                    <xdr:rowOff>38100</xdr:rowOff>
                  </to>
                </anchor>
              </controlPr>
            </control>
          </mc:Choice>
        </mc:AlternateContent>
        <mc:AlternateContent xmlns:mc="http://schemas.openxmlformats.org/markup-compatibility/2006">
          <mc:Choice Requires="x14">
            <control shapeId="7180" r:id="rId14" name="Check Box 12">
              <controlPr defaultSize="0" autoFill="0" autoLine="0" autoPict="0">
                <anchor moveWithCells="1">
                  <from>
                    <xdr:col>2</xdr:col>
                    <xdr:colOff>95250</xdr:colOff>
                    <xdr:row>13</xdr:row>
                    <xdr:rowOff>28575</xdr:rowOff>
                  </from>
                  <to>
                    <xdr:col>2</xdr:col>
                    <xdr:colOff>895350</xdr:colOff>
                    <xdr:row>14</xdr:row>
                    <xdr:rowOff>19050</xdr:rowOff>
                  </to>
                </anchor>
              </controlPr>
            </control>
          </mc:Choice>
        </mc:AlternateContent>
        <mc:AlternateContent xmlns:mc="http://schemas.openxmlformats.org/markup-compatibility/2006">
          <mc:Choice Requires="x14">
            <control shapeId="7181" r:id="rId15" name="Check Box 13">
              <controlPr defaultSize="0" autoFill="0" autoLine="0" autoPict="0">
                <anchor moveWithCells="1">
                  <from>
                    <xdr:col>2</xdr:col>
                    <xdr:colOff>104775</xdr:colOff>
                    <xdr:row>14</xdr:row>
                    <xdr:rowOff>0</xdr:rowOff>
                  </from>
                  <to>
                    <xdr:col>2</xdr:col>
                    <xdr:colOff>914400</xdr:colOff>
                    <xdr:row>15</xdr:row>
                    <xdr:rowOff>28575</xdr:rowOff>
                  </to>
                </anchor>
              </controlPr>
            </control>
          </mc:Choice>
        </mc:AlternateContent>
        <mc:AlternateContent xmlns:mc="http://schemas.openxmlformats.org/markup-compatibility/2006">
          <mc:Choice Requires="x14">
            <control shapeId="7182" r:id="rId16" name="Check Box 14">
              <controlPr defaultSize="0" autoFill="0" autoLine="0" autoPict="0">
                <anchor moveWithCells="1">
                  <from>
                    <xdr:col>2</xdr:col>
                    <xdr:colOff>104775</xdr:colOff>
                    <xdr:row>15</xdr:row>
                    <xdr:rowOff>0</xdr:rowOff>
                  </from>
                  <to>
                    <xdr:col>2</xdr:col>
                    <xdr:colOff>914400</xdr:colOff>
                    <xdr:row>16</xdr:row>
                    <xdr:rowOff>38100</xdr:rowOff>
                  </to>
                </anchor>
              </controlPr>
            </control>
          </mc:Choice>
        </mc:AlternateContent>
        <mc:AlternateContent xmlns:mc="http://schemas.openxmlformats.org/markup-compatibility/2006">
          <mc:Choice Requires="x14">
            <control shapeId="7183" r:id="rId17" name="Check Box 15">
              <controlPr defaultSize="0" autoFill="0" autoLine="0" autoPict="0">
                <anchor moveWithCells="1">
                  <from>
                    <xdr:col>2</xdr:col>
                    <xdr:colOff>114300</xdr:colOff>
                    <xdr:row>15</xdr:row>
                    <xdr:rowOff>190500</xdr:rowOff>
                  </from>
                  <to>
                    <xdr:col>2</xdr:col>
                    <xdr:colOff>914400</xdr:colOff>
                    <xdr:row>17</xdr:row>
                    <xdr:rowOff>38100</xdr:rowOff>
                  </to>
                </anchor>
              </controlPr>
            </control>
          </mc:Choice>
        </mc:AlternateContent>
        <mc:AlternateContent xmlns:mc="http://schemas.openxmlformats.org/markup-compatibility/2006">
          <mc:Choice Requires="x14">
            <control shapeId="7204" r:id="rId18" name="Check Box 36">
              <controlPr defaultSize="0" autoFill="0" autoLine="0" autoPict="0">
                <anchor moveWithCells="1">
                  <from>
                    <xdr:col>16</xdr:col>
                    <xdr:colOff>0</xdr:colOff>
                    <xdr:row>26</xdr:row>
                    <xdr:rowOff>19050</xdr:rowOff>
                  </from>
                  <to>
                    <xdr:col>16</xdr:col>
                    <xdr:colOff>590550</xdr:colOff>
                    <xdr:row>27</xdr:row>
                    <xdr:rowOff>38100</xdr:rowOff>
                  </to>
                </anchor>
              </controlPr>
            </control>
          </mc:Choice>
        </mc:AlternateContent>
        <mc:AlternateContent xmlns:mc="http://schemas.openxmlformats.org/markup-compatibility/2006">
          <mc:Choice Requires="x14">
            <control shapeId="7205" r:id="rId19" name="Check Box 37">
              <controlPr defaultSize="0" autoFill="0" autoLine="0" autoPict="0">
                <anchor moveWithCells="1">
                  <from>
                    <xdr:col>16</xdr:col>
                    <xdr:colOff>19050</xdr:colOff>
                    <xdr:row>27</xdr:row>
                    <xdr:rowOff>9525</xdr:rowOff>
                  </from>
                  <to>
                    <xdr:col>17</xdr:col>
                    <xdr:colOff>0</xdr:colOff>
                    <xdr:row>28</xdr:row>
                    <xdr:rowOff>9525</xdr:rowOff>
                  </to>
                </anchor>
              </controlPr>
            </control>
          </mc:Choice>
        </mc:AlternateContent>
        <mc:AlternateContent xmlns:mc="http://schemas.openxmlformats.org/markup-compatibility/2006">
          <mc:Choice Requires="x14">
            <control shapeId="7206" r:id="rId20" name="Check Box 38">
              <controlPr defaultSize="0" autoFill="0" autoLine="0" autoPict="0">
                <anchor moveWithCells="1">
                  <from>
                    <xdr:col>16</xdr:col>
                    <xdr:colOff>28575</xdr:colOff>
                    <xdr:row>28</xdr:row>
                    <xdr:rowOff>9525</xdr:rowOff>
                  </from>
                  <to>
                    <xdr:col>17</xdr:col>
                    <xdr:colOff>9525</xdr:colOff>
                    <xdr:row>29</xdr:row>
                    <xdr:rowOff>9525</xdr:rowOff>
                  </to>
                </anchor>
              </controlPr>
            </control>
          </mc:Choice>
        </mc:AlternateContent>
        <mc:AlternateContent xmlns:mc="http://schemas.openxmlformats.org/markup-compatibility/2006">
          <mc:Choice Requires="x14">
            <control shapeId="7207" r:id="rId21" name="Check Box 39">
              <controlPr defaultSize="0" autoFill="0" autoLine="0" autoPict="0">
                <anchor moveWithCells="1">
                  <from>
                    <xdr:col>16</xdr:col>
                    <xdr:colOff>38100</xdr:colOff>
                    <xdr:row>29</xdr:row>
                    <xdr:rowOff>9525</xdr:rowOff>
                  </from>
                  <to>
                    <xdr:col>17</xdr:col>
                    <xdr:colOff>19050</xdr:colOff>
                    <xdr:row>30</xdr:row>
                    <xdr:rowOff>9525</xdr:rowOff>
                  </to>
                </anchor>
              </controlPr>
            </control>
          </mc:Choice>
        </mc:AlternateContent>
        <mc:AlternateContent xmlns:mc="http://schemas.openxmlformats.org/markup-compatibility/2006">
          <mc:Choice Requires="x14">
            <control shapeId="7208" r:id="rId22" name="Check Box 40">
              <controlPr defaultSize="0" autoFill="0" autoLine="0" autoPict="0">
                <anchor moveWithCells="1">
                  <from>
                    <xdr:col>16</xdr:col>
                    <xdr:colOff>38100</xdr:colOff>
                    <xdr:row>30</xdr:row>
                    <xdr:rowOff>19050</xdr:rowOff>
                  </from>
                  <to>
                    <xdr:col>17</xdr:col>
                    <xdr:colOff>19050</xdr:colOff>
                    <xdr:row>31</xdr:row>
                    <xdr:rowOff>19050</xdr:rowOff>
                  </to>
                </anchor>
              </controlPr>
            </control>
          </mc:Choice>
        </mc:AlternateContent>
        <mc:AlternateContent xmlns:mc="http://schemas.openxmlformats.org/markup-compatibility/2006">
          <mc:Choice Requires="x14">
            <control shapeId="7209" r:id="rId23" name="Check Box 41">
              <controlPr defaultSize="0" autoFill="0" autoLine="0" autoPict="0">
                <anchor moveWithCells="1">
                  <from>
                    <xdr:col>16</xdr:col>
                    <xdr:colOff>38100</xdr:colOff>
                    <xdr:row>31</xdr:row>
                    <xdr:rowOff>19050</xdr:rowOff>
                  </from>
                  <to>
                    <xdr:col>17</xdr:col>
                    <xdr:colOff>19050</xdr:colOff>
                    <xdr:row>32</xdr:row>
                    <xdr:rowOff>19050</xdr:rowOff>
                  </to>
                </anchor>
              </controlPr>
            </control>
          </mc:Choice>
        </mc:AlternateContent>
        <mc:AlternateContent xmlns:mc="http://schemas.openxmlformats.org/markup-compatibility/2006">
          <mc:Choice Requires="x14">
            <control shapeId="7210" r:id="rId24" name="Check Box 42">
              <controlPr defaultSize="0" autoFill="0" autoLine="0" autoPict="0">
                <anchor moveWithCells="1">
                  <from>
                    <xdr:col>16</xdr:col>
                    <xdr:colOff>47625</xdr:colOff>
                    <xdr:row>32</xdr:row>
                    <xdr:rowOff>0</xdr:rowOff>
                  </from>
                  <to>
                    <xdr:col>17</xdr:col>
                    <xdr:colOff>28575</xdr:colOff>
                    <xdr:row>33</xdr:row>
                    <xdr:rowOff>0</xdr:rowOff>
                  </to>
                </anchor>
              </controlPr>
            </control>
          </mc:Choice>
        </mc:AlternateContent>
        <mc:AlternateContent xmlns:mc="http://schemas.openxmlformats.org/markup-compatibility/2006">
          <mc:Choice Requires="x14">
            <control shapeId="7211" r:id="rId25" name="Check Box 43">
              <controlPr defaultSize="0" autoFill="0" autoLine="0" autoPict="0">
                <anchor moveWithCells="1">
                  <from>
                    <xdr:col>16</xdr:col>
                    <xdr:colOff>57150</xdr:colOff>
                    <xdr:row>32</xdr:row>
                    <xdr:rowOff>209550</xdr:rowOff>
                  </from>
                  <to>
                    <xdr:col>17</xdr:col>
                    <xdr:colOff>38100</xdr:colOff>
                    <xdr:row>34</xdr:row>
                    <xdr:rowOff>0</xdr:rowOff>
                  </to>
                </anchor>
              </controlPr>
            </control>
          </mc:Choice>
        </mc:AlternateContent>
        <mc:AlternateContent xmlns:mc="http://schemas.openxmlformats.org/markup-compatibility/2006">
          <mc:Choice Requires="x14">
            <control shapeId="7226" r:id="rId26" name="Check Box 58">
              <controlPr defaultSize="0" autoFill="0" autoLine="0" autoPict="0">
                <anchor moveWithCells="1">
                  <from>
                    <xdr:col>2</xdr:col>
                    <xdr:colOff>114300</xdr:colOff>
                    <xdr:row>16</xdr:row>
                    <xdr:rowOff>190500</xdr:rowOff>
                  </from>
                  <to>
                    <xdr:col>2</xdr:col>
                    <xdr:colOff>914400</xdr:colOff>
                    <xdr:row>18</xdr:row>
                    <xdr:rowOff>38100</xdr:rowOff>
                  </to>
                </anchor>
              </controlPr>
            </control>
          </mc:Choice>
        </mc:AlternateContent>
        <mc:AlternateContent xmlns:mc="http://schemas.openxmlformats.org/markup-compatibility/2006">
          <mc:Choice Requires="x14">
            <control shapeId="7227" r:id="rId27" name="Check Box 59">
              <controlPr defaultSize="0" autoFill="0" autoLine="0" autoPict="0">
                <anchor moveWithCells="1">
                  <from>
                    <xdr:col>2</xdr:col>
                    <xdr:colOff>104775</xdr:colOff>
                    <xdr:row>17</xdr:row>
                    <xdr:rowOff>190500</xdr:rowOff>
                  </from>
                  <to>
                    <xdr:col>2</xdr:col>
                    <xdr:colOff>904875</xdr:colOff>
                    <xdr:row>19</xdr:row>
                    <xdr:rowOff>38100</xdr:rowOff>
                  </to>
                </anchor>
              </controlPr>
            </control>
          </mc:Choice>
        </mc:AlternateContent>
        <mc:AlternateContent xmlns:mc="http://schemas.openxmlformats.org/markup-compatibility/2006">
          <mc:Choice Requires="x14">
            <control shapeId="7230" r:id="rId28" name="Check Box 62">
              <controlPr defaultSize="0" autoFill="0" autoLine="0" autoPict="0">
                <anchor moveWithCells="1">
                  <from>
                    <xdr:col>2</xdr:col>
                    <xdr:colOff>95250</xdr:colOff>
                    <xdr:row>18</xdr:row>
                    <xdr:rowOff>190500</xdr:rowOff>
                  </from>
                  <to>
                    <xdr:col>2</xdr:col>
                    <xdr:colOff>895350</xdr:colOff>
                    <xdr:row>20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B8E91-FF1B-461B-9CDA-197EBB64295A}">
  <sheetPr codeName="Лист6">
    <tabColor theme="5" tint="0.39997558519241921"/>
  </sheetPr>
  <dimension ref="A1"/>
  <sheetViews>
    <sheetView workbookViewId="0">
      <selection activeCell="K14" sqref="K14"/>
    </sheetView>
  </sheetViews>
  <sheetFormatPr defaultRowHeight="15" x14ac:dyDescent="0.25"/>
  <sheetData>
    <row r="1" spans="1:1" x14ac:dyDescent="0.25">
      <c r="A1" t="s">
        <v>311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4CE26-5984-4073-898E-3D1B2D5C4B21}">
  <sheetPr codeName="Лист3"/>
  <dimension ref="GNA84384"/>
  <sheetViews>
    <sheetView workbookViewId="0"/>
  </sheetViews>
  <sheetFormatPr defaultRowHeight="15" x14ac:dyDescent="0.25"/>
  <sheetData>
    <row r="84384" spans="5097:5097" x14ac:dyDescent="0.25">
      <c r="GNA84384" t="s">
        <v>303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Статы персонажа</vt:lpstr>
      <vt:lpstr>Артефакты</vt:lpstr>
      <vt:lpstr>Баффы персонажей</vt:lpstr>
      <vt:lpstr>Разное</vt:lpstr>
      <vt:lpstr>Админский лист</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FildBreaker</dc:creator>
  <cp:lastModifiedBy>FildBreaker .</cp:lastModifiedBy>
  <dcterms:created xsi:type="dcterms:W3CDTF">2015-06-05T18:19:34Z</dcterms:created>
  <dcterms:modified xsi:type="dcterms:W3CDTF">2025-09-03T10:04:41Z</dcterms:modified>
</cp:coreProperties>
</file>