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eveloper\GitHub\worldcup2018\"/>
    </mc:Choice>
  </mc:AlternateContent>
  <xr:revisionPtr revIDLastSave="0" documentId="13_ncr:1_{81ECA0A7-443A-4DEF-8E16-0AD723B03915}" xr6:coauthVersionLast="47" xr6:coauthVersionMax="47" xr10:uidLastSave="{00000000-0000-0000-0000-000000000000}"/>
  <bookViews>
    <workbookView xWindow="-120" yWindow="-120" windowWidth="20730" windowHeight="11040" xr2:uid="{66549DDA-D600-4951-88E9-A296AB010DD2}"/>
  </bookViews>
  <sheets>
    <sheet name="Teams" sheetId="9" r:id="rId1"/>
    <sheet name="Team2018" sheetId="1" r:id="rId2"/>
    <sheet name="Jogos" sheetId="2" r:id="rId3"/>
    <sheet name="Bolao" sheetId="5" r:id="rId4"/>
    <sheet name="TabelaGeral" sheetId="3" r:id="rId5"/>
    <sheet name="Planilha1" sheetId="6" r:id="rId6"/>
    <sheet name="Combate" sheetId="7" r:id="rId7"/>
    <sheet name="RUSSIA_WORLDCUP_2018-ANALISE_MA" sheetId="8" r:id="rId8"/>
  </sheets>
  <definedNames>
    <definedName name="_xlnm._FilterDatabase" localSheetId="7" hidden="1">'RUSSIA_WORLDCUP_2018-ANALISE_MA'!$A$1:$Y$97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9" l="1"/>
  <c r="H33" i="9"/>
  <c r="N33" i="9" s="1"/>
  <c r="H32" i="9"/>
  <c r="N32" i="9" s="1"/>
  <c r="H31" i="9"/>
  <c r="N31" i="9" s="1"/>
  <c r="E31" i="9"/>
  <c r="H30" i="9"/>
  <c r="N30" i="9" s="1"/>
  <c r="H29" i="9"/>
  <c r="N29" i="9" s="1"/>
  <c r="H28" i="9"/>
  <c r="N28" i="9" s="1"/>
  <c r="H27" i="9"/>
  <c r="N27" i="9" s="1"/>
  <c r="H26" i="9"/>
  <c r="N26" i="9" s="1"/>
  <c r="H25" i="9"/>
  <c r="N25" i="9" s="1"/>
  <c r="H24" i="9"/>
  <c r="N24" i="9" s="1"/>
  <c r="H23" i="9"/>
  <c r="N23" i="9" s="1"/>
  <c r="H22" i="9"/>
  <c r="N22" i="9" s="1"/>
  <c r="H21" i="9"/>
  <c r="N21" i="9" s="1"/>
  <c r="H20" i="9"/>
  <c r="N20" i="9" s="1"/>
  <c r="H19" i="9"/>
  <c r="N19" i="9" s="1"/>
  <c r="H18" i="9"/>
  <c r="N18" i="9" s="1"/>
  <c r="H17" i="9"/>
  <c r="N17" i="9" s="1"/>
  <c r="H16" i="9"/>
  <c r="N16" i="9" s="1"/>
  <c r="H15" i="9"/>
  <c r="N15" i="9" s="1"/>
  <c r="H14" i="9"/>
  <c r="N14" i="9" s="1"/>
  <c r="H13" i="9"/>
  <c r="N13" i="9" s="1"/>
  <c r="H12" i="9"/>
  <c r="N12" i="9" s="1"/>
  <c r="H11" i="9"/>
  <c r="N11" i="9" s="1"/>
  <c r="H10" i="9"/>
  <c r="N10" i="9" s="1"/>
  <c r="H9" i="9"/>
  <c r="N9" i="9" s="1"/>
  <c r="H8" i="9"/>
  <c r="N8" i="9" s="1"/>
  <c r="H7" i="9"/>
  <c r="N7" i="9" s="1"/>
  <c r="H6" i="9"/>
  <c r="N6" i="9" s="1"/>
  <c r="H5" i="9"/>
  <c r="N5" i="9" s="1"/>
  <c r="H4" i="9"/>
  <c r="N4" i="9" s="1"/>
  <c r="Z3" i="9"/>
  <c r="H3" i="9"/>
  <c r="N3" i="9" s="1"/>
  <c r="Z2" i="9"/>
  <c r="Y2" i="9"/>
  <c r="X2" i="9"/>
  <c r="AB2" i="9" s="1"/>
  <c r="W2" i="9"/>
  <c r="K54" i="2"/>
  <c r="K55" i="2"/>
  <c r="K56" i="2"/>
  <c r="K53" i="2"/>
  <c r="K52" i="2"/>
  <c r="AA2" i="9" l="1"/>
  <c r="AC2" i="9"/>
  <c r="Z97" i="8"/>
  <c r="Z96" i="8"/>
  <c r="Z95" i="8"/>
  <c r="Z94" i="8"/>
  <c r="Z93" i="8"/>
  <c r="Z92" i="8"/>
  <c r="Z91" i="8"/>
  <c r="Z90" i="8"/>
  <c r="Z89" i="8"/>
  <c r="Z88" i="8"/>
  <c r="Z87" i="8"/>
  <c r="Z86" i="8"/>
  <c r="Z85" i="8"/>
  <c r="Z84" i="8"/>
  <c r="Z83" i="8"/>
  <c r="Z82" i="8"/>
  <c r="Z81" i="8"/>
  <c r="Z80" i="8"/>
  <c r="Z79" i="8"/>
  <c r="Z78" i="8"/>
  <c r="Z77" i="8"/>
  <c r="Z76" i="8"/>
  <c r="Z75" i="8"/>
  <c r="Z74" i="8"/>
  <c r="Z73" i="8"/>
  <c r="Z72" i="8"/>
  <c r="Z71" i="8"/>
  <c r="Z70" i="8"/>
  <c r="Z69" i="8"/>
  <c r="Z68" i="8"/>
  <c r="Z67" i="8"/>
  <c r="Z66" i="8"/>
  <c r="Z65" i="8"/>
  <c r="Z64" i="8"/>
  <c r="Z63" i="8"/>
  <c r="Z62" i="8"/>
  <c r="Z61" i="8"/>
  <c r="Z60" i="8"/>
  <c r="Z59" i="8"/>
  <c r="Z58" i="8"/>
  <c r="Z57" i="8"/>
  <c r="Z56" i="8"/>
  <c r="Z55" i="8"/>
  <c r="Z54" i="8"/>
  <c r="Z53" i="8"/>
  <c r="Z52" i="8"/>
  <c r="Z51" i="8"/>
  <c r="Z50" i="8"/>
  <c r="Z49" i="8"/>
  <c r="Z48" i="8"/>
  <c r="Z47" i="8"/>
  <c r="Z46" i="8"/>
  <c r="Z45" i="8"/>
  <c r="Z44" i="8"/>
  <c r="Z43" i="8"/>
  <c r="Z42" i="8"/>
  <c r="Z41" i="8"/>
  <c r="Z40" i="8"/>
  <c r="Z39" i="8"/>
  <c r="Z38" i="8"/>
  <c r="Z36" i="8"/>
  <c r="Z35" i="8"/>
  <c r="Z34" i="8"/>
  <c r="Z33" i="8"/>
  <c r="Z32" i="8"/>
  <c r="Z31" i="8"/>
  <c r="Z30" i="8"/>
  <c r="Z29" i="8"/>
  <c r="Z28" i="8"/>
  <c r="Z27" i="8"/>
  <c r="Z26" i="8"/>
  <c r="Z25" i="8"/>
  <c r="Z24" i="8"/>
  <c r="Z23" i="8"/>
  <c r="Z22" i="8"/>
  <c r="Z21" i="8"/>
  <c r="Z20" i="8"/>
  <c r="Z19" i="8"/>
  <c r="Z18" i="8"/>
  <c r="Z17" i="8"/>
  <c r="Z16" i="8"/>
  <c r="Z15" i="8"/>
  <c r="Z14" i="8"/>
  <c r="Z13" i="8"/>
  <c r="Z12" i="8"/>
  <c r="Z11" i="8"/>
  <c r="Z10" i="8"/>
  <c r="Z9" i="8"/>
  <c r="Z8" i="8"/>
  <c r="Z7" i="8"/>
  <c r="Z6" i="8"/>
  <c r="Z5" i="8"/>
  <c r="Z4" i="8"/>
  <c r="Z3" i="8"/>
  <c r="Z2" i="8"/>
  <c r="Z37" i="8"/>
  <c r="V3" i="8"/>
  <c r="V4" i="8"/>
  <c r="V7" i="8"/>
  <c r="V9" i="8"/>
  <c r="AB97" i="8"/>
  <c r="AB96" i="8"/>
  <c r="AB95" i="8"/>
  <c r="AB94" i="8"/>
  <c r="AB93" i="8"/>
  <c r="AB92" i="8"/>
  <c r="AB91" i="8"/>
  <c r="AB90" i="8"/>
  <c r="AB89" i="8"/>
  <c r="AB88" i="8"/>
  <c r="AB87" i="8"/>
  <c r="AB86" i="8"/>
  <c r="AB85" i="8"/>
  <c r="AB84" i="8"/>
  <c r="AB83" i="8"/>
  <c r="AB82" i="8"/>
  <c r="AB81" i="8"/>
  <c r="AB80" i="8"/>
  <c r="AB79" i="8"/>
  <c r="AB78" i="8"/>
  <c r="AB77" i="8"/>
  <c r="AB76" i="8"/>
  <c r="AB75" i="8"/>
  <c r="AB74" i="8"/>
  <c r="AB73" i="8"/>
  <c r="AB72" i="8"/>
  <c r="AB71" i="8"/>
  <c r="AB70" i="8"/>
  <c r="AB69" i="8"/>
  <c r="AB68" i="8"/>
  <c r="AB67" i="8"/>
  <c r="AB66" i="8"/>
  <c r="AB65" i="8"/>
  <c r="AB64" i="8"/>
  <c r="AB63" i="8"/>
  <c r="AB62" i="8"/>
  <c r="AB61" i="8"/>
  <c r="AB60" i="8"/>
  <c r="AB59" i="8"/>
  <c r="AB58" i="8"/>
  <c r="AB57" i="8"/>
  <c r="AB56" i="8"/>
  <c r="AB55" i="8"/>
  <c r="AB54" i="8"/>
  <c r="AB53" i="8"/>
  <c r="AB52" i="8"/>
  <c r="AB51" i="8"/>
  <c r="AB50" i="8"/>
  <c r="AB49" i="8"/>
  <c r="AB48" i="8"/>
  <c r="AB47" i="8"/>
  <c r="AB46" i="8"/>
  <c r="AB45" i="8"/>
  <c r="AB44" i="8"/>
  <c r="AB43" i="8"/>
  <c r="AB42" i="8"/>
  <c r="AB41" i="8"/>
  <c r="AB40" i="8"/>
  <c r="AB39" i="8"/>
  <c r="AB38" i="8"/>
  <c r="AB37" i="8"/>
  <c r="AB36" i="8"/>
  <c r="AB35" i="8"/>
  <c r="AB34" i="8"/>
  <c r="AB33" i="8"/>
  <c r="AB32" i="8"/>
  <c r="AB31" i="8"/>
  <c r="AB30" i="8"/>
  <c r="AB29" i="8"/>
  <c r="AB28" i="8"/>
  <c r="AB27" i="8"/>
  <c r="AB26" i="8"/>
  <c r="AB25" i="8"/>
  <c r="AB24" i="8"/>
  <c r="AB23" i="8"/>
  <c r="AB22" i="8"/>
  <c r="AB21" i="8"/>
  <c r="AB20" i="8"/>
  <c r="AB19" i="8"/>
  <c r="AB18" i="8"/>
  <c r="AB17" i="8"/>
  <c r="AB16" i="8"/>
  <c r="AB15" i="8"/>
  <c r="AB14" i="8"/>
  <c r="AB13" i="8"/>
  <c r="AB12" i="8"/>
  <c r="AB11" i="8"/>
  <c r="AB10" i="8"/>
  <c r="AB9" i="8"/>
  <c r="AB8" i="8"/>
  <c r="AB7" i="8"/>
  <c r="AB6" i="8"/>
  <c r="AB5" i="8"/>
  <c r="AB4" i="8"/>
  <c r="AB3" i="8"/>
  <c r="AB2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Y77" i="8"/>
  <c r="Y79" i="8"/>
  <c r="Y82" i="8"/>
  <c r="Y83" i="8"/>
  <c r="Y84" i="8"/>
  <c r="Y85" i="8"/>
  <c r="Y86" i="8"/>
  <c r="Y87" i="8"/>
  <c r="Y88" i="8"/>
  <c r="Y89" i="8"/>
  <c r="Y92" i="8"/>
  <c r="Y93" i="8"/>
  <c r="Y94" i="8"/>
  <c r="Y96" i="8"/>
  <c r="Y97" i="8"/>
  <c r="Y2" i="8"/>
  <c r="X2" i="8"/>
  <c r="V97" i="8"/>
  <c r="V96" i="8"/>
  <c r="V94" i="8"/>
  <c r="V93" i="8"/>
  <c r="V92" i="8"/>
  <c r="V89" i="8"/>
  <c r="V88" i="8"/>
  <c r="V87" i="8"/>
  <c r="V86" i="8"/>
  <c r="V85" i="8"/>
  <c r="V84" i="8"/>
  <c r="V83" i="8"/>
  <c r="V82" i="8"/>
  <c r="V79" i="8"/>
  <c r="V77" i="8"/>
  <c r="V76" i="8"/>
  <c r="V75" i="8"/>
  <c r="V74" i="8"/>
  <c r="V73" i="8"/>
  <c r="V72" i="8"/>
  <c r="V71" i="8"/>
  <c r="V70" i="8"/>
  <c r="V69" i="8"/>
  <c r="V68" i="8"/>
  <c r="V67" i="8"/>
  <c r="V66" i="8"/>
  <c r="V65" i="8"/>
  <c r="V64" i="8"/>
  <c r="V61" i="8"/>
  <c r="V60" i="8"/>
  <c r="V59" i="8"/>
  <c r="V58" i="8"/>
  <c r="V57" i="8"/>
  <c r="V56" i="8"/>
  <c r="V55" i="8"/>
  <c r="V54" i="8"/>
  <c r="V53" i="8"/>
  <c r="V52" i="8"/>
  <c r="V51" i="8"/>
  <c r="V50" i="8"/>
  <c r="V49" i="8"/>
  <c r="V48" i="8"/>
  <c r="V47" i="8"/>
  <c r="V46" i="8"/>
  <c r="V45" i="8"/>
  <c r="V44" i="8"/>
  <c r="V43" i="8"/>
  <c r="V42" i="8"/>
  <c r="V41" i="8"/>
  <c r="V40" i="8"/>
  <c r="V39" i="8"/>
  <c r="V38" i="8"/>
  <c r="V37" i="8"/>
  <c r="V36" i="8"/>
  <c r="V35" i="8"/>
  <c r="V34" i="8"/>
  <c r="V32" i="8"/>
  <c r="V31" i="8"/>
  <c r="V30" i="8"/>
  <c r="V29" i="8"/>
  <c r="V28" i="8"/>
  <c r="V27" i="8"/>
  <c r="V26" i="8"/>
  <c r="V25" i="8"/>
  <c r="V24" i="8"/>
  <c r="V23" i="8"/>
  <c r="V22" i="8"/>
  <c r="V21" i="8"/>
  <c r="V20" i="8"/>
  <c r="V19" i="8"/>
  <c r="V18" i="8"/>
  <c r="V17" i="8"/>
  <c r="V16" i="8"/>
  <c r="V15" i="8"/>
  <c r="V14" i="8"/>
  <c r="V13" i="8"/>
  <c r="V12" i="8"/>
  <c r="V11" i="8"/>
  <c r="V10" i="8"/>
  <c r="V8" i="8"/>
  <c r="V6" i="8"/>
  <c r="V5" i="8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X79" i="8"/>
  <c r="X82" i="8"/>
  <c r="X83" i="8"/>
  <c r="X84" i="8"/>
  <c r="X85" i="8"/>
  <c r="X86" i="8"/>
  <c r="X87" i="8"/>
  <c r="X88" i="8"/>
  <c r="X89" i="8"/>
  <c r="X92" i="8"/>
  <c r="X93" i="8"/>
  <c r="X94" i="8"/>
  <c r="X96" i="8"/>
  <c r="X97" i="8"/>
  <c r="W2" i="8"/>
  <c r="AC2" i="8" s="1"/>
  <c r="W97" i="8"/>
  <c r="AC97" i="8" s="1"/>
  <c r="W96" i="8"/>
  <c r="AC96" i="8" s="1"/>
  <c r="W94" i="8"/>
  <c r="AC94" i="8" s="1"/>
  <c r="W93" i="8"/>
  <c r="AC93" i="8" s="1"/>
  <c r="W92" i="8"/>
  <c r="AC92" i="8" s="1"/>
  <c r="W89" i="8"/>
  <c r="AC89" i="8" s="1"/>
  <c r="W88" i="8"/>
  <c r="AC88" i="8" s="1"/>
  <c r="W87" i="8"/>
  <c r="AC87" i="8" s="1"/>
  <c r="W86" i="8"/>
  <c r="AC86" i="8" s="1"/>
  <c r="W85" i="8"/>
  <c r="AC85" i="8" s="1"/>
  <c r="W84" i="8"/>
  <c r="AC84" i="8" s="1"/>
  <c r="W83" i="8"/>
  <c r="AC83" i="8" s="1"/>
  <c r="W82" i="8"/>
  <c r="AC82" i="8" s="1"/>
  <c r="W79" i="8"/>
  <c r="AC79" i="8" s="1"/>
  <c r="W77" i="8"/>
  <c r="AC77" i="8" s="1"/>
  <c r="W76" i="8"/>
  <c r="AC76" i="8" s="1"/>
  <c r="W75" i="8"/>
  <c r="AC75" i="8" s="1"/>
  <c r="W74" i="8"/>
  <c r="AC74" i="8" s="1"/>
  <c r="W73" i="8"/>
  <c r="AC73" i="8" s="1"/>
  <c r="W72" i="8"/>
  <c r="AC72" i="8" s="1"/>
  <c r="W71" i="8"/>
  <c r="AC71" i="8" s="1"/>
  <c r="W70" i="8"/>
  <c r="AC70" i="8" s="1"/>
  <c r="W69" i="8"/>
  <c r="AC69" i="8" s="1"/>
  <c r="W68" i="8"/>
  <c r="AC68" i="8" s="1"/>
  <c r="W67" i="8"/>
  <c r="AC67" i="8" s="1"/>
  <c r="W66" i="8"/>
  <c r="AC66" i="8" s="1"/>
  <c r="W65" i="8"/>
  <c r="AC65" i="8" s="1"/>
  <c r="W64" i="8"/>
  <c r="AC64" i="8" s="1"/>
  <c r="W61" i="8"/>
  <c r="AC61" i="8" s="1"/>
  <c r="W60" i="8"/>
  <c r="AC60" i="8" s="1"/>
  <c r="W59" i="8"/>
  <c r="AC59" i="8" s="1"/>
  <c r="W58" i="8"/>
  <c r="AC58" i="8" s="1"/>
  <c r="W57" i="8"/>
  <c r="AC57" i="8" s="1"/>
  <c r="W56" i="8"/>
  <c r="AC56" i="8" s="1"/>
  <c r="W55" i="8"/>
  <c r="AC55" i="8" s="1"/>
  <c r="W54" i="8"/>
  <c r="AC54" i="8" s="1"/>
  <c r="W53" i="8"/>
  <c r="AC53" i="8" s="1"/>
  <c r="W52" i="8"/>
  <c r="AC52" i="8" s="1"/>
  <c r="W51" i="8"/>
  <c r="AC51" i="8" s="1"/>
  <c r="W50" i="8"/>
  <c r="AC50" i="8" s="1"/>
  <c r="W49" i="8"/>
  <c r="AC49" i="8" s="1"/>
  <c r="W48" i="8"/>
  <c r="AC48" i="8" s="1"/>
  <c r="W47" i="8"/>
  <c r="AC47" i="8" s="1"/>
  <c r="W46" i="8"/>
  <c r="AC46" i="8" s="1"/>
  <c r="W45" i="8"/>
  <c r="AC45" i="8" s="1"/>
  <c r="W44" i="8"/>
  <c r="AC44" i="8" s="1"/>
  <c r="W43" i="8"/>
  <c r="AC43" i="8" s="1"/>
  <c r="W42" i="8"/>
  <c r="AC42" i="8" s="1"/>
  <c r="W41" i="8"/>
  <c r="AC41" i="8" s="1"/>
  <c r="W40" i="8"/>
  <c r="AC40" i="8" s="1"/>
  <c r="W39" i="8"/>
  <c r="AC39" i="8" s="1"/>
  <c r="W38" i="8"/>
  <c r="AC38" i="8" s="1"/>
  <c r="W37" i="8"/>
  <c r="AC37" i="8" s="1"/>
  <c r="W36" i="8"/>
  <c r="AC36" i="8" s="1"/>
  <c r="W35" i="8"/>
  <c r="AC35" i="8" s="1"/>
  <c r="W34" i="8"/>
  <c r="AC34" i="8" s="1"/>
  <c r="W32" i="8"/>
  <c r="AC32" i="8" s="1"/>
  <c r="W31" i="8"/>
  <c r="AC31" i="8" s="1"/>
  <c r="W30" i="8"/>
  <c r="AC30" i="8" s="1"/>
  <c r="W29" i="8"/>
  <c r="AC29" i="8" s="1"/>
  <c r="W28" i="8"/>
  <c r="AC28" i="8" s="1"/>
  <c r="W27" i="8"/>
  <c r="AC27" i="8" s="1"/>
  <c r="W26" i="8"/>
  <c r="AC26" i="8" s="1"/>
  <c r="W25" i="8"/>
  <c r="AC25" i="8" s="1"/>
  <c r="W24" i="8"/>
  <c r="AC24" i="8" s="1"/>
  <c r="W23" i="8"/>
  <c r="AC23" i="8" s="1"/>
  <c r="W22" i="8"/>
  <c r="AC22" i="8" s="1"/>
  <c r="W21" i="8"/>
  <c r="AC21" i="8" s="1"/>
  <c r="W20" i="8"/>
  <c r="AC20" i="8" s="1"/>
  <c r="W19" i="8"/>
  <c r="AC19" i="8" s="1"/>
  <c r="W18" i="8"/>
  <c r="AC18" i="8" s="1"/>
  <c r="W17" i="8"/>
  <c r="AC17" i="8" s="1"/>
  <c r="W16" i="8"/>
  <c r="AC16" i="8" s="1"/>
  <c r="W15" i="8"/>
  <c r="AC15" i="8" s="1"/>
  <c r="W14" i="8"/>
  <c r="AC14" i="8" s="1"/>
  <c r="W13" i="8"/>
  <c r="AC13" i="8" s="1"/>
  <c r="W12" i="8"/>
  <c r="AC12" i="8" s="1"/>
  <c r="W11" i="8"/>
  <c r="AC11" i="8" s="1"/>
  <c r="W10" i="8"/>
  <c r="AC10" i="8" s="1"/>
  <c r="W9" i="8"/>
  <c r="AC9" i="8" s="1"/>
  <c r="W8" i="8"/>
  <c r="AC8" i="8" s="1"/>
  <c r="W7" i="8"/>
  <c r="AC7" i="8" s="1"/>
  <c r="W6" i="8"/>
  <c r="AC6" i="8" s="1"/>
  <c r="W5" i="8"/>
  <c r="AC5" i="8" s="1"/>
  <c r="W4" i="8"/>
  <c r="AC4" i="8" s="1"/>
  <c r="W3" i="8"/>
  <c r="AC3" i="8" s="1"/>
  <c r="V2" i="8"/>
  <c r="U2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9" i="8"/>
  <c r="U82" i="8"/>
  <c r="U83" i="8"/>
  <c r="U84" i="8"/>
  <c r="U85" i="8"/>
  <c r="U86" i="8"/>
  <c r="U87" i="8"/>
  <c r="U88" i="8"/>
  <c r="U89" i="8"/>
  <c r="U92" i="8"/>
  <c r="U93" i="8"/>
  <c r="U94" i="8"/>
  <c r="U96" i="8"/>
  <c r="U97" i="8"/>
  <c r="AA6" i="8" l="1"/>
  <c r="AA39" i="8"/>
  <c r="AA43" i="8"/>
  <c r="AD43" i="8" s="1"/>
  <c r="AE43" i="8" s="1"/>
  <c r="AA47" i="8"/>
  <c r="AA51" i="8"/>
  <c r="AA55" i="8"/>
  <c r="AA59" i="8"/>
  <c r="AD59" i="8" s="1"/>
  <c r="AE59" i="8" s="1"/>
  <c r="AA67" i="8"/>
  <c r="AA71" i="8"/>
  <c r="AA75" i="8"/>
  <c r="AA79" i="8"/>
  <c r="AD79" i="8" s="1"/>
  <c r="AE79" i="8" s="1"/>
  <c r="AA83" i="8"/>
  <c r="AA87" i="8"/>
  <c r="AA38" i="8"/>
  <c r="AA42" i="8"/>
  <c r="AA46" i="8"/>
  <c r="AD46" i="8" s="1"/>
  <c r="AE46" i="8" s="1"/>
  <c r="AA50" i="8"/>
  <c r="AD50" i="8" s="1"/>
  <c r="AE50" i="8" s="1"/>
  <c r="AA54" i="8"/>
  <c r="AA58" i="8"/>
  <c r="AA66" i="8"/>
  <c r="AA70" i="8"/>
  <c r="AD70" i="8" s="1"/>
  <c r="AE70" i="8" s="1"/>
  <c r="AA74" i="8"/>
  <c r="AA82" i="8"/>
  <c r="AA86" i="8"/>
  <c r="AD86" i="8" s="1"/>
  <c r="AE86" i="8" s="1"/>
  <c r="AA94" i="8"/>
  <c r="AA3" i="8"/>
  <c r="AA7" i="8"/>
  <c r="AA11" i="8"/>
  <c r="AD11" i="8" s="1"/>
  <c r="AE11" i="8" s="1"/>
  <c r="AA15" i="8"/>
  <c r="AD15" i="8" s="1"/>
  <c r="AE15" i="8" s="1"/>
  <c r="AA19" i="8"/>
  <c r="AA23" i="8"/>
  <c r="AA27" i="8"/>
  <c r="AD27" i="8" s="1"/>
  <c r="AE27" i="8" s="1"/>
  <c r="AA31" i="8"/>
  <c r="AD31" i="8" s="1"/>
  <c r="AE31" i="8" s="1"/>
  <c r="AA35" i="8"/>
  <c r="AA40" i="8"/>
  <c r="AA44" i="8"/>
  <c r="AD44" i="8" s="1"/>
  <c r="AE44" i="8" s="1"/>
  <c r="AA48" i="8"/>
  <c r="AD48" i="8" s="1"/>
  <c r="AE48" i="8" s="1"/>
  <c r="AA52" i="8"/>
  <c r="AA56" i="8"/>
  <c r="AA60" i="8"/>
  <c r="AD60" i="8" s="1"/>
  <c r="AE60" i="8" s="1"/>
  <c r="AA64" i="8"/>
  <c r="AD64" i="8" s="1"/>
  <c r="AE64" i="8" s="1"/>
  <c r="AA68" i="8"/>
  <c r="AA72" i="8"/>
  <c r="AA76" i="8"/>
  <c r="AA84" i="8"/>
  <c r="AA88" i="8"/>
  <c r="AA92" i="8"/>
  <c r="AA96" i="8"/>
  <c r="AD96" i="8" s="1"/>
  <c r="AE96" i="8" s="1"/>
  <c r="AA10" i="8"/>
  <c r="AA14" i="8"/>
  <c r="AA18" i="8"/>
  <c r="AA22" i="8"/>
  <c r="AD22" i="8" s="1"/>
  <c r="AE22" i="8" s="1"/>
  <c r="AA26" i="8"/>
  <c r="AA30" i="8"/>
  <c r="AA34" i="8"/>
  <c r="AD34" i="8" s="1"/>
  <c r="AE34" i="8" s="1"/>
  <c r="AA4" i="8"/>
  <c r="AD4" i="8" s="1"/>
  <c r="AE4" i="8" s="1"/>
  <c r="AA8" i="8"/>
  <c r="AA12" i="8"/>
  <c r="AA16" i="8"/>
  <c r="AD16" i="8" s="1"/>
  <c r="AE16" i="8" s="1"/>
  <c r="AA20" i="8"/>
  <c r="AD20" i="8" s="1"/>
  <c r="AE20" i="8" s="1"/>
  <c r="AA24" i="8"/>
  <c r="AA28" i="8"/>
  <c r="AA32" i="8"/>
  <c r="AA36" i="8"/>
  <c r="AD36" i="8" s="1"/>
  <c r="AE36" i="8" s="1"/>
  <c r="AA41" i="8"/>
  <c r="AA45" i="8"/>
  <c r="AA49" i="8"/>
  <c r="AD49" i="8" s="1"/>
  <c r="AE49" i="8" s="1"/>
  <c r="AA53" i="8"/>
  <c r="AD53" i="8" s="1"/>
  <c r="AE53" i="8" s="1"/>
  <c r="AA57" i="8"/>
  <c r="AA61" i="8"/>
  <c r="AA65" i="8"/>
  <c r="AA69" i="8"/>
  <c r="AD69" i="8" s="1"/>
  <c r="AE69" i="8" s="1"/>
  <c r="AA73" i="8"/>
  <c r="AA77" i="8"/>
  <c r="AA85" i="8"/>
  <c r="AD85" i="8" s="1"/>
  <c r="AE85" i="8" s="1"/>
  <c r="AA89" i="8"/>
  <c r="AA93" i="8"/>
  <c r="AA97" i="8"/>
  <c r="AD97" i="8" s="1"/>
  <c r="AE97" i="8" s="1"/>
  <c r="AA37" i="8"/>
  <c r="AD37" i="8" s="1"/>
  <c r="AE37" i="8" s="1"/>
  <c r="AA5" i="8"/>
  <c r="AA9" i="8"/>
  <c r="AA13" i="8"/>
  <c r="AA17" i="8"/>
  <c r="AD17" i="8" s="1"/>
  <c r="AE17" i="8" s="1"/>
  <c r="AA21" i="8"/>
  <c r="AA25" i="8"/>
  <c r="AA29" i="8"/>
  <c r="AD58" i="8"/>
  <c r="AE58" i="8" s="1"/>
  <c r="AD66" i="8"/>
  <c r="AE66" i="8" s="1"/>
  <c r="AD12" i="8"/>
  <c r="AE12" i="8" s="1"/>
  <c r="AD88" i="8"/>
  <c r="AE88" i="8" s="1"/>
  <c r="AD32" i="8"/>
  <c r="AE32" i="8" s="1"/>
  <c r="AD51" i="8"/>
  <c r="AE51" i="8" s="1"/>
  <c r="AD61" i="8"/>
  <c r="AE61" i="8" s="1"/>
  <c r="AD65" i="8"/>
  <c r="AE65" i="8" s="1"/>
  <c r="AD57" i="8"/>
  <c r="AE57" i="8" s="1"/>
  <c r="AD76" i="8"/>
  <c r="AE76" i="8" s="1"/>
  <c r="AD8" i="8"/>
  <c r="AE8" i="8" s="1"/>
  <c r="AD24" i="8"/>
  <c r="AE24" i="8" s="1"/>
  <c r="AD29" i="8"/>
  <c r="AE29" i="8" s="1"/>
  <c r="AD52" i="8"/>
  <c r="AE52" i="8" s="1"/>
  <c r="AD56" i="8"/>
  <c r="AE56" i="8" s="1"/>
  <c r="AD84" i="8"/>
  <c r="AE84" i="8" s="1"/>
  <c r="AD92" i="8"/>
  <c r="AE92" i="8" s="1"/>
  <c r="AD5" i="8"/>
  <c r="AE5" i="8" s="1"/>
  <c r="AD9" i="8"/>
  <c r="AE9" i="8" s="1"/>
  <c r="AD13" i="8"/>
  <c r="AE13" i="8" s="1"/>
  <c r="AD21" i="8"/>
  <c r="AE21" i="8" s="1"/>
  <c r="AD25" i="8"/>
  <c r="AE25" i="8" s="1"/>
  <c r="AD72" i="8"/>
  <c r="AE72" i="8" s="1"/>
  <c r="AD89" i="8"/>
  <c r="AE89" i="8" s="1"/>
  <c r="AD93" i="8"/>
  <c r="AE93" i="8" s="1"/>
  <c r="AD28" i="8"/>
  <c r="AE28" i="8" s="1"/>
  <c r="AA2" i="8"/>
  <c r="AD2" i="8" s="1"/>
  <c r="AE2" i="8" s="1"/>
  <c r="AD40" i="8"/>
  <c r="AE40" i="8" s="1"/>
  <c r="AD68" i="8"/>
  <c r="AE68" i="8" s="1"/>
  <c r="AD73" i="8"/>
  <c r="AE73" i="8" s="1"/>
  <c r="AD77" i="8"/>
  <c r="AE77" i="8" s="1"/>
  <c r="AD38" i="8"/>
  <c r="AE38" i="8" s="1"/>
  <c r="AD42" i="8"/>
  <c r="AE42" i="8" s="1"/>
  <c r="AD54" i="8"/>
  <c r="AE54" i="8" s="1"/>
  <c r="AD6" i="8"/>
  <c r="AE6" i="8" s="1"/>
  <c r="AD10" i="8"/>
  <c r="AE10" i="8" s="1"/>
  <c r="AD14" i="8"/>
  <c r="AE14" i="8" s="1"/>
  <c r="AD18" i="8"/>
  <c r="AE18" i="8" s="1"/>
  <c r="AD26" i="8"/>
  <c r="AE26" i="8" s="1"/>
  <c r="AD30" i="8"/>
  <c r="AE30" i="8" s="1"/>
  <c r="AD74" i="8"/>
  <c r="AE74" i="8" s="1"/>
  <c r="AD82" i="8"/>
  <c r="AE82" i="8" s="1"/>
  <c r="AD94" i="8"/>
  <c r="AE94" i="8" s="1"/>
  <c r="AD55" i="8"/>
  <c r="AE55" i="8" s="1"/>
  <c r="AD71" i="8"/>
  <c r="AE71" i="8" s="1"/>
  <c r="AD87" i="8"/>
  <c r="AE87" i="8" s="1"/>
  <c r="AD47" i="8"/>
  <c r="AE47" i="8" s="1"/>
  <c r="AD67" i="8"/>
  <c r="AE67" i="8" s="1"/>
  <c r="AD3" i="8"/>
  <c r="AE3" i="8" s="1"/>
  <c r="AD7" i="8"/>
  <c r="AE7" i="8" s="1"/>
  <c r="AD19" i="8"/>
  <c r="AE19" i="8" s="1"/>
  <c r="AD23" i="8"/>
  <c r="AE23" i="8" s="1"/>
  <c r="AD35" i="8"/>
  <c r="AE35" i="8" s="1"/>
  <c r="AD39" i="8"/>
  <c r="AE39" i="8" s="1"/>
  <c r="AD75" i="8"/>
  <c r="AE75" i="8" s="1"/>
  <c r="AD83" i="8"/>
  <c r="AE83" i="8" s="1"/>
  <c r="AD41" i="8"/>
  <c r="AE41" i="8" s="1"/>
  <c r="AD45" i="8"/>
  <c r="AE45" i="8" s="1"/>
  <c r="K51" i="2"/>
  <c r="U5" i="7" l="1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4" i="7"/>
  <c r="U2" i="7"/>
  <c r="U3" i="7"/>
  <c r="O44" i="3"/>
  <c r="O43" i="3"/>
  <c r="O42" i="3"/>
  <c r="O41" i="3"/>
  <c r="O40" i="3"/>
  <c r="O39" i="3"/>
  <c r="O38" i="3"/>
  <c r="O37" i="3"/>
  <c r="N44" i="3"/>
  <c r="N43" i="3"/>
  <c r="N42" i="3"/>
  <c r="N41" i="3"/>
  <c r="N40" i="3"/>
  <c r="N39" i="3"/>
  <c r="N38" i="3"/>
  <c r="N37" i="3"/>
  <c r="M44" i="3"/>
  <c r="M43" i="3"/>
  <c r="M42" i="3"/>
  <c r="M41" i="3"/>
  <c r="M40" i="3"/>
  <c r="M39" i="3"/>
  <c r="M38" i="3"/>
  <c r="M37" i="3"/>
  <c r="K44" i="3"/>
  <c r="K43" i="3"/>
  <c r="K42" i="3"/>
  <c r="K41" i="3"/>
  <c r="K40" i="3"/>
  <c r="K39" i="3"/>
  <c r="K38" i="3"/>
  <c r="K37" i="3"/>
  <c r="J44" i="3"/>
  <c r="J43" i="3"/>
  <c r="J42" i="3"/>
  <c r="J41" i="3"/>
  <c r="J40" i="3"/>
  <c r="J39" i="3"/>
  <c r="J38" i="3"/>
  <c r="J37" i="3"/>
  <c r="G44" i="3"/>
  <c r="G43" i="3"/>
  <c r="G42" i="3"/>
  <c r="G41" i="3"/>
  <c r="G40" i="3"/>
  <c r="G39" i="3"/>
  <c r="G38" i="3"/>
  <c r="G37" i="3"/>
  <c r="F44" i="3"/>
  <c r="F43" i="3"/>
  <c r="F42" i="3"/>
  <c r="F41" i="3"/>
  <c r="F40" i="3"/>
  <c r="F39" i="3"/>
  <c r="F38" i="3"/>
  <c r="F37" i="3"/>
  <c r="D44" i="3"/>
  <c r="D43" i="3"/>
  <c r="D42" i="3"/>
  <c r="D41" i="3"/>
  <c r="D40" i="3"/>
  <c r="D39" i="3"/>
  <c r="D38" i="3"/>
  <c r="D37" i="3"/>
  <c r="K42" i="2" l="1"/>
  <c r="K41" i="2"/>
  <c r="K50" i="2"/>
  <c r="K49" i="2"/>
  <c r="K48" i="2"/>
  <c r="K44" i="2"/>
  <c r="K45" i="2"/>
  <c r="K43" i="2"/>
  <c r="K46" i="2"/>
  <c r="B48" i="2"/>
  <c r="M84" i="6" l="1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C3" i="6" l="1"/>
  <c r="B84" i="6" l="1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K84" i="6"/>
  <c r="L84" i="6" s="1"/>
  <c r="C84" i="6"/>
  <c r="K83" i="6"/>
  <c r="E83" i="6" s="1"/>
  <c r="C83" i="6"/>
  <c r="K82" i="6"/>
  <c r="L82" i="6" s="1"/>
  <c r="C82" i="6"/>
  <c r="K81" i="6"/>
  <c r="E81" i="6" s="1"/>
  <c r="C81" i="6"/>
  <c r="K80" i="6"/>
  <c r="L80" i="6" s="1"/>
  <c r="C80" i="6"/>
  <c r="K79" i="6"/>
  <c r="E79" i="6" s="1"/>
  <c r="C79" i="6"/>
  <c r="L78" i="6"/>
  <c r="K78" i="6"/>
  <c r="D78" i="6" s="1"/>
  <c r="E78" i="6"/>
  <c r="C78" i="6"/>
  <c r="K77" i="6"/>
  <c r="E77" i="6" s="1"/>
  <c r="C77" i="6"/>
  <c r="K76" i="6"/>
  <c r="E76" i="6" s="1"/>
  <c r="C76" i="6"/>
  <c r="K75" i="6"/>
  <c r="E75" i="6" s="1"/>
  <c r="C75" i="6"/>
  <c r="K74" i="6"/>
  <c r="E74" i="6" s="1"/>
  <c r="C74" i="6"/>
  <c r="K73" i="6"/>
  <c r="E73" i="6" s="1"/>
  <c r="C73" i="6"/>
  <c r="K72" i="6"/>
  <c r="E72" i="6" s="1"/>
  <c r="C72" i="6"/>
  <c r="K71" i="6"/>
  <c r="E71" i="6" s="1"/>
  <c r="C71" i="6"/>
  <c r="L70" i="6"/>
  <c r="K70" i="6"/>
  <c r="D70" i="6" s="1"/>
  <c r="E70" i="6"/>
  <c r="C70" i="6"/>
  <c r="K69" i="6"/>
  <c r="E69" i="6" s="1"/>
  <c r="C69" i="6"/>
  <c r="K68" i="6"/>
  <c r="E68" i="6" s="1"/>
  <c r="C68" i="6"/>
  <c r="K67" i="6"/>
  <c r="E67" i="6" s="1"/>
  <c r="C67" i="6"/>
  <c r="K66" i="6"/>
  <c r="E66" i="6" s="1"/>
  <c r="C66" i="6"/>
  <c r="L68" i="6" l="1"/>
  <c r="L74" i="6"/>
  <c r="D76" i="6"/>
  <c r="D82" i="6"/>
  <c r="L66" i="6"/>
  <c r="D68" i="6"/>
  <c r="L76" i="6"/>
  <c r="E82" i="6"/>
  <c r="D66" i="6"/>
  <c r="L72" i="6"/>
  <c r="D74" i="6"/>
  <c r="D72" i="6"/>
  <c r="D80" i="6"/>
  <c r="E84" i="6"/>
  <c r="E80" i="6"/>
  <c r="D84" i="6"/>
  <c r="L67" i="6"/>
  <c r="L69" i="6"/>
  <c r="L71" i="6"/>
  <c r="L73" i="6"/>
  <c r="L75" i="6"/>
  <c r="L77" i="6"/>
  <c r="L79" i="6"/>
  <c r="L81" i="6"/>
  <c r="L83" i="6"/>
  <c r="D67" i="6"/>
  <c r="D69" i="6"/>
  <c r="D71" i="6"/>
  <c r="D73" i="6"/>
  <c r="D75" i="6"/>
  <c r="D77" i="6"/>
  <c r="D79" i="6"/>
  <c r="D81" i="6"/>
  <c r="D83" i="6"/>
  <c r="I13" i="3"/>
  <c r="I14" i="3"/>
  <c r="I15" i="3"/>
  <c r="I16" i="3"/>
  <c r="I17" i="3"/>
  <c r="Y12" i="3" s="1"/>
  <c r="I18" i="3"/>
  <c r="I19" i="3"/>
  <c r="Y19" i="3" s="1"/>
  <c r="I20" i="3"/>
  <c r="I21" i="3"/>
  <c r="I22" i="3"/>
  <c r="I23" i="3"/>
  <c r="Y20" i="3" s="1"/>
  <c r="I24" i="3"/>
  <c r="I25" i="3"/>
  <c r="I26" i="3"/>
  <c r="I27" i="3"/>
  <c r="Y27" i="3" s="1"/>
  <c r="I28" i="3"/>
  <c r="I29" i="3"/>
  <c r="I30" i="3"/>
  <c r="I31" i="3"/>
  <c r="Y28" i="3" s="1"/>
  <c r="I32" i="3"/>
  <c r="I33" i="3"/>
  <c r="I34" i="3"/>
  <c r="I42" i="3" l="1"/>
  <c r="Y23" i="3"/>
  <c r="I41" i="3"/>
  <c r="Y24" i="3"/>
  <c r="I40" i="3"/>
  <c r="Y15" i="3"/>
  <c r="I44" i="3"/>
  <c r="Y31" i="3"/>
  <c r="I43" i="3"/>
  <c r="Y32" i="3"/>
  <c r="I10" i="3"/>
  <c r="I9" i="3"/>
  <c r="Y7" i="3" s="1"/>
  <c r="I8" i="3"/>
  <c r="Y4" i="3" s="1"/>
  <c r="I7" i="3"/>
  <c r="I6" i="3"/>
  <c r="I5" i="3"/>
  <c r="Y3" i="3" s="1"/>
  <c r="I4" i="3"/>
  <c r="I3" i="3"/>
  <c r="I12" i="3"/>
  <c r="I11" i="3"/>
  <c r="Y11" i="3" s="1"/>
  <c r="I38" i="3" l="1"/>
  <c r="I37" i="3"/>
  <c r="Y8" i="3"/>
  <c r="I39" i="3"/>
  <c r="Y16" i="3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K63" i="6"/>
  <c r="L63" i="6" s="1"/>
  <c r="C63" i="6"/>
  <c r="K62" i="6"/>
  <c r="D62" i="6" s="1"/>
  <c r="C62" i="6"/>
  <c r="K61" i="6"/>
  <c r="E61" i="6" s="1"/>
  <c r="C61" i="6"/>
  <c r="K60" i="6"/>
  <c r="D60" i="6" s="1"/>
  <c r="E60" i="6"/>
  <c r="C60" i="6"/>
  <c r="K59" i="6"/>
  <c r="L59" i="6" s="1"/>
  <c r="C59" i="6"/>
  <c r="K58" i="6"/>
  <c r="E58" i="6" s="1"/>
  <c r="C58" i="6"/>
  <c r="K57" i="6"/>
  <c r="E57" i="6" s="1"/>
  <c r="C57" i="6"/>
  <c r="L56" i="6"/>
  <c r="K56" i="6"/>
  <c r="D56" i="6" s="1"/>
  <c r="E56" i="6"/>
  <c r="C56" i="6"/>
  <c r="K55" i="6"/>
  <c r="L55" i="6" s="1"/>
  <c r="C55" i="6"/>
  <c r="K54" i="6"/>
  <c r="L54" i="6" s="1"/>
  <c r="D54" i="6"/>
  <c r="C54" i="6"/>
  <c r="K53" i="6"/>
  <c r="E53" i="6" s="1"/>
  <c r="C53" i="6"/>
  <c r="K52" i="6"/>
  <c r="D52" i="6" s="1"/>
  <c r="C52" i="6"/>
  <c r="K51" i="6"/>
  <c r="L51" i="6" s="1"/>
  <c r="C51" i="6"/>
  <c r="K50" i="6"/>
  <c r="E50" i="6" s="1"/>
  <c r="C50" i="6"/>
  <c r="K49" i="6"/>
  <c r="E49" i="6" s="1"/>
  <c r="C49" i="6"/>
  <c r="K48" i="6"/>
  <c r="D48" i="6" s="1"/>
  <c r="E48" i="6"/>
  <c r="C48" i="6"/>
  <c r="K47" i="6"/>
  <c r="L47" i="6" s="1"/>
  <c r="C47" i="6"/>
  <c r="K46" i="6"/>
  <c r="L46" i="6" s="1"/>
  <c r="D46" i="6"/>
  <c r="C46" i="6"/>
  <c r="K45" i="6"/>
  <c r="E45" i="6" s="1"/>
  <c r="C45" i="6"/>
  <c r="L52" i="6" l="1"/>
  <c r="L60" i="6"/>
  <c r="L48" i="6"/>
  <c r="E52" i="6"/>
  <c r="E46" i="6"/>
  <c r="D47" i="6"/>
  <c r="L50" i="6"/>
  <c r="E54" i="6"/>
  <c r="D55" i="6"/>
  <c r="L58" i="6"/>
  <c r="E62" i="6"/>
  <c r="D63" i="6"/>
  <c r="D50" i="6"/>
  <c r="D58" i="6"/>
  <c r="D51" i="6"/>
  <c r="D59" i="6"/>
  <c r="L62" i="6"/>
  <c r="L45" i="6"/>
  <c r="E47" i="6"/>
  <c r="L49" i="6"/>
  <c r="E51" i="6"/>
  <c r="L53" i="6"/>
  <c r="E55" i="6"/>
  <c r="L57" i="6"/>
  <c r="E59" i="6"/>
  <c r="L61" i="6"/>
  <c r="E63" i="6"/>
  <c r="D45" i="6"/>
  <c r="D53" i="6"/>
  <c r="D61" i="6"/>
  <c r="D49" i="6"/>
  <c r="D57" i="6"/>
  <c r="K42" i="6"/>
  <c r="L42" i="6" s="1"/>
  <c r="D42" i="6"/>
  <c r="C42" i="6"/>
  <c r="K41" i="6"/>
  <c r="E41" i="6" s="1"/>
  <c r="C41" i="6"/>
  <c r="L40" i="6"/>
  <c r="K40" i="6"/>
  <c r="E40" i="6"/>
  <c r="D40" i="6"/>
  <c r="C40" i="6"/>
  <c r="K39" i="6"/>
  <c r="E39" i="6" s="1"/>
  <c r="C39" i="6"/>
  <c r="K38" i="6"/>
  <c r="L38" i="6" s="1"/>
  <c r="D38" i="6"/>
  <c r="C38" i="6"/>
  <c r="K37" i="6"/>
  <c r="D37" i="6" s="1"/>
  <c r="C37" i="6"/>
  <c r="K36" i="6"/>
  <c r="L36" i="6" s="1"/>
  <c r="C36" i="6"/>
  <c r="K35" i="6"/>
  <c r="D35" i="6" s="1"/>
  <c r="C35" i="6"/>
  <c r="K34" i="6"/>
  <c r="L34" i="6" s="1"/>
  <c r="D34" i="6"/>
  <c r="C34" i="6"/>
  <c r="K33" i="6"/>
  <c r="D33" i="6" s="1"/>
  <c r="C33" i="6"/>
  <c r="K32" i="6"/>
  <c r="L32" i="6" s="1"/>
  <c r="C32" i="6"/>
  <c r="K31" i="6"/>
  <c r="D31" i="6" s="1"/>
  <c r="C31" i="6"/>
  <c r="K30" i="6"/>
  <c r="L30" i="6" s="1"/>
  <c r="D30" i="6"/>
  <c r="C30" i="6"/>
  <c r="K29" i="6"/>
  <c r="D29" i="6" s="1"/>
  <c r="C29" i="6"/>
  <c r="K28" i="6"/>
  <c r="L28" i="6" s="1"/>
  <c r="C28" i="6"/>
  <c r="K27" i="6"/>
  <c r="D27" i="6" s="1"/>
  <c r="C27" i="6"/>
  <c r="K26" i="6"/>
  <c r="L26" i="6" s="1"/>
  <c r="D26" i="6"/>
  <c r="C26" i="6"/>
  <c r="K25" i="6"/>
  <c r="D25" i="6" s="1"/>
  <c r="C25" i="6"/>
  <c r="K24" i="6"/>
  <c r="L24" i="6" s="1"/>
  <c r="C24" i="6"/>
  <c r="D28" i="6" l="1"/>
  <c r="D36" i="6"/>
  <c r="D24" i="6"/>
  <c r="D32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L29" i="6"/>
  <c r="L33" i="6"/>
  <c r="L37" i="6"/>
  <c r="L39" i="6"/>
  <c r="L41" i="6"/>
  <c r="E42" i="6"/>
  <c r="L25" i="6"/>
  <c r="L27" i="6"/>
  <c r="L31" i="6"/>
  <c r="L35" i="6"/>
  <c r="D39" i="6"/>
  <c r="D41" i="6"/>
  <c r="H58" i="2" l="1"/>
  <c r="F58" i="2"/>
  <c r="H57" i="2"/>
  <c r="F57" i="2"/>
  <c r="F56" i="2"/>
  <c r="F55" i="2"/>
  <c r="F54" i="2"/>
  <c r="F53" i="2"/>
  <c r="F52" i="2"/>
  <c r="F51" i="2"/>
  <c r="U9" i="3"/>
  <c r="U10" i="3"/>
  <c r="W7" i="3" s="1"/>
  <c r="B53" i="2" s="1"/>
  <c r="U11" i="3"/>
  <c r="U12" i="3"/>
  <c r="W11" i="3" s="1"/>
  <c r="B51" i="2" s="1"/>
  <c r="U13" i="3"/>
  <c r="W16" i="3" s="1"/>
  <c r="D54" i="2" s="1"/>
  <c r="U14" i="3"/>
  <c r="U15" i="3"/>
  <c r="U16" i="3"/>
  <c r="W15" i="3" s="1"/>
  <c r="B54" i="2" s="1"/>
  <c r="U17" i="3"/>
  <c r="U18" i="3"/>
  <c r="U19" i="3"/>
  <c r="U20" i="3"/>
  <c r="U21" i="3"/>
  <c r="U22" i="3"/>
  <c r="W19" i="3" s="1"/>
  <c r="B56" i="2" s="1"/>
  <c r="U23" i="3"/>
  <c r="U24" i="3"/>
  <c r="U25" i="3"/>
  <c r="U26" i="3"/>
  <c r="W20" i="3" s="1"/>
  <c r="D56" i="2" s="1"/>
  <c r="U27" i="3"/>
  <c r="U28" i="3"/>
  <c r="U29" i="3"/>
  <c r="W27" i="3" s="1"/>
  <c r="B55" i="2" s="1"/>
  <c r="U30" i="3"/>
  <c r="U31" i="3"/>
  <c r="W28" i="3" s="1"/>
  <c r="D55" i="2" s="1"/>
  <c r="U32" i="3"/>
  <c r="U33" i="3"/>
  <c r="W31" i="3" s="1"/>
  <c r="B58" i="2" s="1"/>
  <c r="U34" i="3"/>
  <c r="U5" i="3"/>
  <c r="W3" i="3" s="1"/>
  <c r="U6" i="3"/>
  <c r="U7" i="3"/>
  <c r="U8" i="3"/>
  <c r="U4" i="3"/>
  <c r="B52" i="2" s="1"/>
  <c r="U3" i="3"/>
  <c r="W23" i="3" l="1"/>
  <c r="B57" i="2" s="1"/>
  <c r="W24" i="3"/>
  <c r="D57" i="2" s="1"/>
  <c r="W4" i="3"/>
  <c r="D52" i="2" s="1"/>
  <c r="W12" i="3"/>
  <c r="D51" i="2" s="1"/>
  <c r="W8" i="3"/>
  <c r="D53" i="2" s="1"/>
  <c r="W32" i="3"/>
  <c r="D58" i="2" s="1"/>
  <c r="S17" i="2"/>
  <c r="AR1" i="2"/>
  <c r="AU51" i="2" l="1"/>
  <c r="AR51" i="2"/>
  <c r="AU31" i="2"/>
  <c r="AU47" i="2"/>
  <c r="AR47" i="2"/>
  <c r="AU45" i="2"/>
  <c r="AU43" i="2"/>
  <c r="AR50" i="2"/>
  <c r="AR43" i="2"/>
  <c r="AU48" i="2"/>
  <c r="AR48" i="2"/>
  <c r="AR46" i="2"/>
  <c r="AR44" i="2"/>
  <c r="AU49" i="2"/>
  <c r="AR49" i="2"/>
  <c r="AU46" i="2"/>
  <c r="AU44" i="2"/>
  <c r="AU50" i="2"/>
  <c r="AR45" i="2"/>
  <c r="AU42" i="2"/>
  <c r="AR40" i="2"/>
  <c r="AU39" i="2"/>
  <c r="AR42" i="2"/>
  <c r="AU40" i="2"/>
  <c r="AU41" i="2"/>
  <c r="AR39" i="2"/>
  <c r="AR41" i="2"/>
  <c r="AR37" i="2"/>
  <c r="AR35" i="2"/>
  <c r="AU37" i="2"/>
  <c r="AU35" i="2"/>
  <c r="AU36" i="2"/>
  <c r="AR36" i="2"/>
  <c r="AU38" i="2"/>
  <c r="AR38" i="2"/>
  <c r="AR34" i="2"/>
  <c r="AU34" i="2"/>
  <c r="AR33" i="2"/>
  <c r="AU33" i="2"/>
  <c r="AR5" i="2"/>
  <c r="AR13" i="2"/>
  <c r="AR21" i="2"/>
  <c r="AR29" i="2"/>
  <c r="AU8" i="2"/>
  <c r="AU16" i="2"/>
  <c r="AU24" i="2"/>
  <c r="AU32" i="2"/>
  <c r="AR6" i="2"/>
  <c r="AR14" i="2"/>
  <c r="AR22" i="2"/>
  <c r="AR30" i="2"/>
  <c r="AU9" i="2"/>
  <c r="AU25" i="2"/>
  <c r="AR9" i="2"/>
  <c r="AR17" i="2"/>
  <c r="AR25" i="2"/>
  <c r="AU4" i="2"/>
  <c r="AU12" i="2"/>
  <c r="AU20" i="2"/>
  <c r="AU28" i="2"/>
  <c r="AR3" i="2"/>
  <c r="AR10" i="2"/>
  <c r="AR18" i="2"/>
  <c r="AR26" i="2"/>
  <c r="AU5" i="2"/>
  <c r="AU13" i="2"/>
  <c r="AU21" i="2"/>
  <c r="AU29" i="2"/>
  <c r="AU3" i="2"/>
  <c r="AR7" i="2"/>
  <c r="AR11" i="2"/>
  <c r="AR15" i="2"/>
  <c r="AR19" i="2"/>
  <c r="AR23" i="2"/>
  <c r="AR27" i="2"/>
  <c r="AR31" i="2"/>
  <c r="AU6" i="2"/>
  <c r="AU10" i="2"/>
  <c r="AU14" i="2"/>
  <c r="AU18" i="2"/>
  <c r="AU22" i="2"/>
  <c r="AU26" i="2"/>
  <c r="AU30" i="2"/>
  <c r="AR4" i="2"/>
  <c r="AR8" i="2"/>
  <c r="AR12" i="2"/>
  <c r="AR16" i="2"/>
  <c r="AR20" i="2"/>
  <c r="AR24" i="2"/>
  <c r="AR28" i="2"/>
  <c r="AR32" i="2"/>
  <c r="AU7" i="2"/>
  <c r="AU11" i="2"/>
  <c r="AU15" i="2"/>
  <c r="AU19" i="2"/>
  <c r="AU23" i="2"/>
  <c r="AU27" i="2"/>
  <c r="L16" i="6"/>
  <c r="L4" i="6"/>
  <c r="D8" i="6"/>
  <c r="K4" i="6"/>
  <c r="E4" i="6" s="1"/>
  <c r="K5" i="6"/>
  <c r="D5" i="6" s="1"/>
  <c r="K6" i="6"/>
  <c r="D6" i="6" s="1"/>
  <c r="K7" i="6"/>
  <c r="L7" i="6" s="1"/>
  <c r="K8" i="6"/>
  <c r="E8" i="6" s="1"/>
  <c r="K9" i="6"/>
  <c r="D9" i="6" s="1"/>
  <c r="K10" i="6"/>
  <c r="D10" i="6" s="1"/>
  <c r="K11" i="6"/>
  <c r="L11" i="6" s="1"/>
  <c r="K12" i="6"/>
  <c r="E12" i="6" s="1"/>
  <c r="K13" i="6"/>
  <c r="D13" i="6" s="1"/>
  <c r="K14" i="6"/>
  <c r="D14" i="6" s="1"/>
  <c r="K15" i="6"/>
  <c r="L15" i="6" s="1"/>
  <c r="K16" i="6"/>
  <c r="E16" i="6" s="1"/>
  <c r="K17" i="6"/>
  <c r="D17" i="6" s="1"/>
  <c r="K18" i="6"/>
  <c r="D18" i="6" s="1"/>
  <c r="K19" i="6"/>
  <c r="L19" i="6" s="1"/>
  <c r="K20" i="6"/>
  <c r="E20" i="6" s="1"/>
  <c r="K21" i="6"/>
  <c r="D21" i="6" s="1"/>
  <c r="K3" i="6"/>
  <c r="L3" i="6" s="1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E31" i="1"/>
  <c r="D12" i="6" l="1"/>
  <c r="L5" i="6"/>
  <c r="L20" i="6"/>
  <c r="E17" i="6"/>
  <c r="D3" i="6"/>
  <c r="D16" i="6"/>
  <c r="L8" i="6"/>
  <c r="E5" i="6"/>
  <c r="E21" i="6"/>
  <c r="E13" i="6"/>
  <c r="Y63" i="8"/>
  <c r="Y91" i="8"/>
  <c r="Y95" i="8"/>
  <c r="V90" i="8"/>
  <c r="AA90" i="8" s="1"/>
  <c r="V78" i="8"/>
  <c r="AA78" i="8" s="1"/>
  <c r="V62" i="8"/>
  <c r="AA62" i="8" s="1"/>
  <c r="X63" i="8"/>
  <c r="X91" i="8"/>
  <c r="X95" i="8"/>
  <c r="W81" i="8"/>
  <c r="AC81" i="8" s="1"/>
  <c r="AD81" i="8" s="1"/>
  <c r="AE81" i="8" s="1"/>
  <c r="W33" i="8"/>
  <c r="AC33" i="8" s="1"/>
  <c r="U62" i="8"/>
  <c r="U78" i="8"/>
  <c r="U90" i="8"/>
  <c r="W63" i="8"/>
  <c r="AC63" i="8" s="1"/>
  <c r="AD63" i="8" s="1"/>
  <c r="AE63" i="8" s="1"/>
  <c r="U80" i="8"/>
  <c r="Y62" i="8"/>
  <c r="Y90" i="8"/>
  <c r="V91" i="8"/>
  <c r="AA91" i="8" s="1"/>
  <c r="V63" i="8"/>
  <c r="AA63" i="8" s="1"/>
  <c r="X62" i="8"/>
  <c r="X78" i="8"/>
  <c r="W78" i="8"/>
  <c r="AC78" i="8" s="1"/>
  <c r="AD78" i="8" s="1"/>
  <c r="AE78" i="8" s="1"/>
  <c r="U33" i="8"/>
  <c r="U81" i="8"/>
  <c r="Y80" i="8"/>
  <c r="V81" i="8"/>
  <c r="AA81" i="8" s="1"/>
  <c r="V33" i="8"/>
  <c r="AA33" i="8" s="1"/>
  <c r="X80" i="8"/>
  <c r="W80" i="8"/>
  <c r="AC80" i="8" s="1"/>
  <c r="U63" i="8"/>
  <c r="U91" i="8"/>
  <c r="U95" i="8"/>
  <c r="W91" i="8"/>
  <c r="AC91" i="8" s="1"/>
  <c r="Y78" i="8"/>
  <c r="V95" i="8"/>
  <c r="AA95" i="8" s="1"/>
  <c r="W90" i="8"/>
  <c r="AC90" i="8" s="1"/>
  <c r="AD90" i="8" s="1"/>
  <c r="AE90" i="8" s="1"/>
  <c r="Y33" i="8"/>
  <c r="Y81" i="8"/>
  <c r="V80" i="8"/>
  <c r="AA80" i="8" s="1"/>
  <c r="X33" i="8"/>
  <c r="X81" i="8"/>
  <c r="W95" i="8"/>
  <c r="AC95" i="8" s="1"/>
  <c r="AD95" i="8" s="1"/>
  <c r="AE95" i="8" s="1"/>
  <c r="X90" i="8"/>
  <c r="W62" i="8"/>
  <c r="AC62" i="8" s="1"/>
  <c r="D4" i="6"/>
  <c r="D20" i="6"/>
  <c r="L12" i="6"/>
  <c r="E9" i="6"/>
  <c r="L9" i="6"/>
  <c r="L13" i="6"/>
  <c r="L17" i="6"/>
  <c r="L21" i="6"/>
  <c r="E6" i="6"/>
  <c r="E10" i="6"/>
  <c r="E14" i="6"/>
  <c r="E18" i="6"/>
  <c r="L6" i="6"/>
  <c r="L10" i="6"/>
  <c r="L14" i="6"/>
  <c r="L18" i="6"/>
  <c r="E3" i="6"/>
  <c r="E7" i="6"/>
  <c r="E11" i="6"/>
  <c r="E15" i="6"/>
  <c r="E19" i="6"/>
  <c r="D7" i="6"/>
  <c r="D11" i="6"/>
  <c r="D15" i="6"/>
  <c r="D19" i="6"/>
  <c r="D17" i="2"/>
  <c r="AU17" i="2" s="1"/>
  <c r="AD62" i="8" l="1"/>
  <c r="AE62" i="8" s="1"/>
  <c r="AD80" i="8"/>
  <c r="AE80" i="8" s="1"/>
  <c r="AD91" i="8"/>
  <c r="AE91" i="8" s="1"/>
  <c r="AD33" i="8"/>
  <c r="AE33" i="8" s="1"/>
  <c r="Y3" i="1"/>
  <c r="Y2" i="1"/>
  <c r="X2" i="1"/>
  <c r="H27" i="1" l="1"/>
  <c r="H3" i="1"/>
  <c r="H12" i="1"/>
  <c r="H20" i="1"/>
  <c r="H9" i="1"/>
  <c r="H11" i="1"/>
  <c r="H28" i="1"/>
  <c r="H33" i="1"/>
  <c r="H15" i="1"/>
  <c r="H25" i="1"/>
  <c r="H24" i="1"/>
  <c r="H2" i="1"/>
  <c r="H8" i="1"/>
  <c r="H17" i="1"/>
  <c r="H23" i="1"/>
  <c r="H4" i="1"/>
  <c r="H19" i="1"/>
  <c r="H21" i="1"/>
  <c r="H13" i="1"/>
  <c r="H32" i="1"/>
  <c r="H30" i="1"/>
  <c r="H31" i="1"/>
  <c r="H16" i="1"/>
  <c r="H5" i="1"/>
  <c r="H6" i="1"/>
  <c r="H14" i="1"/>
  <c r="H29" i="1"/>
  <c r="H26" i="1"/>
  <c r="H22" i="1"/>
  <c r="H18" i="1"/>
  <c r="H10" i="1"/>
  <c r="H7" i="1"/>
  <c r="T30" i="8" l="1"/>
  <c r="T97" i="8"/>
  <c r="T44" i="8"/>
  <c r="M26" i="1"/>
  <c r="M32" i="1"/>
  <c r="T33" i="8"/>
  <c r="T95" i="8"/>
  <c r="T80" i="8"/>
  <c r="T34" i="8"/>
  <c r="T18" i="8"/>
  <c r="T6" i="8"/>
  <c r="M2" i="1"/>
  <c r="T26" i="8"/>
  <c r="T89" i="8"/>
  <c r="T71" i="8"/>
  <c r="M20" i="1"/>
  <c r="T93" i="8"/>
  <c r="T61" i="8"/>
  <c r="T47" i="8"/>
  <c r="M29" i="1"/>
  <c r="T54" i="8"/>
  <c r="T10" i="8"/>
  <c r="T39" i="8"/>
  <c r="M13" i="1"/>
  <c r="T74" i="8"/>
  <c r="T31" i="8"/>
  <c r="T96" i="8"/>
  <c r="M28" i="1"/>
  <c r="T28" i="8"/>
  <c r="T41" i="8"/>
  <c r="T88" i="8"/>
  <c r="M18" i="1"/>
  <c r="M31" i="1"/>
  <c r="T81" i="8"/>
  <c r="T62" i="8"/>
  <c r="T91" i="8"/>
  <c r="T42" i="8"/>
  <c r="T12" i="8"/>
  <c r="T55" i="8"/>
  <c r="M17" i="1"/>
  <c r="T66" i="8"/>
  <c r="T48" i="8"/>
  <c r="T3" i="8"/>
  <c r="M3" i="1"/>
  <c r="T51" i="8"/>
  <c r="T5" i="8"/>
  <c r="T67" i="8"/>
  <c r="M7" i="1"/>
  <c r="T2" i="8"/>
  <c r="T36" i="8"/>
  <c r="T49" i="8"/>
  <c r="M5" i="1"/>
  <c r="T19" i="8"/>
  <c r="T7" i="8"/>
  <c r="T64" i="8"/>
  <c r="M4" i="1"/>
  <c r="M33" i="1"/>
  <c r="T90" i="8"/>
  <c r="T78" i="8"/>
  <c r="T63" i="8"/>
  <c r="T38" i="8"/>
  <c r="T22" i="8"/>
  <c r="T14" i="8"/>
  <c r="M10" i="1"/>
  <c r="T70" i="8"/>
  <c r="T25" i="8"/>
  <c r="T17" i="8"/>
  <c r="M16" i="1"/>
  <c r="T76" i="8"/>
  <c r="T57" i="8"/>
  <c r="T83" i="8"/>
  <c r="M23" i="1"/>
  <c r="T87" i="8"/>
  <c r="T75" i="8"/>
  <c r="T29" i="8"/>
  <c r="M24" i="1"/>
  <c r="T68" i="8"/>
  <c r="T24" i="8"/>
  <c r="T15" i="8"/>
  <c r="M12" i="1"/>
  <c r="T40" i="8"/>
  <c r="T16" i="8"/>
  <c r="T23" i="8"/>
  <c r="M14" i="1"/>
  <c r="T84" i="8"/>
  <c r="T43" i="8"/>
  <c r="T56" i="8"/>
  <c r="M21" i="1"/>
  <c r="T82" i="8"/>
  <c r="T46" i="8"/>
  <c r="T59" i="8"/>
  <c r="M25" i="1"/>
  <c r="T52" i="8"/>
  <c r="T69" i="8"/>
  <c r="T11" i="8"/>
  <c r="M11" i="1"/>
  <c r="T86" i="8"/>
  <c r="T45" i="8"/>
  <c r="T27" i="8"/>
  <c r="M22" i="1"/>
  <c r="T21" i="8"/>
  <c r="T8" i="8"/>
  <c r="T35" i="8"/>
  <c r="M6" i="1"/>
  <c r="T94" i="8"/>
  <c r="T32" i="8"/>
  <c r="T79" i="8"/>
  <c r="M30" i="1"/>
  <c r="T58" i="8"/>
  <c r="T85" i="8"/>
  <c r="T73" i="8"/>
  <c r="M19" i="1"/>
  <c r="T20" i="8"/>
  <c r="T65" i="8"/>
  <c r="T9" i="8"/>
  <c r="M8" i="1"/>
  <c r="T53" i="8"/>
  <c r="T13" i="8"/>
  <c r="T72" i="8"/>
  <c r="M15" i="1"/>
  <c r="T50" i="8"/>
  <c r="T4" i="8"/>
  <c r="T37" i="8"/>
  <c r="M9" i="1"/>
  <c r="T92" i="8"/>
  <c r="T60" i="8"/>
  <c r="T77" i="8"/>
  <c r="M27" i="1"/>
  <c r="AB2" i="1"/>
  <c r="V2" i="1"/>
  <c r="S9" i="5" l="1"/>
  <c r="S8" i="5"/>
  <c r="W2" i="1" l="1"/>
  <c r="Z2" i="1" l="1"/>
  <c r="A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Antonio Filgueiras Guimarães</author>
  </authors>
  <commentList>
    <comment ref="H1" authorId="0" shapeId="0" xr:uid="{A6F25BB4-E7C7-4332-A0E1-F0E497D1A3F9}">
      <text>
        <r>
          <rPr>
            <b/>
            <sz val="9"/>
            <color indexed="81"/>
            <rFont val="Segoe UI"/>
            <charset val="1"/>
          </rPr>
          <t>Marco Antonio Filgueiras Guimarães:</t>
        </r>
        <r>
          <rPr>
            <sz val="9"/>
            <color indexed="81"/>
            <rFont val="Segoe UI"/>
            <charset val="1"/>
          </rPr>
          <t xml:space="preserve">
http://www.businessinsider.com/how-much-each-team-at-the-world-cup-is-worth-2018-6#1-spain-32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Antonio Filgueiras Guimarães</author>
  </authors>
  <commentList>
    <comment ref="H1" authorId="0" shapeId="0" xr:uid="{BA2DD321-8EB6-4DFB-95F8-5F071A6C4C81}">
      <text>
        <r>
          <rPr>
            <b/>
            <sz val="9"/>
            <color indexed="81"/>
            <rFont val="Segoe UI"/>
            <charset val="1"/>
          </rPr>
          <t>Marco Antonio Filgueiras Guimarães:</t>
        </r>
        <r>
          <rPr>
            <sz val="9"/>
            <color indexed="81"/>
            <rFont val="Segoe UI"/>
            <charset val="1"/>
          </rPr>
          <t xml:space="preserve">
http://www.businessinsider.com/how-much-each-team-at-the-world-cup-is-worth-2018-6#1-spain-32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Antonio Filgueiras Guimarães</author>
  </authors>
  <commentList>
    <comment ref="T1" authorId="0" shapeId="0" xr:uid="{04A25EA2-81A2-4D17-8E2A-13504359493D}">
      <text>
        <r>
          <rPr>
            <b/>
            <sz val="9"/>
            <color indexed="81"/>
            <rFont val="Segoe UI"/>
            <charset val="1"/>
          </rPr>
          <t>Marco Antonio Filgueiras Guimarães:</t>
        </r>
        <r>
          <rPr>
            <sz val="9"/>
            <color indexed="81"/>
            <rFont val="Segoe UI"/>
            <charset val="1"/>
          </rPr>
          <t xml:space="preserve">
http://www.businessinsider.com/how-much-each-team-at-the-world-cup-is-worth-2018-6#1-spain-32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4FDFE8-B9D8-44E1-B685-D989BA950B23}" keepAlive="1" name="Consulta - jogos_performance-20180701" description="Conexão com a consulta 'jogos_performance-20180701' na pasta de trabalho." type="5" refreshedVersion="6" background="1">
    <dbPr connection="Provider=Microsoft.Mashup.OleDb.1;Data Source=$Workbook$;Location=jogos_performance-20180701;Extended Properties=&quot;&quot;" command="SELECT * FROM [jogos_performance-20180701]"/>
  </connection>
</connections>
</file>

<file path=xl/sharedStrings.xml><?xml version="1.0" encoding="utf-8"?>
<sst xmlns="http://schemas.openxmlformats.org/spreadsheetml/2006/main" count="1927" uniqueCount="703">
  <si>
    <t>Código</t>
  </si>
  <si>
    <t>Nome</t>
  </si>
  <si>
    <t>Grupo</t>
  </si>
  <si>
    <t>Rússia</t>
  </si>
  <si>
    <t>A</t>
  </si>
  <si>
    <t>Arábia Saudita</t>
  </si>
  <si>
    <t>Técnico</t>
  </si>
  <si>
    <t>Egito</t>
  </si>
  <si>
    <t>Uruguai</t>
  </si>
  <si>
    <t>Nome_PT</t>
  </si>
  <si>
    <t>Nome_ENG</t>
  </si>
  <si>
    <t>Egipto</t>
  </si>
  <si>
    <t>Portugal</t>
  </si>
  <si>
    <t>Espanha</t>
  </si>
  <si>
    <t>Marrocos</t>
  </si>
  <si>
    <t>Irã</t>
  </si>
  <si>
    <t>Irão</t>
  </si>
  <si>
    <t>B</t>
  </si>
  <si>
    <t>C</t>
  </si>
  <si>
    <t>D</t>
  </si>
  <si>
    <t>E</t>
  </si>
  <si>
    <t>F</t>
  </si>
  <si>
    <t>G</t>
  </si>
  <si>
    <t>H</t>
  </si>
  <si>
    <t>Japão</t>
  </si>
  <si>
    <t>Japan</t>
  </si>
  <si>
    <t>França</t>
  </si>
  <si>
    <t>France</t>
  </si>
  <si>
    <t>Austrália</t>
  </si>
  <si>
    <t>Peru</t>
  </si>
  <si>
    <t>Dinamarca</t>
  </si>
  <si>
    <t>Argentina</t>
  </si>
  <si>
    <t>Islândia</t>
  </si>
  <si>
    <t>Croácia</t>
  </si>
  <si>
    <t>Nigéria</t>
  </si>
  <si>
    <t>Brasil</t>
  </si>
  <si>
    <t>Brazil</t>
  </si>
  <si>
    <t>Suíça</t>
  </si>
  <si>
    <t>Costa Rica</t>
  </si>
  <si>
    <t>Sérvia</t>
  </si>
  <si>
    <t>Alemanha</t>
  </si>
  <si>
    <t>Germany</t>
  </si>
  <si>
    <t>México</t>
  </si>
  <si>
    <t>Suécia</t>
  </si>
  <si>
    <t>Coréia do Sul</t>
  </si>
  <si>
    <t>Bélgica</t>
  </si>
  <si>
    <t>Belgium</t>
  </si>
  <si>
    <t>Panamá</t>
  </si>
  <si>
    <t>Tunísia</t>
  </si>
  <si>
    <t>Inglaterra</t>
  </si>
  <si>
    <t>Polônia</t>
  </si>
  <si>
    <t>Senegal</t>
  </si>
  <si>
    <t>Colômbia</t>
  </si>
  <si>
    <t>TimeA</t>
  </si>
  <si>
    <t>PlacarA</t>
  </si>
  <si>
    <t>TimeB</t>
  </si>
  <si>
    <t>PlacarB</t>
  </si>
  <si>
    <t>Dia</t>
  </si>
  <si>
    <t>Hora</t>
  </si>
  <si>
    <t>Sigla</t>
  </si>
  <si>
    <t>RUS</t>
  </si>
  <si>
    <t>ASA</t>
  </si>
  <si>
    <t>EGI</t>
  </si>
  <si>
    <t>URU</t>
  </si>
  <si>
    <t>POR</t>
  </si>
  <si>
    <t>ESP</t>
  </si>
  <si>
    <t>MAR</t>
  </si>
  <si>
    <t>IRN</t>
  </si>
  <si>
    <t>FRA</t>
  </si>
  <si>
    <t>AUS</t>
  </si>
  <si>
    <t>PER</t>
  </si>
  <si>
    <t>DIN</t>
  </si>
  <si>
    <t>ARG</t>
  </si>
  <si>
    <t>ISL</t>
  </si>
  <si>
    <t>CRO</t>
  </si>
  <si>
    <t>NIG</t>
  </si>
  <si>
    <t>BRA</t>
  </si>
  <si>
    <t>SUI</t>
  </si>
  <si>
    <t>CRC</t>
  </si>
  <si>
    <t>SRB</t>
  </si>
  <si>
    <t>ALE</t>
  </si>
  <si>
    <t>MEX</t>
  </si>
  <si>
    <t>SUE</t>
  </si>
  <si>
    <t>COR</t>
  </si>
  <si>
    <t>BEL</t>
  </si>
  <si>
    <t>PAN</t>
  </si>
  <si>
    <t>TUN</t>
  </si>
  <si>
    <t>ING</t>
  </si>
  <si>
    <t>POL</t>
  </si>
  <si>
    <t xml:space="preserve">SEN </t>
  </si>
  <si>
    <t>COL</t>
  </si>
  <si>
    <t>JAP</t>
  </si>
  <si>
    <t>Russia</t>
  </si>
  <si>
    <t>Saudi Arabia</t>
  </si>
  <si>
    <t>Spain</t>
  </si>
  <si>
    <t>Australia</t>
  </si>
  <si>
    <t>Denmark</t>
  </si>
  <si>
    <t>Iceland</t>
  </si>
  <si>
    <t>Croatia</t>
  </si>
  <si>
    <t>Nigeria</t>
  </si>
  <si>
    <t>Switzerland</t>
  </si>
  <si>
    <t>Serbia</t>
  </si>
  <si>
    <t>Mexico</t>
  </si>
  <si>
    <t>Sweden</t>
  </si>
  <si>
    <t>Panama</t>
  </si>
  <si>
    <t>Tunisia</t>
  </si>
  <si>
    <t>England</t>
  </si>
  <si>
    <t>Poland</t>
  </si>
  <si>
    <t>Colombia</t>
  </si>
  <si>
    <t>Pontos</t>
  </si>
  <si>
    <t>Jogos</t>
  </si>
  <si>
    <t>Time</t>
  </si>
  <si>
    <t>Duração</t>
  </si>
  <si>
    <t>FormaçãoA</t>
  </si>
  <si>
    <t>FormaçãoB</t>
  </si>
  <si>
    <t>4,2,3,1</t>
  </si>
  <si>
    <t>4,1,4,1</t>
  </si>
  <si>
    <t>JOGOS</t>
  </si>
  <si>
    <t>MINUTOS</t>
  </si>
  <si>
    <t>GOL/JOGO</t>
  </si>
  <si>
    <t>MIN/GOL</t>
  </si>
  <si>
    <t>SAMPAOLI Jorge</t>
  </si>
  <si>
    <t>VAN MARWIJK Bert</t>
  </si>
  <si>
    <t>MARTINEZ Roberto</t>
  </si>
  <si>
    <t>TITE</t>
  </si>
  <si>
    <t>Idade Técnico</t>
  </si>
  <si>
    <t>PEKERMAN Jose</t>
  </si>
  <si>
    <t>RAMIREZ Oscar</t>
  </si>
  <si>
    <t>DALIC Zlatko</t>
  </si>
  <si>
    <t>HAREIDE Age</t>
  </si>
  <si>
    <t>CUPER Hector</t>
  </si>
  <si>
    <t>Egypt</t>
  </si>
  <si>
    <t>SOUTHGATE Gareth</t>
  </si>
  <si>
    <t>FIFApage</t>
  </si>
  <si>
    <t>https://www.fifa.com/worldcup/teams/team/43946/</t>
  </si>
  <si>
    <t>DESCHAMPS Didier</t>
  </si>
  <si>
    <t>https://www.fifa.com/worldcup/teams/team/43948/</t>
  </si>
  <si>
    <t>LOEW Joachim</t>
  </si>
  <si>
    <t>https://www.fifa.com/worldcup/teams/team/43951/</t>
  </si>
  <si>
    <t>HALLGRIMSSON Heimir</t>
  </si>
  <si>
    <t>IR Iran</t>
  </si>
  <si>
    <t>https://www.fifa.com/worldcup/teams/team/43817/</t>
  </si>
  <si>
    <t>QUEIROZ Carlos</t>
  </si>
  <si>
    <t>NISHINO Akira</t>
  </si>
  <si>
    <t>https://www.fifa.com/worldcup/teams/team/43819/</t>
  </si>
  <si>
    <t>Korea Republic</t>
  </si>
  <si>
    <t>SHIN Taeyong</t>
  </si>
  <si>
    <t>https://www.fifa.com/worldcup/teams/team/43822/</t>
  </si>
  <si>
    <t>OSORIO Juan Carlos</t>
  </si>
  <si>
    <t>https://www.fifa.com/worldcup/teams/team/43911/</t>
  </si>
  <si>
    <t>Morocco</t>
  </si>
  <si>
    <t>https://www.fifa.com/worldcup/teams/team/43872/</t>
  </si>
  <si>
    <t>RENARD Herve</t>
  </si>
  <si>
    <t>https://www.fifa.com/worldcup/teams/team/43876/</t>
  </si>
  <si>
    <t>ROHR Gernot</t>
  </si>
  <si>
    <t>https://www.fifa.com/worldcup/teams/team/43914/</t>
  </si>
  <si>
    <t>GOMEZ Hernan</t>
  </si>
  <si>
    <t>https://www.fifa.com/worldcup/teams/team/43929/</t>
  </si>
  <si>
    <t>GARECA Ricardo</t>
  </si>
  <si>
    <t>https://www.fifa.com/worldcup/teams/team/43962/</t>
  </si>
  <si>
    <t>NAWALKA Adam</t>
  </si>
  <si>
    <t>https://www.fifa.com/worldcup/teams/team/43963/</t>
  </si>
  <si>
    <t>SANTOS Fernando</t>
  </si>
  <si>
    <t>https://www.fifa.com/worldcup/teams/team/43965/</t>
  </si>
  <si>
    <t>CHERCHESOV Stanislav</t>
  </si>
  <si>
    <t>https://www.fifa.com/worldcup/teams/team/43835/</t>
  </si>
  <si>
    <t>PIZZI Juan Antonio</t>
  </si>
  <si>
    <t>Uruguay</t>
  </si>
  <si>
    <t>https://www.fifa.com/worldcup/teams/team/43930/</t>
  </si>
  <si>
    <t>TABAREZ Oscar</t>
  </si>
  <si>
    <t>https://www.fifa.com/worldcup/teams/team/43969/</t>
  </si>
  <si>
    <t>HIERRO Fernando</t>
  </si>
  <si>
    <t>https://www.fifa.com/worldcup/teams/team/43970/</t>
  </si>
  <si>
    <t>ANDERSSON Janne</t>
  </si>
  <si>
    <t>https://www.fifa.com/worldcup/teams/team/1902465/</t>
  </si>
  <si>
    <t>KRSTAJIC Mladen</t>
  </si>
  <si>
    <t>https://www.fifa.com/worldcup/teams/team/43879/</t>
  </si>
  <si>
    <t>CISSE Aliou</t>
  </si>
  <si>
    <t>https://www.fifa.com/worldcup/teams/team/43888/</t>
  </si>
  <si>
    <t>MAALOUL Nabil</t>
  </si>
  <si>
    <t>https://www.fifa.com/worldcup/teams/team/43976/</t>
  </si>
  <si>
    <t>https://www.fifa.com/worldcup/teams/team/43922/</t>
  </si>
  <si>
    <t>https://www.fifa.com/worldcup/teams/team/43924/</t>
  </si>
  <si>
    <t>https://www.fifa.com/worldcup/teams/team/43971/</t>
  </si>
  <si>
    <t>PETKOVIC Vladimir</t>
  </si>
  <si>
    <t>https://www.fifa.com/worldcup/teams/team/43855/</t>
  </si>
  <si>
    <t>https://www.fifa.com/worldcup/teams/team/43941/</t>
  </si>
  <si>
    <t>https://www.fifa.com/worldcup/teams/team/43938/</t>
  </si>
  <si>
    <t>https://www.fifa.com/worldcup/teams/team/43901/</t>
  </si>
  <si>
    <t>https://www.fifa.com/worldcup/teams/team/43935/</t>
  </si>
  <si>
    <t>https://www.fifa.com/worldcup/teams/team/43942/</t>
  </si>
  <si>
    <t>https://www.fifa.com/worldcup/teams/team/43926/</t>
  </si>
  <si>
    <t>BestPosse</t>
  </si>
  <si>
    <t>%Posse</t>
  </si>
  <si>
    <t>TimeA_Acc</t>
  </si>
  <si>
    <t>TimeB_Acc</t>
  </si>
  <si>
    <t>BestPlayer</t>
  </si>
  <si>
    <t>Amine HARIT</t>
  </si>
  <si>
    <t>BP_Team</t>
  </si>
  <si>
    <t>Valor</t>
  </si>
  <si>
    <t>Cotação 1</t>
  </si>
  <si>
    <t>Cotação 2</t>
  </si>
  <si>
    <t>Bitcoin (minha carteira)</t>
  </si>
  <si>
    <t>https://www.fifa.com/worldcup/matches/match/300331528/#match-liveblog</t>
  </si>
  <si>
    <t>http://kwese.espn.com/football/matchstats?gameId=498194</t>
  </si>
  <si>
    <t>https://www.oddsshark.com/soccer/world-cup/argentina-iceland-odds-june-16-2018-932248</t>
  </si>
  <si>
    <t>4,4,1,1</t>
  </si>
  <si>
    <t>4,4,2</t>
  </si>
  <si>
    <t>4,3,3</t>
  </si>
  <si>
    <t>Antoine GRIEZMANN</t>
  </si>
  <si>
    <t>Hannes HALLDORSSON</t>
  </si>
  <si>
    <t>https://www.fifa.com/worldcup/matches/</t>
  </si>
  <si>
    <t>MOHAMED ELSHENAWY</t>
  </si>
  <si>
    <t>CRISTIANO RONALDO</t>
  </si>
  <si>
    <t>Denis CHERYSHEV</t>
  </si>
  <si>
    <t>https://www.fifa.com/worldcup/matches/match/300331503/#match-statistics</t>
  </si>
  <si>
    <t>https://www.fifa.com/worldcup/matches/match/300331526/#match-statistics</t>
  </si>
  <si>
    <t>https://www.fifa.com/worldcup/matches/match/300331524/#match-statistics</t>
  </si>
  <si>
    <t>https://www.fifa.com/worldcup/matches/match/300331533/#match-summary</t>
  </si>
  <si>
    <t>https://www.fifa.com/worldcup/matches/match/300331515/#match-statistics</t>
  </si>
  <si>
    <t>LinkFIFA</t>
  </si>
  <si>
    <t>LinkESPN</t>
  </si>
  <si>
    <t>http://kwese.espn.com/football/match?gameId=498198</t>
  </si>
  <si>
    <t xml:space="preserve"> </t>
  </si>
  <si>
    <t>http://kwese.espn.com/football/match?gameId=498197</t>
  </si>
  <si>
    <t>http://kwese.espn.com/football/match?gameId=498201</t>
  </si>
  <si>
    <t>http://kwese.espn.com/football/match?gameId=498200</t>
  </si>
  <si>
    <t>http://kwese.espn.com/football/match?gameId=498199</t>
  </si>
  <si>
    <t>http://kwese.espn.com/football/match?gameId=498202</t>
  </si>
  <si>
    <t>http://kwese.espn.com/football/matchstats?gameId=498196</t>
  </si>
  <si>
    <t>Yussuf Yurary POULSEN</t>
  </si>
  <si>
    <t>https://www.fifa.com/worldcup/matches/match/300331528/#match-statistics</t>
  </si>
  <si>
    <t>https://www.fifa.com/worldcup/matches/match/300331523/#match-statistics</t>
  </si>
  <si>
    <t>Luka MODRIC</t>
  </si>
  <si>
    <t>http://kwese.espn.com/football/match?gameId=498195</t>
  </si>
  <si>
    <t>https://pt.wikipedia.org/wiki/Copa_do_Mundo_FIFA_de_2018</t>
  </si>
  <si>
    <t>http://eloratings.net/2018_World_Cup_fixtures</t>
  </si>
  <si>
    <t>A_Attmp</t>
  </si>
  <si>
    <t>B_Attmp</t>
  </si>
  <si>
    <t>A_Passes</t>
  </si>
  <si>
    <t>B_Passes</t>
  </si>
  <si>
    <t>A_Distance</t>
  </si>
  <si>
    <t>B_Distance</t>
  </si>
  <si>
    <t>A_Recover</t>
  </si>
  <si>
    <t>B_Recover</t>
  </si>
  <si>
    <t>A_Fouls</t>
  </si>
  <si>
    <t>B_Fouls</t>
  </si>
  <si>
    <t>A_Amarelo</t>
  </si>
  <si>
    <t>B_Amarelo</t>
  </si>
  <si>
    <t>A_Reds</t>
  </si>
  <si>
    <t>B_Reds</t>
  </si>
  <si>
    <t>Faltas</t>
  </si>
  <si>
    <t>3,4,2,1</t>
  </si>
  <si>
    <t>http://kwese.espn.com/football/match?gameId=498194</t>
  </si>
  <si>
    <t>Aleksandar KOLAROV</t>
  </si>
  <si>
    <t>https://www.fifa.com/worldcup/matches/match/300331529/#match-statistics</t>
  </si>
  <si>
    <t>Valor (US$)</t>
  </si>
  <si>
    <t>http://kwese.espn.com/football/match?gameId=498191</t>
  </si>
  <si>
    <t>http://kwese.espn.com/football/match?gameId=498190</t>
  </si>
  <si>
    <t>http://kwese.espn.com/football/match?gameId=498189</t>
  </si>
  <si>
    <t>http://kwese.espn.com/football/match?gameId=498193</t>
  </si>
  <si>
    <t>http://kwese.espn.com/football/match?gameId=498192</t>
  </si>
  <si>
    <t>http://kwese.espn.com/football/match?gameId=498188</t>
  </si>
  <si>
    <t>3,1,4,2</t>
  </si>
  <si>
    <t>http://kwese.espn.com/football/match?gameId=498186</t>
  </si>
  <si>
    <t>http://kwese.espn.com/football/match?gameId=498187</t>
  </si>
  <si>
    <t>https://www.fifa.com/worldcup/matches/match/300331550/#match-statistics</t>
  </si>
  <si>
    <t>Yuya OSAKO</t>
  </si>
  <si>
    <t>https://www.fifa.com/worldcup/matches/match/300331502/#match-statistics</t>
  </si>
  <si>
    <t>https://www.fifa.com/worldcup/matches/match/300331525/#match-statistics</t>
  </si>
  <si>
    <t>PHILIPPE COUTINHO</t>
  </si>
  <si>
    <t>Hirving LOZANO</t>
  </si>
  <si>
    <t>https://www.fifa.com/worldcup/matches/match/300331495/#match-statistics</t>
  </si>
  <si>
    <t>https://www.fifa.com/worldcup/matches/match/300331499/#match-statistics</t>
  </si>
  <si>
    <t>https://www.fifa.com/worldcup/matches/match/300331539/#match-statistics</t>
  </si>
  <si>
    <t>Romelu LUKAKU</t>
  </si>
  <si>
    <t>https://www.fifa.com/worldcup/matches/match/300331545/#match-statistics</t>
  </si>
  <si>
    <t>https://www.fifa.com/worldcup/matches/match/300331554/#match-statistics</t>
  </si>
  <si>
    <t>https://www.fifa.com/worldcup/matches/match/300353632/#match-statistics</t>
  </si>
  <si>
    <t>https://www.fifa.com/worldcup/matches/match/300331511/#match-statistics</t>
  </si>
  <si>
    <t>Local</t>
  </si>
  <si>
    <t>Luzhniki Stadium Moscow</t>
  </si>
  <si>
    <t>http://kwese.espn.com/football/matchstats?gameId=498185</t>
  </si>
  <si>
    <t>http://kwese.espn.com/football/match?gameId=498184</t>
  </si>
  <si>
    <t>https://www.fifa.com/worldcup/matches/match/300331530/#match-statistics</t>
  </si>
  <si>
    <t>Arena Rostov-On-Don</t>
  </si>
  <si>
    <t>A_Clear</t>
  </si>
  <si>
    <t>B_Clear</t>
  </si>
  <si>
    <t>Kazan Arena</t>
  </si>
  <si>
    <t>https://www.fifa.com/worldcup/matches/match/300331496/#match-statistics</t>
  </si>
  <si>
    <t>Diego COSTA</t>
  </si>
  <si>
    <t>http://kwese.espn.com/football/matchstats?gameId=498183</t>
  </si>
  <si>
    <t>Luis SUAREZ</t>
  </si>
  <si>
    <t>A_Target</t>
  </si>
  <si>
    <t>B_target</t>
  </si>
  <si>
    <t>https://www.fifa.com/worldcup/matches/match/300331527/#match-statistics</t>
  </si>
  <si>
    <t>Ekaterinburg Arena</t>
  </si>
  <si>
    <t>Kylian MBAPPE</t>
  </si>
  <si>
    <t>http://kwese.espn.com/football/match?gameId=498182</t>
  </si>
  <si>
    <t>http://kwese.espn.com/football/matchstats?gameId=498180</t>
  </si>
  <si>
    <t>GOLS (total)</t>
  </si>
  <si>
    <t>GOLS(med/mod)</t>
  </si>
  <si>
    <t>Vitória</t>
  </si>
  <si>
    <t>EMPATE</t>
  </si>
  <si>
    <t>SEM</t>
  </si>
  <si>
    <t>https://www.fifa.com/worldcup/matches/match/300331518/#match-statistics</t>
  </si>
  <si>
    <t>Samara Arena</t>
  </si>
  <si>
    <t>Christian ERIKSEN</t>
  </si>
  <si>
    <t>http://kwese.espn.com/football/match?gameId=498181</t>
  </si>
  <si>
    <t>Nizhny Novgorod Stadium</t>
  </si>
  <si>
    <t>https://www.fifa.com/worldcup/matches/match/300331513/#match-statistics</t>
  </si>
  <si>
    <t>Valor Total</t>
  </si>
  <si>
    <t>Passes</t>
  </si>
  <si>
    <t>Kaliningrad Stadium</t>
  </si>
  <si>
    <t>N</t>
  </si>
  <si>
    <t>O</t>
  </si>
  <si>
    <t>P (Sigla), Q (%)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</si>
  <si>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</si>
  <si>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</si>
  <si>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</si>
  <si>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</si>
  <si>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</si>
  <si>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</si>
  <si>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</si>
  <si>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</si>
  <si>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</si>
  <si>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</si>
  <si>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</si>
  <si>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</si>
  <si>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</si>
  <si>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</si>
  <si>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</si>
  <si>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</si>
  <si>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</si>
  <si>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</si>
  <si>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formula</t>
  </si>
  <si>
    <t>fl_Win</t>
  </si>
  <si>
    <t>1,0,-1</t>
  </si>
  <si>
    <t>nu_jogo,</t>
  </si>
  <si>
    <t>sg_time,</t>
  </si>
  <si>
    <t>dt_jogo,</t>
  </si>
  <si>
    <t>ds_formacao,</t>
  </si>
  <si>
    <t>pc_possession,</t>
  </si>
  <si>
    <t>qt_atempt,</t>
  </si>
  <si>
    <t>qt_target,</t>
  </si>
  <si>
    <t>qt_passes,</t>
  </si>
  <si>
    <t>qt_distance,</t>
  </si>
  <si>
    <t>qt_recovery,</t>
  </si>
  <si>
    <t>qt_clearance,</t>
  </si>
  <si>
    <t>qt_foul,</t>
  </si>
  <si>
    <t>qt_yellow,</t>
  </si>
  <si>
    <t>qt_red,</t>
  </si>
  <si>
    <t>qt_goals,</t>
  </si>
  <si>
    <t>Saint Petersburg Stadium</t>
  </si>
  <si>
    <t>http://kwese.espn.com/football/match?gameId=498179</t>
  </si>
  <si>
    <t>https://www.fifa.com/worldcup/matches/match/300331540/#match-statistics</t>
  </si>
  <si>
    <t>http://kwese.espn.com/football/match?gameId=498178</t>
  </si>
  <si>
    <t>3,5,2</t>
  </si>
  <si>
    <t>http://kwese.espn.com/football/match?gameId=498177</t>
  </si>
  <si>
    <t>http://kwese.espn.com/football/match?gameId=498173</t>
  </si>
  <si>
    <t>http://kwese.espn.com/football/match?gameId=498172</t>
  </si>
  <si>
    <t>http://kwese.espn.com/football/match?gameId=498171</t>
  </si>
  <si>
    <t>http://kwese.espn.com/football/match?gameId=498175</t>
  </si>
  <si>
    <t>http://kwese.espn.com/football/match?gameId=498176</t>
  </si>
  <si>
    <t>Volgograd Arena</t>
  </si>
  <si>
    <t>https://www.fifa.com/worldcup/matches/match/300331497/#match-statistics</t>
  </si>
  <si>
    <t>Ahmed MUSA</t>
  </si>
  <si>
    <t>https://www.fifa.com/worldcup/matches/match/300340183/#match-statistics</t>
  </si>
  <si>
    <t>Xherdan SHAQIRI</t>
  </si>
  <si>
    <t>https://www.fifa.com/fifa-tournaments/statistics-and-records/worldcup/index.html</t>
  </si>
  <si>
    <t>Fisht Stadium Sochi</t>
  </si>
  <si>
    <t>Spartak Stadium Moscow</t>
  </si>
  <si>
    <t>Mordovia Arena Saransk</t>
  </si>
  <si>
    <t>Harry KANE</t>
  </si>
  <si>
    <t>Andreas GRANQVIST</t>
  </si>
  <si>
    <t>Mbaye NIANG</t>
  </si>
  <si>
    <t>https://www.fifa.com/worldcup/matches/match/300331547/#match-statistics</t>
  </si>
  <si>
    <t>Eden HAZARD</t>
  </si>
  <si>
    <t>https://www.fifa.com/worldcup/matches/match/300331501/#match-statistics</t>
  </si>
  <si>
    <t>http://kwese.espn.com/football/matchstats?gameId=498174</t>
  </si>
  <si>
    <t>Javier HERNANDEZ</t>
  </si>
  <si>
    <t>https://www.fifa.com/worldcup/matches/match/300331549/#match-statistics</t>
  </si>
  <si>
    <t>Marco REUS</t>
  </si>
  <si>
    <t>http://aovivo.folha.uol.com.br/2018/06/23/5380-aovivo.shtml</t>
  </si>
  <si>
    <t>Timeline</t>
  </si>
  <si>
    <t>CLASSIFICAÇÃO</t>
  </si>
  <si>
    <t>CN</t>
  </si>
  <si>
    <t>1ºFernando Gloria Dias522º003035763356</t>
  </si>
  <si>
    <t>2ºJose Barradas1556º002031647339</t>
  </si>
  <si>
    <t>3ºIbiã Marques dos Santos1830º003063924337</t>
  </si>
  <si>
    <t>4ºeurico costa1898º0030711114336</t>
  </si>
  <si>
    <t>5ºThiago Nascimento2295º0025421232333</t>
  </si>
  <si>
    <t>6ºRenato Alves Silva2322º001541926332</t>
  </si>
  <si>
    <t>7ºManuel Correia2325º001552826332</t>
  </si>
  <si>
    <t>8ºMarcelo Lira2517º002535762331</t>
  </si>
  <si>
    <t>9ºAilsa Coto2926º0020531132328</t>
  </si>
  <si>
    <t>10ºNaga J3010º002034474327</t>
  </si>
  <si>
    <t>11ºMaurício Braga4016º001541863321</t>
  </si>
  <si>
    <t>12ºAndré da Silva Freitas5615º0030521032313</t>
  </si>
  <si>
    <t>13ºEduardo da Fonte6272º001562843309</t>
  </si>
  <si>
    <t>14ºFúlvio Falcão6336º001553942309</t>
  </si>
  <si>
    <t>15ºFelipe Faria Cunha6346º002552942309</t>
  </si>
  <si>
    <t>16ºEliseu Agostinho8955º003191823298</t>
  </si>
  <si>
    <t>17ºSilvia Brito9744º001644634294</t>
  </si>
  <si>
    <t>18ºMarco Guimarães10743º001036661291</t>
  </si>
  <si>
    <t>19ºCamilla Pereira12787º0025631120282</t>
  </si>
  <si>
    <t>CNGP#5#10#15#16#20PTS</t>
  </si>
  <si>
    <t>Class</t>
  </si>
  <si>
    <t>#20</t>
  </si>
  <si>
    <t>#16</t>
  </si>
  <si>
    <t>#15</t>
  </si>
  <si>
    <t>#5</t>
  </si>
  <si>
    <t>#10</t>
  </si>
  <si>
    <t>TAMANHO</t>
  </si>
  <si>
    <t>https://www.fifa.com/worldcup/matches/match/300331546/#match-statistics</t>
  </si>
  <si>
    <t>pc_accuracy,</t>
  </si>
  <si>
    <t>SEN</t>
  </si>
  <si>
    <t>Méd Gols</t>
  </si>
  <si>
    <t>Tot Gols</t>
  </si>
  <si>
    <t>PONTOS</t>
  </si>
  <si>
    <t>Precisão</t>
  </si>
  <si>
    <t>Posse</t>
  </si>
  <si>
    <t>Chutes</t>
  </si>
  <si>
    <t>Cht Gol</t>
  </si>
  <si>
    <t>Km Dist</t>
  </si>
  <si>
    <t>Recup Bola</t>
  </si>
  <si>
    <t>Lmp Lance</t>
  </si>
  <si>
    <t>Amarelo</t>
  </si>
  <si>
    <t>Vermelho</t>
  </si>
  <si>
    <t>Tabela em 24/06/2018 (antes do jogo empate entre Japão e Senegal)</t>
  </si>
  <si>
    <t>https://www.fifa.com/worldcup/matches/match/300331505/#match-statistics</t>
  </si>
  <si>
    <t>Sadio MANE</t>
  </si>
  <si>
    <t>3,4,3</t>
  </si>
  <si>
    <t>https://www.fifa.com/worldcup/matches/match/300331508/#match-statistics</t>
  </si>
  <si>
    <t>James RODRIGUEZ</t>
  </si>
  <si>
    <t>fl_Virada</t>
  </si>
  <si>
    <t>fl_BuscaResultado</t>
  </si>
  <si>
    <t>Classif</t>
  </si>
  <si>
    <t>Oitavas</t>
  </si>
  <si>
    <t>1A</t>
  </si>
  <si>
    <t>2B</t>
  </si>
  <si>
    <t>1B</t>
  </si>
  <si>
    <t>1C</t>
  </si>
  <si>
    <t>1D</t>
  </si>
  <si>
    <t>1E</t>
  </si>
  <si>
    <t>2A</t>
  </si>
  <si>
    <t>2C</t>
  </si>
  <si>
    <t>2D</t>
  </si>
  <si>
    <t>2E</t>
  </si>
  <si>
    <t>2F</t>
  </si>
  <si>
    <t>1G</t>
  </si>
  <si>
    <t>2H</t>
  </si>
  <si>
    <t>1F</t>
  </si>
  <si>
    <t>1H</t>
  </si>
  <si>
    <t>2G</t>
  </si>
  <si>
    <t>Jogo 49</t>
  </si>
  <si>
    <t>Jogo 50</t>
  </si>
  <si>
    <t>Jogo 51</t>
  </si>
  <si>
    <t>Jogo 52</t>
  </si>
  <si>
    <t>Jogo 53</t>
  </si>
  <si>
    <t>Jogo 54</t>
  </si>
  <si>
    <t>Jogo 56</t>
  </si>
  <si>
    <t>Jogo 55</t>
  </si>
  <si>
    <t>1Cx2D</t>
  </si>
  <si>
    <t>1Ax2B</t>
  </si>
  <si>
    <t>1Bx2A</t>
  </si>
  <si>
    <t>1Dx2C</t>
  </si>
  <si>
    <t>1Gx2H</t>
  </si>
  <si>
    <t>1Ex2F</t>
  </si>
  <si>
    <t>1Fx2E</t>
  </si>
  <si>
    <t>1Hx2G</t>
  </si>
  <si>
    <t>1ºFernando Gloria Dias473º003046863386</t>
  </si>
  <si>
    <t>2ºJose Barradas1029º002031748374</t>
  </si>
  <si>
    <t>3ºManuel Correia1512º001554836368</t>
  </si>
  <si>
    <t>4ºNaga J2679º002045574357</t>
  </si>
  <si>
    <t>5ºIbiã Marques dos Santos2705º003065924357</t>
  </si>
  <si>
    <t>6ºMarcelo Lira2837º002547762356</t>
  </si>
  <si>
    <t>7ºAilsa Coto3306º0020651132353</t>
  </si>
  <si>
    <t>8ºRenato Alves Silva3329º001543926352</t>
  </si>
  <si>
    <t>9ºAndré da Silva Freitas4090º0030631033348</t>
  </si>
  <si>
    <t>10ºThiago Nascimento4115º0025531232348</t>
  </si>
  <si>
    <t>11ºMaurício Braga4250º001542873347</t>
  </si>
  <si>
    <t>12ºeurico costa4406º0030721114346</t>
  </si>
  <si>
    <t>13ºFúlvio Falcão4622º001555952345</t>
  </si>
  <si>
    <t>14ºEduardo da Fonte5816º001573943339</t>
  </si>
  <si>
    <t>15ºEliseu Agostinho8204º0031102923328</t>
  </si>
  <si>
    <t>16ºCamilla Pereira9380º0025641230323</t>
  </si>
  <si>
    <t>17ºFelipe Faria Cunha10218º002553942319</t>
  </si>
  <si>
    <t>18ºMarco Guimarães12101º001046761311</t>
  </si>
  <si>
    <t>19ºSilvia Brito12317º001644734309</t>
  </si>
  <si>
    <t>https://www.fifa.com/worldcup/matches/match/300331516/#match-statistics</t>
  </si>
  <si>
    <t>4,1,2,1,2</t>
  </si>
  <si>
    <t>http://kwese.espn.com/football/matchstats?gameId=498170</t>
  </si>
  <si>
    <t>http://kwese.espn.com/football/match?gameId=498169</t>
  </si>
  <si>
    <t>https://www.fifa.com/worldcup/matches/match/300331509/#match-statistics</t>
  </si>
  <si>
    <t>MOHAMED SALAH</t>
  </si>
  <si>
    <t>https://www.fifa.com/worldcup/matches/match/300340184/#match-statistics</t>
  </si>
  <si>
    <t>http://kwese.espn.com/football/matchstats?gameId=498168</t>
  </si>
  <si>
    <t>http://kwese.espn.com/football/matchstats?gameId=498167</t>
  </si>
  <si>
    <t>https://www.fifa.com/worldcup/matches/match/300331500/#match-statistics</t>
  </si>
  <si>
    <t>IRA 1</t>
  </si>
  <si>
    <t>ESP 1</t>
  </si>
  <si>
    <t>URU 1</t>
  </si>
  <si>
    <t>ASA 1</t>
  </si>
  <si>
    <t>RICARDO QUARESMA</t>
  </si>
  <si>
    <t>ISCO</t>
  </si>
  <si>
    <t>1ºFernando Gloria Dias1317º003046863386</t>
  </si>
  <si>
    <t>2ºJose Barradas1406º002051748384</t>
  </si>
  <si>
    <t>3ºMarcelo Lira2218º002547763376</t>
  </si>
  <si>
    <t>4ºManuel Correia2485º001564836373</t>
  </si>
  <si>
    <t>5ºRenato Alves Silva3261º001554926367</t>
  </si>
  <si>
    <t>6ºNaga J3312º002065574367</t>
  </si>
  <si>
    <t>7ºAilsa Coto4063º0020661132363</t>
  </si>
  <si>
    <t>8ºIbiã Marques dos Santos4174º003075924362</t>
  </si>
  <si>
    <t>9ºeurico costa4304º0035921114361</t>
  </si>
  <si>
    <t>10ºFúlvio Falcão4495º0015551052360</t>
  </si>
  <si>
    <t>11ºAndré da Silva Freitas4883º0030831033358</t>
  </si>
  <si>
    <t>12ºFelipe Faria Cunha5583º003073943354</t>
  </si>
  <si>
    <t>13ºMaurício Braga6044º001552873352</t>
  </si>
  <si>
    <t>14ºThiago Nascimento6838º0025531232348</t>
  </si>
  <si>
    <t>15ºEliseu Agostinho7859º0031132923343</t>
  </si>
  <si>
    <t>16ºSilvia Brito8391º002164744340</t>
  </si>
  <si>
    <t>17ºEduardo da Fonte8637º001573943339</t>
  </si>
  <si>
    <t>18ºCamilla Pereira9076º0030841230338</t>
  </si>
  <si>
    <t>19ºMarco Guimarães13739º001056761316</t>
  </si>
  <si>
    <t>Rnk_FIFA</t>
  </si>
  <si>
    <t>Nicolás Otamendi</t>
  </si>
  <si>
    <t>Nome 3 (defesa)</t>
  </si>
  <si>
    <t>Nome 1 (ataque)</t>
  </si>
  <si>
    <t>Nome 2 (meio)</t>
  </si>
  <si>
    <t>Aaron Mooy</t>
  </si>
  <si>
    <t>Kevin de Bruyne</t>
  </si>
  <si>
    <t>Neymar Jr, Gabriel Jesus</t>
  </si>
  <si>
    <t>Radamel Falcao</t>
  </si>
  <si>
    <t>Keylor Navas</t>
  </si>
  <si>
    <t>Ivan Perišić</t>
  </si>
  <si>
    <t>Christian Eriksen</t>
  </si>
  <si>
    <t>Raheem Sterling</t>
  </si>
  <si>
    <t>Mohamed Salah</t>
  </si>
  <si>
    <t>Raphaël Varane</t>
  </si>
  <si>
    <t>Kylian Mbappé</t>
  </si>
  <si>
    <t>Manuel Neuer</t>
  </si>
  <si>
    <t>Kroos</t>
  </si>
  <si>
    <t>Gylfi Sigurðsson</t>
  </si>
  <si>
    <t>Sardar Azmoun</t>
  </si>
  <si>
    <t>Keisuke Honda</t>
  </si>
  <si>
    <t>Hirving Lozano</t>
  </si>
  <si>
    <t>Mehdi Benatia</t>
  </si>
  <si>
    <t>Leon Balogun</t>
  </si>
  <si>
    <t>Luis Tejada</t>
  </si>
  <si>
    <t>Kamil Glik</t>
  </si>
  <si>
    <t>Cristiano Ronaldo, André Silva</t>
  </si>
  <si>
    <t>Igor Akinfeev</t>
  </si>
  <si>
    <t>Mohammad Al-Sahlawi</t>
  </si>
  <si>
    <t>Sadio Mané</t>
  </si>
  <si>
    <t>Aleksandar Prijović</t>
  </si>
  <si>
    <t>Heung-min Son</t>
  </si>
  <si>
    <t>Emil Forsberg</t>
  </si>
  <si>
    <t>Fabian Schär</t>
  </si>
  <si>
    <t>Wahbi Khazri</t>
  </si>
  <si>
    <t>Edinson Cavani, Luis Suárez</t>
  </si>
  <si>
    <t>http://uk.businessinsider.com/one-player-you-need-to-know-from-every-team-at-the-2018-fifa-world-cup-2018-3/#argentina-nicols-otamendi-1</t>
  </si>
  <si>
    <t>Ataque</t>
  </si>
  <si>
    <t>Meio</t>
  </si>
  <si>
    <t>Defesa</t>
  </si>
  <si>
    <t>https://www.theguardian.com/football/ng-interactive/2018/jun/05/world-cup-2018-complete-guide-players-ratings-goals-caps</t>
  </si>
  <si>
    <t>Isco, Andrés Iniesta</t>
  </si>
  <si>
    <t>Diego Costa</t>
  </si>
  <si>
    <t>Paul Pogba</t>
  </si>
  <si>
    <t>Mathew Ryan</t>
  </si>
  <si>
    <t>Paolo Guerrero, Carrilo</t>
  </si>
  <si>
    <t>Lionel Messi, DI Maria</t>
  </si>
  <si>
    <t>Talento</t>
  </si>
  <si>
    <t>Ofensv</t>
  </si>
  <si>
    <t>http://kwese.espn.com/football/matchstats?gameId=498164</t>
  </si>
  <si>
    <t>4,3,2,1</t>
  </si>
  <si>
    <t>CRO 1</t>
  </si>
  <si>
    <t>http://kwese.espn.com/football/matchstats?gameId=498163</t>
  </si>
  <si>
    <t>http://kwese.espn.com/football/matchstats?gameId=498165</t>
  </si>
  <si>
    <t>http://kwese.espn.com/football/matchstats?gameId=498166</t>
  </si>
  <si>
    <t>https://www.fifa.com/worldcup/matches/match/300331506/#match-statistics</t>
  </si>
  <si>
    <t>https://www.fifa.com/worldcup/matches/match/300331512/#match-statistics</t>
  </si>
  <si>
    <t>https://www.fifa.com/worldcup/matches/match/300331519/#match-statistics</t>
  </si>
  <si>
    <t>https://www.fifa.com/worldcup/matches/match/300331510/#match-statistics</t>
  </si>
  <si>
    <t>Milan BADELJ</t>
  </si>
  <si>
    <t>Ngolo KANTE</t>
  </si>
  <si>
    <t>PER 1</t>
  </si>
  <si>
    <t>Andre CARRILLO</t>
  </si>
  <si>
    <t>ARG 1</t>
  </si>
  <si>
    <t>Lionel MESSI</t>
  </si>
  <si>
    <t>1ºFúlvio Falcão2063º0015651154420</t>
  </si>
  <si>
    <t>2ºThiago Nascimento2876º0040631532413</t>
  </si>
  <si>
    <t>3ºMarcelo Lira3488º002547783408</t>
  </si>
  <si>
    <t>4ºeurico costa3670º00351021116406</t>
  </si>
  <si>
    <t>5ºFernando Gloria Dias3748º003056963406</t>
  </si>
  <si>
    <t>6ºRenato Alves Silva4214º0015541027402</t>
  </si>
  <si>
    <t>7ºFelipe Faria Cunha4599º0030731153400</t>
  </si>
  <si>
    <t>8ºJose Barradas4638º002062748399</t>
  </si>
  <si>
    <t>9ºAndré da Silva Freitas4901º0030931134398</t>
  </si>
  <si>
    <t>10ºMaurício Braga5572º001553893394</t>
  </si>
  <si>
    <t>11ºIbiã Marques dos Santos5757º0030751034393</t>
  </si>
  <si>
    <t>12ºAilsa Coto5794º0020861133393</t>
  </si>
  <si>
    <t>13ºNaga J5893º002085674392</t>
  </si>
  <si>
    <t>14ºEliseu Agostinho7563º0031132925383</t>
  </si>
  <si>
    <t>15ºSilvia Brito9066º002174944375</t>
  </si>
  <si>
    <t>16ºManuel Correia9381º001564836373</t>
  </si>
  <si>
    <t>17ºCamilla Pereira11334º00301041240364</t>
  </si>
  <si>
    <t>18ºEduardo da Fonte15266º001573943339</t>
  </si>
  <si>
    <t>19ºMarco Guimarães15747º001066861336</t>
  </si>
  <si>
    <t>SE(E(CÓDIGO(EXT.TEXTO(EXT.TEXTO(A3;LOCALIZAR("º";A3;1)+1;LOCALIZAR("º";A3;4)-LOCALIZAR("º";A3;1)-4);NÚM.CARACT(EXT.TEXTO(A3;LOCALIZAR("º";A3;1)+1;LOCALIZAR("º";A3;4)-LOCALIZAR("º";A3;1)-4));1))&gt;47;CÓDIGO(EXT.TEXTO(EXT.TEXTO(A3;LOCALIZAR("º";A3;1)+1;LOCALIZAR("º";A3;4)-LOCALIZAR("º";A3;1)-4);NÚM.CARACT(EXT.TEXTO(A3;LOCALIZAR("º";A3;1)+1;LOCALIZAR("º";A3;4)-LOCALIZAR("º";A3;1)-4));1))&lt;58);SE(E(CÓDIGO(EXT.TEXTO(EXT.TEXTO(A3;LOCALIZAR("º";A3;1)+1;LOCALIZAR("º";A3;4)-LOCALIZAR("º";A3;1)-4);NÚM.CARACT(EXT.TEXTO(A3;LOCALIZAR("º";A3;1)+1;LOCALIZAR("º";A3;4)-LOCALIZAR("º";A3;1)-6));1))&gt;47;CÓDIGO(EXT.TEXTO(EXT.TEXTO(A3;LOCALIZAR("º";A3;1)+1;LOCALIZAR("º";A3;4)-LOCALIZAR("º";A3;1)-6);NÚM.CARACT(EXT.TEXTO(A3;LOCALIZAR("º";A3;1)+1;LOCALIZAR("º";A3;4)-LOCALIZAR("º";A3;1)-6));1))&lt;58);"MAIS UM";EXT.TEXTO(A3;LOCALIZAR("º";A3;1)+1;LOCALIZAR("º";A3;4)-LOCALIZAR("º";A3;1)-6));EXT.TEXTO(A3;LOCALIZAR("º";A3;1)+1;LOCALIZAR("º";A3;4)-LOCALIZAR("º";A3;1)-4))</t>
  </si>
  <si>
    <t>http://kwese.espn.com/football/matchstats?gameId=498162</t>
  </si>
  <si>
    <t>http://kwese.espn.com/football/matchstats?gameId=498161</t>
  </si>
  <si>
    <t>https://www.fifa.com/worldcup/matches/match/300331532/#match-statistics</t>
  </si>
  <si>
    <t>COR 1</t>
  </si>
  <si>
    <t>JO Hyeonwoo</t>
  </si>
  <si>
    <t>https://www.fifa.com/worldcup/matches/match/300331548/#match-statistics</t>
  </si>
  <si>
    <t>SUE 1</t>
  </si>
  <si>
    <t>BRA 1</t>
  </si>
  <si>
    <t>CRC 1</t>
  </si>
  <si>
    <t>TUN 1</t>
  </si>
  <si>
    <t>BEL 1</t>
  </si>
  <si>
    <t>Ludwig AUGUSTINSSON</t>
  </si>
  <si>
    <t>https://www.fifa.com/worldcup/matches/match/300331521/#match-statistics</t>
  </si>
  <si>
    <t>PAULINHO</t>
  </si>
  <si>
    <t>https://www.fifa.com/worldcup/matches/match/300331534/#match-statistics</t>
  </si>
  <si>
    <t>Blerim DZEMAILI</t>
  </si>
  <si>
    <t>https://www.fifa.com/worldcup/matches/match/300331507/#match-statistics</t>
  </si>
  <si>
    <t>Jan BEDNAREK</t>
  </si>
  <si>
    <t>https://www.fifa.com/worldcup/matches/match/300331553/#match-statistics</t>
  </si>
  <si>
    <t>Yerry MINA</t>
  </si>
  <si>
    <t>https://www.fifa.com/worldcup/matches/match/300331520/#match-statistics</t>
  </si>
  <si>
    <t>Fakhreddine BEN YOUSSEF</t>
  </si>
  <si>
    <t>https://www.fifa.com/worldcup/matches/match/300340182/#match-statistics</t>
  </si>
  <si>
    <t>Adnan JANUZAJ</t>
  </si>
  <si>
    <t>http://kwese.espn.com/football/matchstats?gameId=498158</t>
  </si>
  <si>
    <t>http://kwese.espn.com/football/matchstats?gameId=498157</t>
  </si>
  <si>
    <t>http://kwese.espn.com/football/matchstats?gameId=498155</t>
  </si>
  <si>
    <t>http://kwese.espn.com/football/matchstats?gameId=498156</t>
  </si>
  <si>
    <t>http://kwese.espn.com/football/match?gameId=498159</t>
  </si>
  <si>
    <t>Defensiva</t>
  </si>
  <si>
    <t>Amarelos</t>
  </si>
  <si>
    <t>Vermelhos</t>
  </si>
  <si>
    <t>http://kwese.espn.com/football/match?gameId=498154</t>
  </si>
  <si>
    <t>https://www.fifa.com/worldcup/matches/match/300331537/#match-statistics</t>
  </si>
  <si>
    <t>FRA 1</t>
  </si>
  <si>
    <t>VALOR_USD</t>
  </si>
  <si>
    <t>ATAQUE</t>
  </si>
  <si>
    <t>MEIO</t>
  </si>
  <si>
    <t>DEFESA</t>
  </si>
  <si>
    <t>TALENTO</t>
  </si>
  <si>
    <t>ID_TIME_PERFORMANCE</t>
  </si>
  <si>
    <t>NU_JOGO</t>
  </si>
  <si>
    <t>SG_TIME</t>
  </si>
  <si>
    <t>DT_JOGO</t>
  </si>
  <si>
    <t>DS_FORMACAO</t>
  </si>
  <si>
    <t>PC_ACCURACY</t>
  </si>
  <si>
    <t>PC_POSSESSION</t>
  </si>
  <si>
    <t>QT_ATEMPT</t>
  </si>
  <si>
    <t>QT_TARGET</t>
  </si>
  <si>
    <t>QT_PASSES</t>
  </si>
  <si>
    <t>QT_DISTANCE</t>
  </si>
  <si>
    <t>QT_RECOVERY</t>
  </si>
  <si>
    <t>QT_CLEARANCE</t>
  </si>
  <si>
    <t>QT_FOUL</t>
  </si>
  <si>
    <t>QT_YELLOW</t>
  </si>
  <si>
    <t>QT_RED</t>
  </si>
  <si>
    <t>QT_GOALS</t>
  </si>
  <si>
    <t>FL_WIN</t>
  </si>
  <si>
    <t>NU_MINUTOS</t>
  </si>
  <si>
    <t>RANK_FIFA</t>
  </si>
  <si>
    <t>OBJETIVIDADE</t>
  </si>
  <si>
    <t>ATAQUE_REAL</t>
  </si>
  <si>
    <t>FORÇA</t>
  </si>
  <si>
    <t>FINAL</t>
  </si>
  <si>
    <t>http://kwese.espn.com/football/match?gameId=498153</t>
  </si>
  <si>
    <t>http://kwese.espn.com/football/match?gameId=498152</t>
  </si>
  <si>
    <t>http://kwese.espn.com/football/match?gameId=498150</t>
  </si>
  <si>
    <t>http://kwese.espn.com/football/match?gameId=498149</t>
  </si>
  <si>
    <t>http://kwese.espn.com/football/match?gameId=498151</t>
  </si>
  <si>
    <t>https://www.fifa.com/worldcup/matches/match/300331535/#match-statistics</t>
  </si>
  <si>
    <t>NEYMAR Jr</t>
  </si>
  <si>
    <t>https://www.fifa.com/worldcup/matches/match/300331551/#match-statistics</t>
  </si>
  <si>
    <t>Gol Sofrido</t>
  </si>
  <si>
    <t>ID</t>
  </si>
  <si>
    <t>Name_BR</t>
  </si>
  <si>
    <t>Accronym</t>
  </si>
  <si>
    <t>Coach Name</t>
  </si>
  <si>
    <t>Coach Age</t>
  </si>
  <si>
    <t>Value (US$)</t>
  </si>
  <si>
    <t>Catar</t>
  </si>
  <si>
    <t>Qatar</t>
  </si>
  <si>
    <t>QAT</t>
  </si>
  <si>
    <t>SANCHEZ Felix</t>
  </si>
  <si>
    <t>Group</t>
  </si>
  <si>
    <t>Rnk_FIFA_2018</t>
  </si>
  <si>
    <t>?</t>
  </si>
  <si>
    <t>Equador</t>
  </si>
  <si>
    <t>Ecuador</t>
  </si>
  <si>
    <t>ECU</t>
  </si>
  <si>
    <t>Holanda</t>
  </si>
  <si>
    <t>Países Baixos</t>
  </si>
  <si>
    <t>Netherlands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</si>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</sst>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"/>
    <numFmt numFmtId="166" formatCode="yyyy\-mm\-dd;@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126">
    <xf numFmtId="0" fontId="0" fillId="0" borderId="0" xfId="0"/>
    <xf numFmtId="0" fontId="1" fillId="0" borderId="0" xfId="1"/>
    <xf numFmtId="9" fontId="0" fillId="0" borderId="0" xfId="0" applyNumberFormat="1"/>
    <xf numFmtId="0" fontId="0" fillId="2" borderId="0" xfId="0" applyFill="1"/>
    <xf numFmtId="0" fontId="2" fillId="3" borderId="0" xfId="0" applyFont="1" applyFill="1"/>
    <xf numFmtId="0" fontId="3" fillId="0" borderId="0" xfId="1" applyFont="1"/>
    <xf numFmtId="2" fontId="0" fillId="0" borderId="0" xfId="0" applyNumberFormat="1"/>
    <xf numFmtId="0" fontId="0" fillId="4" borderId="0" xfId="0" applyFill="1"/>
    <xf numFmtId="2" fontId="0" fillId="4" borderId="0" xfId="0" applyNumberFormat="1" applyFill="1"/>
    <xf numFmtId="9" fontId="0" fillId="4" borderId="0" xfId="0" applyNumberFormat="1" applyFill="1"/>
    <xf numFmtId="0" fontId="1" fillId="4" borderId="0" xfId="1" applyFill="1"/>
    <xf numFmtId="0" fontId="0" fillId="5" borderId="0" xfId="0" applyFill="1"/>
    <xf numFmtId="0" fontId="6" fillId="0" borderId="0" xfId="0" applyFont="1"/>
    <xf numFmtId="1" fontId="0" fillId="0" borderId="0" xfId="2" applyNumberFormat="1" applyFont="1"/>
    <xf numFmtId="1" fontId="0" fillId="4" borderId="0" xfId="2" applyNumberFormat="1" applyFont="1" applyFill="1"/>
    <xf numFmtId="0" fontId="0" fillId="6" borderId="0" xfId="0" applyFill="1"/>
    <xf numFmtId="0" fontId="0" fillId="6" borderId="7" xfId="0" applyFill="1" applyBorder="1"/>
    <xf numFmtId="0" fontId="0" fillId="6" borderId="8" xfId="0" applyFill="1" applyBorder="1"/>
    <xf numFmtId="0" fontId="0" fillId="7" borderId="1" xfId="0" applyFill="1" applyBorder="1"/>
    <xf numFmtId="0" fontId="8" fillId="0" borderId="0" xfId="0" applyFont="1"/>
    <xf numFmtId="0" fontId="0" fillId="6" borderId="9" xfId="0" applyFill="1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6" borderId="11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" xfId="0" applyBorder="1"/>
    <xf numFmtId="0" fontId="0" fillId="0" borderId="13" xfId="0" applyBorder="1"/>
    <xf numFmtId="0" fontId="0" fillId="0" borderId="14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1" xfId="0" applyBorder="1"/>
    <xf numFmtId="0" fontId="0" fillId="0" borderId="22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6" borderId="35" xfId="0" applyFill="1" applyBorder="1"/>
    <xf numFmtId="0" fontId="0" fillId="6" borderId="34" xfId="0" applyFill="1" applyBorder="1"/>
    <xf numFmtId="0" fontId="1" fillId="6" borderId="0" xfId="1" applyFill="1"/>
    <xf numFmtId="9" fontId="0" fillId="6" borderId="0" xfId="0" applyNumberFormat="1" applyFill="1"/>
    <xf numFmtId="0" fontId="0" fillId="8" borderId="8" xfId="0" applyFill="1" applyBorder="1"/>
    <xf numFmtId="0" fontId="0" fillId="0" borderId="5" xfId="0" applyBorder="1"/>
    <xf numFmtId="0" fontId="0" fillId="0" borderId="6" xfId="0" applyBorder="1"/>
    <xf numFmtId="164" fontId="0" fillId="0" borderId="6" xfId="2" applyNumberFormat="1" applyFont="1" applyFill="1" applyBorder="1"/>
    <xf numFmtId="0" fontId="0" fillId="0" borderId="12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9" borderId="6" xfId="0" applyFill="1" applyBorder="1"/>
    <xf numFmtId="0" fontId="0" fillId="9" borderId="1" xfId="0" applyFill="1" applyBorder="1"/>
    <xf numFmtId="0" fontId="0" fillId="9" borderId="19" xfId="0" applyFill="1" applyBorder="1"/>
    <xf numFmtId="0" fontId="0" fillId="9" borderId="24" xfId="0" applyFill="1" applyBorder="1"/>
    <xf numFmtId="0" fontId="0" fillId="9" borderId="4" xfId="0" applyFill="1" applyBorder="1"/>
    <xf numFmtId="0" fontId="3" fillId="0" borderId="4" xfId="0" applyFont="1" applyBorder="1"/>
    <xf numFmtId="164" fontId="3" fillId="0" borderId="6" xfId="2" applyNumberFormat="1" applyFont="1" applyFill="1" applyBorder="1"/>
    <xf numFmtId="0" fontId="3" fillId="0" borderId="14" xfId="0" applyFont="1" applyBorder="1"/>
    <xf numFmtId="0" fontId="3" fillId="0" borderId="11" xfId="0" applyFont="1" applyBorder="1"/>
    <xf numFmtId="164" fontId="0" fillId="9" borderId="6" xfId="2" applyNumberFormat="1" applyFont="1" applyFill="1" applyBorder="1"/>
    <xf numFmtId="164" fontId="0" fillId="8" borderId="6" xfId="2" applyNumberFormat="1" applyFont="1" applyFill="1" applyBorder="1"/>
    <xf numFmtId="0" fontId="0" fillId="8" borderId="6" xfId="0" applyFill="1" applyBorder="1"/>
    <xf numFmtId="164" fontId="0" fillId="10" borderId="6" xfId="2" applyNumberFormat="1" applyFont="1" applyFill="1" applyBorder="1"/>
    <xf numFmtId="0" fontId="0" fillId="10" borderId="1" xfId="0" applyFill="1" applyBorder="1"/>
    <xf numFmtId="0" fontId="0" fillId="10" borderId="0" xfId="0" applyFill="1"/>
    <xf numFmtId="164" fontId="0" fillId="11" borderId="6" xfId="2" applyNumberFormat="1" applyFont="1" applyFill="1" applyBorder="1"/>
    <xf numFmtId="0" fontId="0" fillId="11" borderId="1" xfId="0" applyFill="1" applyBorder="1"/>
    <xf numFmtId="0" fontId="0" fillId="11" borderId="0" xfId="0" applyFill="1"/>
    <xf numFmtId="164" fontId="0" fillId="11" borderId="24" xfId="2" applyNumberFormat="1" applyFont="1" applyFill="1" applyBorder="1"/>
    <xf numFmtId="0" fontId="0" fillId="11" borderId="24" xfId="0" applyFill="1" applyBorder="1"/>
    <xf numFmtId="0" fontId="0" fillId="0" borderId="36" xfId="0" applyBorder="1"/>
    <xf numFmtId="0" fontId="0" fillId="0" borderId="37" xfId="0" applyBorder="1"/>
    <xf numFmtId="164" fontId="0" fillId="0" borderId="38" xfId="2" applyNumberFormat="1" applyFont="1" applyFill="1" applyBorder="1"/>
    <xf numFmtId="0" fontId="0" fillId="0" borderId="39" xfId="0" applyBorder="1"/>
    <xf numFmtId="164" fontId="0" fillId="0" borderId="40" xfId="2" applyNumberFormat="1" applyFont="1" applyFill="1" applyBorder="1"/>
    <xf numFmtId="164" fontId="0" fillId="7" borderId="24" xfId="2" applyNumberFormat="1" applyFont="1" applyFill="1" applyBorder="1"/>
    <xf numFmtId="0" fontId="0" fillId="7" borderId="24" xfId="0" applyFill="1" applyBorder="1"/>
    <xf numFmtId="164" fontId="0" fillId="7" borderId="6" xfId="2" applyNumberFormat="1" applyFont="1" applyFill="1" applyBorder="1"/>
    <xf numFmtId="0" fontId="0" fillId="7" borderId="0" xfId="0" applyFill="1"/>
    <xf numFmtId="0" fontId="0" fillId="9" borderId="0" xfId="0" applyFill="1"/>
    <xf numFmtId="0" fontId="0" fillId="8" borderId="0" xfId="0" applyFill="1"/>
    <xf numFmtId="0" fontId="0" fillId="12" borderId="0" xfId="0" applyFill="1"/>
    <xf numFmtId="164" fontId="0" fillId="8" borderId="24" xfId="2" applyNumberFormat="1" applyFont="1" applyFill="1" applyBorder="1"/>
    <xf numFmtId="0" fontId="0" fillId="8" borderId="24" xfId="0" applyFill="1" applyBorder="1"/>
    <xf numFmtId="0" fontId="0" fillId="13" borderId="0" xfId="0" applyFill="1"/>
    <xf numFmtId="164" fontId="0" fillId="13" borderId="38" xfId="2" applyNumberFormat="1" applyFont="1" applyFill="1" applyBorder="1"/>
    <xf numFmtId="0" fontId="0" fillId="13" borderId="4" xfId="0" applyFill="1" applyBorder="1"/>
    <xf numFmtId="0" fontId="0" fillId="13" borderId="1" xfId="0" applyFill="1" applyBorder="1"/>
    <xf numFmtId="164" fontId="0" fillId="12" borderId="24" xfId="2" applyNumberFormat="1" applyFont="1" applyFill="1" applyBorder="1"/>
    <xf numFmtId="0" fontId="0" fillId="12" borderId="24" xfId="0" applyFill="1" applyBorder="1"/>
    <xf numFmtId="164" fontId="0" fillId="12" borderId="6" xfId="2" applyNumberFormat="1" applyFont="1" applyFill="1" applyBorder="1"/>
    <xf numFmtId="0" fontId="0" fillId="12" borderId="6" xfId="0" applyFill="1" applyBorder="1"/>
    <xf numFmtId="164" fontId="0" fillId="14" borderId="6" xfId="2" applyNumberFormat="1" applyFont="1" applyFill="1" applyBorder="1"/>
    <xf numFmtId="0" fontId="0" fillId="14" borderId="1" xfId="0" applyFill="1" applyBorder="1"/>
    <xf numFmtId="0" fontId="0" fillId="14" borderId="0" xfId="0" applyFill="1"/>
    <xf numFmtId="165" fontId="0" fillId="0" borderId="0" xfId="0" applyNumberFormat="1"/>
    <xf numFmtId="10" fontId="0" fillId="0" borderId="0" xfId="2" applyNumberFormat="1" applyFont="1"/>
    <xf numFmtId="0" fontId="0" fillId="6" borderId="38" xfId="0" applyFill="1" applyBorder="1"/>
    <xf numFmtId="165" fontId="0" fillId="2" borderId="0" xfId="0" applyNumberFormat="1" applyFill="1"/>
    <xf numFmtId="0" fontId="0" fillId="15" borderId="41" xfId="0" applyFill="1" applyBorder="1"/>
    <xf numFmtId="0" fontId="0" fillId="15" borderId="42" xfId="0" applyFill="1" applyBorder="1"/>
    <xf numFmtId="0" fontId="0" fillId="0" borderId="41" xfId="0" applyBorder="1"/>
    <xf numFmtId="0" fontId="0" fillId="0" borderId="42" xfId="0" applyBorder="1"/>
    <xf numFmtId="0" fontId="2" fillId="3" borderId="43" xfId="0" applyFont="1" applyFill="1" applyBorder="1"/>
    <xf numFmtId="0" fontId="2" fillId="3" borderId="42" xfId="0" applyFont="1" applyFill="1" applyBorder="1"/>
    <xf numFmtId="166" fontId="0" fillId="15" borderId="42" xfId="0" applyNumberFormat="1" applyFill="1" applyBorder="1"/>
    <xf numFmtId="166" fontId="0" fillId="0" borderId="42" xfId="0" applyNumberFormat="1" applyBorder="1"/>
    <xf numFmtId="0" fontId="2" fillId="16" borderId="0" xfId="0" applyFont="1" applyFill="1"/>
    <xf numFmtId="0" fontId="2" fillId="17" borderId="0" xfId="0" applyFont="1" applyFill="1"/>
    <xf numFmtId="0" fontId="0" fillId="0" borderId="40" xfId="0" applyBorder="1"/>
    <xf numFmtId="164" fontId="0" fillId="13" borderId="1" xfId="2" applyNumberFormat="1" applyFont="1" applyFill="1" applyBorder="1"/>
    <xf numFmtId="0" fontId="0" fillId="13" borderId="16" xfId="0" applyFill="1" applyBorder="1"/>
    <xf numFmtId="0" fontId="0" fillId="13" borderId="17" xfId="0" applyFill="1" applyBorder="1"/>
    <xf numFmtId="0" fontId="0" fillId="9" borderId="16" xfId="0" applyFill="1" applyBorder="1"/>
    <xf numFmtId="0" fontId="0" fillId="0" borderId="0" xfId="0" applyFill="1"/>
    <xf numFmtId="2" fontId="0" fillId="0" borderId="0" xfId="0" applyNumberFormat="1" applyFill="1"/>
    <xf numFmtId="1" fontId="0" fillId="0" borderId="0" xfId="2" applyNumberFormat="1" applyFon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CCFF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eguardian.com/football/ng-interactive/2018/jun/05/world-cup-2018-complete-guide-players-ratings-goals-caps" TargetMode="External"/><Relationship Id="rId2" Type="http://schemas.openxmlformats.org/officeDocument/2006/relationships/hyperlink" Target="http://uk.businessinsider.com/one-player-you-need-to-know-from-every-team-at-the-2018-fifa-world-cup-2018-3/" TargetMode="External"/><Relationship Id="rId1" Type="http://schemas.openxmlformats.org/officeDocument/2006/relationships/hyperlink" Target="https://pt.wikipedia.org/wiki/Copa_do_Mundo_FIFA_de_2018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fa.com/worldcup/teams/team/43872/" TargetMode="External"/><Relationship Id="rId13" Type="http://schemas.openxmlformats.org/officeDocument/2006/relationships/hyperlink" Target="https://www.fifa.com/worldcup/teams/team/43963/" TargetMode="External"/><Relationship Id="rId18" Type="http://schemas.openxmlformats.org/officeDocument/2006/relationships/hyperlink" Target="https://www.fifa.com/worldcup/teams/team/43970/" TargetMode="External"/><Relationship Id="rId26" Type="http://schemas.openxmlformats.org/officeDocument/2006/relationships/hyperlink" Target="https://www.fifa.com/worldcup/teams/team/43855/" TargetMode="External"/><Relationship Id="rId3" Type="http://schemas.openxmlformats.org/officeDocument/2006/relationships/hyperlink" Target="https://www.fifa.com/worldcup/teams/team/43951/" TargetMode="External"/><Relationship Id="rId21" Type="http://schemas.openxmlformats.org/officeDocument/2006/relationships/hyperlink" Target="https://www.fifa.com/worldcup/teams/team/43888/" TargetMode="External"/><Relationship Id="rId34" Type="http://schemas.openxmlformats.org/officeDocument/2006/relationships/hyperlink" Target="http://uk.businessinsider.com/one-player-you-need-to-know-from-every-team-at-the-2018-fifa-world-cup-2018-3/" TargetMode="External"/><Relationship Id="rId7" Type="http://schemas.openxmlformats.org/officeDocument/2006/relationships/hyperlink" Target="https://www.fifa.com/worldcup/teams/team/43911/" TargetMode="External"/><Relationship Id="rId12" Type="http://schemas.openxmlformats.org/officeDocument/2006/relationships/hyperlink" Target="https://www.fifa.com/worldcup/teams/team/43962/" TargetMode="External"/><Relationship Id="rId17" Type="http://schemas.openxmlformats.org/officeDocument/2006/relationships/hyperlink" Target="https://www.fifa.com/worldcup/teams/team/43969/" TargetMode="External"/><Relationship Id="rId25" Type="http://schemas.openxmlformats.org/officeDocument/2006/relationships/hyperlink" Target="https://www.fifa.com/worldcup/teams/team/43971/" TargetMode="External"/><Relationship Id="rId33" Type="http://schemas.openxmlformats.org/officeDocument/2006/relationships/hyperlink" Target="https://pt.wikipedia.org/wiki/Copa_do_Mundo_FIFA_de_2018" TargetMode="External"/><Relationship Id="rId38" Type="http://schemas.openxmlformats.org/officeDocument/2006/relationships/comments" Target="../comments2.xml"/><Relationship Id="rId2" Type="http://schemas.openxmlformats.org/officeDocument/2006/relationships/hyperlink" Target="https://www.fifa.com/worldcup/teams/team/43948/" TargetMode="External"/><Relationship Id="rId16" Type="http://schemas.openxmlformats.org/officeDocument/2006/relationships/hyperlink" Target="https://www.fifa.com/worldcup/teams/team/43930/" TargetMode="External"/><Relationship Id="rId20" Type="http://schemas.openxmlformats.org/officeDocument/2006/relationships/hyperlink" Target="https://www.fifa.com/worldcup/teams/team/43879/" TargetMode="External"/><Relationship Id="rId29" Type="http://schemas.openxmlformats.org/officeDocument/2006/relationships/hyperlink" Target="https://www.fifa.com/worldcup/teams/team/43901/" TargetMode="External"/><Relationship Id="rId1" Type="http://schemas.openxmlformats.org/officeDocument/2006/relationships/hyperlink" Target="https://www.fifa.com/worldcup/teams/team/43946/" TargetMode="External"/><Relationship Id="rId6" Type="http://schemas.openxmlformats.org/officeDocument/2006/relationships/hyperlink" Target="https://www.fifa.com/worldcup/teams/team/43822/" TargetMode="External"/><Relationship Id="rId11" Type="http://schemas.openxmlformats.org/officeDocument/2006/relationships/hyperlink" Target="https://www.fifa.com/worldcup/teams/team/43929/" TargetMode="External"/><Relationship Id="rId24" Type="http://schemas.openxmlformats.org/officeDocument/2006/relationships/hyperlink" Target="https://www.fifa.com/worldcup/teams/team/43924/" TargetMode="External"/><Relationship Id="rId32" Type="http://schemas.openxmlformats.org/officeDocument/2006/relationships/hyperlink" Target="https://www.fifa.com/worldcup/teams/team/43926/" TargetMode="External"/><Relationship Id="rId37" Type="http://schemas.openxmlformats.org/officeDocument/2006/relationships/vmlDrawing" Target="../drawings/vmlDrawing2.vml"/><Relationship Id="rId5" Type="http://schemas.openxmlformats.org/officeDocument/2006/relationships/hyperlink" Target="https://www.fifa.com/worldcup/teams/team/43819/" TargetMode="External"/><Relationship Id="rId15" Type="http://schemas.openxmlformats.org/officeDocument/2006/relationships/hyperlink" Target="https://www.fifa.com/worldcup/teams/team/43835/" TargetMode="External"/><Relationship Id="rId23" Type="http://schemas.openxmlformats.org/officeDocument/2006/relationships/hyperlink" Target="https://www.fifa.com/worldcup/teams/team/43922/" TargetMode="External"/><Relationship Id="rId28" Type="http://schemas.openxmlformats.org/officeDocument/2006/relationships/hyperlink" Target="https://www.fifa.com/worldcup/teams/team/43938/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https://www.fifa.com/worldcup/teams/team/43914/" TargetMode="External"/><Relationship Id="rId19" Type="http://schemas.openxmlformats.org/officeDocument/2006/relationships/hyperlink" Target="https://www.fifa.com/worldcup/teams/team/1902465/" TargetMode="External"/><Relationship Id="rId31" Type="http://schemas.openxmlformats.org/officeDocument/2006/relationships/hyperlink" Target="https://www.fifa.com/worldcup/teams/team/43942/" TargetMode="External"/><Relationship Id="rId4" Type="http://schemas.openxmlformats.org/officeDocument/2006/relationships/hyperlink" Target="https://www.fifa.com/worldcup/teams/team/43817/" TargetMode="External"/><Relationship Id="rId9" Type="http://schemas.openxmlformats.org/officeDocument/2006/relationships/hyperlink" Target="https://www.fifa.com/worldcup/teams/team/43876/" TargetMode="External"/><Relationship Id="rId14" Type="http://schemas.openxmlformats.org/officeDocument/2006/relationships/hyperlink" Target="https://www.fifa.com/worldcup/teams/team/43965/" TargetMode="External"/><Relationship Id="rId22" Type="http://schemas.openxmlformats.org/officeDocument/2006/relationships/hyperlink" Target="https://www.fifa.com/worldcup/teams/team/43976/" TargetMode="External"/><Relationship Id="rId27" Type="http://schemas.openxmlformats.org/officeDocument/2006/relationships/hyperlink" Target="https://www.fifa.com/worldcup/teams/team/43941/" TargetMode="External"/><Relationship Id="rId30" Type="http://schemas.openxmlformats.org/officeDocument/2006/relationships/hyperlink" Target="https://www.fifa.com/worldcup/teams/team/43935/" TargetMode="External"/><Relationship Id="rId35" Type="http://schemas.openxmlformats.org/officeDocument/2006/relationships/hyperlink" Target="https://www.theguardian.com/football/ng-interactive/2018/jun/05/world-cup-2018-complete-guide-players-ratings-goals-caps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kwese.espn.com/football/match?gameId=498187" TargetMode="External"/><Relationship Id="rId21" Type="http://schemas.openxmlformats.org/officeDocument/2006/relationships/hyperlink" Target="http://kwese.espn.com/football/match?gameId=498190" TargetMode="External"/><Relationship Id="rId42" Type="http://schemas.openxmlformats.org/officeDocument/2006/relationships/hyperlink" Target="https://www.fifa.com/worldcup/matches/match/300331527/" TargetMode="External"/><Relationship Id="rId47" Type="http://schemas.openxmlformats.org/officeDocument/2006/relationships/hyperlink" Target="https://www.fifa.com/worldcup/matches/match/300331513/" TargetMode="External"/><Relationship Id="rId63" Type="http://schemas.openxmlformats.org/officeDocument/2006/relationships/hyperlink" Target="http://kwese.espn.com/football/matchstats?gameId=498174" TargetMode="External"/><Relationship Id="rId68" Type="http://schemas.openxmlformats.org/officeDocument/2006/relationships/hyperlink" Target="https://www.fifa.com/worldcup/matches/match/300331508/" TargetMode="External"/><Relationship Id="rId84" Type="http://schemas.openxmlformats.org/officeDocument/2006/relationships/hyperlink" Target="https://www.fifa.com/worldcup/matches/match/300331510/" TargetMode="External"/><Relationship Id="rId89" Type="http://schemas.openxmlformats.org/officeDocument/2006/relationships/hyperlink" Target="https://www.fifa.com/worldcup/matches/match/300331521/" TargetMode="External"/><Relationship Id="rId2" Type="http://schemas.openxmlformats.org/officeDocument/2006/relationships/hyperlink" Target="https://www.fifa.com/worldcup/matches/match/300353632/" TargetMode="External"/><Relationship Id="rId16" Type="http://schemas.openxmlformats.org/officeDocument/2006/relationships/hyperlink" Target="http://kwese.espn.com/football/match?gameId=498195" TargetMode="External"/><Relationship Id="rId29" Type="http://schemas.openxmlformats.org/officeDocument/2006/relationships/hyperlink" Target="https://www.fifa.com/worldcup/matches/match/300331502/" TargetMode="External"/><Relationship Id="rId107" Type="http://schemas.openxmlformats.org/officeDocument/2006/relationships/hyperlink" Target="http://kwese.espn.com/football/match?gameId=498151" TargetMode="External"/><Relationship Id="rId11" Type="http://schemas.openxmlformats.org/officeDocument/2006/relationships/hyperlink" Target="http://kwese.espn.com/football/match?gameId=498199" TargetMode="External"/><Relationship Id="rId24" Type="http://schemas.openxmlformats.org/officeDocument/2006/relationships/hyperlink" Target="http://kwese.espn.com/football/match?gameId=498192" TargetMode="External"/><Relationship Id="rId32" Type="http://schemas.openxmlformats.org/officeDocument/2006/relationships/hyperlink" Target="https://www.fifa.com/worldcup/matches/match/300331499/" TargetMode="External"/><Relationship Id="rId37" Type="http://schemas.openxmlformats.org/officeDocument/2006/relationships/hyperlink" Target="http://kwese.espn.com/football/matchstats?gameId=498185" TargetMode="External"/><Relationship Id="rId40" Type="http://schemas.openxmlformats.org/officeDocument/2006/relationships/hyperlink" Target="https://www.fifa.com/worldcup/matches/match/300331496/" TargetMode="External"/><Relationship Id="rId45" Type="http://schemas.openxmlformats.org/officeDocument/2006/relationships/hyperlink" Target="https://www.fifa.com/worldcup/matches/match/300331518/" TargetMode="External"/><Relationship Id="rId53" Type="http://schemas.openxmlformats.org/officeDocument/2006/relationships/hyperlink" Target="http://kwese.espn.com/football/match?gameId=498172" TargetMode="External"/><Relationship Id="rId58" Type="http://schemas.openxmlformats.org/officeDocument/2006/relationships/hyperlink" Target="https://www.fifa.com/worldcup/matches/match/300331497/" TargetMode="External"/><Relationship Id="rId66" Type="http://schemas.openxmlformats.org/officeDocument/2006/relationships/hyperlink" Target="https://www.fifa.com/worldcup/matches/match/300331546/" TargetMode="External"/><Relationship Id="rId74" Type="http://schemas.openxmlformats.org/officeDocument/2006/relationships/hyperlink" Target="http://kwese.espn.com/football/matchstats?gameId=498168" TargetMode="External"/><Relationship Id="rId79" Type="http://schemas.openxmlformats.org/officeDocument/2006/relationships/hyperlink" Target="http://kwese.espn.com/football/matchstats?gameId=498165" TargetMode="External"/><Relationship Id="rId87" Type="http://schemas.openxmlformats.org/officeDocument/2006/relationships/hyperlink" Target="https://www.fifa.com/worldcup/matches/match/300331532/" TargetMode="External"/><Relationship Id="rId102" Type="http://schemas.openxmlformats.org/officeDocument/2006/relationships/hyperlink" Target="https://www.fifa.com/worldcup/matches/match/300331537/" TargetMode="External"/><Relationship Id="rId110" Type="http://schemas.openxmlformats.org/officeDocument/2006/relationships/printerSettings" Target="../printerSettings/printerSettings3.bin"/><Relationship Id="rId5" Type="http://schemas.openxmlformats.org/officeDocument/2006/relationships/hyperlink" Target="https://www.fifa.com/worldcup/matches/match/300331533/" TargetMode="External"/><Relationship Id="rId61" Type="http://schemas.openxmlformats.org/officeDocument/2006/relationships/hyperlink" Target="https://www.fifa.com/worldcup/matches/" TargetMode="External"/><Relationship Id="rId82" Type="http://schemas.openxmlformats.org/officeDocument/2006/relationships/hyperlink" Target="https://www.fifa.com/worldcup/matches/match/300331512/" TargetMode="External"/><Relationship Id="rId90" Type="http://schemas.openxmlformats.org/officeDocument/2006/relationships/hyperlink" Target="https://www.fifa.com/worldcup/matches/match/300331534/" TargetMode="External"/><Relationship Id="rId95" Type="http://schemas.openxmlformats.org/officeDocument/2006/relationships/hyperlink" Target="http://kwese.espn.com/football/matchstats?gameId=498158" TargetMode="External"/><Relationship Id="rId19" Type="http://schemas.openxmlformats.org/officeDocument/2006/relationships/hyperlink" Target="https://www.fifa.com/worldcup/matches/match/300331529/" TargetMode="External"/><Relationship Id="rId14" Type="http://schemas.openxmlformats.org/officeDocument/2006/relationships/hyperlink" Target="https://www.fifa.com/worldcup/matches/match/300331528/" TargetMode="External"/><Relationship Id="rId22" Type="http://schemas.openxmlformats.org/officeDocument/2006/relationships/hyperlink" Target="http://kwese.espn.com/football/match?gameId=498189" TargetMode="External"/><Relationship Id="rId27" Type="http://schemas.openxmlformats.org/officeDocument/2006/relationships/hyperlink" Target="http://kwese.espn.com/football/match?gameId=498186" TargetMode="External"/><Relationship Id="rId30" Type="http://schemas.openxmlformats.org/officeDocument/2006/relationships/hyperlink" Target="https://www.fifa.com/worldcup/matches/match/300331525/" TargetMode="External"/><Relationship Id="rId35" Type="http://schemas.openxmlformats.org/officeDocument/2006/relationships/hyperlink" Target="https://www.fifa.com/worldcup/matches/match/300331554/" TargetMode="External"/><Relationship Id="rId43" Type="http://schemas.openxmlformats.org/officeDocument/2006/relationships/hyperlink" Target="http://kwese.espn.com/football/match?gameId=498182" TargetMode="External"/><Relationship Id="rId48" Type="http://schemas.openxmlformats.org/officeDocument/2006/relationships/hyperlink" Target="http://kwese.espn.com/football/match?gameId=498179" TargetMode="External"/><Relationship Id="rId56" Type="http://schemas.openxmlformats.org/officeDocument/2006/relationships/hyperlink" Target="http://kwese.espn.com/football/match?gameId=498176" TargetMode="External"/><Relationship Id="rId64" Type="http://schemas.openxmlformats.org/officeDocument/2006/relationships/hyperlink" Target="https://www.fifa.com/worldcup/matches/match/300331549/" TargetMode="External"/><Relationship Id="rId69" Type="http://schemas.openxmlformats.org/officeDocument/2006/relationships/hyperlink" Target="https://www.fifa.com/worldcup/matches/match/300331516/" TargetMode="External"/><Relationship Id="rId77" Type="http://schemas.openxmlformats.org/officeDocument/2006/relationships/hyperlink" Target="http://kwese.espn.com/football/matchstats?gameId=498164" TargetMode="External"/><Relationship Id="rId100" Type="http://schemas.openxmlformats.org/officeDocument/2006/relationships/hyperlink" Target="http://kwese.espn.com/football/match?gameId=498159" TargetMode="External"/><Relationship Id="rId105" Type="http://schemas.openxmlformats.org/officeDocument/2006/relationships/hyperlink" Target="http://kwese.espn.com/football/match?gameId=498150" TargetMode="External"/><Relationship Id="rId8" Type="http://schemas.openxmlformats.org/officeDocument/2006/relationships/hyperlink" Target="http://kwese.espn.com/football/match?gameId=498197" TargetMode="External"/><Relationship Id="rId51" Type="http://schemas.openxmlformats.org/officeDocument/2006/relationships/hyperlink" Target="http://kwese.espn.com/football/match?gameId=498177" TargetMode="External"/><Relationship Id="rId72" Type="http://schemas.openxmlformats.org/officeDocument/2006/relationships/hyperlink" Target="https://www.fifa.com/worldcup/matches/match/300331509/" TargetMode="External"/><Relationship Id="rId80" Type="http://schemas.openxmlformats.org/officeDocument/2006/relationships/hyperlink" Target="http://kwese.espn.com/football/matchstats?gameId=498166" TargetMode="External"/><Relationship Id="rId85" Type="http://schemas.openxmlformats.org/officeDocument/2006/relationships/hyperlink" Target="http://kwese.espn.com/football/matchstats?gameId=498162" TargetMode="External"/><Relationship Id="rId93" Type="http://schemas.openxmlformats.org/officeDocument/2006/relationships/hyperlink" Target="https://www.fifa.com/worldcup/matches/match/300331520/" TargetMode="External"/><Relationship Id="rId98" Type="http://schemas.openxmlformats.org/officeDocument/2006/relationships/hyperlink" Target="http://kwese.espn.com/football/matchstats?gameId=498156" TargetMode="External"/><Relationship Id="rId3" Type="http://schemas.openxmlformats.org/officeDocument/2006/relationships/hyperlink" Target="https://www.fifa.com/worldcup/matches/match/300331526/" TargetMode="External"/><Relationship Id="rId12" Type="http://schemas.openxmlformats.org/officeDocument/2006/relationships/hyperlink" Target="http://kwese.espn.com/football/match?gameId=498202" TargetMode="External"/><Relationship Id="rId17" Type="http://schemas.openxmlformats.org/officeDocument/2006/relationships/hyperlink" Target="http://eloratings.net/2018_World_Cup_fixtures" TargetMode="External"/><Relationship Id="rId25" Type="http://schemas.openxmlformats.org/officeDocument/2006/relationships/hyperlink" Target="http://kwese.espn.com/football/match?gameId=498188" TargetMode="External"/><Relationship Id="rId33" Type="http://schemas.openxmlformats.org/officeDocument/2006/relationships/hyperlink" Target="https://www.fifa.com/worldcup/matches/match/300331539/" TargetMode="External"/><Relationship Id="rId38" Type="http://schemas.openxmlformats.org/officeDocument/2006/relationships/hyperlink" Target="http://kwese.espn.com/football/match?gameId=498184" TargetMode="External"/><Relationship Id="rId46" Type="http://schemas.openxmlformats.org/officeDocument/2006/relationships/hyperlink" Target="http://kwese.espn.com/football/match?gameId=498181" TargetMode="External"/><Relationship Id="rId59" Type="http://schemas.openxmlformats.org/officeDocument/2006/relationships/hyperlink" Target="https://www.fifa.com/worldcup/matches/match/300340183/" TargetMode="External"/><Relationship Id="rId67" Type="http://schemas.openxmlformats.org/officeDocument/2006/relationships/hyperlink" Target="https://www.fifa.com/worldcup/matches/match/300331505/" TargetMode="External"/><Relationship Id="rId103" Type="http://schemas.openxmlformats.org/officeDocument/2006/relationships/hyperlink" Target="http://kwese.espn.com/football/match?gameId=498153" TargetMode="External"/><Relationship Id="rId108" Type="http://schemas.openxmlformats.org/officeDocument/2006/relationships/hyperlink" Target="https://www.fifa.com/worldcup/matches/match/300331535/" TargetMode="External"/><Relationship Id="rId20" Type="http://schemas.openxmlformats.org/officeDocument/2006/relationships/hyperlink" Target="http://kwese.espn.com/football/match?gameId=498191" TargetMode="External"/><Relationship Id="rId41" Type="http://schemas.openxmlformats.org/officeDocument/2006/relationships/hyperlink" Target="http://kwese.espn.com/football/matchstats?gameId=498183" TargetMode="External"/><Relationship Id="rId54" Type="http://schemas.openxmlformats.org/officeDocument/2006/relationships/hyperlink" Target="http://kwese.espn.com/football/match?gameId=498171" TargetMode="External"/><Relationship Id="rId62" Type="http://schemas.openxmlformats.org/officeDocument/2006/relationships/hyperlink" Target="https://www.fifa.com/worldcup/matches/match/300331501/" TargetMode="External"/><Relationship Id="rId70" Type="http://schemas.openxmlformats.org/officeDocument/2006/relationships/hyperlink" Target="http://kwese.espn.com/football/matchstats?gameId=498170" TargetMode="External"/><Relationship Id="rId75" Type="http://schemas.openxmlformats.org/officeDocument/2006/relationships/hyperlink" Target="http://kwese.espn.com/football/matchstats?gameId=498167" TargetMode="External"/><Relationship Id="rId83" Type="http://schemas.openxmlformats.org/officeDocument/2006/relationships/hyperlink" Target="https://www.fifa.com/worldcup/matches/match/300331519/" TargetMode="External"/><Relationship Id="rId88" Type="http://schemas.openxmlformats.org/officeDocument/2006/relationships/hyperlink" Target="https://www.fifa.com/worldcup/matches/match/300331548/" TargetMode="External"/><Relationship Id="rId91" Type="http://schemas.openxmlformats.org/officeDocument/2006/relationships/hyperlink" Target="https://www.fifa.com/worldcup/matches/match/300331507/" TargetMode="External"/><Relationship Id="rId96" Type="http://schemas.openxmlformats.org/officeDocument/2006/relationships/hyperlink" Target="http://kwese.espn.com/football/matchstats?gameId=498157" TargetMode="External"/><Relationship Id="rId1" Type="http://schemas.openxmlformats.org/officeDocument/2006/relationships/hyperlink" Target="https://www.fifa.com/worldcup/matches/match/300331503/" TargetMode="External"/><Relationship Id="rId6" Type="http://schemas.openxmlformats.org/officeDocument/2006/relationships/hyperlink" Target="https://www.fifa.com/worldcup/matches/match/300331515/" TargetMode="External"/><Relationship Id="rId15" Type="http://schemas.openxmlformats.org/officeDocument/2006/relationships/hyperlink" Target="https://www.fifa.com/worldcup/matches/match/300331523/" TargetMode="External"/><Relationship Id="rId23" Type="http://schemas.openxmlformats.org/officeDocument/2006/relationships/hyperlink" Target="http://kwese.espn.com/football/match?gameId=498193" TargetMode="External"/><Relationship Id="rId28" Type="http://schemas.openxmlformats.org/officeDocument/2006/relationships/hyperlink" Target="https://www.fifa.com/worldcup/matches/match/300331550/" TargetMode="External"/><Relationship Id="rId36" Type="http://schemas.openxmlformats.org/officeDocument/2006/relationships/hyperlink" Target="https://www.fifa.com/worldcup/matches/match/300331511/" TargetMode="External"/><Relationship Id="rId49" Type="http://schemas.openxmlformats.org/officeDocument/2006/relationships/hyperlink" Target="https://www.fifa.com/worldcup/matches/match/300331540/" TargetMode="External"/><Relationship Id="rId57" Type="http://schemas.openxmlformats.org/officeDocument/2006/relationships/hyperlink" Target="https://www.fifa.com/worldcup/matches/match/300331547/" TargetMode="External"/><Relationship Id="rId106" Type="http://schemas.openxmlformats.org/officeDocument/2006/relationships/hyperlink" Target="http://kwese.espn.com/football/match?gameId=498149" TargetMode="External"/><Relationship Id="rId10" Type="http://schemas.openxmlformats.org/officeDocument/2006/relationships/hyperlink" Target="http://kwese.espn.com/football/match?gameId=498200" TargetMode="External"/><Relationship Id="rId31" Type="http://schemas.openxmlformats.org/officeDocument/2006/relationships/hyperlink" Target="https://www.fifa.com/worldcup/matches/match/300331495/" TargetMode="External"/><Relationship Id="rId44" Type="http://schemas.openxmlformats.org/officeDocument/2006/relationships/hyperlink" Target="http://kwese.espn.com/football/matchstats?gameId=498180" TargetMode="External"/><Relationship Id="rId52" Type="http://schemas.openxmlformats.org/officeDocument/2006/relationships/hyperlink" Target="http://kwese.espn.com/football/match?gameId=498173" TargetMode="External"/><Relationship Id="rId60" Type="http://schemas.openxmlformats.org/officeDocument/2006/relationships/hyperlink" Target="https://www.fifa.com/fifa-tournaments/statistics-and-records/worldcup/index.html" TargetMode="External"/><Relationship Id="rId65" Type="http://schemas.openxmlformats.org/officeDocument/2006/relationships/hyperlink" Target="http://aovivo.folha.uol.com.br/2018/06/23/5380-aovivo.shtml" TargetMode="External"/><Relationship Id="rId73" Type="http://schemas.openxmlformats.org/officeDocument/2006/relationships/hyperlink" Target="https://www.fifa.com/worldcup/matches/match/300340184/" TargetMode="External"/><Relationship Id="rId78" Type="http://schemas.openxmlformats.org/officeDocument/2006/relationships/hyperlink" Target="http://kwese.espn.com/football/matchstats?gameId=498163" TargetMode="External"/><Relationship Id="rId81" Type="http://schemas.openxmlformats.org/officeDocument/2006/relationships/hyperlink" Target="https://www.fifa.com/worldcup/matches/match/300331506/" TargetMode="External"/><Relationship Id="rId86" Type="http://schemas.openxmlformats.org/officeDocument/2006/relationships/hyperlink" Target="http://kwese.espn.com/football/matchstats?gameId=498161" TargetMode="External"/><Relationship Id="rId94" Type="http://schemas.openxmlformats.org/officeDocument/2006/relationships/hyperlink" Target="https://www.fifa.com/worldcup/matches/match/300340182/" TargetMode="External"/><Relationship Id="rId99" Type="http://schemas.openxmlformats.org/officeDocument/2006/relationships/hyperlink" Target="http://kwese.espn.com/football/match?gameId=498159" TargetMode="External"/><Relationship Id="rId101" Type="http://schemas.openxmlformats.org/officeDocument/2006/relationships/hyperlink" Target="http://kwese.espn.com/football/match?gameId=498154" TargetMode="External"/><Relationship Id="rId4" Type="http://schemas.openxmlformats.org/officeDocument/2006/relationships/hyperlink" Target="https://www.fifa.com/worldcup/matches/match/300331524/" TargetMode="External"/><Relationship Id="rId9" Type="http://schemas.openxmlformats.org/officeDocument/2006/relationships/hyperlink" Target="http://kwese.espn.com/football/match?gameId=498201" TargetMode="External"/><Relationship Id="rId13" Type="http://schemas.openxmlformats.org/officeDocument/2006/relationships/hyperlink" Target="http://kwese.espn.com/football/matchstats?gameId=498196" TargetMode="External"/><Relationship Id="rId18" Type="http://schemas.openxmlformats.org/officeDocument/2006/relationships/hyperlink" Target="http://kwese.espn.com/football/match?gameId=498194" TargetMode="External"/><Relationship Id="rId39" Type="http://schemas.openxmlformats.org/officeDocument/2006/relationships/hyperlink" Target="https://www.fifa.com/worldcup/matches/match/300331530/" TargetMode="External"/><Relationship Id="rId109" Type="http://schemas.openxmlformats.org/officeDocument/2006/relationships/hyperlink" Target="https://www.fifa.com/worldcup/matches/match/300331551/" TargetMode="External"/><Relationship Id="rId34" Type="http://schemas.openxmlformats.org/officeDocument/2006/relationships/hyperlink" Target="https://www.fifa.com/worldcup/matches/match/300331545/" TargetMode="External"/><Relationship Id="rId50" Type="http://schemas.openxmlformats.org/officeDocument/2006/relationships/hyperlink" Target="http://kwese.espn.com/football/match?gameId=498178" TargetMode="External"/><Relationship Id="rId55" Type="http://schemas.openxmlformats.org/officeDocument/2006/relationships/hyperlink" Target="http://kwese.espn.com/football/match?gameId=498175" TargetMode="External"/><Relationship Id="rId76" Type="http://schemas.openxmlformats.org/officeDocument/2006/relationships/hyperlink" Target="https://www.fifa.com/worldcup/matches/match/300331500/" TargetMode="External"/><Relationship Id="rId97" Type="http://schemas.openxmlformats.org/officeDocument/2006/relationships/hyperlink" Target="http://kwese.espn.com/football/matchstats?gameId=498155" TargetMode="External"/><Relationship Id="rId104" Type="http://schemas.openxmlformats.org/officeDocument/2006/relationships/hyperlink" Target="http://kwese.espn.com/football/match?gameId=498152" TargetMode="External"/><Relationship Id="rId7" Type="http://schemas.openxmlformats.org/officeDocument/2006/relationships/hyperlink" Target="http://kwese.espn.com/football/match?gameId=498198" TargetMode="External"/><Relationship Id="rId71" Type="http://schemas.openxmlformats.org/officeDocument/2006/relationships/hyperlink" Target="http://kwese.espn.com/football/match?gameId=498169" TargetMode="External"/><Relationship Id="rId92" Type="http://schemas.openxmlformats.org/officeDocument/2006/relationships/hyperlink" Target="https://www.fifa.com/worldcup/matches/match/300331553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31742-E5FD-4FC0-ABB4-853A6FE76227}">
  <dimension ref="A1:AC35"/>
  <sheetViews>
    <sheetView tabSelected="1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F35" sqref="F35"/>
    </sheetView>
  </sheetViews>
  <sheetFormatPr defaultRowHeight="15" x14ac:dyDescent="0.25"/>
  <cols>
    <col min="1" max="1" width="7.140625" bestFit="1" customWidth="1"/>
    <col min="2" max="2" width="13.85546875" bestFit="1" customWidth="1"/>
    <col min="3" max="4" width="13.85546875" customWidth="1"/>
    <col min="5" max="5" width="5.140625" bestFit="1" customWidth="1"/>
    <col min="6" max="6" width="21.7109375" bestFit="1" customWidth="1"/>
    <col min="7" max="7" width="13.28515625" bestFit="1" customWidth="1"/>
    <col min="8" max="8" width="13.28515625" customWidth="1"/>
    <col min="9" max="9" width="9.140625" bestFit="1" customWidth="1"/>
    <col min="11" max="11" width="14.28515625" bestFit="1" customWidth="1"/>
    <col min="13" max="13" width="4" customWidth="1"/>
    <col min="14" max="14" width="16.28515625" customWidth="1"/>
    <col min="15" max="17" width="6.85546875" customWidth="1"/>
    <col min="18" max="18" width="7.7109375" bestFit="1" customWidth="1"/>
    <col min="19" max="19" width="20.140625" customWidth="1"/>
    <col min="20" max="20" width="15.85546875" bestFit="1" customWidth="1"/>
    <col min="21" max="21" width="16.85546875" bestFit="1" customWidth="1"/>
    <col min="22" max="22" width="5.42578125" customWidth="1"/>
    <col min="24" max="24" width="9.42578125" bestFit="1" customWidth="1"/>
    <col min="25" max="25" width="13.140625" bestFit="1" customWidth="1"/>
    <col min="26" max="26" width="16" bestFit="1" customWidth="1"/>
    <col min="27" max="27" width="12" bestFit="1" customWidth="1"/>
    <col min="29" max="29" width="10.5703125" bestFit="1" customWidth="1"/>
  </cols>
  <sheetData>
    <row r="1" spans="1:29" x14ac:dyDescent="0.25">
      <c r="A1" s="4" t="s">
        <v>683</v>
      </c>
      <c r="B1" s="4" t="s">
        <v>684</v>
      </c>
      <c r="C1" s="4" t="s">
        <v>9</v>
      </c>
      <c r="D1" s="4" t="s">
        <v>10</v>
      </c>
      <c r="E1" s="4" t="s">
        <v>685</v>
      </c>
      <c r="F1" s="4" t="s">
        <v>686</v>
      </c>
      <c r="G1" s="4" t="s">
        <v>687</v>
      </c>
      <c r="H1" s="4" t="s">
        <v>688</v>
      </c>
      <c r="I1" s="4" t="s">
        <v>525</v>
      </c>
      <c r="J1" s="4" t="s">
        <v>693</v>
      </c>
      <c r="K1" s="4" t="s">
        <v>694</v>
      </c>
      <c r="L1" t="s">
        <v>133</v>
      </c>
      <c r="M1" s="4"/>
      <c r="O1" s="4" t="s">
        <v>562</v>
      </c>
      <c r="P1" s="4" t="s">
        <v>563</v>
      </c>
      <c r="Q1" s="4" t="s">
        <v>564</v>
      </c>
      <c r="R1" s="4" t="s">
        <v>572</v>
      </c>
      <c r="S1" s="4" t="s">
        <v>528</v>
      </c>
      <c r="T1" s="4" t="s">
        <v>529</v>
      </c>
      <c r="U1" s="4" t="s">
        <v>527</v>
      </c>
      <c r="V1" s="4"/>
      <c r="W1" t="s">
        <v>117</v>
      </c>
      <c r="X1" t="s">
        <v>118</v>
      </c>
      <c r="Y1" t="s">
        <v>300</v>
      </c>
      <c r="Z1" t="s">
        <v>301</v>
      </c>
      <c r="AA1" t="s">
        <v>119</v>
      </c>
      <c r="AB1" t="s">
        <v>120</v>
      </c>
      <c r="AC1" t="s">
        <v>311</v>
      </c>
    </row>
    <row r="2" spans="1:29" x14ac:dyDescent="0.25">
      <c r="A2">
        <v>1</v>
      </c>
      <c r="B2" t="s">
        <v>689</v>
      </c>
      <c r="C2" t="s">
        <v>690</v>
      </c>
      <c r="D2" t="s">
        <v>690</v>
      </c>
      <c r="E2" t="s">
        <v>691</v>
      </c>
      <c r="F2" t="s">
        <v>692</v>
      </c>
      <c r="G2">
        <v>0</v>
      </c>
      <c r="H2" s="6">
        <v>0.01</v>
      </c>
      <c r="I2" s="13">
        <v>50</v>
      </c>
      <c r="J2" t="s">
        <v>4</v>
      </c>
      <c r="K2" s="13" t="s">
        <v>695</v>
      </c>
      <c r="L2" s="1"/>
      <c r="M2" s="5" t="s">
        <v>223</v>
      </c>
      <c r="N2" t="str">
        <f>CONCATENATE("insert into tb_team(nm_team_BR,nm_team_PT,nm_team_EN,ac_team,nm_coach,nb_coach_age, vl_team_usd, nb_rank_fifa, id_group_cup) 
values ('",B2,"', '",C2,"','",D2,"', '",E2,"', '",F2,"', ",G2,", ",SUBSTITUTE(H2,",","."),", ",I2,", '",J2,"');")</f>
        <v>insert into tb_team(nm_team_BR,nm_team_PT,nm_team_EN,ac_team,nm_coach,nb_coach_age, vl_team_usd, nb_rank_fifa, id_group_cup) 
values ('Catar', 'Qatar','Qatar', 'QAT', 'SANCHEZ Felix', 0, 0.01, 50, 'A');</v>
      </c>
      <c r="O2">
        <v>1.25</v>
      </c>
      <c r="P2">
        <v>1.5</v>
      </c>
      <c r="Q2">
        <v>2</v>
      </c>
      <c r="R2">
        <v>0</v>
      </c>
      <c r="U2" t="s">
        <v>552</v>
      </c>
      <c r="W2">
        <f>COUNTA(Jogos!K3:K64)</f>
        <v>54</v>
      </c>
      <c r="X2">
        <f>SUM(Jogos!K3:K64)</f>
        <v>5257</v>
      </c>
      <c r="Y2">
        <f>SUM(Jogos!C3:C64,Jogos!E3:E64)</f>
        <v>143</v>
      </c>
      <c r="Z2">
        <f>MEDIAN(Jogos!C12:C64,Jogos!E3:E64)</f>
        <v>1</v>
      </c>
      <c r="AA2">
        <f>Y2/W2</f>
        <v>2.6481481481481484</v>
      </c>
      <c r="AB2">
        <f>X2/Y2</f>
        <v>36.76223776223776</v>
      </c>
      <c r="AC2" s="6">
        <f>SUM(H2:H33)</f>
        <v>11801.303333333333</v>
      </c>
    </row>
    <row r="3" spans="1:29" x14ac:dyDescent="0.25">
      <c r="B3" t="s">
        <v>5</v>
      </c>
      <c r="C3" t="s">
        <v>5</v>
      </c>
      <c r="D3" t="s">
        <v>93</v>
      </c>
      <c r="E3" t="s">
        <v>61</v>
      </c>
      <c r="F3" t="s">
        <v>166</v>
      </c>
      <c r="G3">
        <v>50</v>
      </c>
      <c r="H3" s="6">
        <f>15.1/0.75</f>
        <v>20.133333333333333</v>
      </c>
      <c r="I3" s="13"/>
      <c r="K3" s="13">
        <v>67</v>
      </c>
      <c r="L3" s="1"/>
      <c r="M3" s="5" t="s">
        <v>223</v>
      </c>
      <c r="N3" t="str">
        <f>CONCATENATE("insert into tb_time(nu_time, nm_time_BR,nm_time_PT,nm_time_EN,sg_time,nm_tecnico,nu_idade_tecnico, vl_time_usd,nu_rank_fifa,id_grupo) values (",A3,", '",B3,"', '",C3,"','",D3,"', '",E3,"', '",F3,"', ",G3,", ",SUBSTITUTE(H3,",","."),", ",I3,", '",J3,"');")</f>
        <v>insert into tb_time(nu_time, nm_time_BR,nm_time_PT,nm_time_EN,sg_time,nm_tecnico,nu_idade_tecnico, vl_time_usd,nu_rank_fifa,id_grupo) values (, 'Arábia Saudita', 'Arábia Saudita','Saudi Arabia', 'ASA', 'PIZZI Juan Antonio', 50, 20.1333333333333, , '');</v>
      </c>
      <c r="O3">
        <v>0</v>
      </c>
      <c r="P3">
        <v>0</v>
      </c>
      <c r="Q3">
        <v>0</v>
      </c>
      <c r="R3">
        <v>0</v>
      </c>
      <c r="S3" t="s">
        <v>553</v>
      </c>
      <c r="W3" t="s">
        <v>223</v>
      </c>
      <c r="Z3">
        <f>_xlfn.MODE.SNGL(Jogos!C12:C64,Jogos!E3:E64)</f>
        <v>1</v>
      </c>
    </row>
    <row r="4" spans="1:29" x14ac:dyDescent="0.25">
      <c r="B4" t="s">
        <v>7</v>
      </c>
      <c r="C4" t="s">
        <v>11</v>
      </c>
      <c r="D4" t="s">
        <v>131</v>
      </c>
      <c r="E4" t="s">
        <v>62</v>
      </c>
      <c r="F4" t="s">
        <v>130</v>
      </c>
      <c r="G4">
        <v>62</v>
      </c>
      <c r="H4" s="6">
        <f>172.9/0.75</f>
        <v>230.53333333333333</v>
      </c>
      <c r="I4" s="13"/>
      <c r="K4" s="13">
        <v>45</v>
      </c>
      <c r="L4" s="1"/>
      <c r="M4" s="5" t="s">
        <v>223</v>
      </c>
      <c r="N4" t="str">
        <f>CONCATENATE("insert into tb_time(nu_time, nm_time_BR,nm_time_PT,nm_time_EN,sg_time,nm_tecnico,nu_idade_tecnico, vl_time_usd,nu_rank_fifa,id_grupo) values (",A4,", '",B4,"', '",C4,"','",D4,"', '",E4,"', '",F4,"', ",G4,", ",SUBSTITUTE(H4,",","."),", ",I4,", '",J4,"');")</f>
        <v>insert into tb_time(nu_time, nm_time_BR,nm_time_PT,nm_time_EN,sg_time,nm_tecnico,nu_idade_tecnico, vl_time_usd,nu_rank_fifa,id_grupo) values (, 'Egito', 'Egipto','Egypt', 'EGI', 'CUPER Hector', 62, 230.533333333333, , '');</v>
      </c>
      <c r="O4">
        <v>0</v>
      </c>
      <c r="P4">
        <v>0</v>
      </c>
      <c r="Q4">
        <v>0</v>
      </c>
      <c r="R4">
        <v>0</v>
      </c>
      <c r="T4" t="s">
        <v>538</v>
      </c>
      <c r="W4" t="s">
        <v>223</v>
      </c>
      <c r="X4" s="1" t="s">
        <v>235</v>
      </c>
    </row>
    <row r="5" spans="1:29" x14ac:dyDescent="0.25">
      <c r="B5" t="s">
        <v>8</v>
      </c>
      <c r="C5" t="s">
        <v>8</v>
      </c>
      <c r="D5" t="s">
        <v>167</v>
      </c>
      <c r="E5" t="s">
        <v>63</v>
      </c>
      <c r="F5" t="s">
        <v>169</v>
      </c>
      <c r="G5">
        <v>71</v>
      </c>
      <c r="H5" s="6">
        <f>323.4/0.75</f>
        <v>431.2</v>
      </c>
      <c r="I5" s="13"/>
      <c r="K5" s="13">
        <v>14</v>
      </c>
      <c r="L5" s="1"/>
      <c r="M5" s="5" t="s">
        <v>223</v>
      </c>
      <c r="N5" t="str">
        <f>CONCATENATE("insert into tb_time(nu_time, nm_time_BR,nm_time_PT,nm_time_EN,sg_time,nm_tecnico,nu_idade_tecnico, vl_time_usd,nu_rank_fifa,id_grupo) values (",A5,", '",B5,"', '",C5,"','",D5,"', '",E5,"', '",F5,"', ",G5,", ",SUBSTITUTE(H5,",","."),", ",I5,", '",J5,"');")</f>
        <v>insert into tb_time(nu_time, nm_time_BR,nm_time_PT,nm_time_EN,sg_time,nm_tecnico,nu_idade_tecnico, vl_time_usd,nu_rank_fifa,id_grupo) values (, 'Uruguai', 'Uruguai','Uruguay', 'URU', 'TABAREZ Oscar', 71, 431.2, , '');</v>
      </c>
      <c r="O5">
        <v>2</v>
      </c>
      <c r="P5">
        <v>1</v>
      </c>
      <c r="Q5">
        <v>1</v>
      </c>
      <c r="R5">
        <v>2</v>
      </c>
      <c r="S5" t="s">
        <v>560</v>
      </c>
      <c r="W5" t="s">
        <v>223</v>
      </c>
      <c r="X5" s="1" t="s">
        <v>561</v>
      </c>
    </row>
    <row r="6" spans="1:29" x14ac:dyDescent="0.25">
      <c r="A6" s="123"/>
      <c r="B6" s="123" t="s">
        <v>12</v>
      </c>
      <c r="C6" s="123" t="s">
        <v>12</v>
      </c>
      <c r="D6" s="123" t="s">
        <v>12</v>
      </c>
      <c r="E6" s="123" t="s">
        <v>64</v>
      </c>
      <c r="F6" s="123" t="s">
        <v>162</v>
      </c>
      <c r="G6" s="123">
        <v>63</v>
      </c>
      <c r="H6" s="124">
        <f>411.04/0.75</f>
        <v>548.0533333333334</v>
      </c>
      <c r="I6" s="125"/>
      <c r="J6" s="123"/>
      <c r="K6" s="125">
        <v>4</v>
      </c>
      <c r="L6" s="1"/>
      <c r="M6" s="5" t="s">
        <v>223</v>
      </c>
      <c r="N6" t="str">
        <f>CONCATENATE("insert into tb_time(nu_time, nm_time_BR,nm_time_PT,nm_time_EN,sg_time,nm_tecnico,nu_idade_tecnico, vl_time_usd,nu_rank_fifa,id_grupo) values (",A6,", '",B6,"', '",C6,"','",D6,"', '",E6,"', '",F6,"', ",G6,", ",SUBSTITUTE(H6,",","."),", ",I6,", '",J6,"');")</f>
        <v>insert into tb_time(nu_time, nm_time_BR,nm_time_PT,nm_time_EN,sg_time,nm_tecnico,nu_idade_tecnico, vl_time_usd,nu_rank_fifa,id_grupo) values (, 'Portugal', 'Portugal','Portugal', 'POR', 'SANTOS Fernando', 63, 548.053333333333, , '');</v>
      </c>
      <c r="O6">
        <v>2</v>
      </c>
      <c r="P6">
        <v>1.5</v>
      </c>
      <c r="Q6">
        <v>1</v>
      </c>
      <c r="R6">
        <v>1</v>
      </c>
      <c r="S6" t="s">
        <v>551</v>
      </c>
      <c r="W6" t="s">
        <v>223</v>
      </c>
      <c r="X6" s="1" t="s">
        <v>565</v>
      </c>
    </row>
    <row r="7" spans="1:29" x14ac:dyDescent="0.25">
      <c r="A7" s="123"/>
      <c r="B7" s="123" t="s">
        <v>13</v>
      </c>
      <c r="C7" s="123" t="s">
        <v>13</v>
      </c>
      <c r="D7" s="123" t="s">
        <v>94</v>
      </c>
      <c r="E7" s="123" t="s">
        <v>65</v>
      </c>
      <c r="F7" s="123" t="s">
        <v>171</v>
      </c>
      <c r="G7" s="123">
        <v>50</v>
      </c>
      <c r="H7" s="124">
        <f>910.8/0.75</f>
        <v>1214.3999999999999</v>
      </c>
      <c r="I7" s="125"/>
      <c r="J7" s="123"/>
      <c r="K7" s="125">
        <v>10</v>
      </c>
      <c r="L7" s="1"/>
      <c r="M7" s="5" t="s">
        <v>223</v>
      </c>
      <c r="N7" t="str">
        <f>CONCATENATE("insert into tb_time(nu_time, nm_time_BR,nm_time_PT,nm_time_EN,sg_time,nm_tecnico,nu_idade_tecnico, vl_time_usd,nu_rank_fifa,id_grupo) values (",A7,", '",B7,"', '",C7,"','",D7,"', '",E7,"', '",F7,"', ",G7,", ",SUBSTITUTE(H7,",","."),", ",I7,", '",J7,"');")</f>
        <v>insert into tb_time(nu_time, nm_time_BR,nm_time_PT,nm_time_EN,sg_time,nm_tecnico,nu_idade_tecnico, vl_time_usd,nu_rank_fifa,id_grupo) values (, 'Espanha', 'Espanha','Spain', 'ESP', 'HIERRO Fernando', 50, 1214.4, , '');</v>
      </c>
      <c r="O7">
        <v>1</v>
      </c>
      <c r="P7">
        <v>2</v>
      </c>
      <c r="Q7">
        <v>1.5</v>
      </c>
      <c r="R7">
        <v>1</v>
      </c>
      <c r="S7" t="s">
        <v>567</v>
      </c>
      <c r="T7" t="s">
        <v>566</v>
      </c>
      <c r="W7" t="s">
        <v>223</v>
      </c>
    </row>
    <row r="8" spans="1:29" x14ac:dyDescent="0.25">
      <c r="A8" s="123"/>
      <c r="B8" s="123" t="s">
        <v>14</v>
      </c>
      <c r="C8" s="123" t="s">
        <v>14</v>
      </c>
      <c r="D8" s="123" t="s">
        <v>150</v>
      </c>
      <c r="E8" s="123" t="s">
        <v>66</v>
      </c>
      <c r="F8" s="123" t="s">
        <v>152</v>
      </c>
      <c r="G8" s="123">
        <v>49</v>
      </c>
      <c r="H8" s="124">
        <f>105.5/0.75</f>
        <v>140.66666666666666</v>
      </c>
      <c r="I8" s="125"/>
      <c r="J8" s="123"/>
      <c r="K8" s="125">
        <v>41</v>
      </c>
      <c r="L8" s="1"/>
      <c r="M8" s="5" t="s">
        <v>223</v>
      </c>
      <c r="N8" t="str">
        <f>CONCATENATE("insert into tb_time(nu_time, nm_time_BR,nm_time_PT,nm_time_EN,sg_time,nm_tecnico,nu_idade_tecnico, vl_time_usd,nu_rank_fifa,id_grupo) values (",A8,", '",B8,"', '",C8,"','",D8,"', '",E8,"', '",F8,"', ",G8,", ",SUBSTITUTE(H8,",","."),", ",I8,", '",J8,"');")</f>
        <v>insert into tb_time(nu_time, nm_time_BR,nm_time_PT,nm_time_EN,sg_time,nm_tecnico,nu_idade_tecnico, vl_time_usd,nu_rank_fifa,id_grupo) values (, 'Marrocos', 'Marrocos','Morocco', 'MAR', 'RENARD Herve', 49, 140.666666666667, , '');</v>
      </c>
      <c r="O8">
        <v>0</v>
      </c>
      <c r="P8">
        <v>0</v>
      </c>
      <c r="Q8">
        <v>0</v>
      </c>
      <c r="R8">
        <v>0</v>
      </c>
      <c r="U8" t="s">
        <v>547</v>
      </c>
      <c r="W8" t="s">
        <v>223</v>
      </c>
    </row>
    <row r="9" spans="1:29" x14ac:dyDescent="0.25">
      <c r="A9" s="123"/>
      <c r="B9" s="123" t="s">
        <v>15</v>
      </c>
      <c r="C9" s="123" t="s">
        <v>16</v>
      </c>
      <c r="D9" s="123" t="s">
        <v>140</v>
      </c>
      <c r="E9" s="123" t="s">
        <v>67</v>
      </c>
      <c r="F9" s="123" t="s">
        <v>142</v>
      </c>
      <c r="G9" s="123">
        <v>65</v>
      </c>
      <c r="H9" s="124">
        <f>37.4/0.75</f>
        <v>49.866666666666667</v>
      </c>
      <c r="I9" s="125"/>
      <c r="J9" s="123"/>
      <c r="K9" s="125">
        <v>37</v>
      </c>
      <c r="L9" s="1"/>
      <c r="M9" s="5" t="s">
        <v>223</v>
      </c>
      <c r="N9" t="str">
        <f>CONCATENATE("insert into tb_time(nu_time, nm_time_BR,nm_time_PT,nm_time_EN,sg_time,nm_tecnico,nu_idade_tecnico, vl_time_usd,nu_rank_fifa,id_grupo) values (",A9,", '",B9,"', '",C9,"','",D9,"', '",E9,"', '",F9,"', ",G9,", ",SUBSTITUTE(H9,",","."),", ",I9,", '",J9,"');")</f>
        <v>insert into tb_time(nu_time, nm_time_BR,nm_time_PT,nm_time_EN,sg_time,nm_tecnico,nu_idade_tecnico, vl_time_usd,nu_rank_fifa,id_grupo) values (, 'Irã', 'Irão','IR Iran', 'IRN', 'QUEIROZ Carlos', 65, 49.8666666666667, , '');</v>
      </c>
      <c r="O9">
        <v>0</v>
      </c>
      <c r="P9">
        <v>0</v>
      </c>
      <c r="Q9">
        <v>0</v>
      </c>
      <c r="R9">
        <v>0</v>
      </c>
      <c r="S9" t="s">
        <v>544</v>
      </c>
      <c r="W9" t="s">
        <v>223</v>
      </c>
    </row>
    <row r="10" spans="1:29" x14ac:dyDescent="0.25">
      <c r="B10" t="s">
        <v>26</v>
      </c>
      <c r="C10" t="s">
        <v>26</v>
      </c>
      <c r="D10" t="s">
        <v>27</v>
      </c>
      <c r="E10" t="s">
        <v>68</v>
      </c>
      <c r="F10" t="s">
        <v>135</v>
      </c>
      <c r="G10">
        <v>49</v>
      </c>
      <c r="H10" s="6">
        <f>907.7/0.75</f>
        <v>1210.2666666666667</v>
      </c>
      <c r="I10" s="13"/>
      <c r="K10" s="13">
        <v>7</v>
      </c>
      <c r="L10" s="1"/>
      <c r="M10" s="5" t="s">
        <v>223</v>
      </c>
      <c r="N10" t="str">
        <f>CONCATENATE("insert into tb_time(nu_time, nm_time_BR,nm_time_PT,nm_time_EN,sg_time,nm_tecnico,nu_idade_tecnico, vl_time_usd,nu_rank_fifa,id_grupo) values (",A10,", '",B10,"', '",C10,"','",D10,"', '",E10,"', '",F10,"', ",G10,", ",SUBSTITUTE(H10,",","."),", ",I10,", '",J10,"');")</f>
        <v>insert into tb_time(nu_time, nm_time_BR,nm_time_PT,nm_time_EN,sg_time,nm_tecnico,nu_idade_tecnico, vl_time_usd,nu_rank_fifa,id_grupo) values (, 'França', 'França','France', 'FRA', 'DESCHAMPS Didier', 49, 1210.26666666667, , '');</v>
      </c>
      <c r="O10">
        <v>1.5</v>
      </c>
      <c r="P10">
        <v>2</v>
      </c>
      <c r="Q10">
        <v>2</v>
      </c>
      <c r="R10">
        <v>1</v>
      </c>
      <c r="S10" t="s">
        <v>540</v>
      </c>
      <c r="T10" t="s">
        <v>568</v>
      </c>
      <c r="U10" t="s">
        <v>539</v>
      </c>
      <c r="W10" t="s">
        <v>223</v>
      </c>
    </row>
    <row r="11" spans="1:29" x14ac:dyDescent="0.25">
      <c r="B11" t="s">
        <v>28</v>
      </c>
      <c r="C11" t="s">
        <v>28</v>
      </c>
      <c r="D11" t="s">
        <v>95</v>
      </c>
      <c r="E11" t="s">
        <v>69</v>
      </c>
      <c r="F11" t="s">
        <v>122</v>
      </c>
      <c r="G11">
        <v>66</v>
      </c>
      <c r="H11" s="6">
        <f>43.6/0.75</f>
        <v>58.133333333333333</v>
      </c>
      <c r="I11" s="13"/>
      <c r="K11" s="13">
        <v>36</v>
      </c>
      <c r="L11" s="1"/>
      <c r="M11" s="5" t="s">
        <v>223</v>
      </c>
      <c r="N11" t="str">
        <f>CONCATENATE("insert into tb_time(nu_time, nm_time_BR,nm_time_PT,nm_time_EN,sg_time,nm_tecnico,nu_idade_tecnico, vl_time_usd,nu_rank_fifa,id_grupo) values (",A11,", '",B11,"', '",C11,"','",D11,"', '",E11,"', '",F11,"', ",G11,", ",SUBSTITUTE(H11,",","."),", ",I11,", '",J11,"');")</f>
        <v>insert into tb_time(nu_time, nm_time_BR,nm_time_PT,nm_time_EN,sg_time,nm_tecnico,nu_idade_tecnico, vl_time_usd,nu_rank_fifa,id_grupo) values (, 'Austrália', 'Austrália','Australia', 'AUS', 'VAN MARWIJK Bert', 66, 58.1333333333333, , '');</v>
      </c>
      <c r="O11">
        <v>1.75</v>
      </c>
      <c r="P11">
        <v>2</v>
      </c>
      <c r="Q11">
        <v>1.5</v>
      </c>
      <c r="R11">
        <v>0.1</v>
      </c>
      <c r="T11" t="s">
        <v>530</v>
      </c>
      <c r="U11" t="s">
        <v>569</v>
      </c>
      <c r="W11" t="s">
        <v>223</v>
      </c>
    </row>
    <row r="12" spans="1:29" x14ac:dyDescent="0.25">
      <c r="B12" t="s">
        <v>29</v>
      </c>
      <c r="C12" t="s">
        <v>29</v>
      </c>
      <c r="D12" t="s">
        <v>29</v>
      </c>
      <c r="E12" t="s">
        <v>70</v>
      </c>
      <c r="F12" t="s">
        <v>158</v>
      </c>
      <c r="G12">
        <v>60</v>
      </c>
      <c r="H12" s="6">
        <f>32.6/0.75</f>
        <v>43.466666666666669</v>
      </c>
      <c r="I12" s="13"/>
      <c r="K12" s="13">
        <v>11</v>
      </c>
      <c r="L12" s="1"/>
      <c r="M12" s="5" t="s">
        <v>223</v>
      </c>
      <c r="N12" t="str">
        <f>CONCATENATE("insert into tb_time(nu_time, nm_time_BR,nm_time_PT,nm_time_EN,sg_time,nm_tecnico,nu_idade_tecnico, vl_time_usd,nu_rank_fifa,id_grupo) values (",A12,", '",B12,"', '",C12,"','",D12,"', '",E12,"', '",F12,"', ",G12,", ",SUBSTITUTE(H12,",","."),", ",I12,", '",J12,"');")</f>
        <v>insert into tb_time(nu_time, nm_time_BR,nm_time_PT,nm_time_EN,sg_time,nm_tecnico,nu_idade_tecnico, vl_time_usd,nu_rank_fifa,id_grupo) values (, 'Peru', 'Peru','Peru', 'PER', 'GARECA Ricardo', 60, 43.4666666666667, , '');</v>
      </c>
      <c r="O12">
        <v>1.75</v>
      </c>
      <c r="P12">
        <v>1</v>
      </c>
      <c r="Q12">
        <v>1.5</v>
      </c>
      <c r="R12">
        <v>0.5</v>
      </c>
      <c r="S12" t="s">
        <v>570</v>
      </c>
      <c r="W12" t="s">
        <v>223</v>
      </c>
    </row>
    <row r="13" spans="1:29" x14ac:dyDescent="0.25">
      <c r="B13" t="s">
        <v>30</v>
      </c>
      <c r="C13" t="s">
        <v>30</v>
      </c>
      <c r="D13" t="s">
        <v>96</v>
      </c>
      <c r="E13" t="s">
        <v>71</v>
      </c>
      <c r="F13" t="s">
        <v>129</v>
      </c>
      <c r="G13">
        <v>64</v>
      </c>
      <c r="H13" s="6">
        <f>223.6/0.75</f>
        <v>298.13333333333333</v>
      </c>
      <c r="I13" s="13"/>
      <c r="K13" s="13">
        <v>12</v>
      </c>
      <c r="L13" s="1"/>
      <c r="M13" s="5" t="s">
        <v>223</v>
      </c>
      <c r="N13" t="str">
        <f>CONCATENATE("insert into tb_time(nu_time, nm_time_BR,nm_time_PT,nm_time_EN,sg_time,nm_tecnico,nu_idade_tecnico, vl_time_usd,nu_rank_fifa,id_grupo) values (",A13,", '",B13,"', '",C13,"','",D13,"', '",E13,"', '",F13,"', ",G13,", ",SUBSTITUTE(H13,",","."),", ",I13,", '",J13,"');")</f>
        <v>insert into tb_time(nu_time, nm_time_BR,nm_time_PT,nm_time_EN,sg_time,nm_tecnico,nu_idade_tecnico, vl_time_usd,nu_rank_fifa,id_grupo) values (, 'Dinamarca', 'Dinamarca','Denmark', 'DIN', 'HAREIDE Age', 64, 298.133333333333, , '');</v>
      </c>
      <c r="O13">
        <v>0.75</v>
      </c>
      <c r="P13">
        <v>1.5</v>
      </c>
      <c r="Q13">
        <v>2</v>
      </c>
      <c r="R13">
        <v>0.1</v>
      </c>
      <c r="T13" t="s">
        <v>536</v>
      </c>
      <c r="W13" t="s">
        <v>223</v>
      </c>
    </row>
    <row r="14" spans="1:29" x14ac:dyDescent="0.25">
      <c r="A14" s="123"/>
      <c r="B14" s="123" t="s">
        <v>31</v>
      </c>
      <c r="C14" s="123" t="s">
        <v>31</v>
      </c>
      <c r="D14" s="123" t="s">
        <v>31</v>
      </c>
      <c r="E14" s="123" t="s">
        <v>72</v>
      </c>
      <c r="F14" s="123" t="s">
        <v>121</v>
      </c>
      <c r="G14" s="123">
        <v>58</v>
      </c>
      <c r="H14" s="124">
        <f>614.2/0.75</f>
        <v>818.93333333333339</v>
      </c>
      <c r="I14" s="125"/>
      <c r="J14" s="123"/>
      <c r="K14" s="125">
        <v>5</v>
      </c>
      <c r="L14" s="1"/>
      <c r="M14" s="5" t="s">
        <v>223</v>
      </c>
      <c r="N14" t="str">
        <f>CONCATENATE("insert into tb_time(nu_time, nm_time_BR,nm_time_PT,nm_time_EN,sg_time,nm_tecnico,nu_idade_tecnico, vl_time_usd,nu_rank_fifa,id_grupo) values (",A14,", '",B14,"', '",C14,"','",D14,"', '",E14,"', '",F14,"', ",G14,", ",SUBSTITUTE(H14,",","."),", ",I14,", '",J14,"');")</f>
        <v>insert into tb_time(nu_time, nm_time_BR,nm_time_PT,nm_time_EN,sg_time,nm_tecnico,nu_idade_tecnico, vl_time_usd,nu_rank_fifa,id_grupo) values (, 'Argentina', 'Argentina','Argentina', 'ARG', 'SAMPAOLI Jorge', 58, 818.933333333333, , '');</v>
      </c>
      <c r="O14">
        <v>1.5</v>
      </c>
      <c r="P14">
        <v>1.25</v>
      </c>
      <c r="Q14">
        <v>0.5</v>
      </c>
      <c r="R14">
        <v>1.5</v>
      </c>
      <c r="S14" t="s">
        <v>571</v>
      </c>
      <c r="U14" t="s">
        <v>526</v>
      </c>
      <c r="W14" t="s">
        <v>223</v>
      </c>
    </row>
    <row r="15" spans="1:29" x14ac:dyDescent="0.25">
      <c r="A15" s="123"/>
      <c r="B15" s="123" t="s">
        <v>32</v>
      </c>
      <c r="C15" s="123" t="s">
        <v>32</v>
      </c>
      <c r="D15" s="123" t="s">
        <v>97</v>
      </c>
      <c r="E15" s="123" t="s">
        <v>73</v>
      </c>
      <c r="F15" s="123" t="s">
        <v>139</v>
      </c>
      <c r="G15" s="123">
        <v>51</v>
      </c>
      <c r="H15" s="124">
        <f>65.1/0.75</f>
        <v>86.8</v>
      </c>
      <c r="I15" s="125"/>
      <c r="J15" s="123"/>
      <c r="K15" s="125">
        <v>22</v>
      </c>
      <c r="L15" s="1"/>
      <c r="M15" s="5" t="s">
        <v>223</v>
      </c>
      <c r="N15" t="str">
        <f>CONCATENATE("insert into tb_time(nu_time, nm_time_BR,nm_time_PT,nm_time_EN,sg_time,nm_tecnico,nu_idade_tecnico, vl_time_usd,nu_rank_fifa,id_grupo) values (",A15,", '",B15,"', '",C15,"','",D15,"', '",E15,"', '",F15,"', ",G15,", ",SUBSTITUTE(H15,",","."),", ",I15,", '",J15,"');")</f>
        <v>insert into tb_time(nu_time, nm_time_BR,nm_time_PT,nm_time_EN,sg_time,nm_tecnico,nu_idade_tecnico, vl_time_usd,nu_rank_fifa,id_grupo) values (, 'Islândia', 'Islândia','Iceland', 'ISL', 'HALLGRIMSSON Heimir', 51, 86.8, , '');</v>
      </c>
      <c r="O15">
        <v>0.75</v>
      </c>
      <c r="P15">
        <v>1</v>
      </c>
      <c r="Q15">
        <v>2.25</v>
      </c>
      <c r="R15">
        <v>0.1</v>
      </c>
      <c r="S15" t="s">
        <v>543</v>
      </c>
      <c r="W15" t="s">
        <v>223</v>
      </c>
    </row>
    <row r="16" spans="1:29" x14ac:dyDescent="0.25">
      <c r="A16" s="123"/>
      <c r="B16" s="123" t="s">
        <v>33</v>
      </c>
      <c r="C16" s="123" t="s">
        <v>33</v>
      </c>
      <c r="D16" s="123" t="s">
        <v>98</v>
      </c>
      <c r="E16" s="123" t="s">
        <v>74</v>
      </c>
      <c r="F16" s="123" t="s">
        <v>128</v>
      </c>
      <c r="G16" s="123">
        <v>51</v>
      </c>
      <c r="H16" s="124">
        <f>302.5/0.75</f>
        <v>403.33333333333331</v>
      </c>
      <c r="I16" s="125"/>
      <c r="J16" s="123"/>
      <c r="K16" s="125">
        <v>20</v>
      </c>
      <c r="L16" s="1"/>
      <c r="M16" s="5" t="s">
        <v>223</v>
      </c>
      <c r="N16" t="str">
        <f>CONCATENATE("insert into tb_time(nu_time, nm_time_BR,nm_time_PT,nm_time_EN,sg_time,nm_tecnico,nu_idade_tecnico, vl_time_usd,nu_rank_fifa,id_grupo) values (",A16,", '",B16,"', '",C16,"','",D16,"', '",E16,"', '",F16,"', ",G16,", ",SUBSTITUTE(H16,",","."),", ",I16,", '",J16,"');")</f>
        <v>insert into tb_time(nu_time, nm_time_BR,nm_time_PT,nm_time_EN,sg_time,nm_tecnico,nu_idade_tecnico, vl_time_usd,nu_rank_fifa,id_grupo) values (, 'Croácia', 'Croácia','Croatia', 'CRO', 'DALIC Zlatko', 51, 403.333333333333, , '');</v>
      </c>
      <c r="O16">
        <v>1.5</v>
      </c>
      <c r="P16">
        <v>2.25</v>
      </c>
      <c r="Q16">
        <v>2</v>
      </c>
      <c r="R16">
        <v>0.1</v>
      </c>
      <c r="T16" t="s">
        <v>535</v>
      </c>
      <c r="W16" t="s">
        <v>223</v>
      </c>
    </row>
    <row r="17" spans="1:23" x14ac:dyDescent="0.25">
      <c r="A17" s="123"/>
      <c r="B17" s="123" t="s">
        <v>34</v>
      </c>
      <c r="C17" s="123" t="s">
        <v>34</v>
      </c>
      <c r="D17" s="123" t="s">
        <v>99</v>
      </c>
      <c r="E17" s="123" t="s">
        <v>75</v>
      </c>
      <c r="F17" s="123" t="s">
        <v>154</v>
      </c>
      <c r="G17" s="123">
        <v>64</v>
      </c>
      <c r="H17" s="124">
        <f>115.1/0.75</f>
        <v>153.46666666666667</v>
      </c>
      <c r="I17" s="125"/>
      <c r="J17" s="123"/>
      <c r="K17" s="125">
        <v>48</v>
      </c>
      <c r="L17" s="1"/>
      <c r="M17" s="5" t="s">
        <v>223</v>
      </c>
      <c r="N17" t="str">
        <f>CONCATENATE("insert into tb_time(nu_time, nm_time_BR,nm_time_PT,nm_time_EN,sg_time,nm_tecnico,nu_idade_tecnico, vl_time_usd,nu_rank_fifa,id_grupo) values (",A17,", '",B17,"', '",C17,"','",D17,"', '",E17,"', '",F17,"', ",G17,", ",SUBSTITUTE(H17,",","."),", ",I17,", '",J17,"');")</f>
        <v>insert into tb_time(nu_time, nm_time_BR,nm_time_PT,nm_time_EN,sg_time,nm_tecnico,nu_idade_tecnico, vl_time_usd,nu_rank_fifa,id_grupo) values (, 'Nigéria', 'Nigéria','Nigeria', 'NIG', 'ROHR Gernot', 64, 153.466666666667, , '');</v>
      </c>
      <c r="O17">
        <v>1.5</v>
      </c>
      <c r="P17">
        <v>0.75</v>
      </c>
      <c r="Q17">
        <v>1.25</v>
      </c>
      <c r="R17">
        <v>1</v>
      </c>
      <c r="U17" t="s">
        <v>548</v>
      </c>
      <c r="W17" t="s">
        <v>223</v>
      </c>
    </row>
    <row r="18" spans="1:23" x14ac:dyDescent="0.25">
      <c r="B18" t="s">
        <v>35</v>
      </c>
      <c r="C18" t="s">
        <v>35</v>
      </c>
      <c r="D18" t="s">
        <v>36</v>
      </c>
      <c r="E18" t="s">
        <v>76</v>
      </c>
      <c r="F18" t="s">
        <v>124</v>
      </c>
      <c r="G18">
        <v>57</v>
      </c>
      <c r="H18" s="6">
        <f>808.01/0.75</f>
        <v>1077.3466666666666</v>
      </c>
      <c r="I18" s="13"/>
      <c r="K18" s="13">
        <v>2</v>
      </c>
      <c r="L18" s="1"/>
      <c r="M18" s="5" t="s">
        <v>223</v>
      </c>
      <c r="N18" t="str">
        <f>CONCATENATE("insert into tb_time(nu_time, nm_time_BR,nm_time_PT,nm_time_EN,sg_time,nm_tecnico,nu_idade_tecnico, vl_time_usd,nu_rank_fifa,id_grupo) values (",A18,", '",B18,"', '",C18,"','",D18,"', '",E18,"', '",F18,"', ",G18,", ",SUBSTITUTE(H18,",","."),", ",I18,", '",J18,"');")</f>
        <v>insert into tb_time(nu_time, nm_time_BR,nm_time_PT,nm_time_EN,sg_time,nm_tecnico,nu_idade_tecnico, vl_time_usd,nu_rank_fifa,id_grupo) values (, 'Brasil', 'Brasil','Brazil', 'BRA', 'TITE', 57, 1077.34666666667, , '');</v>
      </c>
      <c r="O18">
        <v>1.75</v>
      </c>
      <c r="P18">
        <v>2</v>
      </c>
      <c r="Q18">
        <v>2.5</v>
      </c>
      <c r="R18">
        <v>3</v>
      </c>
      <c r="S18" t="s">
        <v>532</v>
      </c>
      <c r="W18" t="s">
        <v>223</v>
      </c>
    </row>
    <row r="19" spans="1:23" x14ac:dyDescent="0.25">
      <c r="B19" t="s">
        <v>37</v>
      </c>
      <c r="C19" t="s">
        <v>37</v>
      </c>
      <c r="D19" t="s">
        <v>100</v>
      </c>
      <c r="E19" t="s">
        <v>77</v>
      </c>
      <c r="F19" t="s">
        <v>184</v>
      </c>
      <c r="G19">
        <v>54</v>
      </c>
      <c r="H19" s="6">
        <f>187.1/0.75</f>
        <v>249.46666666666667</v>
      </c>
      <c r="I19" s="13"/>
      <c r="K19" s="13">
        <v>6</v>
      </c>
      <c r="L19" s="1"/>
      <c r="M19" s="5" t="s">
        <v>223</v>
      </c>
      <c r="N19" t="str">
        <f>CONCATENATE("insert into tb_time(nu_time, nm_time_BR,nm_time_PT,nm_time_EN,sg_time,nm_tecnico,nu_idade_tecnico, vl_time_usd,nu_rank_fifa,id_grupo) values (",A19,", '",B19,"', '",C19,"','",D19,"', '",E19,"', '",F19,"', ",G19,", ",SUBSTITUTE(H19,",","."),", ",I19,", '",J19,"');")</f>
        <v>insert into tb_time(nu_time, nm_time_BR,nm_time_PT,nm_time_EN,sg_time,nm_tecnico,nu_idade_tecnico, vl_time_usd,nu_rank_fifa,id_grupo) values (, 'Suíça', 'Suíça','Switzerland', 'SUI', 'PETKOVIC Vladimir', 54, 249.466666666667, , '');</v>
      </c>
      <c r="O19">
        <v>1.25</v>
      </c>
      <c r="P19">
        <v>1.5</v>
      </c>
      <c r="Q19">
        <v>1.75</v>
      </c>
      <c r="R19">
        <v>0.1</v>
      </c>
      <c r="U19" t="s">
        <v>558</v>
      </c>
      <c r="W19" t="s">
        <v>223</v>
      </c>
    </row>
    <row r="20" spans="1:23" x14ac:dyDescent="0.25">
      <c r="B20" t="s">
        <v>38</v>
      </c>
      <c r="C20" t="s">
        <v>38</v>
      </c>
      <c r="D20" t="s">
        <v>38</v>
      </c>
      <c r="E20" t="s">
        <v>78</v>
      </c>
      <c r="F20" t="s">
        <v>127</v>
      </c>
      <c r="G20">
        <v>53</v>
      </c>
      <c r="H20">
        <f>37.02/0.75</f>
        <v>49.360000000000007</v>
      </c>
      <c r="I20" s="13"/>
      <c r="K20" s="13">
        <v>23</v>
      </c>
      <c r="L20" s="1"/>
      <c r="M20" s="5" t="s">
        <v>223</v>
      </c>
      <c r="N20" t="str">
        <f>CONCATENATE("insert into tb_time(nu_time, nm_time_BR,nm_time_PT,nm_time_EN,sg_time,nm_tecnico,nu_idade_tecnico, vl_time_usd,nu_rank_fifa,id_grupo) values (",A20,", '",B20,"', '",C20,"','",D20,"', '",E20,"', '",F20,"', ",G20,", ",SUBSTITUTE(H20,",","."),", ",I20,", '",J20,"');")</f>
        <v>insert into tb_time(nu_time, nm_time_BR,nm_time_PT,nm_time_EN,sg_time,nm_tecnico,nu_idade_tecnico, vl_time_usd,nu_rank_fifa,id_grupo) values (, 'Costa Rica', 'Costa Rica','Costa Rica', 'CRC', 'RAMIREZ Oscar', 53, 49.36, , '');</v>
      </c>
      <c r="O20">
        <v>0.5</v>
      </c>
      <c r="P20">
        <v>0.75</v>
      </c>
      <c r="Q20">
        <v>0.75</v>
      </c>
      <c r="R20">
        <v>0.1</v>
      </c>
      <c r="U20" t="s">
        <v>534</v>
      </c>
      <c r="W20" t="s">
        <v>223</v>
      </c>
    </row>
    <row r="21" spans="1:23" x14ac:dyDescent="0.25">
      <c r="B21" t="s">
        <v>39</v>
      </c>
      <c r="C21" t="s">
        <v>39</v>
      </c>
      <c r="D21" t="s">
        <v>101</v>
      </c>
      <c r="E21" t="s">
        <v>79</v>
      </c>
      <c r="F21" t="s">
        <v>175</v>
      </c>
      <c r="G21">
        <v>44</v>
      </c>
      <c r="H21" s="6">
        <f>211.2/0.75</f>
        <v>281.59999999999997</v>
      </c>
      <c r="I21" s="13"/>
      <c r="K21" s="13">
        <v>34</v>
      </c>
      <c r="L21" s="1"/>
      <c r="M21" s="5" t="s">
        <v>223</v>
      </c>
      <c r="N21" t="str">
        <f>CONCATENATE("insert into tb_time(nu_time, nm_time_BR,nm_time_PT,nm_time_EN,sg_time,nm_tecnico,nu_idade_tecnico, vl_time_usd,nu_rank_fifa,id_grupo) values (",A21,", '",B21,"', '",C21,"','",D21,"', '",E21,"', '",F21,"', ",G21,", ",SUBSTITUTE(H21,",","."),", ",I21,", '",J21,"');")</f>
        <v>insert into tb_time(nu_time, nm_time_BR,nm_time_PT,nm_time_EN,sg_time,nm_tecnico,nu_idade_tecnico, vl_time_usd,nu_rank_fifa,id_grupo) values (, 'Sérvia', 'Sérvia','Serbia', 'SRB', 'KRSTAJIC Mladen', 44, 281.6, , '');</v>
      </c>
      <c r="O21">
        <v>1</v>
      </c>
      <c r="P21">
        <v>1</v>
      </c>
      <c r="Q21">
        <v>1.5</v>
      </c>
      <c r="R21">
        <v>1</v>
      </c>
      <c r="S21" t="s">
        <v>555</v>
      </c>
      <c r="W21" t="s">
        <v>223</v>
      </c>
    </row>
    <row r="22" spans="1:23" x14ac:dyDescent="0.25">
      <c r="A22" s="123"/>
      <c r="B22" s="123" t="s">
        <v>40</v>
      </c>
      <c r="C22" s="123" t="s">
        <v>40</v>
      </c>
      <c r="D22" s="123" t="s">
        <v>41</v>
      </c>
      <c r="E22" s="123" t="s">
        <v>80</v>
      </c>
      <c r="F22" s="123" t="s">
        <v>137</v>
      </c>
      <c r="G22" s="123">
        <v>58</v>
      </c>
      <c r="H22" s="124">
        <f>771.8/0.75</f>
        <v>1029.0666666666666</v>
      </c>
      <c r="I22" s="125"/>
      <c r="J22" s="123"/>
      <c r="K22" s="125">
        <v>1</v>
      </c>
      <c r="L22" s="1"/>
      <c r="M22" s="5" t="s">
        <v>223</v>
      </c>
      <c r="N22" t="str">
        <f>CONCATENATE("insert into tb_time(nu_time, nm_time_BR,nm_time_PT,nm_time_EN,sg_time,nm_tecnico,nu_idade_tecnico, vl_time_usd,nu_rank_fifa,id_grupo) values (",A22,", '",B22,"', '",C22,"','",D22,"', '",E22,"', '",F22,"', ",G22,", ",SUBSTITUTE(H22,",","."),", ",I22,", '",J22,"');")</f>
        <v>insert into tb_time(nu_time, nm_time_BR,nm_time_PT,nm_time_EN,sg_time,nm_tecnico,nu_idade_tecnico, vl_time_usd,nu_rank_fifa,id_grupo) values (, 'Alemanha', 'Alemanha','Germany', 'ALE', 'LOEW Joachim', 58, 1029.06666666667, , '');</v>
      </c>
      <c r="O22">
        <v>1.5</v>
      </c>
      <c r="P22">
        <v>1.5</v>
      </c>
      <c r="Q22">
        <v>1.25</v>
      </c>
      <c r="R22">
        <v>3</v>
      </c>
      <c r="S22" t="s">
        <v>542</v>
      </c>
      <c r="U22" t="s">
        <v>541</v>
      </c>
      <c r="W22" t="s">
        <v>223</v>
      </c>
    </row>
    <row r="23" spans="1:23" x14ac:dyDescent="0.25">
      <c r="A23" s="123"/>
      <c r="B23" s="123" t="s">
        <v>42</v>
      </c>
      <c r="C23" s="123" t="s">
        <v>42</v>
      </c>
      <c r="D23" s="123" t="s">
        <v>102</v>
      </c>
      <c r="E23" s="123" t="s">
        <v>81</v>
      </c>
      <c r="F23" s="123" t="s">
        <v>148</v>
      </c>
      <c r="G23" s="123">
        <v>57</v>
      </c>
      <c r="H23" s="124">
        <f>129.4/0.75</f>
        <v>172.53333333333333</v>
      </c>
      <c r="I23" s="125"/>
      <c r="J23" s="123"/>
      <c r="K23" s="125">
        <v>15</v>
      </c>
      <c r="L23" s="1"/>
      <c r="M23" s="5" t="s">
        <v>223</v>
      </c>
      <c r="N23" t="str">
        <f>CONCATENATE("insert into tb_time(nu_time, nm_time_BR,nm_time_PT,nm_time_EN,sg_time,nm_tecnico,nu_idade_tecnico, vl_time_usd,nu_rank_fifa,id_grupo) values (",A23,", '",B23,"', '",C23,"','",D23,"', '",E23,"', '",F23,"', ",G23,", ",SUBSTITUTE(H23,",","."),", ",I23,", '",J23,"');")</f>
        <v>insert into tb_time(nu_time, nm_time_BR,nm_time_PT,nm_time_EN,sg_time,nm_tecnico,nu_idade_tecnico, vl_time_usd,nu_rank_fifa,id_grupo) values (, 'México', 'México','Mexico', 'MEX', 'OSORIO Juan Carlos', 57, 172.533333333333, , '');</v>
      </c>
      <c r="O23">
        <v>1.5</v>
      </c>
      <c r="P23">
        <v>1.75</v>
      </c>
      <c r="Q23">
        <v>2.25</v>
      </c>
      <c r="R23">
        <v>2</v>
      </c>
      <c r="T23" t="s">
        <v>546</v>
      </c>
      <c r="W23" t="s">
        <v>223</v>
      </c>
    </row>
    <row r="24" spans="1:23" x14ac:dyDescent="0.25">
      <c r="A24" s="123"/>
      <c r="B24" s="123" t="s">
        <v>43</v>
      </c>
      <c r="C24" s="123" t="s">
        <v>43</v>
      </c>
      <c r="D24" s="123" t="s">
        <v>103</v>
      </c>
      <c r="E24" s="123" t="s">
        <v>82</v>
      </c>
      <c r="F24" s="123" t="s">
        <v>173</v>
      </c>
      <c r="G24" s="123">
        <v>55</v>
      </c>
      <c r="H24" s="124">
        <f>103.4/0.75</f>
        <v>137.86666666666667</v>
      </c>
      <c r="I24" s="125"/>
      <c r="J24" s="123"/>
      <c r="K24" s="125">
        <v>24</v>
      </c>
      <c r="L24" s="1"/>
      <c r="M24" s="5" t="s">
        <v>223</v>
      </c>
      <c r="N24" t="str">
        <f>CONCATENATE("insert into tb_time(nu_time, nm_time_BR,nm_time_PT,nm_time_EN,sg_time,nm_tecnico,nu_idade_tecnico, vl_time_usd,nu_rank_fifa,id_grupo) values (",A24,", '",B24,"', '",C24,"','",D24,"', '",E24,"', '",F24,"', ",G24,", ",SUBSTITUTE(H24,",","."),", ",I24,", '",J24,"');")</f>
        <v>insert into tb_time(nu_time, nm_time_BR,nm_time_PT,nm_time_EN,sg_time,nm_tecnico,nu_idade_tecnico, vl_time_usd,nu_rank_fifa,id_grupo) values (, 'Suécia', 'Suécia','Sweden', 'SUE', 'ANDERSSON Janne', 55, 137.866666666667, , '');</v>
      </c>
      <c r="O24">
        <v>0.1</v>
      </c>
      <c r="P24">
        <v>0.1</v>
      </c>
      <c r="Q24">
        <v>0.1</v>
      </c>
      <c r="R24">
        <v>0.1</v>
      </c>
      <c r="T24" t="s">
        <v>557</v>
      </c>
      <c r="W24" t="s">
        <v>223</v>
      </c>
    </row>
    <row r="25" spans="1:23" x14ac:dyDescent="0.25">
      <c r="A25" s="123"/>
      <c r="B25" s="123" t="s">
        <v>44</v>
      </c>
      <c r="C25" s="123" t="s">
        <v>44</v>
      </c>
      <c r="D25" s="123" t="s">
        <v>145</v>
      </c>
      <c r="E25" s="123" t="s">
        <v>83</v>
      </c>
      <c r="F25" s="123" t="s">
        <v>146</v>
      </c>
      <c r="G25" s="123">
        <v>47</v>
      </c>
      <c r="H25" s="124">
        <f>74.2/0.75</f>
        <v>98.933333333333337</v>
      </c>
      <c r="I25" s="125"/>
      <c r="J25" s="123"/>
      <c r="K25" s="125">
        <v>57</v>
      </c>
      <c r="L25" s="1"/>
      <c r="M25" s="5" t="s">
        <v>223</v>
      </c>
      <c r="N25" t="str">
        <f>CONCATENATE("insert into tb_time(nu_time, nm_time_BR,nm_time_PT,nm_time_EN,sg_time,nm_tecnico,nu_idade_tecnico, vl_time_usd,nu_rank_fifa,id_grupo) values (",A25,", '",B25,"', '",C25,"','",D25,"', '",E25,"', '",F25,"', ",G25,", ",SUBSTITUTE(H25,",","."),", ",I25,", '",J25,"');")</f>
        <v>insert into tb_time(nu_time, nm_time_BR,nm_time_PT,nm_time_EN,sg_time,nm_tecnico,nu_idade_tecnico, vl_time_usd,nu_rank_fifa,id_grupo) values (, 'Coréia do Sul', 'Coréia do Sul','Korea Republic', 'COR', 'SHIN Taeyong', 47, 98.9333333333333, , '');</v>
      </c>
      <c r="O25">
        <v>0.1</v>
      </c>
      <c r="P25">
        <v>0.1</v>
      </c>
      <c r="Q25">
        <v>0.1</v>
      </c>
      <c r="R25">
        <v>0.1</v>
      </c>
      <c r="S25" t="s">
        <v>556</v>
      </c>
      <c r="W25" t="s">
        <v>223</v>
      </c>
    </row>
    <row r="26" spans="1:23" x14ac:dyDescent="0.25">
      <c r="A26" s="123"/>
      <c r="B26" s="123" t="s">
        <v>45</v>
      </c>
      <c r="C26" s="123" t="s">
        <v>45</v>
      </c>
      <c r="D26" s="123" t="s">
        <v>46</v>
      </c>
      <c r="E26" s="123" t="s">
        <v>84</v>
      </c>
      <c r="F26" s="123" t="s">
        <v>123</v>
      </c>
      <c r="G26" s="123">
        <v>44</v>
      </c>
      <c r="H26" s="124">
        <f>660.9/0.75</f>
        <v>881.19999999999993</v>
      </c>
      <c r="I26" s="125"/>
      <c r="J26" s="123"/>
      <c r="K26" s="125">
        <v>3</v>
      </c>
      <c r="L26" s="1"/>
      <c r="M26" s="5" t="s">
        <v>223</v>
      </c>
      <c r="N26" t="str">
        <f>CONCATENATE("insert into tb_time(nu_time, nm_time_BR,nm_time_PT,nm_time_EN,sg_time,nm_tecnico,nu_idade_tecnico, vl_time_usd,nu_rank_fifa,id_grupo) values (",A26,", '",B26,"', '",C26,"','",D26,"', '",E26,"', '",F26,"', ",G26,", ",SUBSTITUTE(H26,",","."),", ",I26,", '",J26,"');")</f>
        <v>insert into tb_time(nu_time, nm_time_BR,nm_time_PT,nm_time_EN,sg_time,nm_tecnico,nu_idade_tecnico, vl_time_usd,nu_rank_fifa,id_grupo) values (, 'Bélgica', 'Bélgica','Belgium', 'BEL', 'MARTINEZ Roberto', 44, 881.2, , '');</v>
      </c>
      <c r="O26">
        <v>0.1</v>
      </c>
      <c r="P26">
        <v>0.1</v>
      </c>
      <c r="Q26">
        <v>0.1</v>
      </c>
      <c r="R26">
        <v>0.1</v>
      </c>
      <c r="T26" t="s">
        <v>531</v>
      </c>
      <c r="W26" t="s">
        <v>223</v>
      </c>
    </row>
    <row r="27" spans="1:23" x14ac:dyDescent="0.25">
      <c r="A27" s="123"/>
      <c r="B27" s="123" t="s">
        <v>47</v>
      </c>
      <c r="C27" s="123" t="s">
        <v>47</v>
      </c>
      <c r="D27" s="123" t="s">
        <v>104</v>
      </c>
      <c r="E27" s="123" t="s">
        <v>85</v>
      </c>
      <c r="F27" s="123" t="s">
        <v>156</v>
      </c>
      <c r="G27" s="123">
        <v>62</v>
      </c>
      <c r="H27" s="124">
        <f>8.7/0.75</f>
        <v>11.6</v>
      </c>
      <c r="I27" s="125"/>
      <c r="J27" s="123"/>
      <c r="K27" s="125">
        <v>55</v>
      </c>
      <c r="L27" s="1"/>
      <c r="M27" s="5" t="s">
        <v>223</v>
      </c>
      <c r="N27" t="str">
        <f>CONCATENATE("insert into tb_time(nu_time, nm_time_BR,nm_time_PT,nm_time_EN,sg_time,nm_tecnico,nu_idade_tecnico, vl_time_usd,nu_rank_fifa,id_grupo) values (",A27,", '",B27,"', '",C27,"','",D27,"', '",E27,"', '",F27,"', ",G27,", ",SUBSTITUTE(H27,",","."),", ",I27,", '",J27,"');")</f>
        <v>insert into tb_time(nu_time, nm_time_BR,nm_time_PT,nm_time_EN,sg_time,nm_tecnico,nu_idade_tecnico, vl_time_usd,nu_rank_fifa,id_grupo) values (, 'Panamá', 'Panamá','Panama', 'PAN', 'GOMEZ Hernan', 62, 11.6, , '');</v>
      </c>
      <c r="O27">
        <v>0.1</v>
      </c>
      <c r="P27">
        <v>0.1</v>
      </c>
      <c r="Q27">
        <v>0.1</v>
      </c>
      <c r="R27">
        <v>0.1</v>
      </c>
      <c r="S27" t="s">
        <v>549</v>
      </c>
      <c r="W27" t="s">
        <v>223</v>
      </c>
    </row>
    <row r="28" spans="1:23" x14ac:dyDescent="0.25">
      <c r="A28" s="123"/>
      <c r="B28" s="123" t="s">
        <v>48</v>
      </c>
      <c r="C28" s="123" t="s">
        <v>48</v>
      </c>
      <c r="D28" s="123" t="s">
        <v>105</v>
      </c>
      <c r="E28" s="123" t="s">
        <v>86</v>
      </c>
      <c r="F28" s="123" t="s">
        <v>179</v>
      </c>
      <c r="G28" s="123">
        <v>55</v>
      </c>
      <c r="H28" s="124">
        <f>46.2/0.75</f>
        <v>61.6</v>
      </c>
      <c r="I28" s="125"/>
      <c r="J28" s="123"/>
      <c r="K28" s="125">
        <v>21</v>
      </c>
      <c r="L28" s="1"/>
      <c r="M28" s="5" t="s">
        <v>223</v>
      </c>
      <c r="N28" t="str">
        <f>CONCATENATE("insert into tb_time(nu_time, nm_time_BR,nm_time_PT,nm_time_EN,sg_time,nm_tecnico,nu_idade_tecnico, vl_time_usd,nu_rank_fifa,id_grupo) values (",A28,", '",B28,"', '",C28,"','",D28,"', '",E28,"', '",F28,"', ",G28,", ",SUBSTITUTE(H28,",","."),", ",I28,", '",J28,"');")</f>
        <v>insert into tb_time(nu_time, nm_time_BR,nm_time_PT,nm_time_EN,sg_time,nm_tecnico,nu_idade_tecnico, vl_time_usd,nu_rank_fifa,id_grupo) values (, 'Tunísia', 'Tunísia','Tunisia', 'TUN', 'MAALOUL Nabil', 55, 61.6, , '');</v>
      </c>
      <c r="O28">
        <v>0.1</v>
      </c>
      <c r="P28">
        <v>0.1</v>
      </c>
      <c r="Q28">
        <v>0.1</v>
      </c>
      <c r="R28">
        <v>0.1</v>
      </c>
      <c r="S28" t="s">
        <v>559</v>
      </c>
      <c r="W28" t="s">
        <v>223</v>
      </c>
    </row>
    <row r="29" spans="1:23" x14ac:dyDescent="0.25">
      <c r="A29" s="123"/>
      <c r="B29" s="123" t="s">
        <v>49</v>
      </c>
      <c r="C29" s="123" t="s">
        <v>49</v>
      </c>
      <c r="D29" s="123" t="s">
        <v>106</v>
      </c>
      <c r="E29" s="123" t="s">
        <v>87</v>
      </c>
      <c r="F29" s="123" t="s">
        <v>132</v>
      </c>
      <c r="G29" s="123">
        <v>47</v>
      </c>
      <c r="H29" s="124">
        <f>769.1/0.75</f>
        <v>1025.4666666666667</v>
      </c>
      <c r="I29" s="125"/>
      <c r="J29" s="123"/>
      <c r="K29" s="125">
        <v>12</v>
      </c>
      <c r="L29" s="1"/>
      <c r="M29" s="5" t="s">
        <v>223</v>
      </c>
      <c r="N29" t="str">
        <f>CONCATENATE("insert into tb_time(nu_time, nm_time_BR,nm_time_PT,nm_time_EN,sg_time,nm_tecnico,nu_idade_tecnico, vl_time_usd,nu_rank_fifa,id_grupo) values (",A29,", '",B29,"', '",C29,"','",D29,"', '",E29,"', '",F29,"', ",G29,", ",SUBSTITUTE(H29,",","."),", ",I29,", '",J29,"');")</f>
        <v>insert into tb_time(nu_time, nm_time_BR,nm_time_PT,nm_time_EN,sg_time,nm_tecnico,nu_idade_tecnico, vl_time_usd,nu_rank_fifa,id_grupo) values (, 'Inglaterra', 'Inglaterra','England', 'ING', 'SOUTHGATE Gareth', 47, 1025.46666666667, , '');</v>
      </c>
      <c r="O29">
        <v>1</v>
      </c>
      <c r="P29">
        <v>0.1</v>
      </c>
      <c r="Q29">
        <v>0.1</v>
      </c>
      <c r="R29">
        <v>1</v>
      </c>
      <c r="S29" t="s">
        <v>540</v>
      </c>
      <c r="T29" t="s">
        <v>537</v>
      </c>
      <c r="W29" t="s">
        <v>223</v>
      </c>
    </row>
    <row r="30" spans="1:23" x14ac:dyDescent="0.25">
      <c r="A30" s="123"/>
      <c r="B30" s="123" t="s">
        <v>50</v>
      </c>
      <c r="C30" s="123" t="s">
        <v>50</v>
      </c>
      <c r="D30" s="123" t="s">
        <v>107</v>
      </c>
      <c r="E30" s="123" t="s">
        <v>88</v>
      </c>
      <c r="F30" s="123" t="s">
        <v>160</v>
      </c>
      <c r="G30" s="123">
        <v>60</v>
      </c>
      <c r="H30" s="124">
        <f>230.3/0.75</f>
        <v>307.06666666666666</v>
      </c>
      <c r="I30" s="125"/>
      <c r="J30" s="123"/>
      <c r="K30" s="125">
        <v>8</v>
      </c>
      <c r="L30" s="1"/>
      <c r="M30" s="5" t="s">
        <v>223</v>
      </c>
      <c r="N30" t="str">
        <f>CONCATENATE("insert into tb_time(nu_time, nm_time_BR,nm_time_PT,nm_time_EN,sg_time,nm_tecnico,nu_idade_tecnico, vl_time_usd,nu_rank_fifa,id_grupo) values (",A30,", '",B30,"', '",C30,"','",D30,"', '",E30,"', '",F30,"', ",G30,", ",SUBSTITUTE(H30,",","."),", ",I30,", '",J30,"');")</f>
        <v>insert into tb_time(nu_time, nm_time_BR,nm_time_PT,nm_time_EN,sg_time,nm_tecnico,nu_idade_tecnico, vl_time_usd,nu_rank_fifa,id_grupo) values (, 'Polônia', 'Polônia','Poland', 'POL', 'NAWALKA Adam', 60, 307.066666666667, , '');</v>
      </c>
      <c r="O30">
        <v>0.1</v>
      </c>
      <c r="P30">
        <v>0.1</v>
      </c>
      <c r="Q30">
        <v>0.1</v>
      </c>
      <c r="R30">
        <v>0.1</v>
      </c>
      <c r="U30" t="s">
        <v>550</v>
      </c>
      <c r="W30" t="s">
        <v>223</v>
      </c>
    </row>
    <row r="31" spans="1:23" x14ac:dyDescent="0.25">
      <c r="A31" s="123">
        <v>3</v>
      </c>
      <c r="B31" s="123" t="s">
        <v>51</v>
      </c>
      <c r="C31" s="123" t="s">
        <v>51</v>
      </c>
      <c r="D31" s="123" t="s">
        <v>51</v>
      </c>
      <c r="E31" s="123" t="str">
        <f>"SEN"</f>
        <v>SEN</v>
      </c>
      <c r="F31" s="123" t="s">
        <v>177</v>
      </c>
      <c r="G31" s="123">
        <v>46</v>
      </c>
      <c r="H31" s="124">
        <f>247.8/0.75</f>
        <v>330.40000000000003</v>
      </c>
      <c r="I31" s="125">
        <v>18</v>
      </c>
      <c r="J31" s="123" t="s">
        <v>4</v>
      </c>
      <c r="K31" s="125">
        <v>27</v>
      </c>
      <c r="L31" s="1"/>
      <c r="M31" s="5" t="s">
        <v>223</v>
      </c>
      <c r="N31" t="str">
        <f>CONCATENATE("insert into tb_time(nu_time, nm_time_BR,nm_time_PT,nm_time_EN,sg_time,nm_tecnico,nu_idade_tecnico, vl_time_usd,nu_rank_fifa,id_grupo) values (",A31,", '",B31,"', '",C31,"','",D31,"', '",E31,"', '",F31,"', ",G31,", ",SUBSTITUTE(H31,",","."),", ",I31,", '",J31,"');")</f>
        <v>insert into tb_time(nu_time, nm_time_BR,nm_time_PT,nm_time_EN,sg_time,nm_tecnico,nu_idade_tecnico, vl_time_usd,nu_rank_fifa,id_grupo) values (3, 'Senegal', 'Senegal','Senegal', 'SEN', 'CISSE Aliou', 46, 330.4, 18, 'A');</v>
      </c>
      <c r="O31">
        <v>0.1</v>
      </c>
      <c r="P31">
        <v>0.1</v>
      </c>
      <c r="Q31">
        <v>0.1</v>
      </c>
      <c r="R31">
        <v>0.1</v>
      </c>
      <c r="T31" t="s">
        <v>554</v>
      </c>
      <c r="W31" t="s">
        <v>223</v>
      </c>
    </row>
    <row r="32" spans="1:23" x14ac:dyDescent="0.25">
      <c r="A32" s="123"/>
      <c r="B32" s="123" t="s">
        <v>52</v>
      </c>
      <c r="C32" s="123" t="s">
        <v>52</v>
      </c>
      <c r="D32" s="123" t="s">
        <v>108</v>
      </c>
      <c r="E32" s="123" t="s">
        <v>90</v>
      </c>
      <c r="F32" s="123" t="s">
        <v>126</v>
      </c>
      <c r="G32" s="123">
        <v>68</v>
      </c>
      <c r="H32" s="124">
        <f>223.8/0.75</f>
        <v>298.40000000000003</v>
      </c>
      <c r="I32" s="125"/>
      <c r="J32" s="123"/>
      <c r="K32" s="125">
        <v>16</v>
      </c>
      <c r="L32" s="1"/>
      <c r="M32" s="5" t="s">
        <v>223</v>
      </c>
      <c r="N32" t="str">
        <f>CONCATENATE("insert into tb_time(nu_time, nm_time_BR,nm_time_PT,nm_time_EN,sg_time,nm_tecnico,nu_idade_tecnico, vl_time_usd,nu_rank_fifa,id_grupo) values (",A32,", '",B32,"', '",C32,"','",D32,"', '",E32,"', '",F32,"', ",G32,", ",SUBSTITUTE(H32,",","."),", ",I32,", '",J32,"');")</f>
        <v>insert into tb_time(nu_time, nm_time_BR,nm_time_PT,nm_time_EN,sg_time,nm_tecnico,nu_idade_tecnico, vl_time_usd,nu_rank_fifa,id_grupo) values (, 'Colômbia', 'Colômbia','Colombia', 'COL', 'PEKERMAN Jose', 68, 298.4, , '');</v>
      </c>
      <c r="O32">
        <v>0.1</v>
      </c>
      <c r="P32">
        <v>0.1</v>
      </c>
      <c r="Q32">
        <v>0.1</v>
      </c>
      <c r="R32">
        <v>0.1</v>
      </c>
      <c r="S32" t="s">
        <v>533</v>
      </c>
      <c r="W32" t="s">
        <v>223</v>
      </c>
    </row>
    <row r="33" spans="1:23" x14ac:dyDescent="0.25">
      <c r="A33" s="123"/>
      <c r="B33" s="123" t="s">
        <v>24</v>
      </c>
      <c r="C33" s="123" t="s">
        <v>24</v>
      </c>
      <c r="D33" s="123" t="s">
        <v>25</v>
      </c>
      <c r="E33" s="123" t="s">
        <v>91</v>
      </c>
      <c r="F33" s="123" t="s">
        <v>143</v>
      </c>
      <c r="G33" s="123">
        <v>63</v>
      </c>
      <c r="H33" s="124">
        <f>61.5/0.75</f>
        <v>82</v>
      </c>
      <c r="I33" s="125"/>
      <c r="J33" s="123"/>
      <c r="K33" s="125">
        <v>61</v>
      </c>
      <c r="L33" s="1"/>
      <c r="M33" s="5" t="s">
        <v>223</v>
      </c>
      <c r="N33" t="str">
        <f>CONCATENATE("insert into tb_time(nu_time, nm_time_BR,nm_time_PT,nm_time_EN,sg_time,nm_tecnico,nu_idade_tecnico, vl_time_usd,nu_rank_fifa,id_grupo) values (",A33,", '",B33,"', '",C33,"','",D33,"', '",E33,"', '",F33,"', ",G33,", ",SUBSTITUTE(H33,",","."),", ",I33,", '",J33,"');")</f>
        <v>insert into tb_time(nu_time, nm_time_BR,nm_time_PT,nm_time_EN,sg_time,nm_tecnico,nu_idade_tecnico, vl_time_usd,nu_rank_fifa,id_grupo) values (, 'Japão', 'Japão','Japan', 'JAP', 'NISHINO Akira', 63, 82, , '');</v>
      </c>
      <c r="O33">
        <v>1</v>
      </c>
      <c r="P33">
        <v>1</v>
      </c>
      <c r="Q33">
        <v>1</v>
      </c>
      <c r="R33">
        <v>1</v>
      </c>
      <c r="S33" t="s">
        <v>545</v>
      </c>
      <c r="W33" t="s">
        <v>223</v>
      </c>
    </row>
    <row r="34" spans="1:23" x14ac:dyDescent="0.25">
      <c r="A34">
        <v>2</v>
      </c>
      <c r="B34" s="123" t="s">
        <v>696</v>
      </c>
      <c r="D34" s="123" t="s">
        <v>697</v>
      </c>
      <c r="E34" s="123" t="s">
        <v>698</v>
      </c>
      <c r="G34" s="123">
        <v>0</v>
      </c>
      <c r="H34">
        <v>0.01</v>
      </c>
      <c r="I34" s="125">
        <v>44</v>
      </c>
      <c r="J34" t="s">
        <v>4</v>
      </c>
      <c r="M34" s="5" t="s">
        <v>223</v>
      </c>
    </row>
    <row r="35" spans="1:23" x14ac:dyDescent="0.25">
      <c r="A35">
        <v>4</v>
      </c>
      <c r="B35" s="123" t="s">
        <v>699</v>
      </c>
      <c r="C35" t="s">
        <v>700</v>
      </c>
      <c r="D35" s="123" t="s">
        <v>701</v>
      </c>
      <c r="E35" s="123" t="s">
        <v>702</v>
      </c>
      <c r="I35" s="125">
        <v>8</v>
      </c>
      <c r="J35" t="s">
        <v>4</v>
      </c>
      <c r="M35" s="5" t="s">
        <v>223</v>
      </c>
    </row>
  </sheetData>
  <hyperlinks>
    <hyperlink ref="X4" r:id="rId1" xr:uid="{D62F2665-EBE7-491F-9018-1B1E93CAC5ED}"/>
    <hyperlink ref="X5" r:id="rId2" location="argentina-nicols-otamendi-1" xr:uid="{EEB38403-CA1D-4EA0-84BE-8AFA7867CC15}"/>
    <hyperlink ref="X6" r:id="rId3" xr:uid="{5E57F81A-8D24-4735-8889-5A40CBFF8760}"/>
  </hyperlinks>
  <pageMargins left="0.511811024" right="0.511811024" top="0.78740157499999996" bottom="0.78740157499999996" header="0.31496062000000002" footer="0.31496062000000002"/>
  <pageSetup paperSize="9" orientation="portrait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9496D-F044-4617-B394-570790008D4D}">
  <dimension ref="A1:AB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7.140625" bestFit="1" customWidth="1"/>
    <col min="2" max="2" width="13.85546875" bestFit="1" customWidth="1"/>
    <col min="3" max="4" width="13.85546875" customWidth="1"/>
    <col min="5" max="5" width="5.140625" bestFit="1" customWidth="1"/>
    <col min="6" max="6" width="21.7109375" bestFit="1" customWidth="1"/>
    <col min="7" max="7" width="13.28515625" bestFit="1" customWidth="1"/>
    <col min="8" max="8" width="13.28515625" customWidth="1"/>
    <col min="9" max="9" width="9.140625" bestFit="1" customWidth="1"/>
    <col min="12" max="12" width="4" customWidth="1"/>
    <col min="13" max="13" width="6.85546875" bestFit="1" customWidth="1"/>
    <col min="14" max="16" width="6.85546875" customWidth="1"/>
    <col min="17" max="17" width="7.7109375" bestFit="1" customWidth="1"/>
    <col min="18" max="18" width="20.140625" customWidth="1"/>
    <col min="19" max="19" width="15.85546875" bestFit="1" customWidth="1"/>
    <col min="20" max="20" width="16.85546875" bestFit="1" customWidth="1"/>
    <col min="21" max="21" width="5.42578125" customWidth="1"/>
    <col min="23" max="23" width="9.42578125" bestFit="1" customWidth="1"/>
    <col min="24" max="24" width="13.140625" bestFit="1" customWidth="1"/>
    <col min="25" max="25" width="16" bestFit="1" customWidth="1"/>
    <col min="26" max="26" width="12" bestFit="1" customWidth="1"/>
    <col min="28" max="28" width="10.5703125" bestFit="1" customWidth="1"/>
  </cols>
  <sheetData>
    <row r="1" spans="1:28" x14ac:dyDescent="0.25">
      <c r="A1" s="4" t="s">
        <v>0</v>
      </c>
      <c r="B1" s="4" t="s">
        <v>1</v>
      </c>
      <c r="C1" s="4" t="s">
        <v>9</v>
      </c>
      <c r="D1" s="4" t="s">
        <v>10</v>
      </c>
      <c r="E1" s="4" t="s">
        <v>59</v>
      </c>
      <c r="F1" s="4" t="s">
        <v>6</v>
      </c>
      <c r="G1" s="4" t="s">
        <v>125</v>
      </c>
      <c r="H1" s="4" t="s">
        <v>256</v>
      </c>
      <c r="I1" s="4" t="s">
        <v>525</v>
      </c>
      <c r="J1" s="4" t="s">
        <v>2</v>
      </c>
      <c r="K1" t="s">
        <v>133</v>
      </c>
      <c r="L1" s="4"/>
      <c r="N1" s="4" t="s">
        <v>562</v>
      </c>
      <c r="O1" s="4" t="s">
        <v>563</v>
      </c>
      <c r="P1" s="4" t="s">
        <v>564</v>
      </c>
      <c r="Q1" s="4" t="s">
        <v>572</v>
      </c>
      <c r="R1" s="4" t="s">
        <v>528</v>
      </c>
      <c r="S1" s="4" t="s">
        <v>529</v>
      </c>
      <c r="T1" s="4" t="s">
        <v>527</v>
      </c>
      <c r="U1" s="4"/>
      <c r="V1" t="s">
        <v>117</v>
      </c>
      <c r="W1" t="s">
        <v>118</v>
      </c>
      <c r="X1" t="s">
        <v>300</v>
      </c>
      <c r="Y1" t="s">
        <v>301</v>
      </c>
      <c r="Z1" t="s">
        <v>119</v>
      </c>
      <c r="AA1" t="s">
        <v>120</v>
      </c>
      <c r="AB1" t="s">
        <v>311</v>
      </c>
    </row>
    <row r="2" spans="1:28" x14ac:dyDescent="0.25">
      <c r="A2">
        <v>1</v>
      </c>
      <c r="B2" t="s">
        <v>3</v>
      </c>
      <c r="C2" t="s">
        <v>3</v>
      </c>
      <c r="D2" t="s">
        <v>92</v>
      </c>
      <c r="E2" t="s">
        <v>60</v>
      </c>
      <c r="F2" t="s">
        <v>164</v>
      </c>
      <c r="G2">
        <v>54</v>
      </c>
      <c r="H2" s="6">
        <f>104.6/0.75</f>
        <v>139.46666666666667</v>
      </c>
      <c r="I2" s="13">
        <v>70</v>
      </c>
      <c r="J2" t="s">
        <v>4</v>
      </c>
      <c r="K2" s="1" t="s">
        <v>163</v>
      </c>
      <c r="L2" s="5" t="s">
        <v>223</v>
      </c>
      <c r="M2" t="str">
        <f t="shared" ref="M2:M18" si="0">CONCATENATE("insert into tb_time(nu_time, nm_time_BR,nm_time_PT,nm_time_EN,sg_time,nm_tecnico,nu_idade_tecnico, vl_time_usd,nu_rank_fifa,id_grupo) values (",A2,", '",B2,"', '",C2,"','",D2,"', '",E2,"', '",F2,"', ",G2,", ",SUBSTITUTE(H2,",","."),", ",I2,", '",J2,"');")</f>
        <v>insert into tb_time(nu_time, nm_time_BR,nm_time_PT,nm_time_EN,sg_time,nm_tecnico,nu_idade_tecnico, vl_time_usd,nu_rank_fifa,id_grupo) values (1, 'Rússia', 'Rússia','Russia', 'RUS', 'CHERCHESOV Stanislav', 54, 139.466666666667, 70, 'A');</v>
      </c>
      <c r="N2">
        <v>1.25</v>
      </c>
      <c r="O2">
        <v>1.5</v>
      </c>
      <c r="P2">
        <v>2</v>
      </c>
      <c r="Q2">
        <v>0</v>
      </c>
      <c r="T2" t="s">
        <v>552</v>
      </c>
      <c r="V2">
        <f>COUNTA(Jogos!K3:K64)</f>
        <v>54</v>
      </c>
      <c r="W2">
        <f>SUM(Jogos!K3:K64)</f>
        <v>5257</v>
      </c>
      <c r="X2">
        <f>SUM(Jogos!C3:C64,Jogos!E3:E64)</f>
        <v>143</v>
      </c>
      <c r="Y2">
        <f>MEDIAN(Jogos!C12:C64,Jogos!E3:E64)</f>
        <v>1</v>
      </c>
      <c r="Z2">
        <f>X2/V2</f>
        <v>2.6481481481481484</v>
      </c>
      <c r="AA2">
        <f>W2/X2</f>
        <v>36.76223776223776</v>
      </c>
      <c r="AB2" s="6">
        <f>SUM(H2:H33)</f>
        <v>11940.76</v>
      </c>
    </row>
    <row r="3" spans="1:28" x14ac:dyDescent="0.25">
      <c r="A3">
        <v>2</v>
      </c>
      <c r="B3" t="s">
        <v>5</v>
      </c>
      <c r="C3" t="s">
        <v>5</v>
      </c>
      <c r="D3" t="s">
        <v>93</v>
      </c>
      <c r="E3" t="s">
        <v>61</v>
      </c>
      <c r="F3" t="s">
        <v>166</v>
      </c>
      <c r="G3">
        <v>50</v>
      </c>
      <c r="H3" s="6">
        <f>15.1/0.75</f>
        <v>20.133333333333333</v>
      </c>
      <c r="I3" s="13">
        <v>67</v>
      </c>
      <c r="J3" t="s">
        <v>4</v>
      </c>
      <c r="K3" s="1" t="s">
        <v>165</v>
      </c>
      <c r="L3" s="5" t="s">
        <v>223</v>
      </c>
      <c r="M3" t="str">
        <f t="shared" si="0"/>
        <v>insert into tb_time(nu_time, nm_time_BR,nm_time_PT,nm_time_EN,sg_time,nm_tecnico,nu_idade_tecnico, vl_time_usd,nu_rank_fifa,id_grupo) values (2, 'Arábia Saudita', 'Arábia Saudita','Saudi Arabia', 'ASA', 'PIZZI Juan Antonio', 50, 20.1333333333333, 67, 'A');</v>
      </c>
      <c r="N3">
        <v>0</v>
      </c>
      <c r="O3">
        <v>0</v>
      </c>
      <c r="P3">
        <v>0</v>
      </c>
      <c r="Q3">
        <v>0</v>
      </c>
      <c r="R3" t="s">
        <v>553</v>
      </c>
      <c r="V3" t="s">
        <v>223</v>
      </c>
      <c r="Y3">
        <f>_xlfn.MODE.SNGL(Jogos!C12:C64,Jogos!E3:E64)</f>
        <v>1</v>
      </c>
    </row>
    <row r="4" spans="1:28" x14ac:dyDescent="0.25">
      <c r="A4">
        <v>3</v>
      </c>
      <c r="B4" t="s">
        <v>7</v>
      </c>
      <c r="C4" t="s">
        <v>11</v>
      </c>
      <c r="D4" t="s">
        <v>131</v>
      </c>
      <c r="E4" t="s">
        <v>62</v>
      </c>
      <c r="F4" t="s">
        <v>130</v>
      </c>
      <c r="G4">
        <v>62</v>
      </c>
      <c r="H4" s="6">
        <f>172.9/0.75</f>
        <v>230.53333333333333</v>
      </c>
      <c r="I4" s="13">
        <v>45</v>
      </c>
      <c r="J4" t="s">
        <v>4</v>
      </c>
      <c r="K4" s="1" t="s">
        <v>185</v>
      </c>
      <c r="L4" s="5" t="s">
        <v>223</v>
      </c>
      <c r="M4" t="str">
        <f t="shared" si="0"/>
        <v>insert into tb_time(nu_time, nm_time_BR,nm_time_PT,nm_time_EN,sg_time,nm_tecnico,nu_idade_tecnico, vl_time_usd,nu_rank_fifa,id_grupo) values (3, 'Egito', 'Egipto','Egypt', 'EGI', 'CUPER Hector', 62, 230.533333333333, 45, 'A');</v>
      </c>
      <c r="N4">
        <v>0</v>
      </c>
      <c r="O4">
        <v>0</v>
      </c>
      <c r="P4">
        <v>0</v>
      </c>
      <c r="Q4">
        <v>0</v>
      </c>
      <c r="S4" t="s">
        <v>538</v>
      </c>
      <c r="V4" t="s">
        <v>223</v>
      </c>
      <c r="W4" s="1" t="s">
        <v>235</v>
      </c>
    </row>
    <row r="5" spans="1:28" x14ac:dyDescent="0.25">
      <c r="A5">
        <v>4</v>
      </c>
      <c r="B5" t="s">
        <v>8</v>
      </c>
      <c r="C5" t="s">
        <v>8</v>
      </c>
      <c r="D5" t="s">
        <v>167</v>
      </c>
      <c r="E5" t="s">
        <v>63</v>
      </c>
      <c r="F5" t="s">
        <v>169</v>
      </c>
      <c r="G5">
        <v>71</v>
      </c>
      <c r="H5" s="6">
        <f>323.4/0.75</f>
        <v>431.2</v>
      </c>
      <c r="I5" s="13">
        <v>14</v>
      </c>
      <c r="J5" t="s">
        <v>4</v>
      </c>
      <c r="K5" s="1" t="s">
        <v>168</v>
      </c>
      <c r="L5" s="5" t="s">
        <v>223</v>
      </c>
      <c r="M5" t="str">
        <f t="shared" si="0"/>
        <v>insert into tb_time(nu_time, nm_time_BR,nm_time_PT,nm_time_EN,sg_time,nm_tecnico,nu_idade_tecnico, vl_time_usd,nu_rank_fifa,id_grupo) values (4, 'Uruguai', 'Uruguai','Uruguay', 'URU', 'TABAREZ Oscar', 71, 431.2, 14, 'A');</v>
      </c>
      <c r="N5">
        <v>2</v>
      </c>
      <c r="O5">
        <v>1</v>
      </c>
      <c r="P5">
        <v>1</v>
      </c>
      <c r="Q5">
        <v>2</v>
      </c>
      <c r="R5" t="s">
        <v>560</v>
      </c>
      <c r="V5" t="s">
        <v>223</v>
      </c>
      <c r="W5" s="1" t="s">
        <v>561</v>
      </c>
    </row>
    <row r="6" spans="1:28" x14ac:dyDescent="0.25">
      <c r="A6" s="7">
        <v>5</v>
      </c>
      <c r="B6" s="7" t="s">
        <v>12</v>
      </c>
      <c r="C6" s="7" t="s">
        <v>12</v>
      </c>
      <c r="D6" s="7" t="s">
        <v>12</v>
      </c>
      <c r="E6" s="7" t="s">
        <v>64</v>
      </c>
      <c r="F6" s="7" t="s">
        <v>162</v>
      </c>
      <c r="G6" s="7">
        <v>63</v>
      </c>
      <c r="H6" s="8">
        <f>411.04/0.75</f>
        <v>548.0533333333334</v>
      </c>
      <c r="I6" s="14">
        <v>4</v>
      </c>
      <c r="J6" s="7" t="s">
        <v>17</v>
      </c>
      <c r="K6" s="1" t="s">
        <v>161</v>
      </c>
      <c r="L6" s="5" t="s">
        <v>223</v>
      </c>
      <c r="M6" t="str">
        <f t="shared" si="0"/>
        <v>insert into tb_time(nu_time, nm_time_BR,nm_time_PT,nm_time_EN,sg_time,nm_tecnico,nu_idade_tecnico, vl_time_usd,nu_rank_fifa,id_grupo) values (5, 'Portugal', 'Portugal','Portugal', 'POR', 'SANTOS Fernando', 63, 548.053333333333, 4, 'B');</v>
      </c>
      <c r="N6">
        <v>2</v>
      </c>
      <c r="O6">
        <v>1.5</v>
      </c>
      <c r="P6">
        <v>1</v>
      </c>
      <c r="Q6">
        <v>1</v>
      </c>
      <c r="R6" t="s">
        <v>551</v>
      </c>
      <c r="V6" t="s">
        <v>223</v>
      </c>
      <c r="W6" s="1" t="s">
        <v>565</v>
      </c>
    </row>
    <row r="7" spans="1:28" x14ac:dyDescent="0.25">
      <c r="A7" s="7">
        <v>6</v>
      </c>
      <c r="B7" s="7" t="s">
        <v>13</v>
      </c>
      <c r="C7" s="7" t="s">
        <v>13</v>
      </c>
      <c r="D7" s="7" t="s">
        <v>94</v>
      </c>
      <c r="E7" s="7" t="s">
        <v>65</v>
      </c>
      <c r="F7" s="7" t="s">
        <v>171</v>
      </c>
      <c r="G7" s="7">
        <v>50</v>
      </c>
      <c r="H7" s="8">
        <f>910.8/0.75</f>
        <v>1214.3999999999999</v>
      </c>
      <c r="I7" s="14">
        <v>10</v>
      </c>
      <c r="J7" s="7" t="s">
        <v>17</v>
      </c>
      <c r="K7" s="1" t="s">
        <v>170</v>
      </c>
      <c r="L7" s="5" t="s">
        <v>223</v>
      </c>
      <c r="M7" t="str">
        <f t="shared" si="0"/>
        <v>insert into tb_time(nu_time, nm_time_BR,nm_time_PT,nm_time_EN,sg_time,nm_tecnico,nu_idade_tecnico, vl_time_usd,nu_rank_fifa,id_grupo) values (6, 'Espanha', 'Espanha','Spain', 'ESP', 'HIERRO Fernando', 50, 1214.4, 10, 'B');</v>
      </c>
      <c r="N7">
        <v>1</v>
      </c>
      <c r="O7">
        <v>2</v>
      </c>
      <c r="P7">
        <v>1.5</v>
      </c>
      <c r="Q7">
        <v>1</v>
      </c>
      <c r="R7" t="s">
        <v>567</v>
      </c>
      <c r="S7" t="s">
        <v>566</v>
      </c>
      <c r="V7" t="s">
        <v>223</v>
      </c>
    </row>
    <row r="8" spans="1:28" x14ac:dyDescent="0.25">
      <c r="A8" s="7">
        <v>7</v>
      </c>
      <c r="B8" s="7" t="s">
        <v>14</v>
      </c>
      <c r="C8" s="7" t="s">
        <v>14</v>
      </c>
      <c r="D8" s="7" t="s">
        <v>150</v>
      </c>
      <c r="E8" s="7" t="s">
        <v>66</v>
      </c>
      <c r="F8" s="7" t="s">
        <v>152</v>
      </c>
      <c r="G8" s="7">
        <v>49</v>
      </c>
      <c r="H8" s="8">
        <f>105.5/0.75</f>
        <v>140.66666666666666</v>
      </c>
      <c r="I8" s="14">
        <v>41</v>
      </c>
      <c r="J8" s="7" t="s">
        <v>17</v>
      </c>
      <c r="K8" s="1" t="s">
        <v>151</v>
      </c>
      <c r="L8" s="5" t="s">
        <v>223</v>
      </c>
      <c r="M8" t="str">
        <f t="shared" si="0"/>
        <v>insert into tb_time(nu_time, nm_time_BR,nm_time_PT,nm_time_EN,sg_time,nm_tecnico,nu_idade_tecnico, vl_time_usd,nu_rank_fifa,id_grupo) values (7, 'Marrocos', 'Marrocos','Morocco', 'MAR', 'RENARD Herve', 49, 140.666666666667, 41, 'B');</v>
      </c>
      <c r="N8">
        <v>0</v>
      </c>
      <c r="O8">
        <v>0</v>
      </c>
      <c r="P8">
        <v>0</v>
      </c>
      <c r="Q8">
        <v>0</v>
      </c>
      <c r="T8" t="s">
        <v>547</v>
      </c>
      <c r="V8" t="s">
        <v>223</v>
      </c>
    </row>
    <row r="9" spans="1:28" x14ac:dyDescent="0.25">
      <c r="A9" s="7">
        <v>8</v>
      </c>
      <c r="B9" s="7" t="s">
        <v>15</v>
      </c>
      <c r="C9" s="7" t="s">
        <v>16</v>
      </c>
      <c r="D9" s="7" t="s">
        <v>140</v>
      </c>
      <c r="E9" s="7" t="s">
        <v>67</v>
      </c>
      <c r="F9" s="7" t="s">
        <v>142</v>
      </c>
      <c r="G9" s="7">
        <v>65</v>
      </c>
      <c r="H9" s="8">
        <f>37.4/0.75</f>
        <v>49.866666666666667</v>
      </c>
      <c r="I9" s="14">
        <v>37</v>
      </c>
      <c r="J9" s="7" t="s">
        <v>17</v>
      </c>
      <c r="K9" s="1" t="s">
        <v>141</v>
      </c>
      <c r="L9" s="5" t="s">
        <v>223</v>
      </c>
      <c r="M9" t="str">
        <f t="shared" si="0"/>
        <v>insert into tb_time(nu_time, nm_time_BR,nm_time_PT,nm_time_EN,sg_time,nm_tecnico,nu_idade_tecnico, vl_time_usd,nu_rank_fifa,id_grupo) values (8, 'Irã', 'Irão','IR Iran', 'IRN', 'QUEIROZ Carlos', 65, 49.8666666666667, 37, 'B');</v>
      </c>
      <c r="N9">
        <v>0</v>
      </c>
      <c r="O9">
        <v>0</v>
      </c>
      <c r="P9">
        <v>0</v>
      </c>
      <c r="Q9">
        <v>0</v>
      </c>
      <c r="R9" t="s">
        <v>544</v>
      </c>
      <c r="V9" t="s">
        <v>223</v>
      </c>
    </row>
    <row r="10" spans="1:28" x14ac:dyDescent="0.25">
      <c r="A10">
        <v>9</v>
      </c>
      <c r="B10" t="s">
        <v>26</v>
      </c>
      <c r="C10" t="s">
        <v>26</v>
      </c>
      <c r="D10" t="s">
        <v>27</v>
      </c>
      <c r="E10" t="s">
        <v>68</v>
      </c>
      <c r="F10" t="s">
        <v>135</v>
      </c>
      <c r="G10">
        <v>49</v>
      </c>
      <c r="H10" s="6">
        <f>907.7/0.75</f>
        <v>1210.2666666666667</v>
      </c>
      <c r="I10" s="13">
        <v>7</v>
      </c>
      <c r="J10" t="s">
        <v>18</v>
      </c>
      <c r="K10" s="1" t="s">
        <v>134</v>
      </c>
      <c r="L10" s="5" t="s">
        <v>223</v>
      </c>
      <c r="M10" t="str">
        <f t="shared" si="0"/>
        <v>insert into tb_time(nu_time, nm_time_BR,nm_time_PT,nm_time_EN,sg_time,nm_tecnico,nu_idade_tecnico, vl_time_usd,nu_rank_fifa,id_grupo) values (9, 'França', 'França','France', 'FRA', 'DESCHAMPS Didier', 49, 1210.26666666667, 7, 'C');</v>
      </c>
      <c r="N10">
        <v>1.5</v>
      </c>
      <c r="O10">
        <v>2</v>
      </c>
      <c r="P10">
        <v>2</v>
      </c>
      <c r="Q10">
        <v>1</v>
      </c>
      <c r="R10" t="s">
        <v>540</v>
      </c>
      <c r="S10" t="s">
        <v>568</v>
      </c>
      <c r="T10" t="s">
        <v>539</v>
      </c>
      <c r="V10" t="s">
        <v>223</v>
      </c>
    </row>
    <row r="11" spans="1:28" x14ac:dyDescent="0.25">
      <c r="A11">
        <v>10</v>
      </c>
      <c r="B11" t="s">
        <v>28</v>
      </c>
      <c r="C11" t="s">
        <v>28</v>
      </c>
      <c r="D11" t="s">
        <v>95</v>
      </c>
      <c r="E11" t="s">
        <v>69</v>
      </c>
      <c r="F11" t="s">
        <v>122</v>
      </c>
      <c r="G11">
        <v>66</v>
      </c>
      <c r="H11" s="6">
        <f>43.6/0.75</f>
        <v>58.133333333333333</v>
      </c>
      <c r="I11" s="13">
        <v>36</v>
      </c>
      <c r="J11" t="s">
        <v>18</v>
      </c>
      <c r="K11" s="1" t="s">
        <v>180</v>
      </c>
      <c r="L11" s="5" t="s">
        <v>223</v>
      </c>
      <c r="M11" t="str">
        <f t="shared" si="0"/>
        <v>insert into tb_time(nu_time, nm_time_BR,nm_time_PT,nm_time_EN,sg_time,nm_tecnico,nu_idade_tecnico, vl_time_usd,nu_rank_fifa,id_grupo) values (10, 'Austrália', 'Austrália','Australia', 'AUS', 'VAN MARWIJK Bert', 66, 58.1333333333333, 36, 'C');</v>
      </c>
      <c r="N11">
        <v>1.75</v>
      </c>
      <c r="O11">
        <v>2</v>
      </c>
      <c r="P11">
        <v>1.5</v>
      </c>
      <c r="Q11">
        <v>0.1</v>
      </c>
      <c r="S11" t="s">
        <v>530</v>
      </c>
      <c r="T11" t="s">
        <v>569</v>
      </c>
      <c r="V11" t="s">
        <v>223</v>
      </c>
    </row>
    <row r="12" spans="1:28" x14ac:dyDescent="0.25">
      <c r="A12">
        <v>11</v>
      </c>
      <c r="B12" t="s">
        <v>29</v>
      </c>
      <c r="C12" t="s">
        <v>29</v>
      </c>
      <c r="D12" t="s">
        <v>29</v>
      </c>
      <c r="E12" t="s">
        <v>70</v>
      </c>
      <c r="F12" t="s">
        <v>158</v>
      </c>
      <c r="G12">
        <v>60</v>
      </c>
      <c r="H12" s="6">
        <f>32.6/0.75</f>
        <v>43.466666666666669</v>
      </c>
      <c r="I12" s="13">
        <v>11</v>
      </c>
      <c r="J12" t="s">
        <v>18</v>
      </c>
      <c r="K12" s="1" t="s">
        <v>157</v>
      </c>
      <c r="L12" s="5" t="s">
        <v>223</v>
      </c>
      <c r="M12" t="str">
        <f t="shared" si="0"/>
        <v>insert into tb_time(nu_time, nm_time_BR,nm_time_PT,nm_time_EN,sg_time,nm_tecnico,nu_idade_tecnico, vl_time_usd,nu_rank_fifa,id_grupo) values (11, 'Peru', 'Peru','Peru', 'PER', 'GARECA Ricardo', 60, 43.4666666666667, 11, 'C');</v>
      </c>
      <c r="N12">
        <v>1.75</v>
      </c>
      <c r="O12">
        <v>1</v>
      </c>
      <c r="P12">
        <v>1.5</v>
      </c>
      <c r="Q12">
        <v>0.5</v>
      </c>
      <c r="R12" t="s">
        <v>570</v>
      </c>
      <c r="V12" t="s">
        <v>223</v>
      </c>
    </row>
    <row r="13" spans="1:28" x14ac:dyDescent="0.25">
      <c r="A13">
        <v>12</v>
      </c>
      <c r="B13" t="s">
        <v>30</v>
      </c>
      <c r="C13" t="s">
        <v>30</v>
      </c>
      <c r="D13" t="s">
        <v>96</v>
      </c>
      <c r="E13" t="s">
        <v>71</v>
      </c>
      <c r="F13" t="s">
        <v>129</v>
      </c>
      <c r="G13">
        <v>64</v>
      </c>
      <c r="H13" s="6">
        <f>223.6/0.75</f>
        <v>298.13333333333333</v>
      </c>
      <c r="I13" s="13">
        <v>12</v>
      </c>
      <c r="J13" t="s">
        <v>18</v>
      </c>
      <c r="K13" s="1" t="s">
        <v>186</v>
      </c>
      <c r="L13" s="5" t="s">
        <v>223</v>
      </c>
      <c r="M13" t="str">
        <f t="shared" si="0"/>
        <v>insert into tb_time(nu_time, nm_time_BR,nm_time_PT,nm_time_EN,sg_time,nm_tecnico,nu_idade_tecnico, vl_time_usd,nu_rank_fifa,id_grupo) values (12, 'Dinamarca', 'Dinamarca','Denmark', 'DIN', 'HAREIDE Age', 64, 298.133333333333, 12, 'C');</v>
      </c>
      <c r="N13">
        <v>0.75</v>
      </c>
      <c r="O13">
        <v>1.5</v>
      </c>
      <c r="P13">
        <v>2</v>
      </c>
      <c r="Q13">
        <v>0.1</v>
      </c>
      <c r="S13" t="s">
        <v>536</v>
      </c>
      <c r="V13" t="s">
        <v>223</v>
      </c>
    </row>
    <row r="14" spans="1:28" x14ac:dyDescent="0.25">
      <c r="A14" s="7">
        <v>13</v>
      </c>
      <c r="B14" s="7" t="s">
        <v>31</v>
      </c>
      <c r="C14" s="7" t="s">
        <v>31</v>
      </c>
      <c r="D14" s="7" t="s">
        <v>31</v>
      </c>
      <c r="E14" s="7" t="s">
        <v>72</v>
      </c>
      <c r="F14" s="7" t="s">
        <v>121</v>
      </c>
      <c r="G14" s="7">
        <v>58</v>
      </c>
      <c r="H14" s="8">
        <f>614.2/0.75</f>
        <v>818.93333333333339</v>
      </c>
      <c r="I14" s="14">
        <v>5</v>
      </c>
      <c r="J14" s="7" t="s">
        <v>19</v>
      </c>
      <c r="K14" s="1" t="s">
        <v>181</v>
      </c>
      <c r="L14" s="5" t="s">
        <v>223</v>
      </c>
      <c r="M14" t="str">
        <f t="shared" si="0"/>
        <v>insert into tb_time(nu_time, nm_time_BR,nm_time_PT,nm_time_EN,sg_time,nm_tecnico,nu_idade_tecnico, vl_time_usd,nu_rank_fifa,id_grupo) values (13, 'Argentina', 'Argentina','Argentina', 'ARG', 'SAMPAOLI Jorge', 58, 818.933333333333, 5, 'D');</v>
      </c>
      <c r="N14">
        <v>1.5</v>
      </c>
      <c r="O14">
        <v>1.25</v>
      </c>
      <c r="P14">
        <v>0.5</v>
      </c>
      <c r="Q14">
        <v>1.5</v>
      </c>
      <c r="R14" t="s">
        <v>571</v>
      </c>
      <c r="T14" t="s">
        <v>526</v>
      </c>
      <c r="V14" t="s">
        <v>223</v>
      </c>
    </row>
    <row r="15" spans="1:28" x14ac:dyDescent="0.25">
      <c r="A15" s="7">
        <v>14</v>
      </c>
      <c r="B15" s="7" t="s">
        <v>32</v>
      </c>
      <c r="C15" s="7" t="s">
        <v>32</v>
      </c>
      <c r="D15" s="7" t="s">
        <v>97</v>
      </c>
      <c r="E15" s="7" t="s">
        <v>73</v>
      </c>
      <c r="F15" s="7" t="s">
        <v>139</v>
      </c>
      <c r="G15" s="7">
        <v>51</v>
      </c>
      <c r="H15" s="8">
        <f>65.1/0.75</f>
        <v>86.8</v>
      </c>
      <c r="I15" s="14">
        <v>22</v>
      </c>
      <c r="J15" s="7" t="s">
        <v>19</v>
      </c>
      <c r="K15" s="1" t="s">
        <v>138</v>
      </c>
      <c r="L15" s="5" t="s">
        <v>223</v>
      </c>
      <c r="M15" t="str">
        <f t="shared" si="0"/>
        <v>insert into tb_time(nu_time, nm_time_BR,nm_time_PT,nm_time_EN,sg_time,nm_tecnico,nu_idade_tecnico, vl_time_usd,nu_rank_fifa,id_grupo) values (14, 'Islândia', 'Islândia','Iceland', 'ISL', 'HALLGRIMSSON Heimir', 51, 86.8, 22, 'D');</v>
      </c>
      <c r="N15">
        <v>0.75</v>
      </c>
      <c r="O15">
        <v>1</v>
      </c>
      <c r="P15">
        <v>2.25</v>
      </c>
      <c r="Q15">
        <v>0.1</v>
      </c>
      <c r="R15" t="s">
        <v>543</v>
      </c>
      <c r="V15" t="s">
        <v>223</v>
      </c>
    </row>
    <row r="16" spans="1:28" x14ac:dyDescent="0.25">
      <c r="A16" s="7">
        <v>15</v>
      </c>
      <c r="B16" s="7" t="s">
        <v>33</v>
      </c>
      <c r="C16" s="7" t="s">
        <v>33</v>
      </c>
      <c r="D16" s="7" t="s">
        <v>98</v>
      </c>
      <c r="E16" s="7" t="s">
        <v>74</v>
      </c>
      <c r="F16" s="7" t="s">
        <v>128</v>
      </c>
      <c r="G16" s="7">
        <v>51</v>
      </c>
      <c r="H16" s="8">
        <f>302.5/0.75</f>
        <v>403.33333333333331</v>
      </c>
      <c r="I16" s="14">
        <v>20</v>
      </c>
      <c r="J16" s="7" t="s">
        <v>19</v>
      </c>
      <c r="K16" s="1" t="s">
        <v>187</v>
      </c>
      <c r="L16" s="5" t="s">
        <v>223</v>
      </c>
      <c r="M16" t="str">
        <f t="shared" si="0"/>
        <v>insert into tb_time(nu_time, nm_time_BR,nm_time_PT,nm_time_EN,sg_time,nm_tecnico,nu_idade_tecnico, vl_time_usd,nu_rank_fifa,id_grupo) values (15, 'Croácia', 'Croácia','Croatia', 'CRO', 'DALIC Zlatko', 51, 403.333333333333, 20, 'D');</v>
      </c>
      <c r="N16">
        <v>1.5</v>
      </c>
      <c r="O16">
        <v>2.25</v>
      </c>
      <c r="P16">
        <v>2</v>
      </c>
      <c r="Q16">
        <v>0.1</v>
      </c>
      <c r="S16" t="s">
        <v>535</v>
      </c>
      <c r="V16" t="s">
        <v>223</v>
      </c>
    </row>
    <row r="17" spans="1:22" x14ac:dyDescent="0.25">
      <c r="A17" s="7">
        <v>16</v>
      </c>
      <c r="B17" s="7" t="s">
        <v>34</v>
      </c>
      <c r="C17" s="7" t="s">
        <v>34</v>
      </c>
      <c r="D17" s="7" t="s">
        <v>99</v>
      </c>
      <c r="E17" s="7" t="s">
        <v>75</v>
      </c>
      <c r="F17" s="7" t="s">
        <v>154</v>
      </c>
      <c r="G17" s="7">
        <v>64</v>
      </c>
      <c r="H17" s="8">
        <f>115.1/0.75</f>
        <v>153.46666666666667</v>
      </c>
      <c r="I17" s="14">
        <v>48</v>
      </c>
      <c r="J17" s="7" t="s">
        <v>19</v>
      </c>
      <c r="K17" s="1" t="s">
        <v>153</v>
      </c>
      <c r="L17" s="5" t="s">
        <v>223</v>
      </c>
      <c r="M17" t="str">
        <f t="shared" si="0"/>
        <v>insert into tb_time(nu_time, nm_time_BR,nm_time_PT,nm_time_EN,sg_time,nm_tecnico,nu_idade_tecnico, vl_time_usd,nu_rank_fifa,id_grupo) values (16, 'Nigéria', 'Nigéria','Nigeria', 'NIG', 'ROHR Gernot', 64, 153.466666666667, 48, 'D');</v>
      </c>
      <c r="N17">
        <v>1.5</v>
      </c>
      <c r="O17">
        <v>0.75</v>
      </c>
      <c r="P17">
        <v>1.25</v>
      </c>
      <c r="Q17">
        <v>1</v>
      </c>
      <c r="T17" t="s">
        <v>548</v>
      </c>
      <c r="V17" t="s">
        <v>223</v>
      </c>
    </row>
    <row r="18" spans="1:22" x14ac:dyDescent="0.25">
      <c r="A18">
        <v>17</v>
      </c>
      <c r="B18" t="s">
        <v>35</v>
      </c>
      <c r="C18" t="s">
        <v>35</v>
      </c>
      <c r="D18" t="s">
        <v>36</v>
      </c>
      <c r="E18" t="s">
        <v>76</v>
      </c>
      <c r="F18" t="s">
        <v>124</v>
      </c>
      <c r="G18">
        <v>57</v>
      </c>
      <c r="H18" s="6">
        <f>808.01/0.75</f>
        <v>1077.3466666666666</v>
      </c>
      <c r="I18" s="13">
        <v>2</v>
      </c>
      <c r="J18" t="s">
        <v>20</v>
      </c>
      <c r="K18" s="1" t="s">
        <v>182</v>
      </c>
      <c r="L18" s="5" t="s">
        <v>223</v>
      </c>
      <c r="M18" t="str">
        <f t="shared" si="0"/>
        <v>insert into tb_time(nu_time, nm_time_BR,nm_time_PT,nm_time_EN,sg_time,nm_tecnico,nu_idade_tecnico, vl_time_usd,nu_rank_fifa,id_grupo) values (17, 'Brasil', 'Brasil','Brazil', 'BRA', 'TITE', 57, 1077.34666666667, 2, 'E');</v>
      </c>
      <c r="N18">
        <v>1.75</v>
      </c>
      <c r="O18">
        <v>2</v>
      </c>
      <c r="P18">
        <v>2.5</v>
      </c>
      <c r="Q18">
        <v>3</v>
      </c>
      <c r="R18" t="s">
        <v>532</v>
      </c>
      <c r="V18" t="s">
        <v>223</v>
      </c>
    </row>
    <row r="19" spans="1:22" x14ac:dyDescent="0.25">
      <c r="A19">
        <v>18</v>
      </c>
      <c r="B19" t="s">
        <v>37</v>
      </c>
      <c r="C19" t="s">
        <v>37</v>
      </c>
      <c r="D19" t="s">
        <v>100</v>
      </c>
      <c r="E19" t="s">
        <v>77</v>
      </c>
      <c r="F19" t="s">
        <v>184</v>
      </c>
      <c r="G19">
        <v>54</v>
      </c>
      <c r="H19" s="6">
        <f>187.1/0.75</f>
        <v>249.46666666666667</v>
      </c>
      <c r="I19" s="13">
        <v>6</v>
      </c>
      <c r="J19" t="s">
        <v>20</v>
      </c>
      <c r="K19" s="1" t="s">
        <v>183</v>
      </c>
      <c r="L19" s="5" t="s">
        <v>223</v>
      </c>
      <c r="M19" t="str">
        <f>CONCATENATE("insert into tb_time(nu_time, nm_time_BR,nm_time_PT,nm_time_EN,sg_time,nm_tecnico,nu_idade_tecnico, vl_time_usd,nu_rank_fifa,id_grupo) values (",A19,", '",B19,"', '",C19,"','",D19,"', '",E19,"', '",F19,"', ",G19,", ",SUBSTITUTE(H19,",","."),", ",I19,", '",J19,"');")</f>
        <v>insert into tb_time(nu_time, nm_time_BR,nm_time_PT,nm_time_EN,sg_time,nm_tecnico,nu_idade_tecnico, vl_time_usd,nu_rank_fifa,id_grupo) values (18, 'Suíça', 'Suíça','Switzerland', 'SUI', 'PETKOVIC Vladimir', 54, 249.466666666667, 6, 'E');</v>
      </c>
      <c r="N19">
        <v>1.25</v>
      </c>
      <c r="O19">
        <v>1.5</v>
      </c>
      <c r="P19">
        <v>1.75</v>
      </c>
      <c r="Q19">
        <v>0.1</v>
      </c>
      <c r="T19" t="s">
        <v>558</v>
      </c>
      <c r="V19" t="s">
        <v>223</v>
      </c>
    </row>
    <row r="20" spans="1:22" x14ac:dyDescent="0.25">
      <c r="A20">
        <v>19</v>
      </c>
      <c r="B20" t="s">
        <v>38</v>
      </c>
      <c r="C20" t="s">
        <v>38</v>
      </c>
      <c r="D20" t="s">
        <v>38</v>
      </c>
      <c r="E20" t="s">
        <v>78</v>
      </c>
      <c r="F20" t="s">
        <v>127</v>
      </c>
      <c r="G20">
        <v>53</v>
      </c>
      <c r="H20">
        <f>37.02/0.75</f>
        <v>49.360000000000007</v>
      </c>
      <c r="I20" s="13">
        <v>23</v>
      </c>
      <c r="J20" t="s">
        <v>20</v>
      </c>
      <c r="K20" s="1" t="s">
        <v>188</v>
      </c>
      <c r="L20" s="5" t="s">
        <v>223</v>
      </c>
      <c r="M20" t="str">
        <f t="shared" ref="M20:M33" si="1">CONCATENATE("insert into tb_time(nu_time, nm_time_BR,nm_time_PT,nm_time_EN,sg_time,nm_tecnico,nu_idade_tecnico, vl_time_usd,nu_rank_fifa,id_grupo) values (",A20,", '",B20,"', '",C20,"','",D20,"', '",E20,"', '",F20,"', ",G20,", ",SUBSTITUTE(H20,",","."),", ",I20,", '",J20,"');")</f>
        <v>insert into tb_time(nu_time, nm_time_BR,nm_time_PT,nm_time_EN,sg_time,nm_tecnico,nu_idade_tecnico, vl_time_usd,nu_rank_fifa,id_grupo) values (19, 'Costa Rica', 'Costa Rica','Costa Rica', 'CRC', 'RAMIREZ Oscar', 53, 49.36, 23, 'E');</v>
      </c>
      <c r="N20">
        <v>0.5</v>
      </c>
      <c r="O20">
        <v>0.75</v>
      </c>
      <c r="P20">
        <v>0.75</v>
      </c>
      <c r="Q20">
        <v>0.1</v>
      </c>
      <c r="T20" t="s">
        <v>534</v>
      </c>
      <c r="V20" t="s">
        <v>223</v>
      </c>
    </row>
    <row r="21" spans="1:22" x14ac:dyDescent="0.25">
      <c r="A21">
        <v>20</v>
      </c>
      <c r="B21" t="s">
        <v>39</v>
      </c>
      <c r="C21" t="s">
        <v>39</v>
      </c>
      <c r="D21" t="s">
        <v>101</v>
      </c>
      <c r="E21" t="s">
        <v>79</v>
      </c>
      <c r="F21" t="s">
        <v>175</v>
      </c>
      <c r="G21">
        <v>44</v>
      </c>
      <c r="H21" s="6">
        <f>211.2/0.75</f>
        <v>281.59999999999997</v>
      </c>
      <c r="I21" s="13">
        <v>34</v>
      </c>
      <c r="J21" t="s">
        <v>20</v>
      </c>
      <c r="K21" s="1" t="s">
        <v>174</v>
      </c>
      <c r="L21" s="5" t="s">
        <v>223</v>
      </c>
      <c r="M21" t="str">
        <f t="shared" si="1"/>
        <v>insert into tb_time(nu_time, nm_time_BR,nm_time_PT,nm_time_EN,sg_time,nm_tecnico,nu_idade_tecnico, vl_time_usd,nu_rank_fifa,id_grupo) values (20, 'Sérvia', 'Sérvia','Serbia', 'SRB', 'KRSTAJIC Mladen', 44, 281.6, 34, 'E');</v>
      </c>
      <c r="N21">
        <v>1</v>
      </c>
      <c r="O21">
        <v>1</v>
      </c>
      <c r="P21">
        <v>1.5</v>
      </c>
      <c r="Q21">
        <v>1</v>
      </c>
      <c r="R21" t="s">
        <v>555</v>
      </c>
      <c r="V21" t="s">
        <v>223</v>
      </c>
    </row>
    <row r="22" spans="1:22" x14ac:dyDescent="0.25">
      <c r="A22" s="7">
        <v>21</v>
      </c>
      <c r="B22" s="7" t="s">
        <v>40</v>
      </c>
      <c r="C22" s="7" t="s">
        <v>40</v>
      </c>
      <c r="D22" s="7" t="s">
        <v>41</v>
      </c>
      <c r="E22" s="7" t="s">
        <v>80</v>
      </c>
      <c r="F22" s="7" t="s">
        <v>137</v>
      </c>
      <c r="G22" s="7">
        <v>58</v>
      </c>
      <c r="H22" s="8">
        <f>771.8/0.75</f>
        <v>1029.0666666666666</v>
      </c>
      <c r="I22" s="14">
        <v>1</v>
      </c>
      <c r="J22" s="7" t="s">
        <v>21</v>
      </c>
      <c r="K22" s="1" t="s">
        <v>136</v>
      </c>
      <c r="L22" s="5" t="s">
        <v>223</v>
      </c>
      <c r="M22" t="str">
        <f t="shared" si="1"/>
        <v>insert into tb_time(nu_time, nm_time_BR,nm_time_PT,nm_time_EN,sg_time,nm_tecnico,nu_idade_tecnico, vl_time_usd,nu_rank_fifa,id_grupo) values (21, 'Alemanha', 'Alemanha','Germany', 'ALE', 'LOEW Joachim', 58, 1029.06666666667, 1, 'F');</v>
      </c>
      <c r="N22">
        <v>1.5</v>
      </c>
      <c r="O22">
        <v>1.5</v>
      </c>
      <c r="P22">
        <v>1.25</v>
      </c>
      <c r="Q22">
        <v>3</v>
      </c>
      <c r="R22" t="s">
        <v>542</v>
      </c>
      <c r="T22" t="s">
        <v>541</v>
      </c>
      <c r="V22" t="s">
        <v>223</v>
      </c>
    </row>
    <row r="23" spans="1:22" x14ac:dyDescent="0.25">
      <c r="A23" s="7">
        <v>22</v>
      </c>
      <c r="B23" s="7" t="s">
        <v>42</v>
      </c>
      <c r="C23" s="7" t="s">
        <v>42</v>
      </c>
      <c r="D23" s="7" t="s">
        <v>102</v>
      </c>
      <c r="E23" s="7" t="s">
        <v>81</v>
      </c>
      <c r="F23" s="7" t="s">
        <v>148</v>
      </c>
      <c r="G23" s="7">
        <v>57</v>
      </c>
      <c r="H23" s="8">
        <f>129.4/0.75</f>
        <v>172.53333333333333</v>
      </c>
      <c r="I23" s="14">
        <v>15</v>
      </c>
      <c r="J23" s="7" t="s">
        <v>21</v>
      </c>
      <c r="K23" s="1" t="s">
        <v>149</v>
      </c>
      <c r="L23" s="5" t="s">
        <v>223</v>
      </c>
      <c r="M23" t="str">
        <f t="shared" si="1"/>
        <v>insert into tb_time(nu_time, nm_time_BR,nm_time_PT,nm_time_EN,sg_time,nm_tecnico,nu_idade_tecnico, vl_time_usd,nu_rank_fifa,id_grupo) values (22, 'México', 'México','Mexico', 'MEX', 'OSORIO Juan Carlos', 57, 172.533333333333, 15, 'F');</v>
      </c>
      <c r="N23">
        <v>1.5</v>
      </c>
      <c r="O23">
        <v>1.75</v>
      </c>
      <c r="P23">
        <v>2.25</v>
      </c>
      <c r="Q23">
        <v>2</v>
      </c>
      <c r="S23" t="s">
        <v>546</v>
      </c>
      <c r="V23" t="s">
        <v>223</v>
      </c>
    </row>
    <row r="24" spans="1:22" x14ac:dyDescent="0.25">
      <c r="A24" s="7">
        <v>23</v>
      </c>
      <c r="B24" s="7" t="s">
        <v>43</v>
      </c>
      <c r="C24" s="7" t="s">
        <v>43</v>
      </c>
      <c r="D24" s="7" t="s">
        <v>103</v>
      </c>
      <c r="E24" s="7" t="s">
        <v>82</v>
      </c>
      <c r="F24" s="7" t="s">
        <v>173</v>
      </c>
      <c r="G24" s="7">
        <v>55</v>
      </c>
      <c r="H24" s="8">
        <f>103.4/0.75</f>
        <v>137.86666666666667</v>
      </c>
      <c r="I24" s="14">
        <v>24</v>
      </c>
      <c r="J24" s="7" t="s">
        <v>21</v>
      </c>
      <c r="K24" s="1" t="s">
        <v>172</v>
      </c>
      <c r="L24" s="5" t="s">
        <v>223</v>
      </c>
      <c r="M24" t="str">
        <f t="shared" si="1"/>
        <v>insert into tb_time(nu_time, nm_time_BR,nm_time_PT,nm_time_EN,sg_time,nm_tecnico,nu_idade_tecnico, vl_time_usd,nu_rank_fifa,id_grupo) values (23, 'Suécia', 'Suécia','Sweden', 'SUE', 'ANDERSSON Janne', 55, 137.866666666667, 24, 'F');</v>
      </c>
      <c r="N24">
        <v>0.1</v>
      </c>
      <c r="O24">
        <v>0.1</v>
      </c>
      <c r="P24">
        <v>0.1</v>
      </c>
      <c r="Q24">
        <v>0.1</v>
      </c>
      <c r="S24" t="s">
        <v>557</v>
      </c>
      <c r="V24" t="s">
        <v>223</v>
      </c>
    </row>
    <row r="25" spans="1:22" x14ac:dyDescent="0.25">
      <c r="A25" s="7">
        <v>24</v>
      </c>
      <c r="B25" s="7" t="s">
        <v>44</v>
      </c>
      <c r="C25" s="7" t="s">
        <v>44</v>
      </c>
      <c r="D25" s="7" t="s">
        <v>145</v>
      </c>
      <c r="E25" s="7" t="s">
        <v>83</v>
      </c>
      <c r="F25" s="7" t="s">
        <v>146</v>
      </c>
      <c r="G25" s="7">
        <v>47</v>
      </c>
      <c r="H25" s="8">
        <f>74.2/0.75</f>
        <v>98.933333333333337</v>
      </c>
      <c r="I25" s="14">
        <v>57</v>
      </c>
      <c r="J25" s="7" t="s">
        <v>21</v>
      </c>
      <c r="K25" s="1" t="s">
        <v>147</v>
      </c>
      <c r="L25" s="5" t="s">
        <v>223</v>
      </c>
      <c r="M25" t="str">
        <f t="shared" si="1"/>
        <v>insert into tb_time(nu_time, nm_time_BR,nm_time_PT,nm_time_EN,sg_time,nm_tecnico,nu_idade_tecnico, vl_time_usd,nu_rank_fifa,id_grupo) values (24, 'Coréia do Sul', 'Coréia do Sul','Korea Republic', 'COR', 'SHIN Taeyong', 47, 98.9333333333333, 57, 'F');</v>
      </c>
      <c r="N25">
        <v>0.1</v>
      </c>
      <c r="O25">
        <v>0.1</v>
      </c>
      <c r="P25">
        <v>0.1</v>
      </c>
      <c r="Q25">
        <v>0.1</v>
      </c>
      <c r="R25" t="s">
        <v>556</v>
      </c>
      <c r="V25" t="s">
        <v>223</v>
      </c>
    </row>
    <row r="26" spans="1:22" x14ac:dyDescent="0.25">
      <c r="A26">
        <v>25</v>
      </c>
      <c r="B26" t="s">
        <v>45</v>
      </c>
      <c r="C26" t="s">
        <v>45</v>
      </c>
      <c r="D26" t="s">
        <v>46</v>
      </c>
      <c r="E26" t="s">
        <v>84</v>
      </c>
      <c r="F26" t="s">
        <v>123</v>
      </c>
      <c r="G26">
        <v>44</v>
      </c>
      <c r="H26" s="6">
        <f>660.9/0.75</f>
        <v>881.19999999999993</v>
      </c>
      <c r="I26" s="13">
        <v>3</v>
      </c>
      <c r="J26" t="s">
        <v>22</v>
      </c>
      <c r="K26" s="1" t="s">
        <v>189</v>
      </c>
      <c r="L26" s="5" t="s">
        <v>223</v>
      </c>
      <c r="M26" t="str">
        <f t="shared" si="1"/>
        <v>insert into tb_time(nu_time, nm_time_BR,nm_time_PT,nm_time_EN,sg_time,nm_tecnico,nu_idade_tecnico, vl_time_usd,nu_rank_fifa,id_grupo) values (25, 'Bélgica', 'Bélgica','Belgium', 'BEL', 'MARTINEZ Roberto', 44, 881.2, 3, 'G');</v>
      </c>
      <c r="N26">
        <v>0.1</v>
      </c>
      <c r="O26">
        <v>0.1</v>
      </c>
      <c r="P26">
        <v>0.1</v>
      </c>
      <c r="Q26">
        <v>0.1</v>
      </c>
      <c r="S26" t="s">
        <v>531</v>
      </c>
      <c r="V26" t="s">
        <v>223</v>
      </c>
    </row>
    <row r="27" spans="1:22" x14ac:dyDescent="0.25">
      <c r="A27">
        <v>26</v>
      </c>
      <c r="B27" t="s">
        <v>47</v>
      </c>
      <c r="C27" t="s">
        <v>47</v>
      </c>
      <c r="D27" t="s">
        <v>104</v>
      </c>
      <c r="E27" t="s">
        <v>85</v>
      </c>
      <c r="F27" t="s">
        <v>156</v>
      </c>
      <c r="G27">
        <v>62</v>
      </c>
      <c r="H27" s="6">
        <f>8.7/0.75</f>
        <v>11.6</v>
      </c>
      <c r="I27" s="13">
        <v>55</v>
      </c>
      <c r="J27" t="s">
        <v>22</v>
      </c>
      <c r="K27" s="1" t="s">
        <v>155</v>
      </c>
      <c r="L27" s="5" t="s">
        <v>223</v>
      </c>
      <c r="M27" t="str">
        <f t="shared" si="1"/>
        <v>insert into tb_time(nu_time, nm_time_BR,nm_time_PT,nm_time_EN,sg_time,nm_tecnico,nu_idade_tecnico, vl_time_usd,nu_rank_fifa,id_grupo) values (26, 'Panamá', 'Panamá','Panama', 'PAN', 'GOMEZ Hernan', 62, 11.6, 55, 'G');</v>
      </c>
      <c r="N27">
        <v>0.1</v>
      </c>
      <c r="O27">
        <v>0.1</v>
      </c>
      <c r="P27">
        <v>0.1</v>
      </c>
      <c r="Q27">
        <v>0.1</v>
      </c>
      <c r="R27" t="s">
        <v>549</v>
      </c>
      <c r="V27" t="s">
        <v>223</v>
      </c>
    </row>
    <row r="28" spans="1:22" x14ac:dyDescent="0.25">
      <c r="A28">
        <v>27</v>
      </c>
      <c r="B28" t="s">
        <v>48</v>
      </c>
      <c r="C28" t="s">
        <v>48</v>
      </c>
      <c r="D28" t="s">
        <v>105</v>
      </c>
      <c r="E28" t="s">
        <v>86</v>
      </c>
      <c r="F28" t="s">
        <v>179</v>
      </c>
      <c r="G28">
        <v>55</v>
      </c>
      <c r="H28" s="6">
        <f>46.2/0.75</f>
        <v>61.6</v>
      </c>
      <c r="I28" s="13">
        <v>21</v>
      </c>
      <c r="J28" t="s">
        <v>22</v>
      </c>
      <c r="K28" s="1" t="s">
        <v>178</v>
      </c>
      <c r="L28" s="5" t="s">
        <v>223</v>
      </c>
      <c r="M28" t="str">
        <f t="shared" si="1"/>
        <v>insert into tb_time(nu_time, nm_time_BR,nm_time_PT,nm_time_EN,sg_time,nm_tecnico,nu_idade_tecnico, vl_time_usd,nu_rank_fifa,id_grupo) values (27, 'Tunísia', 'Tunísia','Tunisia', 'TUN', 'MAALOUL Nabil', 55, 61.6, 21, 'G');</v>
      </c>
      <c r="N28">
        <v>0.1</v>
      </c>
      <c r="O28">
        <v>0.1</v>
      </c>
      <c r="P28">
        <v>0.1</v>
      </c>
      <c r="Q28">
        <v>0.1</v>
      </c>
      <c r="R28" t="s">
        <v>559</v>
      </c>
      <c r="V28" t="s">
        <v>223</v>
      </c>
    </row>
    <row r="29" spans="1:22" x14ac:dyDescent="0.25">
      <c r="A29">
        <v>28</v>
      </c>
      <c r="B29" t="s">
        <v>49</v>
      </c>
      <c r="C29" t="s">
        <v>49</v>
      </c>
      <c r="D29" t="s">
        <v>106</v>
      </c>
      <c r="E29" t="s">
        <v>87</v>
      </c>
      <c r="F29" t="s">
        <v>132</v>
      </c>
      <c r="G29">
        <v>47</v>
      </c>
      <c r="H29" s="6">
        <f>769.1/0.75</f>
        <v>1025.4666666666667</v>
      </c>
      <c r="I29" s="13">
        <v>12</v>
      </c>
      <c r="J29" t="s">
        <v>22</v>
      </c>
      <c r="K29" s="1" t="s">
        <v>190</v>
      </c>
      <c r="L29" s="5" t="s">
        <v>223</v>
      </c>
      <c r="M29" t="str">
        <f t="shared" si="1"/>
        <v>insert into tb_time(nu_time, nm_time_BR,nm_time_PT,nm_time_EN,sg_time,nm_tecnico,nu_idade_tecnico, vl_time_usd,nu_rank_fifa,id_grupo) values (28, 'Inglaterra', 'Inglaterra','England', 'ING', 'SOUTHGATE Gareth', 47, 1025.46666666667, 12, 'G');</v>
      </c>
      <c r="N29">
        <v>1</v>
      </c>
      <c r="O29">
        <v>0.1</v>
      </c>
      <c r="P29">
        <v>0.1</v>
      </c>
      <c r="Q29">
        <v>1</v>
      </c>
      <c r="R29" t="s">
        <v>540</v>
      </c>
      <c r="S29" t="s">
        <v>537</v>
      </c>
      <c r="V29" t="s">
        <v>223</v>
      </c>
    </row>
    <row r="30" spans="1:22" x14ac:dyDescent="0.25">
      <c r="A30" s="7">
        <v>29</v>
      </c>
      <c r="B30" s="7" t="s">
        <v>50</v>
      </c>
      <c r="C30" s="7" t="s">
        <v>50</v>
      </c>
      <c r="D30" s="7" t="s">
        <v>107</v>
      </c>
      <c r="E30" s="7" t="s">
        <v>88</v>
      </c>
      <c r="F30" s="7" t="s">
        <v>160</v>
      </c>
      <c r="G30" s="7">
        <v>60</v>
      </c>
      <c r="H30" s="8">
        <f>230.3/0.75</f>
        <v>307.06666666666666</v>
      </c>
      <c r="I30" s="14">
        <v>8</v>
      </c>
      <c r="J30" s="7" t="s">
        <v>23</v>
      </c>
      <c r="K30" s="1" t="s">
        <v>159</v>
      </c>
      <c r="L30" s="5" t="s">
        <v>223</v>
      </c>
      <c r="M30" t="str">
        <f t="shared" si="1"/>
        <v>insert into tb_time(nu_time, nm_time_BR,nm_time_PT,nm_time_EN,sg_time,nm_tecnico,nu_idade_tecnico, vl_time_usd,nu_rank_fifa,id_grupo) values (29, 'Polônia', 'Polônia','Poland', 'POL', 'NAWALKA Adam', 60, 307.066666666667, 8, 'H');</v>
      </c>
      <c r="N30">
        <v>0.1</v>
      </c>
      <c r="O30">
        <v>0.1</v>
      </c>
      <c r="P30">
        <v>0.1</v>
      </c>
      <c r="Q30">
        <v>0.1</v>
      </c>
      <c r="T30" t="s">
        <v>550</v>
      </c>
      <c r="V30" t="s">
        <v>223</v>
      </c>
    </row>
    <row r="31" spans="1:22" x14ac:dyDescent="0.25">
      <c r="A31" s="7">
        <v>30</v>
      </c>
      <c r="B31" s="7" t="s">
        <v>51</v>
      </c>
      <c r="C31" s="7" t="s">
        <v>51</v>
      </c>
      <c r="D31" s="7" t="s">
        <v>51</v>
      </c>
      <c r="E31" s="7" t="str">
        <f>"SEN"</f>
        <v>SEN</v>
      </c>
      <c r="F31" s="7" t="s">
        <v>177</v>
      </c>
      <c r="G31" s="7">
        <v>42</v>
      </c>
      <c r="H31" s="8">
        <f>247.8/0.75</f>
        <v>330.40000000000003</v>
      </c>
      <c r="I31" s="14">
        <v>27</v>
      </c>
      <c r="J31" s="7" t="s">
        <v>23</v>
      </c>
      <c r="K31" s="1" t="s">
        <v>176</v>
      </c>
      <c r="L31" s="5" t="s">
        <v>223</v>
      </c>
      <c r="M31" t="str">
        <f t="shared" si="1"/>
        <v>insert into tb_time(nu_time, nm_time_BR,nm_time_PT,nm_time_EN,sg_time,nm_tecnico,nu_idade_tecnico, vl_time_usd,nu_rank_fifa,id_grupo) values (30, 'Senegal', 'Senegal','Senegal', 'SEN', 'CISSE Aliou', 42, 330.4, 27, 'H');</v>
      </c>
      <c r="N31">
        <v>0.1</v>
      </c>
      <c r="O31">
        <v>0.1</v>
      </c>
      <c r="P31">
        <v>0.1</v>
      </c>
      <c r="Q31">
        <v>0.1</v>
      </c>
      <c r="S31" t="s">
        <v>554</v>
      </c>
      <c r="V31" t="s">
        <v>223</v>
      </c>
    </row>
    <row r="32" spans="1:22" x14ac:dyDescent="0.25">
      <c r="A32" s="7">
        <v>31</v>
      </c>
      <c r="B32" s="7" t="s">
        <v>52</v>
      </c>
      <c r="C32" s="7" t="s">
        <v>52</v>
      </c>
      <c r="D32" s="7" t="s">
        <v>108</v>
      </c>
      <c r="E32" s="7" t="s">
        <v>90</v>
      </c>
      <c r="F32" s="7" t="s">
        <v>126</v>
      </c>
      <c r="G32" s="7">
        <v>68</v>
      </c>
      <c r="H32" s="8">
        <f>223.8/0.75</f>
        <v>298.40000000000003</v>
      </c>
      <c r="I32" s="14">
        <v>16</v>
      </c>
      <c r="J32" s="7" t="s">
        <v>23</v>
      </c>
      <c r="K32" s="1" t="s">
        <v>191</v>
      </c>
      <c r="L32" s="5" t="s">
        <v>223</v>
      </c>
      <c r="M32" t="str">
        <f t="shared" si="1"/>
        <v>insert into tb_time(nu_time, nm_time_BR,nm_time_PT,nm_time_EN,sg_time,nm_tecnico,nu_idade_tecnico, vl_time_usd,nu_rank_fifa,id_grupo) values (31, 'Colômbia', 'Colômbia','Colombia', 'COL', 'PEKERMAN Jose', 68, 298.4, 16, 'H');</v>
      </c>
      <c r="N32">
        <v>0.1</v>
      </c>
      <c r="O32">
        <v>0.1</v>
      </c>
      <c r="P32">
        <v>0.1</v>
      </c>
      <c r="Q32">
        <v>0.1</v>
      </c>
      <c r="R32" t="s">
        <v>533</v>
      </c>
      <c r="V32" t="s">
        <v>223</v>
      </c>
    </row>
    <row r="33" spans="1:22" x14ac:dyDescent="0.25">
      <c r="A33" s="7">
        <v>32</v>
      </c>
      <c r="B33" s="7" t="s">
        <v>24</v>
      </c>
      <c r="C33" s="7" t="s">
        <v>24</v>
      </c>
      <c r="D33" s="7" t="s">
        <v>25</v>
      </c>
      <c r="E33" s="7" t="s">
        <v>91</v>
      </c>
      <c r="F33" s="7" t="s">
        <v>143</v>
      </c>
      <c r="G33" s="7">
        <v>63</v>
      </c>
      <c r="H33" s="8">
        <f>61.5/0.75</f>
        <v>82</v>
      </c>
      <c r="I33" s="14">
        <v>61</v>
      </c>
      <c r="J33" s="7" t="s">
        <v>23</v>
      </c>
      <c r="K33" s="1" t="s">
        <v>144</v>
      </c>
      <c r="L33" s="5" t="s">
        <v>223</v>
      </c>
      <c r="M33" t="str">
        <f t="shared" si="1"/>
        <v>insert into tb_time(nu_time, nm_time_BR,nm_time_PT,nm_time_EN,sg_time,nm_tecnico,nu_idade_tecnico, vl_time_usd,nu_rank_fifa,id_grupo) values (32, 'Japão', 'Japão','Japan', 'JAP', 'NISHINO Akira', 63, 82, 61, 'H');</v>
      </c>
      <c r="N33">
        <v>1</v>
      </c>
      <c r="O33">
        <v>1</v>
      </c>
      <c r="P33">
        <v>1</v>
      </c>
      <c r="Q33">
        <v>1</v>
      </c>
      <c r="R33" t="s">
        <v>545</v>
      </c>
      <c r="V33" t="s">
        <v>223</v>
      </c>
    </row>
    <row r="34" spans="1:22" x14ac:dyDescent="0.25">
      <c r="L34" s="5" t="s">
        <v>223</v>
      </c>
    </row>
    <row r="35" spans="1:22" x14ac:dyDescent="0.25">
      <c r="L35" s="5" t="s">
        <v>223</v>
      </c>
    </row>
  </sheetData>
  <hyperlinks>
    <hyperlink ref="K10" r:id="rId1" xr:uid="{2AB1FF5C-549D-4232-9FF0-ED2EE9D54C60}"/>
    <hyperlink ref="K22" r:id="rId2" xr:uid="{66BBC25E-4FDE-43AD-8D67-702637DF8F3D}"/>
    <hyperlink ref="K15" r:id="rId3" xr:uid="{8EEA5829-BD68-4D50-81BB-E5E4F82CAE64}"/>
    <hyperlink ref="K9" r:id="rId4" xr:uid="{69FF3CCD-390F-41AF-800A-EB19B6F351F0}"/>
    <hyperlink ref="K33" r:id="rId5" xr:uid="{090F4AD2-FCE6-4B20-8060-19B012D332F6}"/>
    <hyperlink ref="K25" r:id="rId6" xr:uid="{596B806A-0273-4B1E-80F5-2C7C13751658}"/>
    <hyperlink ref="K23" r:id="rId7" xr:uid="{7B55869E-E95F-4962-835C-AD2B2E3E77F1}"/>
    <hyperlink ref="K8" r:id="rId8" xr:uid="{1F0DE038-4606-4380-9FE3-A4A157FE6110}"/>
    <hyperlink ref="K17" r:id="rId9" xr:uid="{B0FAA458-9F95-4571-8EEA-789A62141742}"/>
    <hyperlink ref="K27" r:id="rId10" xr:uid="{92805C1A-CFF7-41A7-B1AC-977F4A7A270D}"/>
    <hyperlink ref="K12" r:id="rId11" xr:uid="{6BD0DD55-FC49-4697-BF9C-BBD1F81E7E6D}"/>
    <hyperlink ref="K30" r:id="rId12" xr:uid="{0E00EC5C-10BF-42E0-82E0-3E416345071A}"/>
    <hyperlink ref="K6" r:id="rId13" xr:uid="{1A314EED-9A49-42E3-B87A-25033882B4CF}"/>
    <hyperlink ref="K2" r:id="rId14" xr:uid="{22612068-927D-4D3F-9694-A58FB19FAE2F}"/>
    <hyperlink ref="K3" r:id="rId15" xr:uid="{037791E1-D0F2-4582-A9AC-1373BB144937}"/>
    <hyperlink ref="K5" r:id="rId16" xr:uid="{1FA4FF7A-0A48-4D8A-8FDF-1ADE1C7C9C52}"/>
    <hyperlink ref="K7" r:id="rId17" xr:uid="{470C0D8B-E54B-44F1-A562-2DE29150ABEB}"/>
    <hyperlink ref="K24" r:id="rId18" xr:uid="{23E8447A-35C2-4F56-A203-67CE174D8031}"/>
    <hyperlink ref="K21" r:id="rId19" xr:uid="{495D7CA6-4AB8-4018-9454-2859878A2BEB}"/>
    <hyperlink ref="K31" r:id="rId20" xr:uid="{5E0027A2-BAE5-4BA0-BA3F-E7B54C6CA3FA}"/>
    <hyperlink ref="K28" r:id="rId21" xr:uid="{CB50776B-77B0-43AD-ACA1-A77A7FDDB15B}"/>
    <hyperlink ref="K11" r:id="rId22" xr:uid="{DC6F3817-D107-4FB4-AF07-E04C35C74EE6}"/>
    <hyperlink ref="K14" r:id="rId23" xr:uid="{840ED872-A903-4FD4-88ED-C81258890EF4}"/>
    <hyperlink ref="K18" r:id="rId24" xr:uid="{8B9B1227-F7B2-4A03-8383-A5B61AA817BB}"/>
    <hyperlink ref="K19" r:id="rId25" xr:uid="{CDEF4D1B-AF71-46DA-9434-CAD2D61BF845}"/>
    <hyperlink ref="K4" r:id="rId26" xr:uid="{980B6AF2-D636-4888-9957-F442848780AF}"/>
    <hyperlink ref="K13" r:id="rId27" xr:uid="{09504A90-ACC5-4556-9580-ADACFEA3074B}"/>
    <hyperlink ref="K16" r:id="rId28" xr:uid="{5C0F3F4D-06E0-4A38-ABBA-89A4AC9E826D}"/>
    <hyperlink ref="K20" r:id="rId29" xr:uid="{07B762BD-73F9-4CCC-9906-2E92E1C43F40}"/>
    <hyperlink ref="K26" r:id="rId30" xr:uid="{506DD233-1E06-4777-86FB-693D0410F5D0}"/>
    <hyperlink ref="K29" r:id="rId31" xr:uid="{1B377D62-972D-46E6-A7DA-CDE9226AF5A0}"/>
    <hyperlink ref="K32" r:id="rId32" xr:uid="{1E484208-A744-43F5-8454-FE3A5D50F081}"/>
    <hyperlink ref="W4" r:id="rId33" xr:uid="{AE1B560C-0F8C-4BE1-8EA3-E07FA69A51C9}"/>
    <hyperlink ref="W5" r:id="rId34" location="argentina-nicols-otamendi-1" xr:uid="{AA19EB17-E9A3-4E6A-AF27-76ABAE7CAE6A}"/>
    <hyperlink ref="W6" r:id="rId35" xr:uid="{B511304B-C9A7-403A-99B9-D025A3A772DE}"/>
  </hyperlinks>
  <pageMargins left="0.511811024" right="0.511811024" top="0.78740157499999996" bottom="0.78740157499999996" header="0.31496062000000002" footer="0.31496062000000002"/>
  <pageSetup paperSize="9" orientation="portrait" r:id="rId36"/>
  <legacyDrawing r:id="rId3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5860E-E622-4644-9055-94A9E44A4B18}">
  <dimension ref="A1:BI64"/>
  <sheetViews>
    <sheetView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E44" sqref="A44:E44"/>
    </sheetView>
  </sheetViews>
  <sheetFormatPr defaultRowHeight="15" x14ac:dyDescent="0.25"/>
  <cols>
    <col min="1" max="1" width="7.7109375" customWidth="1"/>
    <col min="2" max="2" width="6.7109375" bestFit="1" customWidth="1"/>
    <col min="3" max="3" width="7.5703125" bestFit="1" customWidth="1"/>
    <col min="4" max="4" width="6.5703125" bestFit="1" customWidth="1"/>
    <col min="5" max="5" width="7.42578125" bestFit="1" customWidth="1"/>
    <col min="9" max="9" width="6.42578125" bestFit="1" customWidth="1"/>
    <col min="10" max="10" width="8" customWidth="1"/>
    <col min="11" max="11" width="8.140625" bestFit="1" customWidth="1"/>
    <col min="12" max="12" width="10.85546875" bestFit="1" customWidth="1"/>
    <col min="13" max="14" width="10.7109375" bestFit="1" customWidth="1"/>
    <col min="15" max="15" width="10.5703125" bestFit="1" customWidth="1"/>
    <col min="18" max="18" width="18.28515625" customWidth="1"/>
    <col min="22" max="22" width="8.85546875" bestFit="1" customWidth="1"/>
    <col min="23" max="23" width="8.7109375" bestFit="1" customWidth="1"/>
    <col min="24" max="25" width="8.7109375" customWidth="1"/>
    <col min="28" max="28" width="10.85546875" bestFit="1" customWidth="1"/>
    <col min="29" max="29" width="10.7109375" bestFit="1" customWidth="1"/>
    <col min="41" max="41" width="17.42578125" bestFit="1" customWidth="1"/>
  </cols>
  <sheetData>
    <row r="1" spans="1:61" x14ac:dyDescent="0.25">
      <c r="A1" s="1" t="s">
        <v>211</v>
      </c>
      <c r="H1" s="1" t="s">
        <v>236</v>
      </c>
      <c r="N1" s="1" t="s">
        <v>369</v>
      </c>
      <c r="AR1" t="str">
        <f>CONCATENATE("insert into tb_time_performance(",AR2,AS2,AT2,AU2,AV2,AW2,AX2,AY2,AZ2,BA2,BB2,BC2,BD2,BE2,BF2,BG2,BH2,",nu_minutos) ")</f>
        <v xml:space="preserve">insert into tb_time_performance(nu_jogo,sg_time,dt_jogo,ds_formacao,pc_accuracy,pc_possession,qt_atempt,qt_target,qt_passes,qt_distance,qt_recovery,qt_clearance,qt_foul,qt_yellow,qt_red,qt_goals,fl_Win,nu_minutos) </v>
      </c>
    </row>
    <row r="2" spans="1:61" x14ac:dyDescent="0.25">
      <c r="A2" s="7" t="s">
        <v>0</v>
      </c>
      <c r="B2" s="7" t="s">
        <v>53</v>
      </c>
      <c r="C2" s="7" t="s">
        <v>54</v>
      </c>
      <c r="D2" s="7" t="s">
        <v>55</v>
      </c>
      <c r="E2" s="7" t="s">
        <v>56</v>
      </c>
      <c r="F2" s="7" t="s">
        <v>57</v>
      </c>
      <c r="G2" s="7" t="s">
        <v>302</v>
      </c>
      <c r="H2" s="7" t="s">
        <v>58</v>
      </c>
      <c r="I2" s="7" t="s">
        <v>2</v>
      </c>
      <c r="J2" s="7" t="s">
        <v>280</v>
      </c>
      <c r="K2" s="7" t="s">
        <v>112</v>
      </c>
      <c r="L2" s="7" t="s">
        <v>113</v>
      </c>
      <c r="M2" s="7" t="s">
        <v>114</v>
      </c>
      <c r="N2" s="7" t="s">
        <v>194</v>
      </c>
      <c r="O2" s="7" t="s">
        <v>195</v>
      </c>
      <c r="P2" s="7" t="s">
        <v>192</v>
      </c>
      <c r="Q2" s="7" t="s">
        <v>193</v>
      </c>
      <c r="R2" s="7" t="s">
        <v>196</v>
      </c>
      <c r="S2" s="7" t="s">
        <v>198</v>
      </c>
      <c r="T2" s="7" t="s">
        <v>220</v>
      </c>
      <c r="U2" s="7" t="s">
        <v>221</v>
      </c>
      <c r="V2" s="7" t="s">
        <v>237</v>
      </c>
      <c r="W2" s="7" t="s">
        <v>238</v>
      </c>
      <c r="X2" s="7" t="s">
        <v>293</v>
      </c>
      <c r="Y2" s="7" t="s">
        <v>294</v>
      </c>
      <c r="Z2" s="7" t="s">
        <v>239</v>
      </c>
      <c r="AA2" s="7" t="s">
        <v>240</v>
      </c>
      <c r="AB2" s="7" t="s">
        <v>241</v>
      </c>
      <c r="AC2" s="7" t="s">
        <v>242</v>
      </c>
      <c r="AD2" s="7" t="s">
        <v>243</v>
      </c>
      <c r="AE2" s="7" t="s">
        <v>244</v>
      </c>
      <c r="AF2" s="7" t="s">
        <v>286</v>
      </c>
      <c r="AG2" s="7" t="s">
        <v>287</v>
      </c>
      <c r="AH2" s="7" t="s">
        <v>245</v>
      </c>
      <c r="AI2" s="7" t="s">
        <v>246</v>
      </c>
      <c r="AJ2" s="7" t="s">
        <v>247</v>
      </c>
      <c r="AK2" s="7" t="s">
        <v>248</v>
      </c>
      <c r="AL2" s="7" t="s">
        <v>249</v>
      </c>
      <c r="AM2" s="7" t="s">
        <v>250</v>
      </c>
      <c r="AN2" s="7" t="s">
        <v>435</v>
      </c>
      <c r="AO2" s="7" t="s">
        <v>436</v>
      </c>
      <c r="AP2" s="7" t="s">
        <v>384</v>
      </c>
      <c r="AQ2" s="7"/>
      <c r="AR2" s="7" t="s">
        <v>338</v>
      </c>
      <c r="AS2" s="7" t="s">
        <v>339</v>
      </c>
      <c r="AT2" s="7" t="s">
        <v>340</v>
      </c>
      <c r="AU2" s="7" t="s">
        <v>341</v>
      </c>
      <c r="AV2" s="7" t="s">
        <v>415</v>
      </c>
      <c r="AW2" s="7" t="s">
        <v>342</v>
      </c>
      <c r="AX2" s="7" t="s">
        <v>343</v>
      </c>
      <c r="AY2" s="7" t="s">
        <v>344</v>
      </c>
      <c r="AZ2" s="7" t="s">
        <v>345</v>
      </c>
      <c r="BA2" s="7" t="s">
        <v>346</v>
      </c>
      <c r="BB2" s="7" t="s">
        <v>347</v>
      </c>
      <c r="BC2" s="7" t="s">
        <v>348</v>
      </c>
      <c r="BD2" s="7" t="s">
        <v>349</v>
      </c>
      <c r="BE2" s="7" t="s">
        <v>350</v>
      </c>
      <c r="BF2" s="7" t="s">
        <v>351</v>
      </c>
      <c r="BG2" s="7" t="s">
        <v>352</v>
      </c>
      <c r="BH2" s="7" t="s">
        <v>336</v>
      </c>
    </row>
    <row r="3" spans="1:61" x14ac:dyDescent="0.25">
      <c r="A3">
        <v>1</v>
      </c>
      <c r="B3" t="s">
        <v>60</v>
      </c>
      <c r="C3">
        <v>5</v>
      </c>
      <c r="D3" t="s">
        <v>61</v>
      </c>
      <c r="E3">
        <v>0</v>
      </c>
      <c r="F3">
        <v>20180614</v>
      </c>
      <c r="G3" t="s">
        <v>60</v>
      </c>
      <c r="H3">
        <v>1600</v>
      </c>
      <c r="I3" t="s">
        <v>4</v>
      </c>
      <c r="J3" t="s">
        <v>281</v>
      </c>
      <c r="K3">
        <v>94</v>
      </c>
      <c r="L3" t="s">
        <v>115</v>
      </c>
      <c r="M3" t="s">
        <v>116</v>
      </c>
      <c r="N3" s="2">
        <v>0.78</v>
      </c>
      <c r="O3" s="2">
        <v>0.86</v>
      </c>
      <c r="P3" t="s">
        <v>61</v>
      </c>
      <c r="Q3" s="2">
        <v>0.6</v>
      </c>
      <c r="R3" t="s">
        <v>214</v>
      </c>
      <c r="S3" t="s">
        <v>60</v>
      </c>
      <c r="T3" s="1" t="s">
        <v>215</v>
      </c>
      <c r="U3" s="1" t="s">
        <v>228</v>
      </c>
      <c r="V3">
        <v>13</v>
      </c>
      <c r="W3">
        <v>6</v>
      </c>
      <c r="X3">
        <v>7</v>
      </c>
      <c r="Y3">
        <v>0</v>
      </c>
      <c r="Z3">
        <v>306</v>
      </c>
      <c r="AA3">
        <v>511</v>
      </c>
      <c r="AB3">
        <v>118</v>
      </c>
      <c r="AC3">
        <v>105</v>
      </c>
      <c r="AD3">
        <v>53</v>
      </c>
      <c r="AE3">
        <v>48</v>
      </c>
      <c r="AF3">
        <v>19</v>
      </c>
      <c r="AG3">
        <v>31</v>
      </c>
      <c r="AH3">
        <v>22</v>
      </c>
      <c r="AI3">
        <v>10</v>
      </c>
      <c r="AJ3">
        <v>1</v>
      </c>
      <c r="AK3">
        <v>1</v>
      </c>
      <c r="AL3">
        <v>0</v>
      </c>
      <c r="AM3">
        <v>0</v>
      </c>
      <c r="AN3">
        <v>0</v>
      </c>
      <c r="AO3">
        <v>1</v>
      </c>
      <c r="AR3" t="str">
        <f>CONCATENATE($AR$1," values (",A3,", '",B3,"', to_date('",F3,"','YYYYMMDD'), '",L3,"', ",SUBSTITUTE(N3,",","."),",",SUBSTITUTE(IF(B3=P3,Q3,1-Q3),",","."),", ",V3,", ",X3,", ",Z3,", ",AB3,", ",AD3,", ",AF3,", ",AH3,", ",AJ3,", ",AL3,", ",C3,", ",IF(C3&gt;E3,1,IF(C3=E3,0,-1)),",",K3,");")</f>
        <v>insert into tb_time_performance(nu_jogo,sg_time,dt_jogo,ds_formacao,pc_accuracy,pc_possession,qt_atempt,qt_target,qt_passes,qt_distance,qt_recovery,qt_clearance,qt_foul,qt_yellow,qt_red,qt_goals,fl_Win,nu_minutos)  values (1, 'RUS', to_date('20180614','YYYYMMDD'), '4,2,3,1', 0.78,0.4, 13, 7, 306, 118, 53, 19, 22, 1, 0, 5, 1,94);</v>
      </c>
      <c r="AS3" t="s">
        <v>17</v>
      </c>
      <c r="AT3" t="s">
        <v>21</v>
      </c>
      <c r="AU3" t="str">
        <f>CONCATENATE($AR$1," values (",A3,", '",D3,"', to_date('",F3,"','YYYYMMDD'), '",M3,"', ",SUBSTITUTE(O3,",","."),",",SUBSTITUTE(IF(D3=P3,Q3,1-Q3),",","."),", ",W3,", ",Y3,", ",AA3,", ",AC3,", ",AE3,", ",AG3,", ",AI3,", ",AK3,", ",AM3,", ",E3,", ",IF(C3&gt;E3,-1,IF(C3=E3,0,1)),",",K3,");")</f>
        <v>insert into tb_time_performance(nu_jogo,sg_time,dt_jogo,ds_formacao,pc_accuracy,pc_possession,qt_atempt,qt_target,qt_passes,qt_distance,qt_recovery,qt_clearance,qt_foul,qt_yellow,qt_red,qt_goals,fl_Win,nu_minutos)  values (1, 'ASA', to_date('20180614','YYYYMMDD'), '4,1,4,1', 0.86,0.6, 6, 0, 511, 105, 48, 31, 10, 1, 0, 0, -1,94);</v>
      </c>
      <c r="AV3" t="s">
        <v>314</v>
      </c>
      <c r="AW3" t="s">
        <v>316</v>
      </c>
      <c r="AX3" t="s">
        <v>317</v>
      </c>
      <c r="AY3" t="s">
        <v>319</v>
      </c>
      <c r="AZ3" t="s">
        <v>321</v>
      </c>
      <c r="BA3" t="s">
        <v>323</v>
      </c>
      <c r="BB3" t="s">
        <v>325</v>
      </c>
      <c r="BC3" t="s">
        <v>327</v>
      </c>
      <c r="BD3" t="s">
        <v>329</v>
      </c>
      <c r="BE3" t="s">
        <v>331</v>
      </c>
      <c r="BF3" t="s">
        <v>333</v>
      </c>
      <c r="BG3" t="s">
        <v>18</v>
      </c>
      <c r="BH3" t="s">
        <v>335</v>
      </c>
      <c r="BI3" t="s">
        <v>337</v>
      </c>
    </row>
    <row r="4" spans="1:61" x14ac:dyDescent="0.25">
      <c r="A4">
        <v>2</v>
      </c>
      <c r="B4" t="s">
        <v>62</v>
      </c>
      <c r="C4">
        <v>0</v>
      </c>
      <c r="D4" t="s">
        <v>63</v>
      </c>
      <c r="E4">
        <v>1</v>
      </c>
      <c r="F4">
        <v>20180615</v>
      </c>
      <c r="G4" t="s">
        <v>63</v>
      </c>
      <c r="H4">
        <v>1300</v>
      </c>
      <c r="I4" t="s">
        <v>4</v>
      </c>
      <c r="J4" t="s">
        <v>296</v>
      </c>
      <c r="K4">
        <v>97</v>
      </c>
      <c r="L4" t="s">
        <v>115</v>
      </c>
      <c r="M4" t="s">
        <v>207</v>
      </c>
      <c r="N4" s="2">
        <v>0.78</v>
      </c>
      <c r="O4" s="2">
        <v>0.86</v>
      </c>
      <c r="P4" t="s">
        <v>63</v>
      </c>
      <c r="Q4" s="2">
        <v>0.56999999999999995</v>
      </c>
      <c r="R4" t="s">
        <v>212</v>
      </c>
      <c r="S4" t="s">
        <v>62</v>
      </c>
      <c r="T4" s="1" t="s">
        <v>278</v>
      </c>
      <c r="U4" s="1" t="s">
        <v>225</v>
      </c>
      <c r="V4">
        <v>8</v>
      </c>
      <c r="W4">
        <v>14</v>
      </c>
      <c r="X4">
        <v>3</v>
      </c>
      <c r="Y4">
        <v>4</v>
      </c>
      <c r="Z4">
        <v>395</v>
      </c>
      <c r="AA4">
        <v>589</v>
      </c>
      <c r="AB4">
        <v>112</v>
      </c>
      <c r="AC4">
        <v>111</v>
      </c>
      <c r="AD4">
        <v>57</v>
      </c>
      <c r="AE4">
        <v>54</v>
      </c>
      <c r="AF4">
        <v>32</v>
      </c>
      <c r="AG4">
        <v>22</v>
      </c>
      <c r="AH4">
        <v>12</v>
      </c>
      <c r="AI4">
        <v>6</v>
      </c>
      <c r="AJ4">
        <v>2</v>
      </c>
      <c r="AK4">
        <v>0</v>
      </c>
      <c r="AL4">
        <v>0</v>
      </c>
      <c r="AM4">
        <v>0</v>
      </c>
      <c r="AN4">
        <v>0</v>
      </c>
      <c r="AO4">
        <v>0</v>
      </c>
      <c r="AR4" t="str">
        <f t="shared" ref="AR4:AR51" si="0">CONCATENATE($AR$1," values (",A4,", '",B4,"', to_date('",F4,"','YYYYMMDD'), '",L4,"', ",SUBSTITUTE(N4,",","."),",",SUBSTITUTE(IF(B4=P4,Q4,1-Q4),",","."),", ",V4,", ",X4,", ",Z4,", ",AB4,", ",AD4,", ",AF4,", ",AH4,", ",AJ4,", ",AL4,", ",C4,", ",IF(C4&gt;E4,1,IF(C4=E4,0,-1)),",",K4,");")</f>
        <v>insert into tb_time_performance(nu_jogo,sg_time,dt_jogo,ds_formacao,pc_accuracy,pc_possession,qt_atempt,qt_target,qt_passes,qt_distance,qt_recovery,qt_clearance,qt_foul,qt_yellow,qt_red,qt_goals,fl_Win,nu_minutos)  values (2, 'EGI', to_date('20180615','YYYYMMDD'), '4,2,3,1', 0.78,0.43, 8, 3, 395, 112, 57, 32, 12, 2, 0, 0, -1,97);</v>
      </c>
      <c r="AU4" t="str">
        <f t="shared" ref="AU4:AU51" si="1">CONCATENATE($AR$1," values (",A4,", '",D4,"', to_date('",F4,"','YYYYMMDD'), '",M4,"', ",SUBSTITUTE(O4,",","."),",",SUBSTITUTE(IF(D4=P4,Q4,1-Q4),",","."),", ",W4,", ",Y4,", ",AA4,", ",AC4,", ",AE4,", ",AG4,", ",AI4,", ",AK4,", ",AM4,", ",E4,", ",IF(C4&gt;E4,-1,IF(C4=E4,0,1)),",",K4,");")</f>
        <v>insert into tb_time_performance(nu_jogo,sg_time,dt_jogo,ds_formacao,pc_accuracy,pc_possession,qt_atempt,qt_target,qt_passes,qt_distance,qt_recovery,qt_clearance,qt_foul,qt_yellow,qt_red,qt_goals,fl_Win,nu_minutos)  values (2, 'URU', to_date('20180615','YYYYMMDD'), '4,4,2', 0.86,0.57, 14, 4, 589, 111, 54, 22, 6, 0, 0, 1, 1,97);</v>
      </c>
      <c r="AV4" t="s">
        <v>315</v>
      </c>
      <c r="AW4" t="s">
        <v>316</v>
      </c>
      <c r="AX4" t="s">
        <v>318</v>
      </c>
      <c r="AY4" t="s">
        <v>320</v>
      </c>
      <c r="AZ4" t="s">
        <v>322</v>
      </c>
      <c r="BA4" t="s">
        <v>324</v>
      </c>
      <c r="BB4" t="s">
        <v>326</v>
      </c>
      <c r="BC4" t="s">
        <v>328</v>
      </c>
      <c r="BD4" t="s">
        <v>330</v>
      </c>
      <c r="BE4" t="s">
        <v>332</v>
      </c>
      <c r="BF4" t="s">
        <v>334</v>
      </c>
      <c r="BG4" t="s">
        <v>20</v>
      </c>
      <c r="BH4" t="s">
        <v>335</v>
      </c>
      <c r="BI4" t="s">
        <v>337</v>
      </c>
    </row>
    <row r="5" spans="1:61" x14ac:dyDescent="0.25">
      <c r="A5">
        <v>3</v>
      </c>
      <c r="B5" t="s">
        <v>66</v>
      </c>
      <c r="C5">
        <v>0</v>
      </c>
      <c r="D5" s="12" t="s">
        <v>67</v>
      </c>
      <c r="E5" s="12">
        <v>1</v>
      </c>
      <c r="F5">
        <v>20180615</v>
      </c>
      <c r="G5" t="s">
        <v>67</v>
      </c>
      <c r="H5">
        <v>1600</v>
      </c>
      <c r="I5" t="s">
        <v>17</v>
      </c>
      <c r="J5" t="s">
        <v>353</v>
      </c>
      <c r="K5">
        <v>96</v>
      </c>
      <c r="L5" t="s">
        <v>115</v>
      </c>
      <c r="M5" t="s">
        <v>116</v>
      </c>
      <c r="N5" s="2">
        <v>0.86</v>
      </c>
      <c r="O5" s="2">
        <v>0.66</v>
      </c>
      <c r="P5" t="s">
        <v>66</v>
      </c>
      <c r="Q5" s="2">
        <v>0.64</v>
      </c>
      <c r="R5" t="s">
        <v>197</v>
      </c>
      <c r="S5" t="s">
        <v>66</v>
      </c>
      <c r="T5" s="1" t="s">
        <v>216</v>
      </c>
      <c r="U5" s="1" t="s">
        <v>226</v>
      </c>
      <c r="V5">
        <v>13</v>
      </c>
      <c r="W5">
        <v>8</v>
      </c>
      <c r="X5">
        <v>3</v>
      </c>
      <c r="Y5">
        <v>2</v>
      </c>
      <c r="Z5">
        <v>433</v>
      </c>
      <c r="AA5">
        <v>194</v>
      </c>
      <c r="AB5">
        <v>101</v>
      </c>
      <c r="AC5">
        <v>100</v>
      </c>
      <c r="AD5">
        <v>38</v>
      </c>
      <c r="AE5">
        <v>38</v>
      </c>
      <c r="AF5">
        <v>16</v>
      </c>
      <c r="AG5">
        <v>24</v>
      </c>
      <c r="AH5">
        <v>22</v>
      </c>
      <c r="AI5">
        <v>14</v>
      </c>
      <c r="AJ5">
        <v>1</v>
      </c>
      <c r="AK5">
        <v>3</v>
      </c>
      <c r="AL5">
        <v>0</v>
      </c>
      <c r="AM5">
        <v>0</v>
      </c>
      <c r="AN5">
        <v>0</v>
      </c>
      <c r="AR5" t="str">
        <f t="shared" si="0"/>
        <v>insert into tb_time_performance(nu_jogo,sg_time,dt_jogo,ds_formacao,pc_accuracy,pc_possession,qt_atempt,qt_target,qt_passes,qt_distance,qt_recovery,qt_clearance,qt_foul,qt_yellow,qt_red,qt_goals,fl_Win,nu_minutos)  values (3, 'MAR', to_date('20180615','YYYYMMDD'), '4,2,3,1', 0.86,0.64, 13, 3, 433, 101, 38, 16, 22, 1, 0, 0, -1,96);</v>
      </c>
      <c r="AU5" t="str">
        <f t="shared" si="1"/>
        <v>insert into tb_time_performance(nu_jogo,sg_time,dt_jogo,ds_formacao,pc_accuracy,pc_possession,qt_atempt,qt_target,qt_passes,qt_distance,qt_recovery,qt_clearance,qt_foul,qt_yellow,qt_red,qt_goals,fl_Win,nu_minutos)  values (3, 'IRN', to_date('20180615','YYYYMMDD'), '4,1,4,1', 0.66,0.36, 8, 2, 194, 100, 38, 24, 14, 3, 0, 1, 1,96);</v>
      </c>
    </row>
    <row r="6" spans="1:61" x14ac:dyDescent="0.25">
      <c r="A6">
        <v>4</v>
      </c>
      <c r="B6" t="s">
        <v>64</v>
      </c>
      <c r="C6">
        <v>3</v>
      </c>
      <c r="D6" t="s">
        <v>65</v>
      </c>
      <c r="E6">
        <v>3</v>
      </c>
      <c r="F6">
        <v>20180615</v>
      </c>
      <c r="G6" t="s">
        <v>303</v>
      </c>
      <c r="H6">
        <v>1900</v>
      </c>
      <c r="I6" t="s">
        <v>17</v>
      </c>
      <c r="J6" t="s">
        <v>370</v>
      </c>
      <c r="K6">
        <v>95</v>
      </c>
      <c r="L6" t="s">
        <v>207</v>
      </c>
      <c r="M6" t="s">
        <v>208</v>
      </c>
      <c r="N6" s="2">
        <v>0.87</v>
      </c>
      <c r="O6" s="2">
        <v>0.93</v>
      </c>
      <c r="P6" t="s">
        <v>65</v>
      </c>
      <c r="Q6" s="2">
        <v>0.61</v>
      </c>
      <c r="R6" t="s">
        <v>213</v>
      </c>
      <c r="S6" t="s">
        <v>64</v>
      </c>
      <c r="T6" s="1" t="s">
        <v>217</v>
      </c>
      <c r="U6" s="1" t="s">
        <v>227</v>
      </c>
      <c r="V6">
        <v>8</v>
      </c>
      <c r="W6">
        <v>12</v>
      </c>
      <c r="X6">
        <v>3</v>
      </c>
      <c r="Y6">
        <v>5</v>
      </c>
      <c r="Z6">
        <v>366</v>
      </c>
      <c r="AA6">
        <v>727</v>
      </c>
      <c r="AB6">
        <v>102</v>
      </c>
      <c r="AC6">
        <v>103</v>
      </c>
      <c r="AD6">
        <v>36</v>
      </c>
      <c r="AE6">
        <v>28</v>
      </c>
      <c r="AF6">
        <v>17</v>
      </c>
      <c r="AG6">
        <v>9</v>
      </c>
      <c r="AH6">
        <v>12</v>
      </c>
      <c r="AI6">
        <v>10</v>
      </c>
      <c r="AJ6">
        <v>1</v>
      </c>
      <c r="AK6">
        <v>1</v>
      </c>
      <c r="AL6">
        <v>0</v>
      </c>
      <c r="AM6">
        <v>0</v>
      </c>
      <c r="AR6" t="str">
        <f t="shared" si="0"/>
        <v>insert into tb_time_performance(nu_jogo,sg_time,dt_jogo,ds_formacao,pc_accuracy,pc_possession,qt_atempt,qt_target,qt_passes,qt_distance,qt_recovery,qt_clearance,qt_foul,qt_yellow,qt_red,qt_goals,fl_Win,nu_minutos)  values (4, 'POR', to_date('20180615','YYYYMMDD'), '4,4,2', 0.87,0.39, 8, 3, 366, 102, 36, 17, 12, 1, 0, 3, 0,95);</v>
      </c>
      <c r="AU6" t="str">
        <f t="shared" si="1"/>
        <v>insert into tb_time_performance(nu_jogo,sg_time,dt_jogo,ds_formacao,pc_accuracy,pc_possession,qt_atempt,qt_target,qt_passes,qt_distance,qt_recovery,qt_clearance,qt_foul,qt_yellow,qt_red,qt_goals,fl_Win,nu_minutos)  values (4, 'ESP', to_date('20180615','YYYYMMDD'), '4,3,3', 0.93,0.61, 12, 5, 727, 103, 28, 9, 10, 1, 0, 3, 0,95);</v>
      </c>
    </row>
    <row r="7" spans="1:61" x14ac:dyDescent="0.25">
      <c r="A7">
        <v>5</v>
      </c>
      <c r="B7" t="s">
        <v>68</v>
      </c>
      <c r="C7">
        <v>2</v>
      </c>
      <c r="D7" t="s">
        <v>69</v>
      </c>
      <c r="E7">
        <v>1</v>
      </c>
      <c r="F7">
        <v>20180616</v>
      </c>
      <c r="G7" t="s">
        <v>68</v>
      </c>
      <c r="H7">
        <v>1100</v>
      </c>
      <c r="I7" t="s">
        <v>18</v>
      </c>
      <c r="J7" t="s">
        <v>288</v>
      </c>
      <c r="K7">
        <v>96</v>
      </c>
      <c r="L7" t="s">
        <v>208</v>
      </c>
      <c r="M7" t="s">
        <v>206</v>
      </c>
      <c r="N7" s="2">
        <v>0.87</v>
      </c>
      <c r="O7" s="2">
        <v>0.85</v>
      </c>
      <c r="P7" t="s">
        <v>68</v>
      </c>
      <c r="Q7" s="2">
        <v>0.51</v>
      </c>
      <c r="R7" t="s">
        <v>209</v>
      </c>
      <c r="S7" t="s">
        <v>68</v>
      </c>
      <c r="T7" s="1" t="s">
        <v>218</v>
      </c>
      <c r="U7" s="1" t="s">
        <v>222</v>
      </c>
      <c r="V7">
        <v>12</v>
      </c>
      <c r="W7">
        <v>4</v>
      </c>
      <c r="X7">
        <v>5</v>
      </c>
      <c r="Y7">
        <v>1</v>
      </c>
      <c r="Z7">
        <v>484</v>
      </c>
      <c r="AA7">
        <v>390</v>
      </c>
      <c r="AB7">
        <v>103</v>
      </c>
      <c r="AC7">
        <v>111</v>
      </c>
      <c r="AD7">
        <v>52</v>
      </c>
      <c r="AE7">
        <v>49</v>
      </c>
      <c r="AF7">
        <v>23</v>
      </c>
      <c r="AG7">
        <v>45</v>
      </c>
      <c r="AH7">
        <v>16</v>
      </c>
      <c r="AI7">
        <v>19</v>
      </c>
      <c r="AJ7">
        <v>1</v>
      </c>
      <c r="AK7">
        <v>3</v>
      </c>
      <c r="AL7">
        <v>0</v>
      </c>
      <c r="AM7">
        <v>0</v>
      </c>
      <c r="AR7" t="str">
        <f t="shared" si="0"/>
        <v>insert into tb_time_performance(nu_jogo,sg_time,dt_jogo,ds_formacao,pc_accuracy,pc_possession,qt_atempt,qt_target,qt_passes,qt_distance,qt_recovery,qt_clearance,qt_foul,qt_yellow,qt_red,qt_goals,fl_Win,nu_minutos)  values (5, 'FRA', to_date('20180616','YYYYMMDD'), '4,3,3', 0.87,0.51, 12, 5, 484, 103, 52, 23, 16, 1, 0, 2, 1,96);</v>
      </c>
      <c r="AU7" t="str">
        <f t="shared" si="1"/>
        <v>insert into tb_time_performance(nu_jogo,sg_time,dt_jogo,ds_formacao,pc_accuracy,pc_possession,qt_atempt,qt_target,qt_passes,qt_distance,qt_recovery,qt_clearance,qt_foul,qt_yellow,qt_red,qt_goals,fl_Win,nu_minutos)  values (5, 'AUS', to_date('20180616','YYYYMMDD'), '4,4,1,1', 0.85,0.49, 4, 1, 390, 111, 49, 45, 19, 3, 0, 1, -1,96);</v>
      </c>
    </row>
    <row r="8" spans="1:61" x14ac:dyDescent="0.25">
      <c r="A8">
        <v>6</v>
      </c>
      <c r="B8" t="s">
        <v>72</v>
      </c>
      <c r="C8">
        <v>1</v>
      </c>
      <c r="D8" t="s">
        <v>73</v>
      </c>
      <c r="E8">
        <v>1</v>
      </c>
      <c r="F8">
        <v>20180616</v>
      </c>
      <c r="G8" t="s">
        <v>303</v>
      </c>
      <c r="H8">
        <v>1400</v>
      </c>
      <c r="I8" t="s">
        <v>19</v>
      </c>
      <c r="J8" t="s">
        <v>371</v>
      </c>
      <c r="K8">
        <v>96</v>
      </c>
      <c r="L8" t="s">
        <v>115</v>
      </c>
      <c r="M8" t="s">
        <v>206</v>
      </c>
      <c r="N8" s="2">
        <v>0.91</v>
      </c>
      <c r="O8" s="2">
        <v>0.67</v>
      </c>
      <c r="P8" t="s">
        <v>72</v>
      </c>
      <c r="Q8" s="2">
        <v>0.72</v>
      </c>
      <c r="R8" t="s">
        <v>210</v>
      </c>
      <c r="S8" t="s">
        <v>73</v>
      </c>
      <c r="T8" s="1" t="s">
        <v>219</v>
      </c>
      <c r="U8" s="1" t="s">
        <v>224</v>
      </c>
      <c r="V8">
        <v>26</v>
      </c>
      <c r="W8">
        <v>9</v>
      </c>
      <c r="X8">
        <v>7</v>
      </c>
      <c r="Y8">
        <v>3</v>
      </c>
      <c r="Z8">
        <v>718</v>
      </c>
      <c r="AA8">
        <v>189</v>
      </c>
      <c r="AB8">
        <v>101</v>
      </c>
      <c r="AC8">
        <v>105</v>
      </c>
      <c r="AD8">
        <v>40</v>
      </c>
      <c r="AE8">
        <v>25</v>
      </c>
      <c r="AF8">
        <v>18</v>
      </c>
      <c r="AG8">
        <v>36</v>
      </c>
      <c r="AH8">
        <v>10</v>
      </c>
      <c r="AI8">
        <v>15</v>
      </c>
      <c r="AJ8">
        <v>0</v>
      </c>
      <c r="AK8">
        <v>0</v>
      </c>
      <c r="AL8">
        <v>0</v>
      </c>
      <c r="AM8">
        <v>0</v>
      </c>
      <c r="AR8" t="str">
        <f t="shared" si="0"/>
        <v>insert into tb_time_performance(nu_jogo,sg_time,dt_jogo,ds_formacao,pc_accuracy,pc_possession,qt_atempt,qt_target,qt_passes,qt_distance,qt_recovery,qt_clearance,qt_foul,qt_yellow,qt_red,qt_goals,fl_Win,nu_minutos)  values (6, 'ARG', to_date('20180616','YYYYMMDD'), '4,2,3,1', 0.91,0.72, 26, 7, 718, 101, 40, 18, 10, 0, 0, 1, 0,96);</v>
      </c>
      <c r="AU8" t="str">
        <f t="shared" si="1"/>
        <v>insert into tb_time_performance(nu_jogo,sg_time,dt_jogo,ds_formacao,pc_accuracy,pc_possession,qt_atempt,qt_target,qt_passes,qt_distance,qt_recovery,qt_clearance,qt_foul,qt_yellow,qt_red,qt_goals,fl_Win,nu_minutos)  values (6, 'ISL', to_date('20180616','YYYYMMDD'), '4,4,1,1', 0.67,0.28, 9, 3, 189, 105, 25, 36, 15, 0, 0, 1, 0,96);</v>
      </c>
    </row>
    <row r="9" spans="1:61" x14ac:dyDescent="0.25">
      <c r="A9">
        <v>7</v>
      </c>
      <c r="B9" t="s">
        <v>70</v>
      </c>
      <c r="C9">
        <v>0</v>
      </c>
      <c r="D9" t="s">
        <v>71</v>
      </c>
      <c r="E9">
        <v>1</v>
      </c>
      <c r="F9">
        <v>20180616</v>
      </c>
      <c r="G9" t="s">
        <v>71</v>
      </c>
      <c r="H9">
        <v>1700</v>
      </c>
      <c r="I9" t="s">
        <v>18</v>
      </c>
      <c r="J9" t="s">
        <v>372</v>
      </c>
      <c r="K9">
        <v>96</v>
      </c>
      <c r="L9" t="s">
        <v>115</v>
      </c>
      <c r="M9" t="s">
        <v>115</v>
      </c>
      <c r="N9" s="2">
        <v>0.85</v>
      </c>
      <c r="O9" s="2">
        <v>0.82</v>
      </c>
      <c r="P9" t="s">
        <v>70</v>
      </c>
      <c r="Q9" s="2">
        <v>0.52</v>
      </c>
      <c r="R9" t="s">
        <v>230</v>
      </c>
      <c r="S9" t="s">
        <v>71</v>
      </c>
      <c r="T9" s="1" t="s">
        <v>231</v>
      </c>
      <c r="U9" s="1" t="s">
        <v>229</v>
      </c>
      <c r="V9">
        <v>18</v>
      </c>
      <c r="W9">
        <v>10</v>
      </c>
      <c r="X9">
        <v>6</v>
      </c>
      <c r="Y9">
        <v>3</v>
      </c>
      <c r="Z9">
        <v>394</v>
      </c>
      <c r="AA9">
        <v>342</v>
      </c>
      <c r="AB9">
        <v>104</v>
      </c>
      <c r="AC9">
        <v>110</v>
      </c>
      <c r="AD9">
        <v>42</v>
      </c>
      <c r="AE9">
        <v>40</v>
      </c>
      <c r="AF9">
        <v>19</v>
      </c>
      <c r="AG9">
        <v>20</v>
      </c>
      <c r="AH9">
        <v>10</v>
      </c>
      <c r="AI9">
        <v>18</v>
      </c>
      <c r="AJ9">
        <v>1</v>
      </c>
      <c r="AK9">
        <v>2</v>
      </c>
      <c r="AL9">
        <v>0</v>
      </c>
      <c r="AM9">
        <v>0</v>
      </c>
      <c r="AR9" t="str">
        <f t="shared" si="0"/>
        <v>insert into tb_time_performance(nu_jogo,sg_time,dt_jogo,ds_formacao,pc_accuracy,pc_possession,qt_atempt,qt_target,qt_passes,qt_distance,qt_recovery,qt_clearance,qt_foul,qt_yellow,qt_red,qt_goals,fl_Win,nu_minutos)  values (7, 'PER', to_date('20180616','YYYYMMDD'), '4,2,3,1', 0.85,0.52, 18, 6, 394, 104, 42, 19, 10, 1, 0, 0, -1,96);</v>
      </c>
      <c r="AU9" t="str">
        <f t="shared" si="1"/>
        <v>insert into tb_time_performance(nu_jogo,sg_time,dt_jogo,ds_formacao,pc_accuracy,pc_possession,qt_atempt,qt_target,qt_passes,qt_distance,qt_recovery,qt_clearance,qt_foul,qt_yellow,qt_red,qt_goals,fl_Win,nu_minutos)  values (7, 'DIN', to_date('20180616','YYYYMMDD'), '4,2,3,1', 0.82,0.48, 10, 3, 342, 110, 40, 20, 18, 2, 0, 1, 1,96);</v>
      </c>
    </row>
    <row r="10" spans="1:61" x14ac:dyDescent="0.25">
      <c r="A10">
        <v>8</v>
      </c>
      <c r="B10" t="s">
        <v>74</v>
      </c>
      <c r="C10">
        <v>2</v>
      </c>
      <c r="D10" t="s">
        <v>75</v>
      </c>
      <c r="E10">
        <v>0</v>
      </c>
      <c r="F10">
        <v>20180616</v>
      </c>
      <c r="G10" t="s">
        <v>74</v>
      </c>
      <c r="H10">
        <v>2000</v>
      </c>
      <c r="I10" t="s">
        <v>19</v>
      </c>
      <c r="J10" t="s">
        <v>313</v>
      </c>
      <c r="K10">
        <v>95</v>
      </c>
      <c r="L10" t="s">
        <v>115</v>
      </c>
      <c r="M10" t="s">
        <v>115</v>
      </c>
      <c r="N10" s="2">
        <v>0.82</v>
      </c>
      <c r="O10" s="2">
        <v>0.83</v>
      </c>
      <c r="P10" t="s">
        <v>74</v>
      </c>
      <c r="Q10" s="2">
        <v>0.54</v>
      </c>
      <c r="R10" t="s">
        <v>233</v>
      </c>
      <c r="S10" t="s">
        <v>74</v>
      </c>
      <c r="T10" s="1" t="s">
        <v>232</v>
      </c>
      <c r="U10" s="1" t="s">
        <v>234</v>
      </c>
      <c r="V10">
        <v>11</v>
      </c>
      <c r="W10">
        <v>14</v>
      </c>
      <c r="X10">
        <v>2</v>
      </c>
      <c r="Y10">
        <v>2</v>
      </c>
      <c r="Z10">
        <v>462</v>
      </c>
      <c r="AA10">
        <v>388</v>
      </c>
      <c r="AB10">
        <v>104</v>
      </c>
      <c r="AC10">
        <v>101</v>
      </c>
      <c r="AD10">
        <v>43</v>
      </c>
      <c r="AE10">
        <v>42</v>
      </c>
      <c r="AF10">
        <v>32</v>
      </c>
      <c r="AG10">
        <v>26</v>
      </c>
      <c r="AH10">
        <v>20</v>
      </c>
      <c r="AI10">
        <v>16</v>
      </c>
      <c r="AJ10">
        <v>2</v>
      </c>
      <c r="AK10">
        <v>1</v>
      </c>
      <c r="AL10">
        <v>0</v>
      </c>
      <c r="AM10">
        <v>0</v>
      </c>
      <c r="AR10" t="str">
        <f t="shared" si="0"/>
        <v>insert into tb_time_performance(nu_jogo,sg_time,dt_jogo,ds_formacao,pc_accuracy,pc_possession,qt_atempt,qt_target,qt_passes,qt_distance,qt_recovery,qt_clearance,qt_foul,qt_yellow,qt_red,qt_goals,fl_Win,nu_minutos)  values (8, 'CRO', to_date('20180616','YYYYMMDD'), '4,2,3,1', 0.82,0.54, 11, 2, 462, 104, 43, 32, 20, 2, 0, 2, 1,95);</v>
      </c>
      <c r="AU10" t="str">
        <f t="shared" si="1"/>
        <v>insert into tb_time_performance(nu_jogo,sg_time,dt_jogo,ds_formacao,pc_accuracy,pc_possession,qt_atempt,qt_target,qt_passes,qt_distance,qt_recovery,qt_clearance,qt_foul,qt_yellow,qt_red,qt_goals,fl_Win,nu_minutos)  values (8, 'NIG', to_date('20180616','YYYYMMDD'), '4,2,3,1', 0.83,0.46, 14, 2, 388, 101, 42, 26, 16, 1, 0, 0, -1,95);</v>
      </c>
    </row>
    <row r="11" spans="1:61" x14ac:dyDescent="0.25">
      <c r="A11">
        <v>9</v>
      </c>
      <c r="B11" t="s">
        <v>78</v>
      </c>
      <c r="C11">
        <v>0</v>
      </c>
      <c r="D11" t="s">
        <v>79</v>
      </c>
      <c r="E11">
        <v>1</v>
      </c>
      <c r="F11">
        <v>20180617</v>
      </c>
      <c r="G11" t="s">
        <v>79</v>
      </c>
      <c r="H11">
        <v>1300</v>
      </c>
      <c r="I11" t="s">
        <v>20</v>
      </c>
      <c r="J11" t="s">
        <v>306</v>
      </c>
      <c r="K11">
        <v>97</v>
      </c>
      <c r="L11" t="s">
        <v>252</v>
      </c>
      <c r="M11" t="s">
        <v>115</v>
      </c>
      <c r="N11" s="2">
        <v>0.82</v>
      </c>
      <c r="O11" s="2">
        <v>0.82</v>
      </c>
      <c r="P11" t="s">
        <v>79</v>
      </c>
      <c r="Q11" s="2">
        <v>0.5</v>
      </c>
      <c r="R11" t="s">
        <v>254</v>
      </c>
      <c r="S11" t="s">
        <v>79</v>
      </c>
      <c r="T11" s="1" t="s">
        <v>255</v>
      </c>
      <c r="U11" s="1" t="s">
        <v>253</v>
      </c>
      <c r="V11">
        <v>10</v>
      </c>
      <c r="W11">
        <v>10</v>
      </c>
      <c r="X11">
        <v>3</v>
      </c>
      <c r="Y11">
        <v>3</v>
      </c>
      <c r="Z11">
        <v>426</v>
      </c>
      <c r="AA11">
        <v>390</v>
      </c>
      <c r="AB11">
        <v>107</v>
      </c>
      <c r="AC11">
        <v>109</v>
      </c>
      <c r="AD11">
        <v>38</v>
      </c>
      <c r="AE11">
        <v>42</v>
      </c>
      <c r="AF11">
        <v>30</v>
      </c>
      <c r="AG11">
        <v>31</v>
      </c>
      <c r="AH11">
        <v>18</v>
      </c>
      <c r="AI11">
        <v>15</v>
      </c>
      <c r="AJ11">
        <v>2</v>
      </c>
      <c r="AK11">
        <v>2</v>
      </c>
      <c r="AL11">
        <v>0</v>
      </c>
      <c r="AM11">
        <v>0</v>
      </c>
      <c r="AR11" t="str">
        <f t="shared" si="0"/>
        <v>insert into tb_time_performance(nu_jogo,sg_time,dt_jogo,ds_formacao,pc_accuracy,pc_possession,qt_atempt,qt_target,qt_passes,qt_distance,qt_recovery,qt_clearance,qt_foul,qt_yellow,qt_red,qt_goals,fl_Win,nu_minutos)  values (9, 'CRC', to_date('20180617','YYYYMMDD'), '3,4,2,1', 0.82,0.5, 10, 3, 426, 107, 38, 30, 18, 2, 0, 0, -1,97);</v>
      </c>
      <c r="AU11" t="str">
        <f t="shared" si="1"/>
        <v>insert into tb_time_performance(nu_jogo,sg_time,dt_jogo,ds_formacao,pc_accuracy,pc_possession,qt_atempt,qt_target,qt_passes,qt_distance,qt_recovery,qt_clearance,qt_foul,qt_yellow,qt_red,qt_goals,fl_Win,nu_minutos)  values (9, 'SRB', to_date('20180617','YYYYMMDD'), '4,2,3,1', 0.82,0.5, 10, 3, 390, 109, 42, 31, 15, 2, 0, 1, 1,97);</v>
      </c>
    </row>
    <row r="12" spans="1:61" x14ac:dyDescent="0.25">
      <c r="A12">
        <v>10</v>
      </c>
      <c r="B12" t="s">
        <v>80</v>
      </c>
      <c r="C12">
        <v>0</v>
      </c>
      <c r="D12" t="s">
        <v>81</v>
      </c>
      <c r="E12">
        <v>1</v>
      </c>
      <c r="F12">
        <v>20180617</v>
      </c>
      <c r="G12" t="s">
        <v>81</v>
      </c>
      <c r="H12">
        <v>1600</v>
      </c>
      <c r="I12" t="s">
        <v>21</v>
      </c>
      <c r="J12" t="s">
        <v>281</v>
      </c>
      <c r="K12">
        <v>94</v>
      </c>
      <c r="L12" t="s">
        <v>115</v>
      </c>
      <c r="M12" t="s">
        <v>115</v>
      </c>
      <c r="N12" s="2">
        <v>0.88</v>
      </c>
      <c r="O12" s="2">
        <v>0.82</v>
      </c>
      <c r="P12" t="s">
        <v>80</v>
      </c>
      <c r="Q12" s="2">
        <v>0.6</v>
      </c>
      <c r="R12" t="s">
        <v>271</v>
      </c>
      <c r="S12" t="s">
        <v>81</v>
      </c>
      <c r="T12" s="1" t="s">
        <v>268</v>
      </c>
      <c r="U12" s="1" t="s">
        <v>260</v>
      </c>
      <c r="V12">
        <v>25</v>
      </c>
      <c r="W12">
        <v>12</v>
      </c>
      <c r="X12">
        <v>9</v>
      </c>
      <c r="Y12">
        <v>4</v>
      </c>
      <c r="Z12">
        <v>595</v>
      </c>
      <c r="AA12">
        <v>281</v>
      </c>
      <c r="AB12">
        <v>110</v>
      </c>
      <c r="AC12">
        <v>106</v>
      </c>
      <c r="AD12">
        <v>31</v>
      </c>
      <c r="AE12">
        <v>38</v>
      </c>
      <c r="AF12">
        <v>12</v>
      </c>
      <c r="AG12">
        <v>42</v>
      </c>
      <c r="AH12">
        <v>10</v>
      </c>
      <c r="AI12">
        <v>15</v>
      </c>
      <c r="AJ12">
        <v>2</v>
      </c>
      <c r="AK12">
        <v>2</v>
      </c>
      <c r="AL12">
        <v>0</v>
      </c>
      <c r="AM12">
        <v>0</v>
      </c>
      <c r="AR12" t="str">
        <f t="shared" si="0"/>
        <v>insert into tb_time_performance(nu_jogo,sg_time,dt_jogo,ds_formacao,pc_accuracy,pc_possession,qt_atempt,qt_target,qt_passes,qt_distance,qt_recovery,qt_clearance,qt_foul,qt_yellow,qt_red,qt_goals,fl_Win,nu_minutos)  values (10, 'ALE', to_date('20180617','YYYYMMDD'), '4,2,3,1', 0.88,0.6, 25, 9, 595, 110, 31, 12, 10, 2, 0, 0, -1,94);</v>
      </c>
      <c r="AU12" t="str">
        <f t="shared" si="1"/>
        <v>insert into tb_time_performance(nu_jogo,sg_time,dt_jogo,ds_formacao,pc_accuracy,pc_possession,qt_atempt,qt_target,qt_passes,qt_distance,qt_recovery,qt_clearance,qt_foul,qt_yellow,qt_red,qt_goals,fl_Win,nu_minutos)  values (10, 'MEX', to_date('20180617','YYYYMMDD'), '4,2,3,1', 0.82,0.4, 12, 4, 281, 106, 38, 42, 15, 2, 0, 1, 1,94);</v>
      </c>
    </row>
    <row r="13" spans="1:61" x14ac:dyDescent="0.25">
      <c r="A13">
        <v>11</v>
      </c>
      <c r="B13" t="s">
        <v>76</v>
      </c>
      <c r="C13">
        <v>1</v>
      </c>
      <c r="D13" t="s">
        <v>77</v>
      </c>
      <c r="E13">
        <v>1</v>
      </c>
      <c r="F13">
        <v>20180617</v>
      </c>
      <c r="G13" t="s">
        <v>303</v>
      </c>
      <c r="H13">
        <v>1900</v>
      </c>
      <c r="I13" t="s">
        <v>20</v>
      </c>
      <c r="J13" t="s">
        <v>285</v>
      </c>
      <c r="K13">
        <v>97</v>
      </c>
      <c r="L13" t="s">
        <v>208</v>
      </c>
      <c r="M13" t="s">
        <v>115</v>
      </c>
      <c r="N13" s="2">
        <v>0.88</v>
      </c>
      <c r="O13" s="2">
        <v>0.83</v>
      </c>
      <c r="P13" t="s">
        <v>76</v>
      </c>
      <c r="Q13" s="2">
        <v>0.52</v>
      </c>
      <c r="R13" t="s">
        <v>270</v>
      </c>
      <c r="S13" t="s">
        <v>76</v>
      </c>
      <c r="T13" s="1" t="s">
        <v>269</v>
      </c>
      <c r="U13" s="1" t="s">
        <v>261</v>
      </c>
      <c r="V13">
        <v>20</v>
      </c>
      <c r="W13">
        <v>6</v>
      </c>
      <c r="X13">
        <v>4</v>
      </c>
      <c r="Y13">
        <v>2</v>
      </c>
      <c r="Z13">
        <v>521</v>
      </c>
      <c r="AA13">
        <v>436</v>
      </c>
      <c r="AB13">
        <v>103</v>
      </c>
      <c r="AC13">
        <v>108</v>
      </c>
      <c r="AD13">
        <v>51</v>
      </c>
      <c r="AE13">
        <v>56</v>
      </c>
      <c r="AF13">
        <v>14</v>
      </c>
      <c r="AG13">
        <v>19</v>
      </c>
      <c r="AH13">
        <v>12</v>
      </c>
      <c r="AI13">
        <v>19</v>
      </c>
      <c r="AJ13">
        <v>1</v>
      </c>
      <c r="AK13">
        <v>3</v>
      </c>
      <c r="AL13">
        <v>0</v>
      </c>
      <c r="AM13">
        <v>0</v>
      </c>
      <c r="AR13" t="str">
        <f t="shared" si="0"/>
        <v>insert into tb_time_performance(nu_jogo,sg_time,dt_jogo,ds_formacao,pc_accuracy,pc_possession,qt_atempt,qt_target,qt_passes,qt_distance,qt_recovery,qt_clearance,qt_foul,qt_yellow,qt_red,qt_goals,fl_Win,nu_minutos)  values (11, 'BRA', to_date('20180617','YYYYMMDD'), '4,3,3', 0.88,0.52, 20, 4, 521, 103, 51, 14, 12, 1, 0, 1, 0,97);</v>
      </c>
      <c r="AU13" t="str">
        <f t="shared" si="1"/>
        <v>insert into tb_time_performance(nu_jogo,sg_time,dt_jogo,ds_formacao,pc_accuracy,pc_possession,qt_atempt,qt_target,qt_passes,qt_distance,qt_recovery,qt_clearance,qt_foul,qt_yellow,qt_red,qt_goals,fl_Win,nu_minutos)  values (11, 'SUI', to_date('20180617','YYYYMMDD'), '4,2,3,1', 0.83,0.48, 6, 2, 436, 108, 56, 19, 19, 3, 0, 1, 0,97);</v>
      </c>
    </row>
    <row r="14" spans="1:61" x14ac:dyDescent="0.25">
      <c r="A14">
        <v>12</v>
      </c>
      <c r="B14" t="s">
        <v>82</v>
      </c>
      <c r="C14">
        <v>1</v>
      </c>
      <c r="D14" t="s">
        <v>83</v>
      </c>
      <c r="E14">
        <v>0</v>
      </c>
      <c r="F14">
        <v>20180618</v>
      </c>
      <c r="G14" t="s">
        <v>82</v>
      </c>
      <c r="H14">
        <v>1300</v>
      </c>
      <c r="I14" t="s">
        <v>21</v>
      </c>
      <c r="J14" t="s">
        <v>309</v>
      </c>
      <c r="K14">
        <v>95</v>
      </c>
      <c r="L14" t="s">
        <v>207</v>
      </c>
      <c r="M14" t="s">
        <v>208</v>
      </c>
      <c r="N14" s="2">
        <v>0.84</v>
      </c>
      <c r="O14" s="2">
        <v>0.79</v>
      </c>
      <c r="P14" t="s">
        <v>82</v>
      </c>
      <c r="Q14" s="2">
        <v>0.52</v>
      </c>
      <c r="R14" t="s">
        <v>374</v>
      </c>
      <c r="S14" t="s">
        <v>82</v>
      </c>
      <c r="T14" s="1" t="s">
        <v>273</v>
      </c>
      <c r="U14" s="1" t="s">
        <v>257</v>
      </c>
      <c r="V14">
        <v>15</v>
      </c>
      <c r="W14">
        <v>5</v>
      </c>
      <c r="X14">
        <v>4</v>
      </c>
      <c r="Y14">
        <v>0</v>
      </c>
      <c r="Z14">
        <v>417</v>
      </c>
      <c r="AA14">
        <v>351</v>
      </c>
      <c r="AB14">
        <v>102</v>
      </c>
      <c r="AC14">
        <v>103</v>
      </c>
      <c r="AD14">
        <v>43</v>
      </c>
      <c r="AE14">
        <v>45</v>
      </c>
      <c r="AF14">
        <v>30</v>
      </c>
      <c r="AG14">
        <v>31</v>
      </c>
      <c r="AH14">
        <v>20</v>
      </c>
      <c r="AI14">
        <v>23</v>
      </c>
      <c r="AJ14">
        <v>1</v>
      </c>
      <c r="AK14">
        <v>2</v>
      </c>
      <c r="AL14">
        <v>0</v>
      </c>
      <c r="AM14">
        <v>0</v>
      </c>
      <c r="AR14" t="str">
        <f t="shared" si="0"/>
        <v>insert into tb_time_performance(nu_jogo,sg_time,dt_jogo,ds_formacao,pc_accuracy,pc_possession,qt_atempt,qt_target,qt_passes,qt_distance,qt_recovery,qt_clearance,qt_foul,qt_yellow,qt_red,qt_goals,fl_Win,nu_minutos)  values (12, 'SUE', to_date('20180618','YYYYMMDD'), '4,4,2', 0.84,0.52, 15, 4, 417, 102, 43, 30, 20, 1, 0, 1, 1,95);</v>
      </c>
      <c r="AU14" t="str">
        <f t="shared" si="1"/>
        <v>insert into tb_time_performance(nu_jogo,sg_time,dt_jogo,ds_formacao,pc_accuracy,pc_possession,qt_atempt,qt_target,qt_passes,qt_distance,qt_recovery,qt_clearance,qt_foul,qt_yellow,qt_red,qt_goals,fl_Win,nu_minutos)  values (12, 'COR', to_date('20180618','YYYYMMDD'), '4,3,3', 0.79,0.48, 5, 0, 351, 103, 45, 31, 23, 2, 0, 0, -1,95);</v>
      </c>
    </row>
    <row r="15" spans="1:61" x14ac:dyDescent="0.25">
      <c r="A15">
        <v>13</v>
      </c>
      <c r="B15" t="s">
        <v>84</v>
      </c>
      <c r="C15">
        <v>3</v>
      </c>
      <c r="D15" t="s">
        <v>85</v>
      </c>
      <c r="E15">
        <v>0</v>
      </c>
      <c r="F15">
        <v>20180618</v>
      </c>
      <c r="G15" t="s">
        <v>84</v>
      </c>
      <c r="H15">
        <v>1600</v>
      </c>
      <c r="I15" t="s">
        <v>22</v>
      </c>
      <c r="J15" t="s">
        <v>370</v>
      </c>
      <c r="K15">
        <v>95</v>
      </c>
      <c r="L15" t="s">
        <v>252</v>
      </c>
      <c r="M15" t="s">
        <v>116</v>
      </c>
      <c r="N15" s="2">
        <v>0.89</v>
      </c>
      <c r="O15" s="2">
        <v>0.82</v>
      </c>
      <c r="P15" t="s">
        <v>84</v>
      </c>
      <c r="Q15" s="2">
        <v>0.61</v>
      </c>
      <c r="R15" t="s">
        <v>275</v>
      </c>
      <c r="S15" t="s">
        <v>84</v>
      </c>
      <c r="T15" s="1" t="s">
        <v>274</v>
      </c>
      <c r="U15" s="1" t="s">
        <v>258</v>
      </c>
      <c r="V15">
        <v>15</v>
      </c>
      <c r="W15">
        <v>6</v>
      </c>
      <c r="X15">
        <v>6</v>
      </c>
      <c r="Y15">
        <v>2</v>
      </c>
      <c r="Z15">
        <v>544</v>
      </c>
      <c r="AA15">
        <v>317</v>
      </c>
      <c r="AB15">
        <v>102</v>
      </c>
      <c r="AC15">
        <v>100</v>
      </c>
      <c r="AD15">
        <v>41</v>
      </c>
      <c r="AE15">
        <v>38</v>
      </c>
      <c r="AF15">
        <v>12</v>
      </c>
      <c r="AG15">
        <v>29</v>
      </c>
      <c r="AH15">
        <v>17</v>
      </c>
      <c r="AI15">
        <v>18</v>
      </c>
      <c r="AJ15">
        <v>3</v>
      </c>
      <c r="AK15">
        <v>5</v>
      </c>
      <c r="AL15">
        <v>0</v>
      </c>
      <c r="AM15">
        <v>0</v>
      </c>
      <c r="AR15" t="str">
        <f t="shared" si="0"/>
        <v>insert into tb_time_performance(nu_jogo,sg_time,dt_jogo,ds_formacao,pc_accuracy,pc_possession,qt_atempt,qt_target,qt_passes,qt_distance,qt_recovery,qt_clearance,qt_foul,qt_yellow,qt_red,qt_goals,fl_Win,nu_minutos)  values (13, 'BEL', to_date('20180618','YYYYMMDD'), '3,4,2,1', 0.89,0.61, 15, 6, 544, 102, 41, 12, 17, 3, 0, 3, 1,95);</v>
      </c>
      <c r="AU15" t="str">
        <f t="shared" si="1"/>
        <v>insert into tb_time_performance(nu_jogo,sg_time,dt_jogo,ds_formacao,pc_accuracy,pc_possession,qt_atempt,qt_target,qt_passes,qt_distance,qt_recovery,qt_clearance,qt_foul,qt_yellow,qt_red,qt_goals,fl_Win,nu_minutos)  values (13, 'PAN', to_date('20180618','YYYYMMDD'), '4,1,4,1', 0.82,0.39, 6, 2, 317, 100, 38, 29, 18, 5, 0, 0, -1,95);</v>
      </c>
    </row>
    <row r="16" spans="1:61" x14ac:dyDescent="0.25">
      <c r="A16">
        <v>14</v>
      </c>
      <c r="B16" t="s">
        <v>86</v>
      </c>
      <c r="C16">
        <v>1</v>
      </c>
      <c r="D16" t="s">
        <v>87</v>
      </c>
      <c r="E16">
        <v>2</v>
      </c>
      <c r="F16">
        <v>20180618</v>
      </c>
      <c r="G16" t="s">
        <v>87</v>
      </c>
      <c r="H16">
        <v>1900</v>
      </c>
      <c r="I16" t="s">
        <v>22</v>
      </c>
      <c r="J16" t="s">
        <v>364</v>
      </c>
      <c r="K16">
        <v>93</v>
      </c>
      <c r="L16" t="s">
        <v>116</v>
      </c>
      <c r="M16" t="s">
        <v>263</v>
      </c>
      <c r="N16" s="2">
        <v>0.82</v>
      </c>
      <c r="O16" s="2">
        <v>0.91</v>
      </c>
      <c r="P16" t="s">
        <v>87</v>
      </c>
      <c r="Q16" s="2">
        <v>0.59</v>
      </c>
      <c r="R16" t="s">
        <v>373</v>
      </c>
      <c r="S16" t="s">
        <v>87</v>
      </c>
      <c r="T16" s="1" t="s">
        <v>277</v>
      </c>
      <c r="U16" s="1" t="s">
        <v>259</v>
      </c>
      <c r="V16">
        <v>6</v>
      </c>
      <c r="W16">
        <v>17</v>
      </c>
      <c r="X16">
        <v>1</v>
      </c>
      <c r="Y16">
        <v>7</v>
      </c>
      <c r="Z16">
        <v>326</v>
      </c>
      <c r="AA16">
        <v>492</v>
      </c>
      <c r="AB16">
        <v>103</v>
      </c>
      <c r="AC16">
        <v>105</v>
      </c>
      <c r="AD16">
        <v>30</v>
      </c>
      <c r="AE16">
        <v>37</v>
      </c>
      <c r="AF16">
        <v>26</v>
      </c>
      <c r="AG16">
        <v>8</v>
      </c>
      <c r="AH16">
        <v>14</v>
      </c>
      <c r="AI16">
        <v>8</v>
      </c>
      <c r="AJ16">
        <v>0</v>
      </c>
      <c r="AK16">
        <v>1</v>
      </c>
      <c r="AL16">
        <v>0</v>
      </c>
      <c r="AM16">
        <v>0</v>
      </c>
      <c r="AR16" t="str">
        <f t="shared" si="0"/>
        <v>insert into tb_time_performance(nu_jogo,sg_time,dt_jogo,ds_formacao,pc_accuracy,pc_possession,qt_atempt,qt_target,qt_passes,qt_distance,qt_recovery,qt_clearance,qt_foul,qt_yellow,qt_red,qt_goals,fl_Win,nu_minutos)  values (14, 'TUN', to_date('20180618','YYYYMMDD'), '4,1,4,1', 0.82,0.41, 6, 1, 326, 103, 30, 26, 14, 0, 0, 1, -1,93);</v>
      </c>
      <c r="AU16" t="str">
        <f t="shared" si="1"/>
        <v>insert into tb_time_performance(nu_jogo,sg_time,dt_jogo,ds_formacao,pc_accuracy,pc_possession,qt_atempt,qt_target,qt_passes,qt_distance,qt_recovery,qt_clearance,qt_foul,qt_yellow,qt_red,qt_goals,fl_Win,nu_minutos)  values (14, 'ING', to_date('20180618','YYYYMMDD'), '3,1,4,2', 0.91,0.59, 17, 7, 492, 105, 37, 8, 8, 1, 0, 2, 1,93);</v>
      </c>
    </row>
    <row r="17" spans="1:47" x14ac:dyDescent="0.25">
      <c r="A17">
        <v>15</v>
      </c>
      <c r="B17" t="s">
        <v>88</v>
      </c>
      <c r="C17">
        <v>1</v>
      </c>
      <c r="D17" t="str">
        <f>"SEN"</f>
        <v>SEN</v>
      </c>
      <c r="E17">
        <v>2</v>
      </c>
      <c r="F17">
        <v>20180619</v>
      </c>
      <c r="G17" t="s">
        <v>304</v>
      </c>
      <c r="H17">
        <v>1300</v>
      </c>
      <c r="I17" t="s">
        <v>23</v>
      </c>
      <c r="J17" t="s">
        <v>371</v>
      </c>
      <c r="K17">
        <v>95</v>
      </c>
      <c r="L17" t="s">
        <v>115</v>
      </c>
      <c r="M17" t="s">
        <v>207</v>
      </c>
      <c r="N17" s="2">
        <v>0.88</v>
      </c>
      <c r="O17" s="2">
        <v>0.81</v>
      </c>
      <c r="P17" t="s">
        <v>88</v>
      </c>
      <c r="Q17" s="2">
        <v>0.56999999999999995</v>
      </c>
      <c r="R17" t="s">
        <v>375</v>
      </c>
      <c r="S17" t="str">
        <f>"SEN"</f>
        <v>SEN</v>
      </c>
      <c r="T17" s="1" t="s">
        <v>276</v>
      </c>
      <c r="U17" s="1" t="s">
        <v>262</v>
      </c>
      <c r="V17">
        <v>10</v>
      </c>
      <c r="W17">
        <v>8</v>
      </c>
      <c r="X17">
        <v>4</v>
      </c>
      <c r="Y17">
        <v>2</v>
      </c>
      <c r="Z17">
        <v>552</v>
      </c>
      <c r="AA17">
        <v>328</v>
      </c>
      <c r="AB17">
        <v>110</v>
      </c>
      <c r="AC17">
        <v>107</v>
      </c>
      <c r="AD17">
        <v>43</v>
      </c>
      <c r="AE17">
        <v>48</v>
      </c>
      <c r="AF17">
        <v>23</v>
      </c>
      <c r="AG17">
        <v>38</v>
      </c>
      <c r="AH17">
        <v>8</v>
      </c>
      <c r="AI17">
        <v>15</v>
      </c>
      <c r="AJ17">
        <v>1</v>
      </c>
      <c r="AK17">
        <v>2</v>
      </c>
      <c r="AL17">
        <v>0</v>
      </c>
      <c r="AM17">
        <v>0</v>
      </c>
      <c r="AR17" t="str">
        <f t="shared" si="0"/>
        <v>insert into tb_time_performance(nu_jogo,sg_time,dt_jogo,ds_formacao,pc_accuracy,pc_possession,qt_atempt,qt_target,qt_passes,qt_distance,qt_recovery,qt_clearance,qt_foul,qt_yellow,qt_red,qt_goals,fl_Win,nu_minutos)  values (15, 'POL', to_date('20180619','YYYYMMDD'), '4,2,3,1', 0.88,0.57, 10, 4, 552, 110, 43, 23, 8, 1, 0, 1, -1,95);</v>
      </c>
      <c r="AU17" t="str">
        <f t="shared" si="1"/>
        <v>insert into tb_time_performance(nu_jogo,sg_time,dt_jogo,ds_formacao,pc_accuracy,pc_possession,qt_atempt,qt_target,qt_passes,qt_distance,qt_recovery,qt_clearance,qt_foul,qt_yellow,qt_red,qt_goals,fl_Win,nu_minutos)  values (15, 'SEN', to_date('20180619','YYYYMMDD'), '4,4,2', 0.81,0.43, 8, 2, 328, 107, 48, 38, 15, 2, 0, 2, 1,95);</v>
      </c>
    </row>
    <row r="18" spans="1:47" x14ac:dyDescent="0.25">
      <c r="A18">
        <v>16</v>
      </c>
      <c r="B18" t="s">
        <v>90</v>
      </c>
      <c r="C18">
        <v>1</v>
      </c>
      <c r="D18" t="s">
        <v>91</v>
      </c>
      <c r="E18">
        <v>2</v>
      </c>
      <c r="F18">
        <v>20180619</v>
      </c>
      <c r="G18" t="s">
        <v>91</v>
      </c>
      <c r="H18">
        <v>1600</v>
      </c>
      <c r="I18" t="s">
        <v>23</v>
      </c>
      <c r="J18" t="s">
        <v>372</v>
      </c>
      <c r="K18">
        <v>94</v>
      </c>
      <c r="L18" t="s">
        <v>115</v>
      </c>
      <c r="M18" t="s">
        <v>115</v>
      </c>
      <c r="N18" s="2">
        <v>0.82</v>
      </c>
      <c r="O18" s="2">
        <v>0.87</v>
      </c>
      <c r="P18" t="s">
        <v>91</v>
      </c>
      <c r="Q18" s="2">
        <v>0.59</v>
      </c>
      <c r="R18" t="s">
        <v>267</v>
      </c>
      <c r="S18" t="s">
        <v>91</v>
      </c>
      <c r="T18" s="1" t="s">
        <v>266</v>
      </c>
      <c r="U18" s="1" t="s">
        <v>265</v>
      </c>
      <c r="V18">
        <v>8</v>
      </c>
      <c r="W18">
        <v>14</v>
      </c>
      <c r="X18">
        <v>3</v>
      </c>
      <c r="Y18">
        <v>6</v>
      </c>
      <c r="Z18">
        <v>352</v>
      </c>
      <c r="AA18">
        <v>565</v>
      </c>
      <c r="AB18">
        <v>93</v>
      </c>
      <c r="AC18">
        <v>101</v>
      </c>
      <c r="AD18">
        <v>40</v>
      </c>
      <c r="AE18">
        <v>46</v>
      </c>
      <c r="AF18">
        <v>22</v>
      </c>
      <c r="AG18">
        <v>24</v>
      </c>
      <c r="AH18">
        <v>15</v>
      </c>
      <c r="AI18">
        <v>9</v>
      </c>
      <c r="AJ18">
        <v>2</v>
      </c>
      <c r="AK18">
        <v>1</v>
      </c>
      <c r="AL18">
        <v>1</v>
      </c>
      <c r="AM18">
        <v>0</v>
      </c>
      <c r="AR18" t="str">
        <f t="shared" si="0"/>
        <v>insert into tb_time_performance(nu_jogo,sg_time,dt_jogo,ds_formacao,pc_accuracy,pc_possession,qt_atempt,qt_target,qt_passes,qt_distance,qt_recovery,qt_clearance,qt_foul,qt_yellow,qt_red,qt_goals,fl_Win,nu_minutos)  values (16, 'COL', to_date('20180619','YYYYMMDD'), '4,2,3,1', 0.82,0.41, 8, 3, 352, 93, 40, 22, 15, 2, 1, 1, -1,94);</v>
      </c>
      <c r="AU18" t="str">
        <f t="shared" si="1"/>
        <v>insert into tb_time_performance(nu_jogo,sg_time,dt_jogo,ds_formacao,pc_accuracy,pc_possession,qt_atempt,qt_target,qt_passes,qt_distance,qt_recovery,qt_clearance,qt_foul,qt_yellow,qt_red,qt_goals,fl_Win,nu_minutos)  values (16, 'JAP', to_date('20180619','YYYYMMDD'), '4,2,3,1', 0.87,0.59, 14, 6, 565, 101, 46, 24, 9, 1, 0, 2, 1,94);</v>
      </c>
    </row>
    <row r="19" spans="1:47" x14ac:dyDescent="0.25">
      <c r="A19" s="7">
        <v>17</v>
      </c>
      <c r="B19" s="7" t="s">
        <v>60</v>
      </c>
      <c r="C19" s="7">
        <v>3</v>
      </c>
      <c r="D19" s="7" t="s">
        <v>62</v>
      </c>
      <c r="E19" s="7">
        <v>1</v>
      </c>
      <c r="F19" s="7">
        <v>20180619</v>
      </c>
      <c r="G19" s="7" t="s">
        <v>60</v>
      </c>
      <c r="H19" s="7">
        <v>1900</v>
      </c>
      <c r="I19" s="7" t="s">
        <v>4</v>
      </c>
      <c r="J19" s="7" t="s">
        <v>353</v>
      </c>
      <c r="K19" s="7">
        <v>95</v>
      </c>
      <c r="L19" s="7" t="s">
        <v>115</v>
      </c>
      <c r="M19" s="7" t="s">
        <v>115</v>
      </c>
      <c r="N19" s="9">
        <v>0.76</v>
      </c>
      <c r="O19" s="9">
        <v>0.81</v>
      </c>
      <c r="P19" s="7" t="s">
        <v>62</v>
      </c>
      <c r="Q19" s="9">
        <v>0.54</v>
      </c>
      <c r="R19" s="7" t="s">
        <v>214</v>
      </c>
      <c r="S19" s="7" t="s">
        <v>60</v>
      </c>
      <c r="T19" s="10" t="s">
        <v>272</v>
      </c>
      <c r="U19" s="10" t="s">
        <v>264</v>
      </c>
      <c r="V19" s="7">
        <v>11</v>
      </c>
      <c r="W19" s="7">
        <v>13</v>
      </c>
      <c r="X19" s="7">
        <v>3</v>
      </c>
      <c r="Y19" s="7">
        <v>1</v>
      </c>
      <c r="Z19" s="7">
        <v>380</v>
      </c>
      <c r="AA19" s="7">
        <v>483</v>
      </c>
      <c r="AB19" s="11">
        <v>115</v>
      </c>
      <c r="AC19" s="7">
        <v>110</v>
      </c>
      <c r="AD19" s="11">
        <v>59</v>
      </c>
      <c r="AE19" s="7">
        <v>41</v>
      </c>
      <c r="AF19" s="7">
        <v>47</v>
      </c>
      <c r="AG19" s="7">
        <v>29</v>
      </c>
      <c r="AH19" s="11">
        <v>11</v>
      </c>
      <c r="AI19" s="7">
        <v>10</v>
      </c>
      <c r="AJ19" s="7">
        <v>1</v>
      </c>
      <c r="AK19" s="7">
        <v>1</v>
      </c>
      <c r="AL19" s="7">
        <v>0</v>
      </c>
      <c r="AM19" s="7">
        <v>0</v>
      </c>
      <c r="AN19" s="7"/>
      <c r="AO19" s="7"/>
      <c r="AR19" t="str">
        <f t="shared" si="0"/>
        <v>insert into tb_time_performance(nu_jogo,sg_time,dt_jogo,ds_formacao,pc_accuracy,pc_possession,qt_atempt,qt_target,qt_passes,qt_distance,qt_recovery,qt_clearance,qt_foul,qt_yellow,qt_red,qt_goals,fl_Win,nu_minutos)  values (17, 'RUS', to_date('20180619','YYYYMMDD'), '4,2,3,1', 0.76,0.46, 11, 3, 380, 115, 59, 47, 11, 1, 0, 3, 1,95);</v>
      </c>
      <c r="AU19" t="str">
        <f t="shared" si="1"/>
        <v>insert into tb_time_performance(nu_jogo,sg_time,dt_jogo,ds_formacao,pc_accuracy,pc_possession,qt_atempt,qt_target,qt_passes,qt_distance,qt_recovery,qt_clearance,qt_foul,qt_yellow,qt_red,qt_goals,fl_Win,nu_minutos)  values (17, 'EGI', to_date('20180619','YYYYMMDD'), '4,2,3,1', 0.81,0.54, 13, 1, 483, 110, 41, 29, 10, 1, 0, 1, -1,95);</v>
      </c>
    </row>
    <row r="20" spans="1:47" x14ac:dyDescent="0.25">
      <c r="A20">
        <v>18</v>
      </c>
      <c r="B20" t="s">
        <v>64</v>
      </c>
      <c r="C20">
        <v>1</v>
      </c>
      <c r="D20" t="s">
        <v>66</v>
      </c>
      <c r="E20">
        <v>0</v>
      </c>
      <c r="F20">
        <v>20180620</v>
      </c>
      <c r="G20" t="s">
        <v>64</v>
      </c>
      <c r="H20">
        <v>1300</v>
      </c>
      <c r="I20" t="s">
        <v>17</v>
      </c>
      <c r="J20" t="s">
        <v>281</v>
      </c>
      <c r="K20">
        <v>96</v>
      </c>
      <c r="L20" t="s">
        <v>207</v>
      </c>
      <c r="M20" t="s">
        <v>115</v>
      </c>
      <c r="N20" s="2">
        <v>0.76</v>
      </c>
      <c r="O20" s="2">
        <v>0.77</v>
      </c>
      <c r="P20" t="s">
        <v>66</v>
      </c>
      <c r="Q20" s="2">
        <v>0.53</v>
      </c>
      <c r="R20" t="s">
        <v>213</v>
      </c>
      <c r="S20" t="s">
        <v>64</v>
      </c>
      <c r="T20" s="1" t="s">
        <v>279</v>
      </c>
      <c r="U20" s="1" t="s">
        <v>282</v>
      </c>
      <c r="V20">
        <v>10</v>
      </c>
      <c r="W20">
        <v>16</v>
      </c>
      <c r="X20">
        <v>2</v>
      </c>
      <c r="Y20">
        <v>4</v>
      </c>
      <c r="Z20">
        <v>387</v>
      </c>
      <c r="AA20">
        <v>466</v>
      </c>
      <c r="AB20">
        <v>105</v>
      </c>
      <c r="AC20">
        <v>107</v>
      </c>
      <c r="AD20">
        <v>49</v>
      </c>
      <c r="AE20">
        <v>66</v>
      </c>
      <c r="AF20">
        <v>36</v>
      </c>
      <c r="AG20">
        <v>16</v>
      </c>
      <c r="AH20">
        <v>19</v>
      </c>
      <c r="AI20">
        <v>23</v>
      </c>
      <c r="AJ20">
        <v>1</v>
      </c>
      <c r="AK20">
        <v>1</v>
      </c>
      <c r="AL20">
        <v>0</v>
      </c>
      <c r="AM20">
        <v>0</v>
      </c>
      <c r="AR20" t="str">
        <f t="shared" si="0"/>
        <v>insert into tb_time_performance(nu_jogo,sg_time,dt_jogo,ds_formacao,pc_accuracy,pc_possession,qt_atempt,qt_target,qt_passes,qt_distance,qt_recovery,qt_clearance,qt_foul,qt_yellow,qt_red,qt_goals,fl_Win,nu_minutos)  values (18, 'POR', to_date('20180620','YYYYMMDD'), '4,4,2', 0.76,0.47, 10, 2, 387, 105, 49, 36, 19, 1, 0, 1, 1,96);</v>
      </c>
      <c r="AU20" t="str">
        <f t="shared" si="1"/>
        <v>insert into tb_time_performance(nu_jogo,sg_time,dt_jogo,ds_formacao,pc_accuracy,pc_possession,qt_atempt,qt_target,qt_passes,qt_distance,qt_recovery,qt_clearance,qt_foul,qt_yellow,qt_red,qt_goals,fl_Win,nu_minutos)  values (18, 'MAR', to_date('20180620','YYYYMMDD'), '4,2,3,1', 0.77,0.53, 16, 4, 466, 107, 66, 16, 23, 1, 0, 0, -1,96);</v>
      </c>
    </row>
    <row r="21" spans="1:47" x14ac:dyDescent="0.25">
      <c r="A21">
        <v>19</v>
      </c>
      <c r="B21" t="s">
        <v>63</v>
      </c>
      <c r="C21">
        <v>1</v>
      </c>
      <c r="D21" t="s">
        <v>61</v>
      </c>
      <c r="E21">
        <v>0</v>
      </c>
      <c r="F21">
        <v>20180620</v>
      </c>
      <c r="G21" t="s">
        <v>63</v>
      </c>
      <c r="H21">
        <v>1600</v>
      </c>
      <c r="I21" t="s">
        <v>4</v>
      </c>
      <c r="J21" t="s">
        <v>285</v>
      </c>
      <c r="K21">
        <v>95</v>
      </c>
      <c r="L21" t="s">
        <v>207</v>
      </c>
      <c r="M21" t="s">
        <v>115</v>
      </c>
      <c r="N21" s="2">
        <v>0.88</v>
      </c>
      <c r="O21" s="2">
        <v>0.86</v>
      </c>
      <c r="P21" t="s">
        <v>61</v>
      </c>
      <c r="Q21" s="2">
        <v>0.53</v>
      </c>
      <c r="R21" t="s">
        <v>292</v>
      </c>
      <c r="S21" t="s">
        <v>63</v>
      </c>
      <c r="T21" s="1" t="s">
        <v>284</v>
      </c>
      <c r="U21" s="1" t="s">
        <v>283</v>
      </c>
      <c r="V21">
        <v>13</v>
      </c>
      <c r="W21">
        <v>8</v>
      </c>
      <c r="X21">
        <v>4</v>
      </c>
      <c r="Y21">
        <v>3</v>
      </c>
      <c r="Z21">
        <v>521</v>
      </c>
      <c r="AA21">
        <v>590</v>
      </c>
      <c r="AB21">
        <v>101</v>
      </c>
      <c r="AC21">
        <v>100</v>
      </c>
      <c r="AD21">
        <v>43</v>
      </c>
      <c r="AE21">
        <v>45</v>
      </c>
      <c r="AF21">
        <v>19</v>
      </c>
      <c r="AG21">
        <v>14</v>
      </c>
      <c r="AH21">
        <v>10</v>
      </c>
      <c r="AI21">
        <v>13</v>
      </c>
      <c r="AJ21">
        <v>0</v>
      </c>
      <c r="AK21">
        <v>0</v>
      </c>
      <c r="AL21">
        <v>0</v>
      </c>
      <c r="AM21">
        <v>0</v>
      </c>
      <c r="AR21" t="str">
        <f t="shared" si="0"/>
        <v>insert into tb_time_performance(nu_jogo,sg_time,dt_jogo,ds_formacao,pc_accuracy,pc_possession,qt_atempt,qt_target,qt_passes,qt_distance,qt_recovery,qt_clearance,qt_foul,qt_yellow,qt_red,qt_goals,fl_Win,nu_minutos)  values (19, 'URU', to_date('20180620','YYYYMMDD'), '4,4,2', 0.88,0.47, 13, 4, 521, 101, 43, 19, 10, 0, 0, 1, 1,95);</v>
      </c>
      <c r="AU21" t="str">
        <f t="shared" si="1"/>
        <v>insert into tb_time_performance(nu_jogo,sg_time,dt_jogo,ds_formacao,pc_accuracy,pc_possession,qt_atempt,qt_target,qt_passes,qt_distance,qt_recovery,qt_clearance,qt_foul,qt_yellow,qt_red,qt_goals,fl_Win,nu_minutos)  values (19, 'ASA', to_date('20180620','YYYYMMDD'), '4,2,3,1', 0.86,0.53, 8, 3, 590, 100, 45, 14, 13, 0, 0, 0, -1,95);</v>
      </c>
    </row>
    <row r="22" spans="1:47" x14ac:dyDescent="0.25">
      <c r="A22">
        <v>20</v>
      </c>
      <c r="B22" t="s">
        <v>67</v>
      </c>
      <c r="C22">
        <v>0</v>
      </c>
      <c r="D22" t="s">
        <v>65</v>
      </c>
      <c r="E22">
        <v>1</v>
      </c>
      <c r="F22">
        <v>20180620</v>
      </c>
      <c r="G22" t="s">
        <v>65</v>
      </c>
      <c r="H22">
        <v>1900</v>
      </c>
      <c r="I22" t="s">
        <v>17</v>
      </c>
      <c r="J22" t="s">
        <v>288</v>
      </c>
      <c r="K22">
        <v>95</v>
      </c>
      <c r="L22" t="s">
        <v>116</v>
      </c>
      <c r="M22" t="s">
        <v>116</v>
      </c>
      <c r="N22" s="2">
        <v>0.69</v>
      </c>
      <c r="O22" s="2">
        <v>0.89</v>
      </c>
      <c r="P22" t="s">
        <v>65</v>
      </c>
      <c r="Q22" s="2">
        <v>0.7</v>
      </c>
      <c r="R22" t="s">
        <v>290</v>
      </c>
      <c r="S22" t="s">
        <v>65</v>
      </c>
      <c r="T22" s="1" t="s">
        <v>289</v>
      </c>
      <c r="U22" s="1" t="s">
        <v>291</v>
      </c>
      <c r="V22">
        <v>5</v>
      </c>
      <c r="W22">
        <v>17</v>
      </c>
      <c r="X22">
        <v>0</v>
      </c>
      <c r="Y22">
        <v>3</v>
      </c>
      <c r="Z22">
        <v>219</v>
      </c>
      <c r="AA22">
        <v>805</v>
      </c>
      <c r="AB22">
        <v>106</v>
      </c>
      <c r="AC22">
        <v>105</v>
      </c>
      <c r="AD22">
        <v>50</v>
      </c>
      <c r="AE22">
        <v>35</v>
      </c>
      <c r="AF22">
        <v>48</v>
      </c>
      <c r="AG22">
        <v>14</v>
      </c>
      <c r="AH22">
        <v>14</v>
      </c>
      <c r="AI22">
        <v>14</v>
      </c>
      <c r="AJ22">
        <v>2</v>
      </c>
      <c r="AK22">
        <v>0</v>
      </c>
      <c r="AL22">
        <v>0</v>
      </c>
      <c r="AM22">
        <v>0</v>
      </c>
      <c r="AR22" t="str">
        <f t="shared" si="0"/>
        <v>insert into tb_time_performance(nu_jogo,sg_time,dt_jogo,ds_formacao,pc_accuracy,pc_possession,qt_atempt,qt_target,qt_passes,qt_distance,qt_recovery,qt_clearance,qt_foul,qt_yellow,qt_red,qt_goals,fl_Win,nu_minutos)  values (20, 'IRN', to_date('20180620','YYYYMMDD'), '4,1,4,1', 0.69,0.3, 5, 0, 219, 106, 50, 48, 14, 2, 0, 0, -1,95);</v>
      </c>
      <c r="AU22" t="str">
        <f t="shared" si="1"/>
        <v>insert into tb_time_performance(nu_jogo,sg_time,dt_jogo,ds_formacao,pc_accuracy,pc_possession,qt_atempt,qt_target,qt_passes,qt_distance,qt_recovery,qt_clearance,qt_foul,qt_yellow,qt_red,qt_goals,fl_Win,nu_minutos)  values (20, 'ESP', to_date('20180620','YYYYMMDD'), '4,1,4,1', 0.89,0.7, 17, 3, 805, 105, 35, 14, 14, 0, 0, 1, 1,95);</v>
      </c>
    </row>
    <row r="23" spans="1:47" x14ac:dyDescent="0.25">
      <c r="A23">
        <v>21</v>
      </c>
      <c r="B23" t="s">
        <v>68</v>
      </c>
      <c r="C23">
        <v>1</v>
      </c>
      <c r="D23" t="s">
        <v>70</v>
      </c>
      <c r="E23">
        <v>0</v>
      </c>
      <c r="F23">
        <v>20180621</v>
      </c>
      <c r="G23" t="s">
        <v>68</v>
      </c>
      <c r="H23">
        <v>1600</v>
      </c>
      <c r="I23" t="s">
        <v>18</v>
      </c>
      <c r="J23" t="s">
        <v>296</v>
      </c>
      <c r="K23">
        <v>94</v>
      </c>
      <c r="L23" t="s">
        <v>115</v>
      </c>
      <c r="M23" t="s">
        <v>115</v>
      </c>
      <c r="N23" s="2">
        <v>0.77</v>
      </c>
      <c r="O23" s="2">
        <v>0.81</v>
      </c>
      <c r="P23" t="s">
        <v>70</v>
      </c>
      <c r="Q23" s="2">
        <v>0.56000000000000005</v>
      </c>
      <c r="R23" t="s">
        <v>297</v>
      </c>
      <c r="S23" t="s">
        <v>68</v>
      </c>
      <c r="T23" s="1" t="s">
        <v>295</v>
      </c>
      <c r="U23" s="1" t="s">
        <v>298</v>
      </c>
      <c r="V23">
        <v>12</v>
      </c>
      <c r="W23">
        <v>10</v>
      </c>
      <c r="X23">
        <v>4</v>
      </c>
      <c r="Y23">
        <v>2</v>
      </c>
      <c r="Z23">
        <v>405</v>
      </c>
      <c r="AA23">
        <v>532</v>
      </c>
      <c r="AB23">
        <v>103</v>
      </c>
      <c r="AC23">
        <v>102</v>
      </c>
      <c r="AD23">
        <v>46</v>
      </c>
      <c r="AE23">
        <v>44</v>
      </c>
      <c r="AF23">
        <v>24</v>
      </c>
      <c r="AG23">
        <v>17</v>
      </c>
      <c r="AH23">
        <v>11</v>
      </c>
      <c r="AI23">
        <v>15</v>
      </c>
      <c r="AJ23">
        <v>2</v>
      </c>
      <c r="AK23">
        <v>2</v>
      </c>
      <c r="AL23">
        <v>0</v>
      </c>
      <c r="AM23">
        <v>0</v>
      </c>
      <c r="AR23" t="str">
        <f t="shared" si="0"/>
        <v>insert into tb_time_performance(nu_jogo,sg_time,dt_jogo,ds_formacao,pc_accuracy,pc_possession,qt_atempt,qt_target,qt_passes,qt_distance,qt_recovery,qt_clearance,qt_foul,qt_yellow,qt_red,qt_goals,fl_Win,nu_minutos)  values (21, 'FRA', to_date('20180621','YYYYMMDD'), '4,2,3,1', 0.77,0.44, 12, 4, 405, 103, 46, 24, 11, 2, 0, 1, 1,94);</v>
      </c>
      <c r="AU23" t="str">
        <f t="shared" si="1"/>
        <v>insert into tb_time_performance(nu_jogo,sg_time,dt_jogo,ds_formacao,pc_accuracy,pc_possession,qt_atempt,qt_target,qt_passes,qt_distance,qt_recovery,qt_clearance,qt_foul,qt_yellow,qt_red,qt_goals,fl_Win,nu_minutos)  values (21, 'PER', to_date('20180621','YYYYMMDD'), '4,2,3,1', 0.81,0.56, 10, 2, 532, 102, 44, 17, 15, 2, 0, 0, -1,94);</v>
      </c>
    </row>
    <row r="24" spans="1:47" x14ac:dyDescent="0.25">
      <c r="A24">
        <v>22</v>
      </c>
      <c r="B24" t="s">
        <v>71</v>
      </c>
      <c r="C24">
        <v>1</v>
      </c>
      <c r="D24" t="s">
        <v>69</v>
      </c>
      <c r="E24">
        <v>1</v>
      </c>
      <c r="F24">
        <v>20180621</v>
      </c>
      <c r="G24" t="s">
        <v>303</v>
      </c>
      <c r="H24">
        <v>1300</v>
      </c>
      <c r="I24" t="s">
        <v>18</v>
      </c>
      <c r="J24" t="s">
        <v>306</v>
      </c>
      <c r="K24">
        <v>94</v>
      </c>
      <c r="L24" t="s">
        <v>115</v>
      </c>
      <c r="M24" t="s">
        <v>206</v>
      </c>
      <c r="N24" s="2">
        <v>0.88</v>
      </c>
      <c r="O24" s="2">
        <v>0.85</v>
      </c>
      <c r="P24" t="s">
        <v>69</v>
      </c>
      <c r="Q24" s="2">
        <v>0.51</v>
      </c>
      <c r="R24" t="s">
        <v>307</v>
      </c>
      <c r="S24" t="s">
        <v>71</v>
      </c>
      <c r="T24" s="1" t="s">
        <v>305</v>
      </c>
      <c r="U24" s="1" t="s">
        <v>308</v>
      </c>
      <c r="V24">
        <v>10</v>
      </c>
      <c r="W24">
        <v>14</v>
      </c>
      <c r="X24">
        <v>5</v>
      </c>
      <c r="Y24">
        <v>5</v>
      </c>
      <c r="Z24">
        <v>458</v>
      </c>
      <c r="AA24">
        <v>520</v>
      </c>
      <c r="AB24">
        <v>112</v>
      </c>
      <c r="AC24">
        <v>114</v>
      </c>
      <c r="AD24">
        <v>41</v>
      </c>
      <c r="AE24">
        <v>42</v>
      </c>
      <c r="AF24">
        <v>26</v>
      </c>
      <c r="AG24">
        <v>26</v>
      </c>
      <c r="AH24">
        <v>7</v>
      </c>
      <c r="AI24">
        <v>5</v>
      </c>
      <c r="AJ24">
        <v>2</v>
      </c>
      <c r="AK24">
        <v>0</v>
      </c>
      <c r="AL24">
        <v>0</v>
      </c>
      <c r="AM24">
        <v>0</v>
      </c>
      <c r="AR24" t="str">
        <f t="shared" si="0"/>
        <v>insert into tb_time_performance(nu_jogo,sg_time,dt_jogo,ds_formacao,pc_accuracy,pc_possession,qt_atempt,qt_target,qt_passes,qt_distance,qt_recovery,qt_clearance,qt_foul,qt_yellow,qt_red,qt_goals,fl_Win,nu_minutos)  values (22, 'DIN', to_date('20180621','YYYYMMDD'), '4,2,3,1', 0.88,0.49, 10, 5, 458, 112, 41, 26, 7, 2, 0, 1, 0,94);</v>
      </c>
      <c r="AU24" t="str">
        <f t="shared" si="1"/>
        <v>insert into tb_time_performance(nu_jogo,sg_time,dt_jogo,ds_formacao,pc_accuracy,pc_possession,qt_atempt,qt_target,qt_passes,qt_distance,qt_recovery,qt_clearance,qt_foul,qt_yellow,qt_red,qt_goals,fl_Win,nu_minutos)  values (22, 'AUS', to_date('20180621','YYYYMMDD'), '4,4,1,1', 0.85,0.51, 14, 5, 520, 114, 42, 26, 5, 0, 0, 1, 0,94);</v>
      </c>
    </row>
    <row r="25" spans="1:47" x14ac:dyDescent="0.25">
      <c r="A25">
        <v>23</v>
      </c>
      <c r="B25" t="s">
        <v>72</v>
      </c>
      <c r="C25">
        <v>0</v>
      </c>
      <c r="D25" t="s">
        <v>74</v>
      </c>
      <c r="E25">
        <v>3</v>
      </c>
      <c r="F25">
        <v>20180621</v>
      </c>
      <c r="G25" t="s">
        <v>74</v>
      </c>
      <c r="H25">
        <v>1900</v>
      </c>
      <c r="I25" t="s">
        <v>19</v>
      </c>
      <c r="J25" t="s">
        <v>309</v>
      </c>
      <c r="K25">
        <v>95</v>
      </c>
      <c r="L25" t="s">
        <v>252</v>
      </c>
      <c r="M25" t="s">
        <v>116</v>
      </c>
      <c r="N25" s="2">
        <v>0.81</v>
      </c>
      <c r="O25" s="2">
        <v>0.8</v>
      </c>
      <c r="P25" t="s">
        <v>72</v>
      </c>
      <c r="Q25" s="2">
        <v>0.57999999999999996</v>
      </c>
      <c r="R25" t="s">
        <v>233</v>
      </c>
      <c r="S25" t="s">
        <v>74</v>
      </c>
      <c r="T25" s="1" t="s">
        <v>310</v>
      </c>
      <c r="U25" s="1" t="s">
        <v>299</v>
      </c>
      <c r="V25">
        <v>10</v>
      </c>
      <c r="W25">
        <v>15</v>
      </c>
      <c r="X25">
        <v>3</v>
      </c>
      <c r="Y25">
        <v>5</v>
      </c>
      <c r="Z25">
        <v>505</v>
      </c>
      <c r="AA25">
        <v>372</v>
      </c>
      <c r="AB25">
        <v>101</v>
      </c>
      <c r="AC25">
        <v>104</v>
      </c>
      <c r="AD25">
        <v>35</v>
      </c>
      <c r="AE25">
        <v>34</v>
      </c>
      <c r="AF25">
        <v>24</v>
      </c>
      <c r="AG25">
        <v>19</v>
      </c>
      <c r="AH25">
        <v>15</v>
      </c>
      <c r="AI25">
        <v>23</v>
      </c>
      <c r="AJ25">
        <v>3</v>
      </c>
      <c r="AK25">
        <v>4</v>
      </c>
      <c r="AL25">
        <v>0</v>
      </c>
      <c r="AM25">
        <v>0</v>
      </c>
      <c r="AR25" t="str">
        <f t="shared" si="0"/>
        <v>insert into tb_time_performance(nu_jogo,sg_time,dt_jogo,ds_formacao,pc_accuracy,pc_possession,qt_atempt,qt_target,qt_passes,qt_distance,qt_recovery,qt_clearance,qt_foul,qt_yellow,qt_red,qt_goals,fl_Win,nu_minutos)  values (23, 'ARG', to_date('20180621','YYYYMMDD'), '3,4,2,1', 0.81,0.58, 10, 3, 505, 101, 35, 24, 15, 3, 0, 0, -1,95);</v>
      </c>
      <c r="AU25" t="str">
        <f t="shared" si="1"/>
        <v>insert into tb_time_performance(nu_jogo,sg_time,dt_jogo,ds_formacao,pc_accuracy,pc_possession,qt_atempt,qt_target,qt_passes,qt_distance,qt_recovery,qt_clearance,qt_foul,qt_yellow,qt_red,qt_goals,fl_Win,nu_minutos)  values (23, 'CRO', to_date('20180621','YYYYMMDD'), '4,1,4,1', 0.8,0.42, 15, 5, 372, 104, 34, 19, 23, 4, 0, 3, 1,95);</v>
      </c>
    </row>
    <row r="26" spans="1:47" x14ac:dyDescent="0.25">
      <c r="A26">
        <v>24</v>
      </c>
      <c r="B26" t="s">
        <v>76</v>
      </c>
      <c r="C26">
        <v>2</v>
      </c>
      <c r="D26" t="s">
        <v>78</v>
      </c>
      <c r="E26">
        <v>0</v>
      </c>
      <c r="F26">
        <v>20180622</v>
      </c>
      <c r="G26" t="s">
        <v>76</v>
      </c>
      <c r="H26">
        <v>1300</v>
      </c>
      <c r="I26" t="s">
        <v>20</v>
      </c>
      <c r="J26" t="s">
        <v>353</v>
      </c>
      <c r="K26">
        <v>97</v>
      </c>
      <c r="L26" t="s">
        <v>208</v>
      </c>
      <c r="M26" t="s">
        <v>252</v>
      </c>
      <c r="N26" s="2">
        <v>0.9</v>
      </c>
      <c r="O26" s="2">
        <v>0.72</v>
      </c>
      <c r="P26" t="s">
        <v>76</v>
      </c>
      <c r="Q26" s="2">
        <v>0.66</v>
      </c>
      <c r="R26" t="s">
        <v>270</v>
      </c>
      <c r="S26" t="s">
        <v>76</v>
      </c>
      <c r="T26" s="1" t="s">
        <v>355</v>
      </c>
      <c r="U26" s="1" t="s">
        <v>354</v>
      </c>
      <c r="V26">
        <v>23</v>
      </c>
      <c r="W26">
        <v>4</v>
      </c>
      <c r="X26">
        <v>9</v>
      </c>
      <c r="Y26">
        <v>0</v>
      </c>
      <c r="Z26">
        <v>742</v>
      </c>
      <c r="AA26">
        <v>274</v>
      </c>
      <c r="AB26">
        <v>105</v>
      </c>
      <c r="AC26">
        <v>109</v>
      </c>
      <c r="AD26">
        <v>43</v>
      </c>
      <c r="AE26">
        <v>38</v>
      </c>
      <c r="AF26">
        <v>13</v>
      </c>
      <c r="AG26">
        <v>41</v>
      </c>
      <c r="AH26">
        <v>11</v>
      </c>
      <c r="AI26">
        <v>11</v>
      </c>
      <c r="AJ26">
        <v>2</v>
      </c>
      <c r="AK26">
        <v>1</v>
      </c>
      <c r="AL26">
        <v>0</v>
      </c>
      <c r="AM26">
        <v>0</v>
      </c>
      <c r="AR26" t="str">
        <f t="shared" si="0"/>
        <v>insert into tb_time_performance(nu_jogo,sg_time,dt_jogo,ds_formacao,pc_accuracy,pc_possession,qt_atempt,qt_target,qt_passes,qt_distance,qt_recovery,qt_clearance,qt_foul,qt_yellow,qt_red,qt_goals,fl_Win,nu_minutos)  values (24, 'BRA', to_date('20180622','YYYYMMDD'), '4,3,3', 0.9,0.66, 23, 9, 742, 105, 43, 13, 11, 2, 0, 2, 1,97);</v>
      </c>
      <c r="AU26" t="str">
        <f t="shared" si="1"/>
        <v>insert into tb_time_performance(nu_jogo,sg_time,dt_jogo,ds_formacao,pc_accuracy,pc_possession,qt_atempt,qt_target,qt_passes,qt_distance,qt_recovery,qt_clearance,qt_foul,qt_yellow,qt_red,qt_goals,fl_Win,nu_minutos)  values (24, 'CRC', to_date('20180622','YYYYMMDD'), '3,4,2,1', 0.72,0.34, 4, 0, 274, 109, 38, 41, 11, 1, 0, 0, -1,97);</v>
      </c>
    </row>
    <row r="27" spans="1:47" x14ac:dyDescent="0.25">
      <c r="A27">
        <v>25</v>
      </c>
      <c r="B27" t="s">
        <v>75</v>
      </c>
      <c r="C27">
        <v>2</v>
      </c>
      <c r="D27" t="s">
        <v>73</v>
      </c>
      <c r="E27">
        <v>0</v>
      </c>
      <c r="F27">
        <v>20180622</v>
      </c>
      <c r="G27" t="s">
        <v>75</v>
      </c>
      <c r="H27">
        <v>1600</v>
      </c>
      <c r="I27" t="s">
        <v>19</v>
      </c>
      <c r="J27" t="s">
        <v>364</v>
      </c>
      <c r="K27">
        <v>97</v>
      </c>
      <c r="L27" t="s">
        <v>357</v>
      </c>
      <c r="M27" t="s">
        <v>207</v>
      </c>
      <c r="N27" s="2">
        <v>0.84</v>
      </c>
      <c r="O27" s="2">
        <v>0.75</v>
      </c>
      <c r="P27" t="s">
        <v>75</v>
      </c>
      <c r="Q27" s="2">
        <v>0.57999999999999996</v>
      </c>
      <c r="R27" t="s">
        <v>366</v>
      </c>
      <c r="S27" t="s">
        <v>75</v>
      </c>
      <c r="T27" s="1" t="s">
        <v>365</v>
      </c>
      <c r="U27" s="1" t="s">
        <v>356</v>
      </c>
      <c r="V27">
        <v>16</v>
      </c>
      <c r="W27">
        <v>10</v>
      </c>
      <c r="X27">
        <v>4</v>
      </c>
      <c r="Y27">
        <v>3</v>
      </c>
      <c r="Z27">
        <v>473</v>
      </c>
      <c r="AA27">
        <v>291</v>
      </c>
      <c r="AB27">
        <v>100</v>
      </c>
      <c r="AC27">
        <v>106</v>
      </c>
      <c r="AD27">
        <v>40</v>
      </c>
      <c r="AE27">
        <v>46</v>
      </c>
      <c r="AF27">
        <v>39</v>
      </c>
      <c r="AG27">
        <v>28</v>
      </c>
      <c r="AH27">
        <v>9</v>
      </c>
      <c r="AI27">
        <v>10</v>
      </c>
      <c r="AJ27">
        <v>1</v>
      </c>
      <c r="AK27">
        <v>0</v>
      </c>
      <c r="AL27">
        <v>0</v>
      </c>
      <c r="AM27">
        <v>0</v>
      </c>
      <c r="AR27" t="str">
        <f t="shared" si="0"/>
        <v>insert into tb_time_performance(nu_jogo,sg_time,dt_jogo,ds_formacao,pc_accuracy,pc_possession,qt_atempt,qt_target,qt_passes,qt_distance,qt_recovery,qt_clearance,qt_foul,qt_yellow,qt_red,qt_goals,fl_Win,nu_minutos)  values (25, 'NIG', to_date('20180622','YYYYMMDD'), '3,5,2', 0.84,0.58, 16, 4, 473, 100, 40, 39, 9, 1, 0, 2, 1,97);</v>
      </c>
      <c r="AU27" t="str">
        <f t="shared" si="1"/>
        <v>insert into tb_time_performance(nu_jogo,sg_time,dt_jogo,ds_formacao,pc_accuracy,pc_possession,qt_atempt,qt_target,qt_passes,qt_distance,qt_recovery,qt_clearance,qt_foul,qt_yellow,qt_red,qt_goals,fl_Win,nu_minutos)  values (25, 'ISL', to_date('20180622','YYYYMMDD'), '4,4,2', 0.75,0.42, 10, 3, 291, 106, 46, 28, 10, 0, 0, 0, -1,97);</v>
      </c>
    </row>
    <row r="28" spans="1:47" x14ac:dyDescent="0.25">
      <c r="A28">
        <v>26</v>
      </c>
      <c r="B28" t="s">
        <v>79</v>
      </c>
      <c r="C28">
        <v>1</v>
      </c>
      <c r="D28" t="s">
        <v>77</v>
      </c>
      <c r="E28">
        <v>2</v>
      </c>
      <c r="F28">
        <v>20180622</v>
      </c>
      <c r="G28" t="s">
        <v>77</v>
      </c>
      <c r="H28">
        <v>1900</v>
      </c>
      <c r="I28" t="s">
        <v>20</v>
      </c>
      <c r="J28" t="s">
        <v>313</v>
      </c>
      <c r="K28">
        <v>96</v>
      </c>
      <c r="L28" t="s">
        <v>115</v>
      </c>
      <c r="M28" t="s">
        <v>115</v>
      </c>
      <c r="N28" s="2">
        <v>0.78</v>
      </c>
      <c r="O28" s="2">
        <v>0.87</v>
      </c>
      <c r="P28" t="s">
        <v>77</v>
      </c>
      <c r="Q28" s="2">
        <v>0.57999999999999996</v>
      </c>
      <c r="R28" t="s">
        <v>368</v>
      </c>
      <c r="S28" t="s">
        <v>77</v>
      </c>
      <c r="T28" s="1" t="s">
        <v>367</v>
      </c>
      <c r="U28" s="1" t="s">
        <v>358</v>
      </c>
      <c r="V28">
        <v>12</v>
      </c>
      <c r="W28">
        <v>20</v>
      </c>
      <c r="X28">
        <v>3</v>
      </c>
      <c r="Y28">
        <v>5</v>
      </c>
      <c r="Z28">
        <v>309</v>
      </c>
      <c r="AA28">
        <v>547</v>
      </c>
      <c r="AB28">
        <v>116</v>
      </c>
      <c r="AC28">
        <v>112</v>
      </c>
      <c r="AD28">
        <v>44</v>
      </c>
      <c r="AE28">
        <v>40</v>
      </c>
      <c r="AF28">
        <v>30</v>
      </c>
      <c r="AG28">
        <v>17</v>
      </c>
      <c r="AH28">
        <v>17</v>
      </c>
      <c r="AI28">
        <v>12</v>
      </c>
      <c r="AJ28">
        <v>4</v>
      </c>
      <c r="AK28">
        <v>1</v>
      </c>
      <c r="AL28">
        <v>0</v>
      </c>
      <c r="AM28">
        <v>0</v>
      </c>
      <c r="AR28" t="str">
        <f t="shared" si="0"/>
        <v>insert into tb_time_performance(nu_jogo,sg_time,dt_jogo,ds_formacao,pc_accuracy,pc_possession,qt_atempt,qt_target,qt_passes,qt_distance,qt_recovery,qt_clearance,qt_foul,qt_yellow,qt_red,qt_goals,fl_Win,nu_minutos)  values (26, 'SRB', to_date('20180622','YYYYMMDD'), '4,2,3,1', 0.78,0.42, 12, 3, 309, 116, 44, 30, 17, 4, 0, 1, -1,96);</v>
      </c>
      <c r="AU28" t="str">
        <f t="shared" si="1"/>
        <v>insert into tb_time_performance(nu_jogo,sg_time,dt_jogo,ds_formacao,pc_accuracy,pc_possession,qt_atempt,qt_target,qt_passes,qt_distance,qt_recovery,qt_clearance,qt_foul,qt_yellow,qt_red,qt_goals,fl_Win,nu_minutos)  values (26, 'SUI', to_date('20180622','YYYYMMDD'), '4,2,3,1', 0.87,0.58, 20, 5, 547, 112, 40, 17, 12, 1, 0, 2, 1,96);</v>
      </c>
    </row>
    <row r="29" spans="1:47" x14ac:dyDescent="0.25">
      <c r="A29">
        <v>27</v>
      </c>
      <c r="B29" t="s">
        <v>84</v>
      </c>
      <c r="C29">
        <v>5</v>
      </c>
      <c r="D29" t="s">
        <v>86</v>
      </c>
      <c r="E29">
        <v>2</v>
      </c>
      <c r="F29">
        <v>20180623</v>
      </c>
      <c r="G29" t="s">
        <v>84</v>
      </c>
      <c r="H29">
        <v>1300</v>
      </c>
      <c r="I29" t="s">
        <v>22</v>
      </c>
      <c r="J29" t="s">
        <v>371</v>
      </c>
      <c r="K29">
        <v>94</v>
      </c>
      <c r="L29" t="s">
        <v>252</v>
      </c>
      <c r="M29" t="s">
        <v>208</v>
      </c>
      <c r="N29" s="2">
        <v>0.83</v>
      </c>
      <c r="O29" s="2">
        <v>0.82</v>
      </c>
      <c r="P29" t="s">
        <v>84</v>
      </c>
      <c r="Q29" s="2">
        <v>0.52</v>
      </c>
      <c r="R29" t="s">
        <v>377</v>
      </c>
      <c r="S29" t="s">
        <v>84</v>
      </c>
      <c r="T29" s="1" t="s">
        <v>376</v>
      </c>
      <c r="U29" s="1" t="s">
        <v>363</v>
      </c>
      <c r="V29">
        <v>23</v>
      </c>
      <c r="W29">
        <v>15</v>
      </c>
      <c r="X29">
        <v>12</v>
      </c>
      <c r="Y29">
        <v>5</v>
      </c>
      <c r="Z29">
        <v>472</v>
      </c>
      <c r="AA29">
        <v>481</v>
      </c>
      <c r="AB29">
        <v>104</v>
      </c>
      <c r="AC29">
        <v>102</v>
      </c>
      <c r="AD29">
        <v>45</v>
      </c>
      <c r="AE29">
        <v>37</v>
      </c>
      <c r="AF29">
        <v>15</v>
      </c>
      <c r="AG29">
        <v>17</v>
      </c>
      <c r="AH29">
        <v>12</v>
      </c>
      <c r="AI29">
        <v>13</v>
      </c>
      <c r="AJ29">
        <v>0</v>
      </c>
      <c r="AK29">
        <v>1</v>
      </c>
      <c r="AL29">
        <v>0</v>
      </c>
      <c r="AM29">
        <v>0</v>
      </c>
      <c r="AR29" t="str">
        <f t="shared" si="0"/>
        <v>insert into tb_time_performance(nu_jogo,sg_time,dt_jogo,ds_formacao,pc_accuracy,pc_possession,qt_atempt,qt_target,qt_passes,qt_distance,qt_recovery,qt_clearance,qt_foul,qt_yellow,qt_red,qt_goals,fl_Win,nu_minutos)  values (27, 'BEL', to_date('20180623','YYYYMMDD'), '3,4,2,1', 0.83,0.52, 23, 12, 472, 104, 45, 15, 12, 0, 0, 5, 1,94);</v>
      </c>
      <c r="AU29" t="str">
        <f t="shared" si="1"/>
        <v>insert into tb_time_performance(nu_jogo,sg_time,dt_jogo,ds_formacao,pc_accuracy,pc_possession,qt_atempt,qt_target,qt_passes,qt_distance,qt_recovery,qt_clearance,qt_foul,qt_yellow,qt_red,qt_goals,fl_Win,nu_minutos)  values (27, 'TUN', to_date('20180623','YYYYMMDD'), '4,3,3', 0.82,0.48, 15, 5, 481, 102, 37, 17, 13, 1, 0, 2, -1,94);</v>
      </c>
    </row>
    <row r="30" spans="1:47" x14ac:dyDescent="0.25">
      <c r="A30">
        <v>29</v>
      </c>
      <c r="B30" t="s">
        <v>80</v>
      </c>
      <c r="C30">
        <v>2</v>
      </c>
      <c r="D30" t="s">
        <v>82</v>
      </c>
      <c r="E30">
        <v>1</v>
      </c>
      <c r="F30">
        <v>20180623</v>
      </c>
      <c r="G30" t="s">
        <v>80</v>
      </c>
      <c r="H30">
        <v>1900</v>
      </c>
      <c r="I30" t="s">
        <v>21</v>
      </c>
      <c r="J30" t="s">
        <v>370</v>
      </c>
      <c r="K30">
        <v>96</v>
      </c>
      <c r="L30" t="s">
        <v>115</v>
      </c>
      <c r="M30" t="s">
        <v>207</v>
      </c>
      <c r="N30" s="2">
        <v>0.88</v>
      </c>
      <c r="O30" s="2">
        <v>0.72</v>
      </c>
      <c r="P30" t="s">
        <v>80</v>
      </c>
      <c r="Q30" s="2">
        <v>0.71</v>
      </c>
      <c r="R30" t="s">
        <v>382</v>
      </c>
      <c r="S30" t="s">
        <v>80</v>
      </c>
      <c r="T30" s="1" t="s">
        <v>378</v>
      </c>
      <c r="U30" s="1" t="s">
        <v>362</v>
      </c>
      <c r="V30">
        <v>16</v>
      </c>
      <c r="W30">
        <v>8</v>
      </c>
      <c r="X30">
        <v>5</v>
      </c>
      <c r="Y30">
        <v>6</v>
      </c>
      <c r="Z30">
        <v>703</v>
      </c>
      <c r="AA30">
        <v>236</v>
      </c>
      <c r="AB30">
        <v>111</v>
      </c>
      <c r="AC30">
        <v>110</v>
      </c>
      <c r="AD30">
        <v>30</v>
      </c>
      <c r="AE30">
        <v>44</v>
      </c>
      <c r="AF30">
        <v>13</v>
      </c>
      <c r="AG30">
        <v>46</v>
      </c>
      <c r="AH30">
        <v>12</v>
      </c>
      <c r="AI30">
        <v>13</v>
      </c>
      <c r="AJ30">
        <v>0</v>
      </c>
      <c r="AK30">
        <v>2</v>
      </c>
      <c r="AL30">
        <v>1</v>
      </c>
      <c r="AM30">
        <v>0</v>
      </c>
      <c r="AP30" s="1" t="s">
        <v>383</v>
      </c>
      <c r="AQ30" s="1"/>
      <c r="AR30" t="str">
        <f t="shared" si="0"/>
        <v>insert into tb_time_performance(nu_jogo,sg_time,dt_jogo,ds_formacao,pc_accuracy,pc_possession,qt_atempt,qt_target,qt_passes,qt_distance,qt_recovery,qt_clearance,qt_foul,qt_yellow,qt_red,qt_goals,fl_Win,nu_minutos)  values (29, 'ALE', to_date('20180623','YYYYMMDD'), '4,2,3,1', 0.88,0.71, 16, 5, 703, 111, 30, 13, 12, 0, 1, 2, 1,96);</v>
      </c>
      <c r="AU30" t="str">
        <f t="shared" si="1"/>
        <v>insert into tb_time_performance(nu_jogo,sg_time,dt_jogo,ds_formacao,pc_accuracy,pc_possession,qt_atempt,qt_target,qt_passes,qt_distance,qt_recovery,qt_clearance,qt_foul,qt_yellow,qt_red,qt_goals,fl_Win,nu_minutos)  values (29, 'SUE', to_date('20180623','YYYYMMDD'), '4,4,2', 0.72,0.29, 8, 6, 236, 110, 44, 46, 13, 2, 0, 1, -1,96);</v>
      </c>
    </row>
    <row r="31" spans="1:47" x14ac:dyDescent="0.25">
      <c r="A31">
        <v>28</v>
      </c>
      <c r="B31" t="s">
        <v>83</v>
      </c>
      <c r="C31">
        <v>1</v>
      </c>
      <c r="D31" t="s">
        <v>81</v>
      </c>
      <c r="E31">
        <v>2</v>
      </c>
      <c r="F31">
        <v>20180623</v>
      </c>
      <c r="G31" t="s">
        <v>81</v>
      </c>
      <c r="H31">
        <v>1600</v>
      </c>
      <c r="I31" t="s">
        <v>21</v>
      </c>
      <c r="J31" t="s">
        <v>285</v>
      </c>
      <c r="K31">
        <v>96</v>
      </c>
      <c r="L31" t="s">
        <v>115</v>
      </c>
      <c r="M31" t="s">
        <v>115</v>
      </c>
      <c r="N31" s="2">
        <v>0.82</v>
      </c>
      <c r="O31" s="2">
        <v>0.89</v>
      </c>
      <c r="P31" t="s">
        <v>81</v>
      </c>
      <c r="Q31" s="2">
        <v>0.59</v>
      </c>
      <c r="R31" t="s">
        <v>380</v>
      </c>
      <c r="S31" t="s">
        <v>81</v>
      </c>
      <c r="T31" s="1" t="s">
        <v>381</v>
      </c>
      <c r="U31" s="1" t="s">
        <v>379</v>
      </c>
      <c r="V31">
        <v>17</v>
      </c>
      <c r="W31">
        <v>13</v>
      </c>
      <c r="X31">
        <v>6</v>
      </c>
      <c r="Y31">
        <v>5</v>
      </c>
      <c r="Z31">
        <v>346</v>
      </c>
      <c r="AA31">
        <v>485</v>
      </c>
      <c r="AB31">
        <v>99</v>
      </c>
      <c r="AC31">
        <v>97</v>
      </c>
      <c r="AD31">
        <v>42</v>
      </c>
      <c r="AE31">
        <v>40</v>
      </c>
      <c r="AF31">
        <v>21</v>
      </c>
      <c r="AG31">
        <v>18</v>
      </c>
      <c r="AH31">
        <v>24</v>
      </c>
      <c r="AI31">
        <v>7</v>
      </c>
      <c r="AJ31">
        <v>4</v>
      </c>
      <c r="AK31">
        <v>0</v>
      </c>
      <c r="AL31">
        <v>0</v>
      </c>
      <c r="AM31">
        <v>0</v>
      </c>
      <c r="AR31" t="str">
        <f t="shared" si="0"/>
        <v>insert into tb_time_performance(nu_jogo,sg_time,dt_jogo,ds_formacao,pc_accuracy,pc_possession,qt_atempt,qt_target,qt_passes,qt_distance,qt_recovery,qt_clearance,qt_foul,qt_yellow,qt_red,qt_goals,fl_Win,nu_minutos)  values (28, 'COR', to_date('20180623','YYYYMMDD'), '4,2,3,1', 0.82,0.41, 17, 6, 346, 99, 42, 21, 24, 4, 0, 1, -1,96);</v>
      </c>
      <c r="AU31" t="str">
        <f t="shared" si="1"/>
        <v>insert into tb_time_performance(nu_jogo,sg_time,dt_jogo,ds_formacao,pc_accuracy,pc_possession,qt_atempt,qt_target,qt_passes,qt_distance,qt_recovery,qt_clearance,qt_foul,qt_yellow,qt_red,qt_goals,fl_Win,nu_minutos)  values (28, 'MEX', to_date('20180623','YYYYMMDD'), '4,2,3,1', 0.89,0.59, 13, 5, 485, 97, 40, 18, 7, 0, 0, 2, 1,96);</v>
      </c>
    </row>
    <row r="32" spans="1:47" x14ac:dyDescent="0.25">
      <c r="A32">
        <v>30</v>
      </c>
      <c r="B32" t="s">
        <v>87</v>
      </c>
      <c r="C32">
        <v>6</v>
      </c>
      <c r="D32" t="s">
        <v>85</v>
      </c>
      <c r="E32">
        <v>1</v>
      </c>
      <c r="F32">
        <v>20180624</v>
      </c>
      <c r="G32" t="s">
        <v>87</v>
      </c>
      <c r="H32">
        <v>1300</v>
      </c>
      <c r="I32" t="s">
        <v>22</v>
      </c>
      <c r="J32" t="s">
        <v>309</v>
      </c>
      <c r="K32">
        <v>95</v>
      </c>
      <c r="L32" t="s">
        <v>263</v>
      </c>
      <c r="M32" t="s">
        <v>116</v>
      </c>
      <c r="N32" s="2">
        <v>0.93</v>
      </c>
      <c r="O32" s="2">
        <v>0.89</v>
      </c>
      <c r="P32" t="s">
        <v>87</v>
      </c>
      <c r="Q32" s="2">
        <v>0.57999999999999996</v>
      </c>
      <c r="R32" t="s">
        <v>373</v>
      </c>
      <c r="S32" t="s">
        <v>87</v>
      </c>
      <c r="T32" s="1" t="s">
        <v>414</v>
      </c>
      <c r="U32" s="1" t="s">
        <v>359</v>
      </c>
      <c r="V32">
        <v>12</v>
      </c>
      <c r="W32">
        <v>8</v>
      </c>
      <c r="X32">
        <v>7</v>
      </c>
      <c r="Y32">
        <v>2</v>
      </c>
      <c r="Z32">
        <v>601</v>
      </c>
      <c r="AA32">
        <v>403</v>
      </c>
      <c r="AB32">
        <v>99</v>
      </c>
      <c r="AC32">
        <v>89</v>
      </c>
      <c r="AD32">
        <v>26</v>
      </c>
      <c r="AE32">
        <v>25</v>
      </c>
      <c r="AF32">
        <v>11</v>
      </c>
      <c r="AG32">
        <v>10</v>
      </c>
      <c r="AH32">
        <v>14</v>
      </c>
      <c r="AI32">
        <v>13</v>
      </c>
      <c r="AJ32">
        <v>1</v>
      </c>
      <c r="AK32">
        <v>3</v>
      </c>
      <c r="AL32">
        <v>0</v>
      </c>
      <c r="AM32">
        <v>0</v>
      </c>
      <c r="AR32" t="str">
        <f t="shared" si="0"/>
        <v>insert into tb_time_performance(nu_jogo,sg_time,dt_jogo,ds_formacao,pc_accuracy,pc_possession,qt_atempt,qt_target,qt_passes,qt_distance,qt_recovery,qt_clearance,qt_foul,qt_yellow,qt_red,qt_goals,fl_Win,nu_minutos)  values (30, 'ING', to_date('20180624','YYYYMMDD'), '3,1,4,2', 0.93,0.58, 12, 7, 601, 99, 26, 11, 14, 1, 0, 6, 1,95);</v>
      </c>
      <c r="AU32" t="str">
        <f t="shared" si="1"/>
        <v>insert into tb_time_performance(nu_jogo,sg_time,dt_jogo,ds_formacao,pc_accuracy,pc_possession,qt_atempt,qt_target,qt_passes,qt_distance,qt_recovery,qt_clearance,qt_foul,qt_yellow,qt_red,qt_goals,fl_Win,nu_minutos)  values (30, 'PAN', to_date('20180624','YYYYMMDD'), '4,1,4,1', 0.89,0.42, 8, 2, 403, 89, 25, 10, 13, 3, 0, 1, -1,95);</v>
      </c>
    </row>
    <row r="33" spans="1:47" x14ac:dyDescent="0.25">
      <c r="A33">
        <v>31</v>
      </c>
      <c r="B33" t="s">
        <v>91</v>
      </c>
      <c r="C33">
        <v>2</v>
      </c>
      <c r="D33" t="s">
        <v>89</v>
      </c>
      <c r="E33">
        <v>2</v>
      </c>
      <c r="F33">
        <v>20180624</v>
      </c>
      <c r="G33" t="s">
        <v>303</v>
      </c>
      <c r="H33">
        <v>1600</v>
      </c>
      <c r="I33" t="s">
        <v>23</v>
      </c>
      <c r="J33" t="s">
        <v>296</v>
      </c>
      <c r="K33">
        <v>95</v>
      </c>
      <c r="L33" t="s">
        <v>115</v>
      </c>
      <c r="M33" t="s">
        <v>116</v>
      </c>
      <c r="N33" s="2">
        <v>0.83</v>
      </c>
      <c r="O33" s="2">
        <v>0.79</v>
      </c>
      <c r="P33" t="s">
        <v>91</v>
      </c>
      <c r="Q33" s="2">
        <v>0.54</v>
      </c>
      <c r="R33" t="s">
        <v>431</v>
      </c>
      <c r="S33" t="s">
        <v>416</v>
      </c>
      <c r="T33" s="1" t="s">
        <v>430</v>
      </c>
      <c r="U33" s="1" t="s">
        <v>360</v>
      </c>
      <c r="V33">
        <v>7</v>
      </c>
      <c r="W33">
        <v>14</v>
      </c>
      <c r="X33">
        <v>3</v>
      </c>
      <c r="Y33">
        <v>7</v>
      </c>
      <c r="Z33">
        <v>451</v>
      </c>
      <c r="AA33">
        <v>339</v>
      </c>
      <c r="AB33">
        <v>105</v>
      </c>
      <c r="AC33">
        <v>102</v>
      </c>
      <c r="AD33">
        <v>38</v>
      </c>
      <c r="AE33">
        <v>44</v>
      </c>
      <c r="AF33">
        <v>33</v>
      </c>
      <c r="AG33">
        <v>29</v>
      </c>
      <c r="AH33">
        <v>8</v>
      </c>
      <c r="AI33">
        <v>14</v>
      </c>
      <c r="AJ33">
        <v>2</v>
      </c>
      <c r="AK33">
        <v>3</v>
      </c>
      <c r="AL33">
        <v>0</v>
      </c>
      <c r="AM33">
        <v>0</v>
      </c>
      <c r="AR33" t="str">
        <f t="shared" si="0"/>
        <v>insert into tb_time_performance(nu_jogo,sg_time,dt_jogo,ds_formacao,pc_accuracy,pc_possession,qt_atempt,qt_target,qt_passes,qt_distance,qt_recovery,qt_clearance,qt_foul,qt_yellow,qt_red,qt_goals,fl_Win,nu_minutos)  values (31, 'JAP', to_date('20180624','YYYYMMDD'), '4,2,3,1', 0.83,0.54, 7, 3, 451, 105, 38, 33, 8, 2, 0, 2, 0,95);</v>
      </c>
      <c r="AU33" t="str">
        <f t="shared" si="1"/>
        <v>insert into tb_time_performance(nu_jogo,sg_time,dt_jogo,ds_formacao,pc_accuracy,pc_possession,qt_atempt,qt_target,qt_passes,qt_distance,qt_recovery,qt_clearance,qt_foul,qt_yellow,qt_red,qt_goals,fl_Win,nu_minutos)  values (31, 'SEN ', to_date('20180624','YYYYMMDD'), '4,1,4,1', 0.79,0.46, 14, 7, 339, 102, 44, 29, 14, 3, 0, 2, 0,95);</v>
      </c>
    </row>
    <row r="34" spans="1:47" x14ac:dyDescent="0.25">
      <c r="A34">
        <v>32</v>
      </c>
      <c r="B34" t="s">
        <v>88</v>
      </c>
      <c r="C34">
        <v>0</v>
      </c>
      <c r="D34" t="s">
        <v>90</v>
      </c>
      <c r="E34">
        <v>3</v>
      </c>
      <c r="F34">
        <v>20180624</v>
      </c>
      <c r="G34" t="s">
        <v>90</v>
      </c>
      <c r="H34">
        <v>1900</v>
      </c>
      <c r="I34" t="s">
        <v>23</v>
      </c>
      <c r="J34" t="s">
        <v>288</v>
      </c>
      <c r="K34">
        <v>95</v>
      </c>
      <c r="L34" t="s">
        <v>432</v>
      </c>
      <c r="M34" t="s">
        <v>115</v>
      </c>
      <c r="N34" s="2">
        <v>0.79</v>
      </c>
      <c r="O34" s="2">
        <v>0.82</v>
      </c>
      <c r="P34" t="s">
        <v>90</v>
      </c>
      <c r="Q34" s="2">
        <v>0.55000000000000004</v>
      </c>
      <c r="R34" t="s">
        <v>434</v>
      </c>
      <c r="S34" t="s">
        <v>90</v>
      </c>
      <c r="T34" s="1" t="s">
        <v>433</v>
      </c>
      <c r="U34" s="1" t="s">
        <v>361</v>
      </c>
      <c r="V34">
        <v>9</v>
      </c>
      <c r="W34">
        <v>13</v>
      </c>
      <c r="X34">
        <v>2</v>
      </c>
      <c r="Y34">
        <v>3</v>
      </c>
      <c r="Z34">
        <v>424</v>
      </c>
      <c r="AA34">
        <v>514</v>
      </c>
      <c r="AB34">
        <v>107</v>
      </c>
      <c r="AC34">
        <v>108</v>
      </c>
      <c r="AD34">
        <v>57</v>
      </c>
      <c r="AE34">
        <v>53</v>
      </c>
      <c r="AF34">
        <v>33</v>
      </c>
      <c r="AG34">
        <v>26</v>
      </c>
      <c r="AH34">
        <v>15</v>
      </c>
      <c r="AI34">
        <v>10</v>
      </c>
      <c r="AJ34">
        <v>2</v>
      </c>
      <c r="AK34">
        <v>0</v>
      </c>
      <c r="AL34">
        <v>0</v>
      </c>
      <c r="AM34">
        <v>0</v>
      </c>
      <c r="AR34" t="str">
        <f t="shared" si="0"/>
        <v>insert into tb_time_performance(nu_jogo,sg_time,dt_jogo,ds_formacao,pc_accuracy,pc_possession,qt_atempt,qt_target,qt_passes,qt_distance,qt_recovery,qt_clearance,qt_foul,qt_yellow,qt_red,qt_goals,fl_Win,nu_minutos)  values (32, 'POL', to_date('20180624','YYYYMMDD'), '3,4,3', 0.79,0.45, 9, 2, 424, 107, 57, 33, 15, 2, 0, 0, -1,95);</v>
      </c>
      <c r="AU34" t="str">
        <f t="shared" si="1"/>
        <v>insert into tb_time_performance(nu_jogo,sg_time,dt_jogo,ds_formacao,pc_accuracy,pc_possession,qt_atempt,qt_target,qt_passes,qt_distance,qt_recovery,qt_clearance,qt_foul,qt_yellow,qt_red,qt_goals,fl_Win,nu_minutos)  values (32, 'COL', to_date('20180624','YYYYMMDD'), '4,2,3,1', 0.82,0.55, 13, 3, 514, 108, 53, 26, 10, 0, 0, 3, 1,95);</v>
      </c>
    </row>
    <row r="35" spans="1:47" x14ac:dyDescent="0.25">
      <c r="A35" s="15">
        <v>33</v>
      </c>
      <c r="B35" s="15" t="s">
        <v>63</v>
      </c>
      <c r="C35" s="15">
        <v>3</v>
      </c>
      <c r="D35" s="15" t="s">
        <v>60</v>
      </c>
      <c r="E35" s="15">
        <v>0</v>
      </c>
      <c r="F35" s="15">
        <v>20180625</v>
      </c>
      <c r="G35" s="15" t="s">
        <v>63</v>
      </c>
      <c r="H35" s="15">
        <v>1500</v>
      </c>
      <c r="I35" s="15" t="s">
        <v>4</v>
      </c>
      <c r="J35" s="15" t="s">
        <v>306</v>
      </c>
      <c r="K35" s="15">
        <v>95</v>
      </c>
      <c r="L35" s="15" t="s">
        <v>491</v>
      </c>
      <c r="M35" s="15" t="s">
        <v>115</v>
      </c>
      <c r="N35" s="47">
        <v>0.87</v>
      </c>
      <c r="O35" s="47">
        <v>0.83</v>
      </c>
      <c r="P35" s="15" t="s">
        <v>63</v>
      </c>
      <c r="Q35" s="47">
        <v>0.56000000000000005</v>
      </c>
      <c r="R35" s="15" t="s">
        <v>292</v>
      </c>
      <c r="S35" s="15" t="s">
        <v>63</v>
      </c>
      <c r="T35" s="46" t="s">
        <v>492</v>
      </c>
      <c r="U35" s="46" t="s">
        <v>490</v>
      </c>
      <c r="V35" s="15">
        <v>17</v>
      </c>
      <c r="W35" s="15">
        <v>3</v>
      </c>
      <c r="X35" s="15">
        <v>7</v>
      </c>
      <c r="Y35" s="15">
        <v>1</v>
      </c>
      <c r="Z35" s="15">
        <v>489</v>
      </c>
      <c r="AA35" s="15">
        <v>347</v>
      </c>
      <c r="AB35" s="15">
        <v>101</v>
      </c>
      <c r="AC35" s="15">
        <v>98</v>
      </c>
      <c r="AD35" s="15">
        <v>34</v>
      </c>
      <c r="AE35" s="15">
        <v>32</v>
      </c>
      <c r="AF35" s="15">
        <v>13</v>
      </c>
      <c r="AG35" s="15">
        <v>20</v>
      </c>
      <c r="AH35" s="15">
        <v>17</v>
      </c>
      <c r="AI35" s="15">
        <v>18</v>
      </c>
      <c r="AJ35" s="15">
        <v>1</v>
      </c>
      <c r="AK35" s="15">
        <v>1</v>
      </c>
      <c r="AL35" s="15">
        <v>0</v>
      </c>
      <c r="AM35" s="15">
        <v>0</v>
      </c>
      <c r="AN35" s="15">
        <v>0</v>
      </c>
      <c r="AO35" s="15" t="s">
        <v>502</v>
      </c>
      <c r="AR35" t="str">
        <f t="shared" si="0"/>
        <v>insert into tb_time_performance(nu_jogo,sg_time,dt_jogo,ds_formacao,pc_accuracy,pc_possession,qt_atempt,qt_target,qt_passes,qt_distance,qt_recovery,qt_clearance,qt_foul,qt_yellow,qt_red,qt_goals,fl_Win,nu_minutos)  values (33, 'URU', to_date('20180625','YYYYMMDD'), '4,1,2,1,2', 0.87,0.56, 17, 7, 489, 101, 34, 13, 17, 1, 0, 3, 1,95);</v>
      </c>
      <c r="AU35" t="str">
        <f t="shared" si="1"/>
        <v>insert into tb_time_performance(nu_jogo,sg_time,dt_jogo,ds_formacao,pc_accuracy,pc_possession,qt_atempt,qt_target,qt_passes,qt_distance,qt_recovery,qt_clearance,qt_foul,qt_yellow,qt_red,qt_goals,fl_Win,nu_minutos)  values (33, 'RUS', to_date('20180625','YYYYMMDD'), '4,2,3,1', 0.83,0.44, 3, 1, 347, 98, 32, 20, 18, 1, 0, 0, -1,95);</v>
      </c>
    </row>
    <row r="36" spans="1:47" x14ac:dyDescent="0.25">
      <c r="A36">
        <v>34</v>
      </c>
      <c r="B36" t="s">
        <v>61</v>
      </c>
      <c r="C36">
        <v>2</v>
      </c>
      <c r="D36" t="s">
        <v>62</v>
      </c>
      <c r="E36">
        <v>1</v>
      </c>
      <c r="F36">
        <v>20180625</v>
      </c>
      <c r="G36" t="s">
        <v>61</v>
      </c>
      <c r="H36">
        <v>1500</v>
      </c>
      <c r="I36" t="s">
        <v>4</v>
      </c>
      <c r="J36" t="s">
        <v>364</v>
      </c>
      <c r="K36">
        <v>96</v>
      </c>
      <c r="L36" t="s">
        <v>116</v>
      </c>
      <c r="M36" t="s">
        <v>115</v>
      </c>
      <c r="N36" s="2">
        <v>0.9</v>
      </c>
      <c r="O36" s="2">
        <v>0.81</v>
      </c>
      <c r="P36" t="s">
        <v>61</v>
      </c>
      <c r="Q36" s="2">
        <v>0.62</v>
      </c>
      <c r="R36" t="s">
        <v>495</v>
      </c>
      <c r="S36" t="s">
        <v>62</v>
      </c>
      <c r="T36" s="1" t="s">
        <v>494</v>
      </c>
      <c r="U36" s="1" t="s">
        <v>493</v>
      </c>
      <c r="V36">
        <v>22</v>
      </c>
      <c r="W36">
        <v>8</v>
      </c>
      <c r="X36">
        <v>7</v>
      </c>
      <c r="Y36">
        <v>1</v>
      </c>
      <c r="Z36">
        <v>659</v>
      </c>
      <c r="AA36">
        <v>363</v>
      </c>
      <c r="AB36">
        <v>101</v>
      </c>
      <c r="AC36">
        <v>106</v>
      </c>
      <c r="AD36">
        <v>48</v>
      </c>
      <c r="AE36">
        <v>51</v>
      </c>
      <c r="AF36">
        <v>22</v>
      </c>
      <c r="AG36">
        <v>33</v>
      </c>
      <c r="AH36">
        <v>7</v>
      </c>
      <c r="AI36">
        <v>16</v>
      </c>
      <c r="AJ36">
        <v>0</v>
      </c>
      <c r="AK36">
        <v>2</v>
      </c>
      <c r="AL36">
        <v>0</v>
      </c>
      <c r="AM36">
        <v>0</v>
      </c>
      <c r="AN36">
        <v>0</v>
      </c>
      <c r="AO36" t="s">
        <v>503</v>
      </c>
      <c r="AR36" t="str">
        <f t="shared" si="0"/>
        <v>insert into tb_time_performance(nu_jogo,sg_time,dt_jogo,ds_formacao,pc_accuracy,pc_possession,qt_atempt,qt_target,qt_passes,qt_distance,qt_recovery,qt_clearance,qt_foul,qt_yellow,qt_red,qt_goals,fl_Win,nu_minutos)  values (34, 'ASA', to_date('20180625','YYYYMMDD'), '4,1,4,1', 0.9,0.62, 22, 7, 659, 101, 48, 22, 7, 0, 0, 2, 1,96);</v>
      </c>
      <c r="AU36" t="str">
        <f t="shared" si="1"/>
        <v>insert into tb_time_performance(nu_jogo,sg_time,dt_jogo,ds_formacao,pc_accuracy,pc_possession,qt_atempt,qt_target,qt_passes,qt_distance,qt_recovery,qt_clearance,qt_foul,qt_yellow,qt_red,qt_goals,fl_Win,nu_minutos)  values (34, 'EGI', to_date('20180625','YYYYMMDD'), '4,2,3,1', 0.81,0.38, 8, 1, 363, 106, 51, 33, 16, 2, 0, 1, -1,96);</v>
      </c>
    </row>
    <row r="37" spans="1:47" x14ac:dyDescent="0.25">
      <c r="A37">
        <v>35</v>
      </c>
      <c r="B37" t="s">
        <v>67</v>
      </c>
      <c r="C37">
        <v>1</v>
      </c>
      <c r="D37" t="s">
        <v>64</v>
      </c>
      <c r="E37">
        <v>1</v>
      </c>
      <c r="F37">
        <v>20180625</v>
      </c>
      <c r="G37" t="s">
        <v>303</v>
      </c>
      <c r="H37">
        <v>1900</v>
      </c>
      <c r="I37" t="s">
        <v>17</v>
      </c>
      <c r="J37" t="s">
        <v>372</v>
      </c>
      <c r="K37">
        <v>98</v>
      </c>
      <c r="L37" t="s">
        <v>116</v>
      </c>
      <c r="M37" t="s">
        <v>207</v>
      </c>
      <c r="N37" s="2">
        <v>0.68</v>
      </c>
      <c r="O37" s="2">
        <v>0.89</v>
      </c>
      <c r="P37" t="s">
        <v>64</v>
      </c>
      <c r="Q37" s="2">
        <v>0.67</v>
      </c>
      <c r="R37" t="s">
        <v>504</v>
      </c>
      <c r="S37" t="s">
        <v>64</v>
      </c>
      <c r="T37" s="1" t="s">
        <v>499</v>
      </c>
      <c r="U37" s="1" t="s">
        <v>498</v>
      </c>
      <c r="V37">
        <v>8</v>
      </c>
      <c r="W37">
        <v>14</v>
      </c>
      <c r="X37">
        <v>2</v>
      </c>
      <c r="Y37">
        <v>4</v>
      </c>
      <c r="Z37">
        <v>226</v>
      </c>
      <c r="AA37">
        <v>620</v>
      </c>
      <c r="AB37">
        <v>93</v>
      </c>
      <c r="AC37">
        <v>89</v>
      </c>
      <c r="AD37">
        <v>35</v>
      </c>
      <c r="AE37">
        <v>38</v>
      </c>
      <c r="AF37">
        <v>19</v>
      </c>
      <c r="AG37">
        <v>17</v>
      </c>
      <c r="AH37">
        <v>16</v>
      </c>
      <c r="AI37">
        <v>11</v>
      </c>
      <c r="AJ37">
        <v>2</v>
      </c>
      <c r="AK37">
        <v>4</v>
      </c>
      <c r="AL37">
        <v>0</v>
      </c>
      <c r="AM37">
        <v>0</v>
      </c>
      <c r="AN37">
        <v>0</v>
      </c>
      <c r="AO37" t="s">
        <v>500</v>
      </c>
      <c r="AR37" t="str">
        <f t="shared" si="0"/>
        <v>insert into tb_time_performance(nu_jogo,sg_time,dt_jogo,ds_formacao,pc_accuracy,pc_possession,qt_atempt,qt_target,qt_passes,qt_distance,qt_recovery,qt_clearance,qt_foul,qt_yellow,qt_red,qt_goals,fl_Win,nu_minutos)  values (35, 'IRN', to_date('20180625','YYYYMMDD'), '4,1,4,1', 0.68,0.33, 8, 2, 226, 93, 35, 19, 16, 2, 0, 1, 0,98);</v>
      </c>
      <c r="AU37" t="str">
        <f t="shared" si="1"/>
        <v>insert into tb_time_performance(nu_jogo,sg_time,dt_jogo,ds_formacao,pc_accuracy,pc_possession,qt_atempt,qt_target,qt_passes,qt_distance,qt_recovery,qt_clearance,qt_foul,qt_yellow,qt_red,qt_goals,fl_Win,nu_minutos)  values (35, 'POR', to_date('20180625','YYYYMMDD'), '4,4,2', 0.89,0.67, 14, 4, 620, 89, 38, 17, 11, 4, 0, 1, 0,98);</v>
      </c>
    </row>
    <row r="38" spans="1:47" x14ac:dyDescent="0.25">
      <c r="A38">
        <v>36</v>
      </c>
      <c r="B38" t="s">
        <v>65</v>
      </c>
      <c r="C38">
        <v>2</v>
      </c>
      <c r="D38" t="s">
        <v>66</v>
      </c>
      <c r="E38">
        <v>2</v>
      </c>
      <c r="F38">
        <v>20180625</v>
      </c>
      <c r="G38" t="s">
        <v>303</v>
      </c>
      <c r="H38">
        <v>1900</v>
      </c>
      <c r="I38" t="s">
        <v>17</v>
      </c>
      <c r="J38" t="s">
        <v>313</v>
      </c>
      <c r="K38">
        <v>97</v>
      </c>
      <c r="L38" t="s">
        <v>208</v>
      </c>
      <c r="M38" t="s">
        <v>116</v>
      </c>
      <c r="N38" s="2">
        <v>0.91</v>
      </c>
      <c r="O38" s="2">
        <v>0.83</v>
      </c>
      <c r="P38" t="s">
        <v>65</v>
      </c>
      <c r="Q38" s="2">
        <v>0.68</v>
      </c>
      <c r="R38" t="s">
        <v>505</v>
      </c>
      <c r="S38" t="s">
        <v>65</v>
      </c>
      <c r="T38" s="1" t="s">
        <v>496</v>
      </c>
      <c r="U38" s="1" t="s">
        <v>497</v>
      </c>
      <c r="V38">
        <v>16</v>
      </c>
      <c r="W38">
        <v>6</v>
      </c>
      <c r="X38">
        <v>4</v>
      </c>
      <c r="Y38">
        <v>3</v>
      </c>
      <c r="Z38">
        <v>762</v>
      </c>
      <c r="AA38">
        <v>248</v>
      </c>
      <c r="AB38">
        <v>103</v>
      </c>
      <c r="AC38">
        <v>111</v>
      </c>
      <c r="AD38">
        <v>27</v>
      </c>
      <c r="AE38">
        <v>40</v>
      </c>
      <c r="AF38">
        <v>4</v>
      </c>
      <c r="AG38">
        <v>30</v>
      </c>
      <c r="AH38">
        <v>5</v>
      </c>
      <c r="AI38">
        <v>17</v>
      </c>
      <c r="AJ38">
        <v>0</v>
      </c>
      <c r="AK38">
        <v>6</v>
      </c>
      <c r="AL38">
        <v>0</v>
      </c>
      <c r="AM38">
        <v>0</v>
      </c>
      <c r="AN38">
        <v>0</v>
      </c>
      <c r="AO38" t="s">
        <v>501</v>
      </c>
      <c r="AR38" t="str">
        <f t="shared" si="0"/>
        <v>insert into tb_time_performance(nu_jogo,sg_time,dt_jogo,ds_formacao,pc_accuracy,pc_possession,qt_atempt,qt_target,qt_passes,qt_distance,qt_recovery,qt_clearance,qt_foul,qt_yellow,qt_red,qt_goals,fl_Win,nu_minutos)  values (36, 'ESP', to_date('20180625','YYYYMMDD'), '4,3,3', 0.91,0.68, 16, 4, 762, 103, 27, 4, 5, 0, 0, 2, 0,97);</v>
      </c>
      <c r="AU38" t="str">
        <f t="shared" si="1"/>
        <v>insert into tb_time_performance(nu_jogo,sg_time,dt_jogo,ds_formacao,pc_accuracy,pc_possession,qt_atempt,qt_target,qt_passes,qt_distance,qt_recovery,qt_clearance,qt_foul,qt_yellow,qt_red,qt_goals,fl_Win,nu_minutos)  values (36, 'MAR', to_date('20180625','YYYYMMDD'), '4,1,4,1', 0.83,0.32, 6, 3, 248, 111, 40, 30, 17, 6, 0, 2, 0,97);</v>
      </c>
    </row>
    <row r="39" spans="1:47" x14ac:dyDescent="0.25">
      <c r="A39">
        <v>37</v>
      </c>
      <c r="B39" t="s">
        <v>71</v>
      </c>
      <c r="C39">
        <v>0</v>
      </c>
      <c r="D39" t="s">
        <v>68</v>
      </c>
      <c r="E39">
        <v>0</v>
      </c>
      <c r="F39">
        <v>20180626</v>
      </c>
      <c r="G39" t="s">
        <v>303</v>
      </c>
      <c r="H39">
        <v>1500</v>
      </c>
      <c r="I39" t="s">
        <v>18</v>
      </c>
      <c r="J39" t="s">
        <v>281</v>
      </c>
      <c r="K39">
        <v>92</v>
      </c>
      <c r="L39" t="s">
        <v>116</v>
      </c>
      <c r="M39" t="s">
        <v>115</v>
      </c>
      <c r="N39" s="2">
        <v>0.74</v>
      </c>
      <c r="O39" s="2">
        <v>0.87</v>
      </c>
      <c r="P39" t="s">
        <v>68</v>
      </c>
      <c r="Q39" s="2">
        <v>0.62</v>
      </c>
      <c r="R39" t="s">
        <v>585</v>
      </c>
      <c r="S39" t="s">
        <v>68</v>
      </c>
      <c r="T39" s="1" t="s">
        <v>581</v>
      </c>
      <c r="U39" s="1" t="s">
        <v>578</v>
      </c>
      <c r="V39">
        <v>5</v>
      </c>
      <c r="W39">
        <v>11</v>
      </c>
      <c r="X39">
        <v>1</v>
      </c>
      <c r="Y39">
        <v>4</v>
      </c>
      <c r="Z39">
        <v>303</v>
      </c>
      <c r="AA39">
        <v>667</v>
      </c>
      <c r="AB39">
        <v>106</v>
      </c>
      <c r="AC39">
        <v>104</v>
      </c>
      <c r="AD39">
        <v>44</v>
      </c>
      <c r="AE39">
        <v>33</v>
      </c>
      <c r="AF39">
        <v>30</v>
      </c>
      <c r="AG39">
        <v>17</v>
      </c>
      <c r="AH39">
        <v>10</v>
      </c>
      <c r="AI39">
        <v>10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0</v>
      </c>
      <c r="AR39" t="str">
        <f t="shared" si="0"/>
        <v>insert into tb_time_performance(nu_jogo,sg_time,dt_jogo,ds_formacao,pc_accuracy,pc_possession,qt_atempt,qt_target,qt_passes,qt_distance,qt_recovery,qt_clearance,qt_foul,qt_yellow,qt_red,qt_goals,fl_Win,nu_minutos)  values (37, 'DIN', to_date('20180626','YYYYMMDD'), '4,1,4,1', 0.74,0.38, 5, 1, 303, 106, 44, 30, 10, 1, 0, 0, 0,92);</v>
      </c>
      <c r="AU39" t="str">
        <f t="shared" si="1"/>
        <v>insert into tb_time_performance(nu_jogo,sg_time,dt_jogo,ds_formacao,pc_accuracy,pc_possession,qt_atempt,qt_target,qt_passes,qt_distance,qt_recovery,qt_clearance,qt_foul,qt_yellow,qt_red,qt_goals,fl_Win,nu_minutos)  values (37, 'FRA', to_date('20180626','YYYYMMDD'), '4,2,3,1', 0.87,0.62, 11, 4, 667, 104, 33, 17, 10, 0, 0, 0, 0,92);</v>
      </c>
    </row>
    <row r="40" spans="1:47" x14ac:dyDescent="0.25">
      <c r="A40">
        <v>38</v>
      </c>
      <c r="B40" t="s">
        <v>69</v>
      </c>
      <c r="C40">
        <v>0</v>
      </c>
      <c r="D40" t="s">
        <v>70</v>
      </c>
      <c r="E40">
        <v>2</v>
      </c>
      <c r="F40">
        <v>20180626</v>
      </c>
      <c r="G40" t="s">
        <v>70</v>
      </c>
      <c r="H40">
        <v>1500</v>
      </c>
      <c r="I40" t="s">
        <v>18</v>
      </c>
      <c r="J40" t="s">
        <v>370</v>
      </c>
      <c r="K40">
        <v>92</v>
      </c>
      <c r="L40" t="s">
        <v>206</v>
      </c>
      <c r="M40" t="s">
        <v>115</v>
      </c>
      <c r="N40" s="2">
        <v>0.86</v>
      </c>
      <c r="O40" s="2">
        <v>0.81</v>
      </c>
      <c r="P40" t="s">
        <v>69</v>
      </c>
      <c r="Q40" s="2">
        <v>0.53</v>
      </c>
      <c r="R40" t="s">
        <v>587</v>
      </c>
      <c r="S40" t="s">
        <v>70</v>
      </c>
      <c r="T40" s="1" t="s">
        <v>580</v>
      </c>
      <c r="U40" s="1" t="s">
        <v>579</v>
      </c>
      <c r="V40">
        <v>14</v>
      </c>
      <c r="W40">
        <v>4</v>
      </c>
      <c r="X40">
        <v>2</v>
      </c>
      <c r="Y40">
        <v>3</v>
      </c>
      <c r="Z40">
        <v>554</v>
      </c>
      <c r="AA40">
        <v>417</v>
      </c>
      <c r="AB40">
        <v>105</v>
      </c>
      <c r="AC40">
        <v>100</v>
      </c>
      <c r="AD40">
        <v>35</v>
      </c>
      <c r="AE40">
        <v>48</v>
      </c>
      <c r="AF40">
        <v>12</v>
      </c>
      <c r="AG40">
        <v>24</v>
      </c>
      <c r="AH40">
        <v>13</v>
      </c>
      <c r="AI40">
        <v>12</v>
      </c>
      <c r="AJ40">
        <v>4</v>
      </c>
      <c r="AK40">
        <v>2</v>
      </c>
      <c r="AL40">
        <v>0</v>
      </c>
      <c r="AM40">
        <v>0</v>
      </c>
      <c r="AN40">
        <v>1</v>
      </c>
      <c r="AO40" t="s">
        <v>586</v>
      </c>
      <c r="AR40" t="str">
        <f t="shared" si="0"/>
        <v>insert into tb_time_performance(nu_jogo,sg_time,dt_jogo,ds_formacao,pc_accuracy,pc_possession,qt_atempt,qt_target,qt_passes,qt_distance,qt_recovery,qt_clearance,qt_foul,qt_yellow,qt_red,qt_goals,fl_Win,nu_minutos)  values (38, 'AUS', to_date('20180626','YYYYMMDD'), '4,4,1,1', 0.86,0.53, 14, 2, 554, 105, 35, 12, 13, 4, 0, 0, -1,92);</v>
      </c>
      <c r="AU40" t="str">
        <f t="shared" si="1"/>
        <v>insert into tb_time_performance(nu_jogo,sg_time,dt_jogo,ds_formacao,pc_accuracy,pc_possession,qt_atempt,qt_target,qt_passes,qt_distance,qt_recovery,qt_clearance,qt_foul,qt_yellow,qt_red,qt_goals,fl_Win,nu_minutos)  values (38, 'PER', to_date('20180626','YYYYMMDD'), '4,2,3,1', 0.81,0.47, 4, 3, 417, 100, 48, 24, 12, 2, 0, 2, 1,92);</v>
      </c>
    </row>
    <row r="41" spans="1:47" x14ac:dyDescent="0.25">
      <c r="A41">
        <v>39</v>
      </c>
      <c r="B41" t="s">
        <v>75</v>
      </c>
      <c r="C41">
        <v>1</v>
      </c>
      <c r="D41" t="s">
        <v>72</v>
      </c>
      <c r="E41">
        <v>2</v>
      </c>
      <c r="F41">
        <v>20180626</v>
      </c>
      <c r="G41" t="s">
        <v>72</v>
      </c>
      <c r="H41">
        <v>1900</v>
      </c>
      <c r="I41" t="s">
        <v>19</v>
      </c>
      <c r="J41" t="s">
        <v>353</v>
      </c>
      <c r="K41">
        <f>3+95</f>
        <v>98</v>
      </c>
      <c r="L41" t="s">
        <v>357</v>
      </c>
      <c r="M41" t="s">
        <v>207</v>
      </c>
      <c r="N41" s="2">
        <v>0.74</v>
      </c>
      <c r="O41" s="2">
        <v>0.84</v>
      </c>
      <c r="P41" t="s">
        <v>72</v>
      </c>
      <c r="Q41" s="2">
        <v>0.65</v>
      </c>
      <c r="R41" t="s">
        <v>589</v>
      </c>
      <c r="S41" t="s">
        <v>72</v>
      </c>
      <c r="T41" s="1" t="s">
        <v>582</v>
      </c>
      <c r="U41" s="1" t="s">
        <v>577</v>
      </c>
      <c r="V41">
        <v>9</v>
      </c>
      <c r="W41">
        <v>8</v>
      </c>
      <c r="X41">
        <v>3</v>
      </c>
      <c r="Y41">
        <v>4</v>
      </c>
      <c r="Z41">
        <v>244</v>
      </c>
      <c r="AA41">
        <v>565</v>
      </c>
      <c r="AB41">
        <v>98</v>
      </c>
      <c r="AC41">
        <v>101</v>
      </c>
      <c r="AD41">
        <v>44</v>
      </c>
      <c r="AE41">
        <v>40</v>
      </c>
      <c r="AF41">
        <v>31</v>
      </c>
      <c r="AG41">
        <v>20</v>
      </c>
      <c r="AH41">
        <v>20</v>
      </c>
      <c r="AI41">
        <v>15</v>
      </c>
      <c r="AJ41">
        <v>2</v>
      </c>
      <c r="AK41">
        <v>3</v>
      </c>
      <c r="AL41">
        <v>0</v>
      </c>
      <c r="AM41">
        <v>0</v>
      </c>
      <c r="AN41">
        <v>0</v>
      </c>
      <c r="AO41" t="s">
        <v>588</v>
      </c>
      <c r="AR41" t="str">
        <f t="shared" si="0"/>
        <v>insert into tb_time_performance(nu_jogo,sg_time,dt_jogo,ds_formacao,pc_accuracy,pc_possession,qt_atempt,qt_target,qt_passes,qt_distance,qt_recovery,qt_clearance,qt_foul,qt_yellow,qt_red,qt_goals,fl_Win,nu_minutos)  values (39, 'NIG', to_date('20180626','YYYYMMDD'), '3,5,2', 0.74,0.35, 9, 3, 244, 98, 44, 31, 20, 2, 0, 1, -1,98);</v>
      </c>
      <c r="AU41" t="str">
        <f t="shared" si="1"/>
        <v>insert into tb_time_performance(nu_jogo,sg_time,dt_jogo,ds_formacao,pc_accuracy,pc_possession,qt_atempt,qt_target,qt_passes,qt_distance,qt_recovery,qt_clearance,qt_foul,qt_yellow,qt_red,qt_goals,fl_Win,nu_minutos)  values (39, 'ARG', to_date('20180626','YYYYMMDD'), '4,4,2', 0.84,0.65, 8, 4, 565, 101, 40, 20, 15, 3, 0, 2, 1,98);</v>
      </c>
    </row>
    <row r="42" spans="1:47" x14ac:dyDescent="0.25">
      <c r="A42">
        <v>40</v>
      </c>
      <c r="B42" t="s">
        <v>73</v>
      </c>
      <c r="C42">
        <v>1</v>
      </c>
      <c r="D42" t="s">
        <v>74</v>
      </c>
      <c r="E42">
        <v>2</v>
      </c>
      <c r="F42">
        <v>20180626</v>
      </c>
      <c r="G42" t="s">
        <v>74</v>
      </c>
      <c r="H42">
        <v>1900</v>
      </c>
      <c r="I42" t="s">
        <v>19</v>
      </c>
      <c r="J42" t="s">
        <v>285</v>
      </c>
      <c r="K42">
        <f>3+95</f>
        <v>98</v>
      </c>
      <c r="L42" t="s">
        <v>115</v>
      </c>
      <c r="M42" t="s">
        <v>575</v>
      </c>
      <c r="N42" s="2">
        <v>0.74</v>
      </c>
      <c r="O42" s="2">
        <v>0.87</v>
      </c>
      <c r="P42" t="s">
        <v>74</v>
      </c>
      <c r="Q42" s="2">
        <v>0.59</v>
      </c>
      <c r="R42" t="s">
        <v>584</v>
      </c>
      <c r="S42" t="s">
        <v>74</v>
      </c>
      <c r="T42" s="1" t="s">
        <v>583</v>
      </c>
      <c r="U42" s="1" t="s">
        <v>574</v>
      </c>
      <c r="V42">
        <v>17</v>
      </c>
      <c r="W42">
        <v>13</v>
      </c>
      <c r="X42">
        <v>6</v>
      </c>
      <c r="Y42">
        <v>2</v>
      </c>
      <c r="Z42">
        <v>325</v>
      </c>
      <c r="AA42">
        <v>525</v>
      </c>
      <c r="AB42">
        <v>103</v>
      </c>
      <c r="AC42">
        <v>101</v>
      </c>
      <c r="AD42">
        <v>39</v>
      </c>
      <c r="AE42">
        <v>43</v>
      </c>
      <c r="AF42">
        <v>15</v>
      </c>
      <c r="AG42">
        <v>30</v>
      </c>
      <c r="AH42">
        <v>10</v>
      </c>
      <c r="AI42">
        <v>12</v>
      </c>
      <c r="AJ42">
        <v>3</v>
      </c>
      <c r="AK42">
        <v>2</v>
      </c>
      <c r="AL42">
        <v>0</v>
      </c>
      <c r="AM42">
        <v>0</v>
      </c>
      <c r="AN42">
        <v>1</v>
      </c>
      <c r="AO42" t="s">
        <v>576</v>
      </c>
      <c r="AR42" t="str">
        <f t="shared" si="0"/>
        <v>insert into tb_time_performance(nu_jogo,sg_time,dt_jogo,ds_formacao,pc_accuracy,pc_possession,qt_atempt,qt_target,qt_passes,qt_distance,qt_recovery,qt_clearance,qt_foul,qt_yellow,qt_red,qt_goals,fl_Win,nu_minutos)  values (40, 'ISL', to_date('20180626','YYYYMMDD'), '4,2,3,1', 0.74,0.41, 17, 6, 325, 103, 39, 15, 10, 3, 0, 1, -1,98);</v>
      </c>
      <c r="AU42" t="str">
        <f t="shared" si="1"/>
        <v>insert into tb_time_performance(nu_jogo,sg_time,dt_jogo,ds_formacao,pc_accuracy,pc_possession,qt_atempt,qt_target,qt_passes,qt_distance,qt_recovery,qt_clearance,qt_foul,qt_yellow,qt_red,qt_goals,fl_Win,nu_minutos)  values (40, 'CRO', to_date('20180626','YYYYMMDD'), '4,3,2,1', 0.87,0.59, 13, 2, 525, 101, 43, 30, 12, 2, 0, 2, 1,98);</v>
      </c>
    </row>
    <row r="43" spans="1:47" x14ac:dyDescent="0.25">
      <c r="A43">
        <v>41</v>
      </c>
      <c r="B43" t="s">
        <v>83</v>
      </c>
      <c r="C43">
        <v>2</v>
      </c>
      <c r="D43" t="s">
        <v>80</v>
      </c>
      <c r="E43">
        <v>0</v>
      </c>
      <c r="F43">
        <v>20180627</v>
      </c>
      <c r="G43" t="s">
        <v>83</v>
      </c>
      <c r="H43">
        <v>1500</v>
      </c>
      <c r="I43" t="s">
        <v>20</v>
      </c>
      <c r="J43" t="s">
        <v>288</v>
      </c>
      <c r="K43">
        <f>4+100</f>
        <v>104</v>
      </c>
      <c r="L43" t="s">
        <v>207</v>
      </c>
      <c r="M43" t="s">
        <v>115</v>
      </c>
      <c r="N43" s="2">
        <v>0.74</v>
      </c>
      <c r="O43" s="2">
        <v>0.88</v>
      </c>
      <c r="P43" t="s">
        <v>80</v>
      </c>
      <c r="Q43" s="2">
        <v>0.7</v>
      </c>
      <c r="R43" t="s">
        <v>614</v>
      </c>
      <c r="S43" t="s">
        <v>83</v>
      </c>
      <c r="T43" s="1" t="s">
        <v>612</v>
      </c>
      <c r="U43" s="1" t="s">
        <v>611</v>
      </c>
      <c r="V43">
        <v>11</v>
      </c>
      <c r="W43">
        <v>26</v>
      </c>
      <c r="X43">
        <v>5</v>
      </c>
      <c r="Y43">
        <v>6</v>
      </c>
      <c r="Z43">
        <v>719</v>
      </c>
      <c r="AA43">
        <v>237</v>
      </c>
      <c r="AB43">
        <v>118</v>
      </c>
      <c r="AC43">
        <v>115</v>
      </c>
      <c r="AD43">
        <v>43</v>
      </c>
      <c r="AE43">
        <v>39</v>
      </c>
      <c r="AF43">
        <v>42</v>
      </c>
      <c r="AG43">
        <v>10</v>
      </c>
      <c r="AH43">
        <v>16</v>
      </c>
      <c r="AI43">
        <v>7</v>
      </c>
      <c r="AJ43">
        <v>4</v>
      </c>
      <c r="AK43">
        <v>0</v>
      </c>
      <c r="AL43">
        <v>0</v>
      </c>
      <c r="AM43">
        <v>0</v>
      </c>
      <c r="AN43">
        <v>0</v>
      </c>
      <c r="AO43" t="s">
        <v>613</v>
      </c>
      <c r="AR43" t="str">
        <f t="shared" si="0"/>
        <v>insert into tb_time_performance(nu_jogo,sg_time,dt_jogo,ds_formacao,pc_accuracy,pc_possession,qt_atempt,qt_target,qt_passes,qt_distance,qt_recovery,qt_clearance,qt_foul,qt_yellow,qt_red,qt_goals,fl_Win,nu_minutos)  values (41, 'COR', to_date('20180627','YYYYMMDD'), '4,4,2', 0.74,0.3, 11, 5, 719, 118, 43, 42, 16, 4, 0, 2, 1,104);</v>
      </c>
      <c r="AU43" t="str">
        <f t="shared" si="1"/>
        <v>insert into tb_time_performance(nu_jogo,sg_time,dt_jogo,ds_formacao,pc_accuracy,pc_possession,qt_atempt,qt_target,qt_passes,qt_distance,qt_recovery,qt_clearance,qt_foul,qt_yellow,qt_red,qt_goals,fl_Win,nu_minutos)  values (41, 'ALE', to_date('20180627','YYYYMMDD'), '4,2,3,1', 0.88,0.7, 26, 6, 237, 115, 39, 10, 7, 0, 0, 0, -1,104);</v>
      </c>
    </row>
    <row r="44" spans="1:47" x14ac:dyDescent="0.25">
      <c r="A44">
        <v>42</v>
      </c>
      <c r="B44" t="s">
        <v>81</v>
      </c>
      <c r="C44">
        <v>0</v>
      </c>
      <c r="D44" t="s">
        <v>82</v>
      </c>
      <c r="E44">
        <v>3</v>
      </c>
      <c r="F44">
        <v>20180627</v>
      </c>
      <c r="G44" t="s">
        <v>82</v>
      </c>
      <c r="H44">
        <v>1500</v>
      </c>
      <c r="I44" t="s">
        <v>20</v>
      </c>
      <c r="J44" t="s">
        <v>296</v>
      </c>
      <c r="K44">
        <f>3+95</f>
        <v>98</v>
      </c>
      <c r="L44" t="s">
        <v>115</v>
      </c>
      <c r="M44" t="s">
        <v>207</v>
      </c>
      <c r="N44" s="2">
        <v>0.83</v>
      </c>
      <c r="O44" s="2">
        <v>0.67</v>
      </c>
      <c r="P44" t="s">
        <v>81</v>
      </c>
      <c r="Q44" s="2">
        <v>0.65</v>
      </c>
      <c r="R44" t="s">
        <v>621</v>
      </c>
      <c r="S44" t="s">
        <v>82</v>
      </c>
      <c r="T44" s="1" t="s">
        <v>615</v>
      </c>
      <c r="U44" s="1" t="s">
        <v>610</v>
      </c>
      <c r="V44">
        <v>19</v>
      </c>
      <c r="W44">
        <v>13</v>
      </c>
      <c r="X44">
        <v>3</v>
      </c>
      <c r="Y44">
        <v>5</v>
      </c>
      <c r="Z44">
        <v>487</v>
      </c>
      <c r="AA44">
        <v>212</v>
      </c>
      <c r="AB44">
        <v>95</v>
      </c>
      <c r="AC44">
        <v>102</v>
      </c>
      <c r="AD44">
        <v>33</v>
      </c>
      <c r="AE44">
        <v>45</v>
      </c>
      <c r="AF44">
        <v>12</v>
      </c>
      <c r="AG44">
        <v>31</v>
      </c>
      <c r="AH44">
        <v>14</v>
      </c>
      <c r="AI44">
        <v>11</v>
      </c>
      <c r="AJ44">
        <v>3</v>
      </c>
      <c r="AK44">
        <v>2</v>
      </c>
      <c r="AL44">
        <v>0</v>
      </c>
      <c r="AM44">
        <v>0</v>
      </c>
      <c r="AN44">
        <v>0</v>
      </c>
      <c r="AO44" t="s">
        <v>616</v>
      </c>
      <c r="AR44" t="str">
        <f t="shared" si="0"/>
        <v>insert into tb_time_performance(nu_jogo,sg_time,dt_jogo,ds_formacao,pc_accuracy,pc_possession,qt_atempt,qt_target,qt_passes,qt_distance,qt_recovery,qt_clearance,qt_foul,qt_yellow,qt_red,qt_goals,fl_Win,nu_minutos)  values (42, 'MEX', to_date('20180627','YYYYMMDD'), '4,2,3,1', 0.83,0.65, 19, 3, 487, 95, 33, 12, 14, 3, 0, 0, -1,98);</v>
      </c>
      <c r="AU44" t="str">
        <f t="shared" si="1"/>
        <v>insert into tb_time_performance(nu_jogo,sg_time,dt_jogo,ds_formacao,pc_accuracy,pc_possession,qt_atempt,qt_target,qt_passes,qt_distance,qt_recovery,qt_clearance,qt_foul,qt_yellow,qt_red,qt_goals,fl_Win,nu_minutos)  values (42, 'SUE', to_date('20180627','YYYYMMDD'), '4,4,2', 0.67,0.35, 13, 5, 212, 102, 45, 31, 11, 2, 0, 3, 1,98);</v>
      </c>
    </row>
    <row r="45" spans="1:47" x14ac:dyDescent="0.25">
      <c r="A45">
        <v>43</v>
      </c>
      <c r="B45" t="s">
        <v>79</v>
      </c>
      <c r="C45">
        <v>0</v>
      </c>
      <c r="D45" t="s">
        <v>76</v>
      </c>
      <c r="E45">
        <v>2</v>
      </c>
      <c r="F45">
        <v>20180627</v>
      </c>
      <c r="G45" t="s">
        <v>76</v>
      </c>
      <c r="H45">
        <v>1900</v>
      </c>
      <c r="I45" t="s">
        <v>21</v>
      </c>
      <c r="J45" t="s">
        <v>371</v>
      </c>
      <c r="K45">
        <f>2+94</f>
        <v>96</v>
      </c>
      <c r="L45" t="s">
        <v>115</v>
      </c>
      <c r="M45" t="s">
        <v>208</v>
      </c>
      <c r="N45" s="2">
        <v>0.78</v>
      </c>
      <c r="O45" s="2">
        <v>0.88</v>
      </c>
      <c r="P45" t="s">
        <v>76</v>
      </c>
      <c r="Q45" s="2">
        <v>0.56000000000000005</v>
      </c>
      <c r="R45" t="s">
        <v>623</v>
      </c>
      <c r="S45" t="s">
        <v>76</v>
      </c>
      <c r="T45" s="1" t="s">
        <v>622</v>
      </c>
      <c r="U45" s="1" t="s">
        <v>638</v>
      </c>
      <c r="V45">
        <v>10</v>
      </c>
      <c r="W45">
        <v>13</v>
      </c>
      <c r="X45">
        <v>1</v>
      </c>
      <c r="Y45">
        <v>6</v>
      </c>
      <c r="Z45">
        <v>631</v>
      </c>
      <c r="AA45">
        <v>467</v>
      </c>
      <c r="AB45">
        <v>114</v>
      </c>
      <c r="AC45">
        <v>105</v>
      </c>
      <c r="AD45">
        <v>55</v>
      </c>
      <c r="AE45">
        <v>51</v>
      </c>
      <c r="AF45">
        <v>15</v>
      </c>
      <c r="AG45">
        <v>37</v>
      </c>
      <c r="AH45">
        <v>13</v>
      </c>
      <c r="AI45">
        <v>7</v>
      </c>
      <c r="AJ45">
        <v>3</v>
      </c>
      <c r="AK45">
        <v>0</v>
      </c>
      <c r="AL45">
        <v>0</v>
      </c>
      <c r="AM45">
        <v>0</v>
      </c>
      <c r="AN45">
        <v>0</v>
      </c>
      <c r="AO45" t="s">
        <v>617</v>
      </c>
      <c r="AR45" t="str">
        <f t="shared" si="0"/>
        <v>insert into tb_time_performance(nu_jogo,sg_time,dt_jogo,ds_formacao,pc_accuracy,pc_possession,qt_atempt,qt_target,qt_passes,qt_distance,qt_recovery,qt_clearance,qt_foul,qt_yellow,qt_red,qt_goals,fl_Win,nu_minutos)  values (43, 'SRB', to_date('20180627','YYYYMMDD'), '4,2,3,1', 0.78,0.44, 10, 1, 631, 114, 55, 15, 13, 3, 0, 0, -1,96);</v>
      </c>
      <c r="AU45" t="str">
        <f t="shared" si="1"/>
        <v>insert into tb_time_performance(nu_jogo,sg_time,dt_jogo,ds_formacao,pc_accuracy,pc_possession,qt_atempt,qt_target,qt_passes,qt_distance,qt_recovery,qt_clearance,qt_foul,qt_yellow,qt_red,qt_goals,fl_Win,nu_minutos)  values (43, 'BRA', to_date('20180627','YYYYMMDD'), '4,3,3', 0.88,0.56, 13, 6, 467, 105, 51, 37, 7, 0, 0, 2, 1,96);</v>
      </c>
    </row>
    <row r="46" spans="1:47" x14ac:dyDescent="0.25">
      <c r="A46">
        <v>44</v>
      </c>
      <c r="B46" t="s">
        <v>77</v>
      </c>
      <c r="C46">
        <v>2</v>
      </c>
      <c r="D46" t="s">
        <v>78</v>
      </c>
      <c r="E46">
        <v>2</v>
      </c>
      <c r="F46">
        <v>20180627</v>
      </c>
      <c r="G46" t="s">
        <v>303</v>
      </c>
      <c r="H46">
        <v>1900</v>
      </c>
      <c r="I46" t="s">
        <v>21</v>
      </c>
      <c r="J46" t="s">
        <v>309</v>
      </c>
      <c r="K46">
        <f>2+96</f>
        <v>98</v>
      </c>
      <c r="L46" t="s">
        <v>115</v>
      </c>
      <c r="M46" t="s">
        <v>252</v>
      </c>
      <c r="N46" s="2">
        <v>0.87</v>
      </c>
      <c r="O46" s="2">
        <v>0.82</v>
      </c>
      <c r="P46" t="s">
        <v>77</v>
      </c>
      <c r="Q46" s="2">
        <v>0.6</v>
      </c>
      <c r="R46" t="s">
        <v>625</v>
      </c>
      <c r="S46" t="s">
        <v>77</v>
      </c>
      <c r="T46" s="1" t="s">
        <v>624</v>
      </c>
      <c r="U46" s="1" t="s">
        <v>638</v>
      </c>
      <c r="V46">
        <v>12</v>
      </c>
      <c r="W46">
        <v>14</v>
      </c>
      <c r="X46">
        <v>3</v>
      </c>
      <c r="Y46">
        <v>6</v>
      </c>
      <c r="Z46">
        <v>594</v>
      </c>
      <c r="AA46">
        <v>348</v>
      </c>
      <c r="AB46">
        <v>103</v>
      </c>
      <c r="AC46">
        <v>103</v>
      </c>
      <c r="AD46">
        <v>30</v>
      </c>
      <c r="AE46">
        <v>42</v>
      </c>
      <c r="AF46">
        <v>13</v>
      </c>
      <c r="AG46">
        <v>27</v>
      </c>
      <c r="AH46">
        <v>9</v>
      </c>
      <c r="AI46">
        <v>14</v>
      </c>
      <c r="AJ46">
        <v>3</v>
      </c>
      <c r="AK46">
        <v>3</v>
      </c>
      <c r="AL46">
        <v>0</v>
      </c>
      <c r="AM46">
        <v>0</v>
      </c>
      <c r="AN46">
        <v>0</v>
      </c>
      <c r="AO46" t="s">
        <v>618</v>
      </c>
      <c r="AR46" t="str">
        <f t="shared" si="0"/>
        <v>insert into tb_time_performance(nu_jogo,sg_time,dt_jogo,ds_formacao,pc_accuracy,pc_possession,qt_atempt,qt_target,qt_passes,qt_distance,qt_recovery,qt_clearance,qt_foul,qt_yellow,qt_red,qt_goals,fl_Win,nu_minutos)  values (44, 'SUI', to_date('20180627','YYYYMMDD'), '4,2,3,1', 0.87,0.6, 12, 3, 594, 103, 30, 13, 9, 3, 0, 2, 0,98);</v>
      </c>
      <c r="AU46" t="str">
        <f t="shared" si="1"/>
        <v>insert into tb_time_performance(nu_jogo,sg_time,dt_jogo,ds_formacao,pc_accuracy,pc_possession,qt_atempt,qt_target,qt_passes,qt_distance,qt_recovery,qt_clearance,qt_foul,qt_yellow,qt_red,qt_goals,fl_Win,nu_minutos)  values (44, 'CRC', to_date('20180627','YYYYMMDD'), '3,4,2,1', 0.82,0.4, 14, 6, 348, 103, 42, 27, 14, 3, 0, 2, 0,98);</v>
      </c>
    </row>
    <row r="47" spans="1:47" x14ac:dyDescent="0.25">
      <c r="A47">
        <v>45</v>
      </c>
      <c r="B47" t="s">
        <v>91</v>
      </c>
      <c r="C47">
        <v>0</v>
      </c>
      <c r="D47" t="s">
        <v>88</v>
      </c>
      <c r="E47">
        <v>1</v>
      </c>
      <c r="F47">
        <v>20180628</v>
      </c>
      <c r="G47" t="s">
        <v>88</v>
      </c>
      <c r="H47">
        <v>1500</v>
      </c>
      <c r="I47" t="s">
        <v>22</v>
      </c>
      <c r="J47" t="s">
        <v>364</v>
      </c>
      <c r="K47">
        <v>94</v>
      </c>
      <c r="L47" t="s">
        <v>207</v>
      </c>
      <c r="M47" t="s">
        <v>115</v>
      </c>
      <c r="N47" s="2">
        <v>0.86</v>
      </c>
      <c r="O47" s="2">
        <v>0.83</v>
      </c>
      <c r="P47" t="s">
        <v>91</v>
      </c>
      <c r="Q47" s="2">
        <v>0.54</v>
      </c>
      <c r="R47" t="s">
        <v>627</v>
      </c>
      <c r="S47" t="s">
        <v>88</v>
      </c>
      <c r="T47" s="1" t="s">
        <v>626</v>
      </c>
      <c r="U47" s="1" t="s">
        <v>635</v>
      </c>
      <c r="V47">
        <v>10</v>
      </c>
      <c r="W47">
        <v>11</v>
      </c>
      <c r="X47">
        <v>3</v>
      </c>
      <c r="Y47">
        <v>2</v>
      </c>
      <c r="Z47">
        <v>557</v>
      </c>
      <c r="AA47">
        <v>462</v>
      </c>
      <c r="AB47">
        <v>83</v>
      </c>
      <c r="AC47">
        <v>80</v>
      </c>
      <c r="AD47">
        <v>41</v>
      </c>
      <c r="AE47">
        <v>36</v>
      </c>
      <c r="AF47">
        <v>26</v>
      </c>
      <c r="AG47">
        <v>18</v>
      </c>
      <c r="AH47">
        <v>11</v>
      </c>
      <c r="AI47">
        <v>8</v>
      </c>
      <c r="AJ47">
        <v>1</v>
      </c>
      <c r="AK47">
        <v>0</v>
      </c>
      <c r="AL47">
        <v>0</v>
      </c>
      <c r="AM47">
        <v>0</v>
      </c>
      <c r="AN47">
        <v>0</v>
      </c>
      <c r="AO47">
        <v>0</v>
      </c>
      <c r="AR47" t="str">
        <f t="shared" si="0"/>
        <v>insert into tb_time_performance(nu_jogo,sg_time,dt_jogo,ds_formacao,pc_accuracy,pc_possession,qt_atempt,qt_target,qt_passes,qt_distance,qt_recovery,qt_clearance,qt_foul,qt_yellow,qt_red,qt_goals,fl_Win,nu_minutos)  values (45, 'JAP', to_date('20180628','YYYYMMDD'), '4,4,2', 0.86,0.54, 10, 3, 557, 83, 41, 26, 11, 1, 0, 0, -1,94);</v>
      </c>
      <c r="AU47" t="str">
        <f t="shared" si="1"/>
        <v>insert into tb_time_performance(nu_jogo,sg_time,dt_jogo,ds_formacao,pc_accuracy,pc_possession,qt_atempt,qt_target,qt_passes,qt_distance,qt_recovery,qt_clearance,qt_foul,qt_yellow,qt_red,qt_goals,fl_Win,nu_minutos)  values (45, 'POL', to_date('20180628','YYYYMMDD'), '4,2,3,1', 0.83,0.46, 11, 2, 462, 80, 36, 18, 8, 0, 0, 1, 1,94);</v>
      </c>
    </row>
    <row r="48" spans="1:47" x14ac:dyDescent="0.25">
      <c r="A48">
        <v>46</v>
      </c>
      <c r="B48" t="str">
        <f>"SEN"</f>
        <v>SEN</v>
      </c>
      <c r="C48">
        <v>0</v>
      </c>
      <c r="D48" t="s">
        <v>90</v>
      </c>
      <c r="E48">
        <v>1</v>
      </c>
      <c r="F48">
        <v>20180628</v>
      </c>
      <c r="G48" t="s">
        <v>90</v>
      </c>
      <c r="H48">
        <v>1500</v>
      </c>
      <c r="I48" t="s">
        <v>22</v>
      </c>
      <c r="J48" t="s">
        <v>306</v>
      </c>
      <c r="K48">
        <f>4+95</f>
        <v>99</v>
      </c>
      <c r="L48" t="s">
        <v>207</v>
      </c>
      <c r="M48" t="s">
        <v>115</v>
      </c>
      <c r="N48" s="2">
        <v>0.78</v>
      </c>
      <c r="O48" s="2">
        <v>0.83</v>
      </c>
      <c r="P48" t="s">
        <v>90</v>
      </c>
      <c r="Q48" s="2">
        <v>0.56999999999999995</v>
      </c>
      <c r="R48" t="s">
        <v>629</v>
      </c>
      <c r="S48" t="s">
        <v>90</v>
      </c>
      <c r="T48" s="1" t="s">
        <v>628</v>
      </c>
      <c r="U48" s="1" t="s">
        <v>634</v>
      </c>
      <c r="V48">
        <v>8</v>
      </c>
      <c r="W48">
        <v>4</v>
      </c>
      <c r="X48">
        <v>3</v>
      </c>
      <c r="Y48">
        <v>2</v>
      </c>
      <c r="Z48">
        <v>281</v>
      </c>
      <c r="AA48">
        <v>431</v>
      </c>
      <c r="AB48">
        <v>97</v>
      </c>
      <c r="AC48">
        <v>100</v>
      </c>
      <c r="AD48">
        <v>55</v>
      </c>
      <c r="AE48">
        <v>34</v>
      </c>
      <c r="AF48">
        <v>26</v>
      </c>
      <c r="AG48">
        <v>16</v>
      </c>
      <c r="AH48">
        <v>15</v>
      </c>
      <c r="AI48">
        <v>15</v>
      </c>
      <c r="AJ48">
        <v>1</v>
      </c>
      <c r="AK48">
        <v>1</v>
      </c>
      <c r="AL48">
        <v>0</v>
      </c>
      <c r="AM48">
        <v>0</v>
      </c>
      <c r="AN48">
        <v>0</v>
      </c>
      <c r="AO48">
        <v>0</v>
      </c>
      <c r="AR48" t="str">
        <f t="shared" si="0"/>
        <v>insert into tb_time_performance(nu_jogo,sg_time,dt_jogo,ds_formacao,pc_accuracy,pc_possession,qt_atempt,qt_target,qt_passes,qt_distance,qt_recovery,qt_clearance,qt_foul,qt_yellow,qt_red,qt_goals,fl_Win,nu_minutos)  values (46, 'SEN', to_date('20180628','YYYYMMDD'), '4,4,2', 0.78,0.43, 8, 3, 281, 97, 55, 26, 15, 1, 0, 0, -1,99);</v>
      </c>
      <c r="AU48" t="str">
        <f t="shared" si="1"/>
        <v>insert into tb_time_performance(nu_jogo,sg_time,dt_jogo,ds_formacao,pc_accuracy,pc_possession,qt_atempt,qt_target,qt_passes,qt_distance,qt_recovery,qt_clearance,qt_foul,qt_yellow,qt_red,qt_goals,fl_Win,nu_minutos)  values (46, 'COL', to_date('20180628','YYYYMMDD'), '4,2,3,1', 0.83,0.57, 4, 2, 431, 100, 34, 16, 15, 1, 0, 1, 1,99);</v>
      </c>
    </row>
    <row r="49" spans="1:47" x14ac:dyDescent="0.25">
      <c r="A49">
        <v>47</v>
      </c>
      <c r="B49" t="s">
        <v>85</v>
      </c>
      <c r="C49">
        <v>1</v>
      </c>
      <c r="D49" t="s">
        <v>86</v>
      </c>
      <c r="E49">
        <v>2</v>
      </c>
      <c r="F49">
        <v>20180628</v>
      </c>
      <c r="G49" t="s">
        <v>86</v>
      </c>
      <c r="H49">
        <v>1900</v>
      </c>
      <c r="I49" t="s">
        <v>23</v>
      </c>
      <c r="J49" t="s">
        <v>372</v>
      </c>
      <c r="K49">
        <f>3+98</f>
        <v>101</v>
      </c>
      <c r="L49" t="s">
        <v>116</v>
      </c>
      <c r="M49" t="s">
        <v>116</v>
      </c>
      <c r="N49" s="2">
        <v>0.77</v>
      </c>
      <c r="O49" s="2">
        <v>0.87</v>
      </c>
      <c r="P49" t="s">
        <v>86</v>
      </c>
      <c r="Q49" s="2">
        <v>0.64</v>
      </c>
      <c r="R49" t="s">
        <v>631</v>
      </c>
      <c r="S49" t="s">
        <v>86</v>
      </c>
      <c r="T49" s="1" t="s">
        <v>630</v>
      </c>
      <c r="U49" s="1" t="s">
        <v>637</v>
      </c>
      <c r="V49">
        <v>9</v>
      </c>
      <c r="W49">
        <v>15</v>
      </c>
      <c r="X49">
        <v>4</v>
      </c>
      <c r="Y49">
        <v>7</v>
      </c>
      <c r="Z49">
        <v>284</v>
      </c>
      <c r="AA49">
        <v>626</v>
      </c>
      <c r="AB49">
        <v>102</v>
      </c>
      <c r="AC49">
        <v>107</v>
      </c>
      <c r="AD49">
        <v>36</v>
      </c>
      <c r="AE49">
        <v>43</v>
      </c>
      <c r="AF49">
        <v>33</v>
      </c>
      <c r="AG49">
        <v>15</v>
      </c>
      <c r="AH49">
        <v>18</v>
      </c>
      <c r="AI49">
        <v>19</v>
      </c>
      <c r="AJ49">
        <v>3</v>
      </c>
      <c r="AK49">
        <v>3</v>
      </c>
      <c r="AL49">
        <v>0</v>
      </c>
      <c r="AM49">
        <v>0</v>
      </c>
      <c r="AN49">
        <v>1</v>
      </c>
      <c r="AO49" t="s">
        <v>619</v>
      </c>
      <c r="AR49" t="str">
        <f t="shared" si="0"/>
        <v>insert into tb_time_performance(nu_jogo,sg_time,dt_jogo,ds_formacao,pc_accuracy,pc_possession,qt_atempt,qt_target,qt_passes,qt_distance,qt_recovery,qt_clearance,qt_foul,qt_yellow,qt_red,qt_goals,fl_Win,nu_minutos)  values (47, 'PAN', to_date('20180628','YYYYMMDD'), '4,1,4,1', 0.77,0.36, 9, 4, 284, 102, 36, 33, 18, 3, 0, 1, -1,101);</v>
      </c>
      <c r="AU49" t="str">
        <f t="shared" si="1"/>
        <v>insert into tb_time_performance(nu_jogo,sg_time,dt_jogo,ds_formacao,pc_accuracy,pc_possession,qt_atempt,qt_target,qt_passes,qt_distance,qt_recovery,qt_clearance,qt_foul,qt_yellow,qt_red,qt_goals,fl_Win,nu_minutos)  values (47, 'TUN', to_date('20180628','YYYYMMDD'), '4,1,4,1', 0.87,0.64, 15, 7, 626, 107, 43, 15, 19, 3, 0, 2, 1,101);</v>
      </c>
    </row>
    <row r="50" spans="1:47" ht="15.75" thickBot="1" x14ac:dyDescent="0.3">
      <c r="A50">
        <v>48</v>
      </c>
      <c r="B50" t="s">
        <v>87</v>
      </c>
      <c r="C50">
        <v>0</v>
      </c>
      <c r="D50" t="s">
        <v>84</v>
      </c>
      <c r="E50">
        <v>1</v>
      </c>
      <c r="F50">
        <v>20180628</v>
      </c>
      <c r="G50" t="s">
        <v>84</v>
      </c>
      <c r="H50">
        <v>1900</v>
      </c>
      <c r="I50" t="s">
        <v>23</v>
      </c>
      <c r="J50" t="s">
        <v>313</v>
      </c>
      <c r="K50">
        <f>1+94</f>
        <v>95</v>
      </c>
      <c r="L50" t="s">
        <v>263</v>
      </c>
      <c r="M50" t="s">
        <v>252</v>
      </c>
      <c r="N50" s="2">
        <v>0.88</v>
      </c>
      <c r="O50" s="2">
        <v>0.88</v>
      </c>
      <c r="P50" t="s">
        <v>84</v>
      </c>
      <c r="Q50" s="2">
        <v>0.52</v>
      </c>
      <c r="R50" t="s">
        <v>633</v>
      </c>
      <c r="S50" t="s">
        <v>84</v>
      </c>
      <c r="T50" s="1" t="s">
        <v>632</v>
      </c>
      <c r="U50" s="1" t="s">
        <v>636</v>
      </c>
      <c r="V50">
        <v>13</v>
      </c>
      <c r="W50">
        <v>15</v>
      </c>
      <c r="X50">
        <v>1</v>
      </c>
      <c r="Y50">
        <v>4</v>
      </c>
      <c r="Z50">
        <v>484</v>
      </c>
      <c r="AA50">
        <v>556</v>
      </c>
      <c r="AB50">
        <v>109</v>
      </c>
      <c r="AC50">
        <v>106</v>
      </c>
      <c r="AD50">
        <v>32</v>
      </c>
      <c r="AE50">
        <v>32</v>
      </c>
      <c r="AF50">
        <v>10</v>
      </c>
      <c r="AG50">
        <v>24</v>
      </c>
      <c r="AH50">
        <v>11</v>
      </c>
      <c r="AI50">
        <v>14</v>
      </c>
      <c r="AJ50">
        <v>0</v>
      </c>
      <c r="AK50">
        <v>2</v>
      </c>
      <c r="AL50">
        <v>0</v>
      </c>
      <c r="AM50">
        <v>0</v>
      </c>
      <c r="AN50">
        <v>0</v>
      </c>
      <c r="AO50" t="s">
        <v>620</v>
      </c>
      <c r="AR50" t="str">
        <f t="shared" si="0"/>
        <v>insert into tb_time_performance(nu_jogo,sg_time,dt_jogo,ds_formacao,pc_accuracy,pc_possession,qt_atempt,qt_target,qt_passes,qt_distance,qt_recovery,qt_clearance,qt_foul,qt_yellow,qt_red,qt_goals,fl_Win,nu_minutos)  values (48, 'ING', to_date('20180628','YYYYMMDD'), '3,1,4,2', 0.88,0.48, 13, 1, 484, 109, 32, 10, 11, 0, 0, 0, -1,95);</v>
      </c>
      <c r="AU50" t="str">
        <f t="shared" si="1"/>
        <v>insert into tb_time_performance(nu_jogo,sg_time,dt_jogo,ds_formacao,pc_accuracy,pc_possession,qt_atempt,qt_target,qt_passes,qt_distance,qt_recovery,qt_clearance,qt_foul,qt_yellow,qt_red,qt_goals,fl_Win,nu_minutos)  values (48, 'BEL', to_date('20180628','YYYYMMDD'), '3,4,2,1', 0.88,0.52, 15, 4, 556, 106, 32, 24, 14, 2, 0, 1, 1,95);</v>
      </c>
    </row>
    <row r="51" spans="1:47" x14ac:dyDescent="0.25">
      <c r="A51" s="36">
        <v>49</v>
      </c>
      <c r="B51" s="37" t="str">
        <f>TabelaGeral!W11</f>
        <v>FRA</v>
      </c>
      <c r="C51" s="37">
        <v>4</v>
      </c>
      <c r="D51" s="37" t="str">
        <f>TabelaGeral!W12</f>
        <v>ARG</v>
      </c>
      <c r="E51" s="37">
        <v>3</v>
      </c>
      <c r="F51" s="37">
        <f>TabelaGeral!W13</f>
        <v>20180630</v>
      </c>
      <c r="G51" s="37" t="s">
        <v>68</v>
      </c>
      <c r="H51" s="37">
        <v>1500</v>
      </c>
      <c r="I51" s="38" t="s">
        <v>463</v>
      </c>
      <c r="J51" t="s">
        <v>288</v>
      </c>
      <c r="K51">
        <f>2+96</f>
        <v>98</v>
      </c>
      <c r="L51" t="s">
        <v>115</v>
      </c>
      <c r="M51" t="s">
        <v>208</v>
      </c>
      <c r="N51" s="2">
        <v>0.84</v>
      </c>
      <c r="O51" s="2">
        <v>0.86</v>
      </c>
      <c r="P51" t="s">
        <v>72</v>
      </c>
      <c r="Q51" s="2">
        <v>0.59</v>
      </c>
      <c r="R51" t="s">
        <v>297</v>
      </c>
      <c r="S51" t="s">
        <v>68</v>
      </c>
      <c r="T51" s="1" t="s">
        <v>643</v>
      </c>
      <c r="U51" s="1" t="s">
        <v>642</v>
      </c>
      <c r="V51">
        <v>9</v>
      </c>
      <c r="W51">
        <v>9</v>
      </c>
      <c r="X51">
        <v>4</v>
      </c>
      <c r="Y51">
        <v>4</v>
      </c>
      <c r="Z51">
        <v>353</v>
      </c>
      <c r="AA51">
        <v>549</v>
      </c>
      <c r="AB51">
        <v>97</v>
      </c>
      <c r="AC51">
        <v>96</v>
      </c>
      <c r="AD51">
        <v>36</v>
      </c>
      <c r="AE51">
        <v>28</v>
      </c>
      <c r="AF51">
        <v>20</v>
      </c>
      <c r="AG51">
        <v>10</v>
      </c>
      <c r="AH51">
        <v>21</v>
      </c>
      <c r="AI51">
        <v>15</v>
      </c>
      <c r="AJ51">
        <v>3</v>
      </c>
      <c r="AK51">
        <v>5</v>
      </c>
      <c r="AL51">
        <v>0</v>
      </c>
      <c r="AM51">
        <v>0</v>
      </c>
      <c r="AN51">
        <v>1</v>
      </c>
      <c r="AO51" t="s">
        <v>644</v>
      </c>
      <c r="AR51" t="str">
        <f t="shared" si="0"/>
        <v>insert into tb_time_performance(nu_jogo,sg_time,dt_jogo,ds_formacao,pc_accuracy,pc_possession,qt_atempt,qt_target,qt_passes,qt_distance,qt_recovery,qt_clearance,qt_foul,qt_yellow,qt_red,qt_goals,fl_Win,nu_minutos)  values (49, 'FRA', to_date('20180630','YYYYMMDD'), '4,2,3,1', 0.84,0.41, 9, 4, 353, 97, 36, 20, 21, 3, 0, 4, 1,98);</v>
      </c>
      <c r="AU51" t="str">
        <f t="shared" si="1"/>
        <v>insert into tb_time_performance(nu_jogo,sg_time,dt_jogo,ds_formacao,pc_accuracy,pc_possession,qt_atempt,qt_target,qt_passes,qt_distance,qt_recovery,qt_clearance,qt_foul,qt_yellow,qt_red,qt_goals,fl_Win,nu_minutos)  values (49, 'ARG', to_date('20180630','YYYYMMDD'), '4,3,3', 0.86,0.59, 9, 4, 549, 96, 28, 10, 15, 5, 0, 3, -1,98);</v>
      </c>
    </row>
    <row r="52" spans="1:47" x14ac:dyDescent="0.25">
      <c r="A52" s="39">
        <v>50</v>
      </c>
      <c r="B52" t="str">
        <f>TabelaGeral!W3</f>
        <v>URU</v>
      </c>
      <c r="C52">
        <v>2</v>
      </c>
      <c r="D52" t="str">
        <f>TabelaGeral!W4</f>
        <v>POR</v>
      </c>
      <c r="E52">
        <v>1</v>
      </c>
      <c r="F52">
        <f>TabelaGeral!W5</f>
        <v>20180630</v>
      </c>
      <c r="G52" t="s">
        <v>63</v>
      </c>
      <c r="H52">
        <v>1900</v>
      </c>
      <c r="I52" s="40" t="s">
        <v>464</v>
      </c>
      <c r="J52" t="s">
        <v>370</v>
      </c>
      <c r="K52">
        <f>3+96</f>
        <v>99</v>
      </c>
      <c r="L52" t="s">
        <v>491</v>
      </c>
      <c r="M52" t="s">
        <v>207</v>
      </c>
      <c r="U52" s="1" t="s">
        <v>674</v>
      </c>
    </row>
    <row r="53" spans="1:47" x14ac:dyDescent="0.25">
      <c r="A53" s="39">
        <v>51</v>
      </c>
      <c r="B53" t="str">
        <f>TabelaGeral!W7</f>
        <v>ESP</v>
      </c>
      <c r="C53">
        <v>1</v>
      </c>
      <c r="D53" t="str">
        <f>TabelaGeral!W8</f>
        <v>RUS</v>
      </c>
      <c r="E53">
        <v>1</v>
      </c>
      <c r="F53">
        <f>TabelaGeral!W9</f>
        <v>20180701</v>
      </c>
      <c r="G53" t="s">
        <v>60</v>
      </c>
      <c r="H53">
        <v>1500</v>
      </c>
      <c r="I53" s="40" t="s">
        <v>465</v>
      </c>
      <c r="J53" t="s">
        <v>281</v>
      </c>
      <c r="K53">
        <f>122+2+5+3</f>
        <v>132</v>
      </c>
      <c r="L53" t="s">
        <v>115</v>
      </c>
      <c r="M53" t="s">
        <v>252</v>
      </c>
      <c r="U53" s="1" t="s">
        <v>675</v>
      </c>
    </row>
    <row r="54" spans="1:47" x14ac:dyDescent="0.25">
      <c r="A54" s="39">
        <v>52</v>
      </c>
      <c r="B54" t="str">
        <f>TabelaGeral!W15</f>
        <v>CRO</v>
      </c>
      <c r="C54">
        <v>1</v>
      </c>
      <c r="D54" t="str">
        <f>TabelaGeral!W16</f>
        <v>DIN</v>
      </c>
      <c r="E54">
        <v>1</v>
      </c>
      <c r="F54">
        <f>TabelaGeral!W17</f>
        <v>20180701</v>
      </c>
      <c r="G54" t="s">
        <v>74</v>
      </c>
      <c r="H54">
        <v>1900</v>
      </c>
      <c r="I54" s="40" t="s">
        <v>466</v>
      </c>
      <c r="J54" t="s">
        <v>309</v>
      </c>
      <c r="K54">
        <f>122+2+4+3</f>
        <v>131</v>
      </c>
      <c r="L54" t="s">
        <v>116</v>
      </c>
      <c r="M54" t="s">
        <v>206</v>
      </c>
      <c r="U54" s="1" t="s">
        <v>678</v>
      </c>
    </row>
    <row r="55" spans="1:47" x14ac:dyDescent="0.25">
      <c r="A55" s="39">
        <v>54</v>
      </c>
      <c r="B55" t="str">
        <f>TabelaGeral!W27</f>
        <v>BEL</v>
      </c>
      <c r="C55">
        <v>3</v>
      </c>
      <c r="D55" t="str">
        <f>TabelaGeral!W28</f>
        <v>JAP</v>
      </c>
      <c r="E55">
        <v>2</v>
      </c>
      <c r="F55">
        <f>TabelaGeral!W29</f>
        <v>20180702</v>
      </c>
      <c r="G55" t="s">
        <v>84</v>
      </c>
      <c r="H55">
        <v>1900</v>
      </c>
      <c r="I55" s="40" t="s">
        <v>467</v>
      </c>
      <c r="J55" t="s">
        <v>285</v>
      </c>
      <c r="K55">
        <f>2+96</f>
        <v>98</v>
      </c>
      <c r="L55" t="s">
        <v>252</v>
      </c>
      <c r="M55" t="s">
        <v>115</v>
      </c>
      <c r="N55" s="2">
        <v>0.87</v>
      </c>
      <c r="O55" s="2">
        <v>0.83</v>
      </c>
      <c r="P55" t="s">
        <v>84</v>
      </c>
      <c r="Q55" s="2">
        <v>0.56000000000000005</v>
      </c>
      <c r="R55" t="s">
        <v>377</v>
      </c>
      <c r="S55" t="s">
        <v>84</v>
      </c>
      <c r="T55" s="1" t="s">
        <v>681</v>
      </c>
      <c r="U55" s="1" t="s">
        <v>677</v>
      </c>
      <c r="V55">
        <v>24</v>
      </c>
      <c r="W55">
        <v>11</v>
      </c>
      <c r="X55">
        <v>8</v>
      </c>
      <c r="Y55">
        <v>4</v>
      </c>
      <c r="Z55">
        <v>621</v>
      </c>
      <c r="AA55">
        <v>453</v>
      </c>
      <c r="AB55">
        <v>108</v>
      </c>
      <c r="AC55">
        <v>109</v>
      </c>
      <c r="AD55">
        <v>28</v>
      </c>
      <c r="AE55">
        <v>40</v>
      </c>
      <c r="AF55">
        <v>12</v>
      </c>
      <c r="AG55">
        <v>39</v>
      </c>
      <c r="AH55">
        <v>13</v>
      </c>
      <c r="AI55">
        <v>9</v>
      </c>
      <c r="AJ55">
        <v>0</v>
      </c>
      <c r="AK55">
        <v>1</v>
      </c>
      <c r="AL55">
        <v>0</v>
      </c>
      <c r="AM55">
        <v>0</v>
      </c>
      <c r="AN55">
        <v>1</v>
      </c>
      <c r="AO55" t="s">
        <v>620</v>
      </c>
    </row>
    <row r="56" spans="1:47" x14ac:dyDescent="0.25">
      <c r="A56" s="39">
        <v>53</v>
      </c>
      <c r="B56" t="str">
        <f>TabelaGeral!W19</f>
        <v>BRA</v>
      </c>
      <c r="C56">
        <v>2</v>
      </c>
      <c r="D56" t="str">
        <f>TabelaGeral!W20</f>
        <v>MEX</v>
      </c>
      <c r="E56">
        <v>0</v>
      </c>
      <c r="F56">
        <f>TabelaGeral!W21</f>
        <v>20180702</v>
      </c>
      <c r="G56" t="s">
        <v>76</v>
      </c>
      <c r="H56">
        <v>1500</v>
      </c>
      <c r="I56" s="40" t="s">
        <v>468</v>
      </c>
      <c r="J56" t="s">
        <v>306</v>
      </c>
      <c r="K56">
        <f>97+1</f>
        <v>98</v>
      </c>
      <c r="L56" t="s">
        <v>207</v>
      </c>
      <c r="M56" t="s">
        <v>208</v>
      </c>
      <c r="N56" s="2">
        <v>0.83</v>
      </c>
      <c r="O56" s="2">
        <v>0.85</v>
      </c>
      <c r="P56" t="s">
        <v>81</v>
      </c>
      <c r="Q56" s="2">
        <v>0.53</v>
      </c>
      <c r="R56" t="s">
        <v>680</v>
      </c>
      <c r="S56" t="s">
        <v>76</v>
      </c>
      <c r="T56" s="1" t="s">
        <v>679</v>
      </c>
      <c r="U56" s="1" t="s">
        <v>676</v>
      </c>
      <c r="V56">
        <v>21</v>
      </c>
      <c r="W56">
        <v>13</v>
      </c>
      <c r="X56">
        <v>10</v>
      </c>
      <c r="Y56">
        <v>1</v>
      </c>
      <c r="Z56">
        <v>398</v>
      </c>
      <c r="AA56">
        <v>424</v>
      </c>
      <c r="AB56">
        <v>92</v>
      </c>
      <c r="AC56">
        <v>89</v>
      </c>
      <c r="AD56">
        <v>38</v>
      </c>
      <c r="AE56">
        <v>34</v>
      </c>
      <c r="AF56">
        <v>20</v>
      </c>
      <c r="AG56">
        <v>23</v>
      </c>
      <c r="AH56">
        <v>6</v>
      </c>
      <c r="AI56">
        <v>18</v>
      </c>
      <c r="AJ56">
        <v>2</v>
      </c>
      <c r="AK56">
        <v>4</v>
      </c>
      <c r="AL56">
        <v>0</v>
      </c>
      <c r="AM56">
        <v>0</v>
      </c>
      <c r="AN56">
        <v>0</v>
      </c>
      <c r="AO56" t="s">
        <v>617</v>
      </c>
    </row>
    <row r="57" spans="1:47" x14ac:dyDescent="0.25">
      <c r="A57" s="39">
        <v>55</v>
      </c>
      <c r="B57" t="str">
        <f>TabelaGeral!W23</f>
        <v>SUE</v>
      </c>
      <c r="D57" t="str">
        <f>TabelaGeral!W24</f>
        <v>SUI</v>
      </c>
      <c r="F57">
        <f>TabelaGeral!W25</f>
        <v>20180703</v>
      </c>
      <c r="H57">
        <f>TabelaGeral!X25</f>
        <v>1500</v>
      </c>
      <c r="I57" s="40" t="s">
        <v>469</v>
      </c>
    </row>
    <row r="58" spans="1:47" ht="15.75" thickBot="1" x14ac:dyDescent="0.3">
      <c r="A58" s="41">
        <v>56</v>
      </c>
      <c r="B58" s="42" t="str">
        <f>TabelaGeral!W31</f>
        <v>COL</v>
      </c>
      <c r="C58" s="42"/>
      <c r="D58" s="42" t="str">
        <f>TabelaGeral!W32</f>
        <v>ING</v>
      </c>
      <c r="E58" s="42"/>
      <c r="F58" s="42">
        <f>TabelaGeral!W33</f>
        <v>20180703</v>
      </c>
      <c r="G58" s="42"/>
      <c r="H58" s="42">
        <f>TabelaGeral!X33</f>
        <v>1900</v>
      </c>
      <c r="I58" s="43" t="s">
        <v>470</v>
      </c>
    </row>
    <row r="59" spans="1:47" x14ac:dyDescent="0.25">
      <c r="A59">
        <v>57</v>
      </c>
    </row>
    <row r="60" spans="1:47" x14ac:dyDescent="0.25">
      <c r="A60">
        <v>58</v>
      </c>
    </row>
    <row r="61" spans="1:47" x14ac:dyDescent="0.25">
      <c r="A61">
        <v>59</v>
      </c>
    </row>
    <row r="62" spans="1:47" x14ac:dyDescent="0.25">
      <c r="A62">
        <v>60</v>
      </c>
    </row>
    <row r="63" spans="1:47" x14ac:dyDescent="0.25">
      <c r="A63">
        <v>61</v>
      </c>
    </row>
    <row r="64" spans="1:47" x14ac:dyDescent="0.25">
      <c r="A64">
        <v>62</v>
      </c>
    </row>
  </sheetData>
  <hyperlinks>
    <hyperlink ref="T3" r:id="rId1" location="match-statistics" xr:uid="{F0F89E86-27F4-4639-B0C4-511C35935190}"/>
    <hyperlink ref="T4" r:id="rId2" location="match-statistics" xr:uid="{307FABC4-9089-4163-83CB-7814ED08614D}"/>
    <hyperlink ref="T5" r:id="rId3" location="match-statistics" xr:uid="{5736CFA1-C098-440D-872B-C1E1775B3E0D}"/>
    <hyperlink ref="T6" r:id="rId4" location="match-statistics" xr:uid="{752E21D0-4E15-4BA3-B4BD-904C8D19ECB1}"/>
    <hyperlink ref="T7" r:id="rId5" location="match-summary" xr:uid="{DDCD24DB-AECE-4731-8672-12F3521225AE}"/>
    <hyperlink ref="T8" r:id="rId6" location="match-statistics" xr:uid="{A20F076B-B615-440F-9FD8-24B54BDE169E}"/>
    <hyperlink ref="U7" r:id="rId7" xr:uid="{4D3147AE-86DD-4B6B-9647-5D717D8666AF}"/>
    <hyperlink ref="U8" r:id="rId8" xr:uid="{55AEBF90-2EA6-400C-80B6-44B9651E9F8C}"/>
    <hyperlink ref="U4" r:id="rId9" xr:uid="{83A99B5B-80FF-4023-8148-6AD4E14877F0}"/>
    <hyperlink ref="U5" r:id="rId10" xr:uid="{6F32D2ED-A325-434F-BD6B-5856F5E8DDAF}"/>
    <hyperlink ref="U6" r:id="rId11" xr:uid="{A2B514E6-3C6F-437D-B56F-862E913D1CD2}"/>
    <hyperlink ref="U3" r:id="rId12" xr:uid="{184AFB60-BD81-4FF3-9544-B979706D494F}"/>
    <hyperlink ref="U9" r:id="rId13" xr:uid="{703EC2E2-D795-45C1-90AE-315655566ABA}"/>
    <hyperlink ref="T9" r:id="rId14" location="match-statistics" xr:uid="{C25D0CAA-092B-4E3F-A15D-81270B7EB527}"/>
    <hyperlink ref="T10" r:id="rId15" location="match-statistics" xr:uid="{4CD2FA62-9749-42D3-B390-B7CC06CF8BD0}"/>
    <hyperlink ref="U10" r:id="rId16" xr:uid="{55A72B96-D63E-4500-AD09-D25A0A4037AA}"/>
    <hyperlink ref="H1" r:id="rId17" xr:uid="{653E7F96-371C-43A5-91AE-CB3373BE407F}"/>
    <hyperlink ref="U11" r:id="rId18" xr:uid="{ABC97F19-2761-4B3E-BB21-3A7630B5C6A2}"/>
    <hyperlink ref="T11" r:id="rId19" location="match-statistics" xr:uid="{9DAABF78-CC26-4E95-BCCD-A12E2FAE7368}"/>
    <hyperlink ref="U14" r:id="rId20" xr:uid="{648D1052-F7BE-4FD7-BB4A-BB7E669C0B24}"/>
    <hyperlink ref="U15" r:id="rId21" xr:uid="{5EDCBD14-A449-49B8-A686-BF5C6F04B66F}"/>
    <hyperlink ref="U16" r:id="rId22" xr:uid="{72D50D0C-44E0-4FE6-924F-79BE1AEE4C9C}"/>
    <hyperlink ref="U12" r:id="rId23" xr:uid="{23B2DA07-9B4C-4FA7-A897-95A2297943CE}"/>
    <hyperlink ref="U13" r:id="rId24" xr:uid="{FACAC977-74AF-46AE-90B5-1E6DFE8AC5A3}"/>
    <hyperlink ref="U17" r:id="rId25" xr:uid="{CAF0D7E5-C2E7-4D47-8F08-B528D2193444}"/>
    <hyperlink ref="U18" r:id="rId26" xr:uid="{277028B8-4A48-450C-A359-696D768AE817}"/>
    <hyperlink ref="U19" r:id="rId27" xr:uid="{6DAD5819-8F3C-43BA-BD49-E1E04C48921B}"/>
    <hyperlink ref="T18" r:id="rId28" location="match-statistics" xr:uid="{E9DE7D3C-98AF-479E-B158-4396332C406E}"/>
    <hyperlink ref="T12" r:id="rId29" location="match-statistics" xr:uid="{98870FC1-0976-4D61-8D86-82917F9689F6}"/>
    <hyperlink ref="T13" r:id="rId30" location="match-statistics" xr:uid="{85DC55A7-AB5A-415C-8E36-63470E67FAA4}"/>
    <hyperlink ref="T19" r:id="rId31" location="match-statistics" xr:uid="{8128B9F5-5902-466D-AF7D-A578A7B61E3F}"/>
    <hyperlink ref="T14" r:id="rId32" location="match-statistics" xr:uid="{C188B97D-86CD-45AE-8419-0425A3589814}"/>
    <hyperlink ref="T15" r:id="rId33" location="match-statistics" xr:uid="{D6FD71CD-FA89-4E8F-9F1C-67E2FB68E9B2}"/>
    <hyperlink ref="T17" r:id="rId34" location="match-statistics" xr:uid="{2D4B27CA-776B-487E-A809-7CD50A3CE1A6}"/>
    <hyperlink ref="T16" r:id="rId35" location="match-statistics" xr:uid="{0C3575AB-4946-4AD3-B9FA-D2D07265392D}"/>
    <hyperlink ref="T20" r:id="rId36" location="match-statistics" xr:uid="{D6F9E59F-8238-4FC1-A616-57CFF5FEF926}"/>
    <hyperlink ref="U20" r:id="rId37" xr:uid="{584AB0BC-807B-4EE4-B7A0-CDDE19150AC0}"/>
    <hyperlink ref="U21" r:id="rId38" xr:uid="{1AA5D394-05C8-48F7-9851-FA056E911743}"/>
    <hyperlink ref="T21" r:id="rId39" location="match-statistics" xr:uid="{8E8DC42B-C205-48B1-9FD6-3FE6D8BC3F76}"/>
    <hyperlink ref="T22" r:id="rId40" location="match-statistics" xr:uid="{AF5D56BB-E934-4D83-95DF-DE75E2E66D08}"/>
    <hyperlink ref="U22" r:id="rId41" xr:uid="{BBF2A4EE-79DE-4EE8-A7F7-F7F4B5930C20}"/>
    <hyperlink ref="T23" r:id="rId42" location="match-statistics" xr:uid="{931111B4-4F07-46F6-B3C3-3751C430FD9C}"/>
    <hyperlink ref="U23" r:id="rId43" xr:uid="{6AB6E30A-78EE-478F-8265-00319C5B7853}"/>
    <hyperlink ref="U25" r:id="rId44" xr:uid="{B7C82812-B3CA-4A6D-AF51-E8D0355EB60C}"/>
    <hyperlink ref="T24" r:id="rId45" location="match-statistics" xr:uid="{D291840D-1E05-4376-A6FA-DCBE95C2DBA5}"/>
    <hyperlink ref="U24" r:id="rId46" xr:uid="{DCB23E02-1329-42DF-95DD-FD22836CF4A5}"/>
    <hyperlink ref="T25" r:id="rId47" location="match-statistics" xr:uid="{59454EA7-AC06-414E-8CC9-C5D5DF89FED1}"/>
    <hyperlink ref="U26" r:id="rId48" xr:uid="{2F016CEF-1AB9-4A19-B31D-0DA3C0990E08}"/>
    <hyperlink ref="T26" r:id="rId49" location="match-statistics" xr:uid="{3D9618F7-D722-4C9C-A22E-34D87D515C92}"/>
    <hyperlink ref="U27" r:id="rId50" xr:uid="{D899A7A5-3880-4ABF-83D0-77C656B85277}"/>
    <hyperlink ref="U28" r:id="rId51" xr:uid="{1CC1ABF4-CDC7-4C45-B19A-0AD58E0A7A0C}"/>
    <hyperlink ref="U32" r:id="rId52" xr:uid="{216EDAFF-E925-4DC5-8A2A-C958BF20A71F}"/>
    <hyperlink ref="U33" r:id="rId53" xr:uid="{E2835431-A2A7-49F7-B065-99DDC20D3F5A}"/>
    <hyperlink ref="U34" r:id="rId54" xr:uid="{EDE07E54-2449-4B68-A63C-C983072B7FB1}"/>
    <hyperlink ref="U30" r:id="rId55" xr:uid="{356947EF-984A-483E-AB8D-457AECDCDB72}"/>
    <hyperlink ref="U29" r:id="rId56" xr:uid="{2F4096DC-0049-4C0F-BF31-0F56C6044ED4}"/>
    <hyperlink ref="T29" r:id="rId57" location="match-statistics" xr:uid="{16D709D6-71B1-4B20-ABB8-54A5A994C8EE}"/>
    <hyperlink ref="T27" r:id="rId58" location="match-statistics" xr:uid="{A569D5AD-F4C5-44C5-96B5-F7F9DD45B30D}"/>
    <hyperlink ref="T28" r:id="rId59" location="match-statistics" xr:uid="{3DE2677E-636C-4B39-83E7-0A13489FF0EE}"/>
    <hyperlink ref="N1" r:id="rId60" xr:uid="{3E4B2EF8-5C05-45DF-BDDC-4667CD55E948}"/>
    <hyperlink ref="A1" r:id="rId61" xr:uid="{88C83B09-81A6-4674-BEDD-B5A448FFC27E}"/>
    <hyperlink ref="T30" r:id="rId62" location="match-statistics" xr:uid="{50D23801-3EBE-4DE7-8B4E-C43B9EAD4F0E}"/>
    <hyperlink ref="U31" r:id="rId63" xr:uid="{CF052DD1-3456-4892-8878-CD946F0322EC}"/>
    <hyperlink ref="T31" r:id="rId64" location="match-statistics" xr:uid="{8D3EE7A1-B3B8-4FBE-9F51-0C63063D8EE2}"/>
    <hyperlink ref="AP30" r:id="rId65" xr:uid="{E1FD7AA9-C2E3-4678-A3E1-8CDD2F75DD66}"/>
    <hyperlink ref="T32" r:id="rId66" location="match-statistics" xr:uid="{082D9C02-177D-47DB-9914-AB5705B9E4B5}"/>
    <hyperlink ref="T33" r:id="rId67" location="match-statistics" xr:uid="{A76E1C04-D323-4D2F-9386-AEA615CDBB2C}"/>
    <hyperlink ref="T34" r:id="rId68" location="match-statistics" xr:uid="{A7CFAC95-AB5F-4A63-9AAC-9822D8BBDEB3}"/>
    <hyperlink ref="U35" r:id="rId69" location="match-statistics" xr:uid="{8C2937AD-AE09-428E-B9A2-6840291215B2}"/>
    <hyperlink ref="T35" r:id="rId70" xr:uid="{9C956A2B-35EA-4D4F-8D6B-A25F21C9AB04}"/>
    <hyperlink ref="U36" r:id="rId71" xr:uid="{4699CBFB-7675-4B39-B83C-1AB74F86EBCD}"/>
    <hyperlink ref="T36" r:id="rId72" location="match-statistics" xr:uid="{9C7349C4-758C-454C-B1EA-B6EB29405B0D}"/>
    <hyperlink ref="T38" r:id="rId73" location="match-statistics" xr:uid="{A1E351C8-EA39-42E8-BDF0-32DFB0BF4D42}"/>
    <hyperlink ref="U38" r:id="rId74" xr:uid="{2A546F38-A151-4309-A596-B15B6757281F}"/>
    <hyperlink ref="U37" r:id="rId75" xr:uid="{EBC5781B-83FA-4E0F-A33E-902264D4312C}"/>
    <hyperlink ref="T37" r:id="rId76" location="match-statistics" xr:uid="{FC527D54-02C1-4E9D-A75E-3257D659E075}"/>
    <hyperlink ref="U42" r:id="rId77" xr:uid="{A36CF698-388D-42E3-AF53-AD5E12875C3D}"/>
    <hyperlink ref="U41" r:id="rId78" xr:uid="{A412F6F7-BFFB-4280-84AF-BE2BA45999D4}"/>
    <hyperlink ref="U39" r:id="rId79" xr:uid="{95AA027D-2FB7-40B4-B1C5-173ED54F3ADE}"/>
    <hyperlink ref="U40" r:id="rId80" xr:uid="{29D801ED-7ADA-494B-8B29-09A8E5D563D4}"/>
    <hyperlink ref="T40" r:id="rId81" location="match-statistics" xr:uid="{512B2494-0C88-4411-9D97-4CCD7A4A534E}"/>
    <hyperlink ref="T39" r:id="rId82" location="match-statistics" xr:uid="{7A2E3141-1F55-4D2F-BF0C-97E04435715B}"/>
    <hyperlink ref="T41" r:id="rId83" location="match-statistics" xr:uid="{5822416B-72C6-41C1-95F2-A9FB345ABB95}"/>
    <hyperlink ref="T42" r:id="rId84" location="match-statistics" xr:uid="{05B97E50-B844-42DD-9D79-732B27125C0F}"/>
    <hyperlink ref="U44" r:id="rId85" xr:uid="{A1FAB983-DF5B-4E57-8745-7D1D1FF2D61A}"/>
    <hyperlink ref="U43" r:id="rId86" xr:uid="{581EAEB3-4467-4EBA-850D-0639E96B5628}"/>
    <hyperlink ref="T43" r:id="rId87" location="match-statistics" xr:uid="{2683AC7A-E96C-49D7-B4F1-1CEC999BFBEC}"/>
    <hyperlink ref="T44" r:id="rId88" location="match-statistics" xr:uid="{27DC41CF-4D6D-42FC-A17F-DB6359CB9AD1}"/>
    <hyperlink ref="T45" r:id="rId89" location="match-statistics" xr:uid="{A664F354-1C85-4B92-A82C-F6E354DABC5A}"/>
    <hyperlink ref="T46" r:id="rId90" location="match-statistics" xr:uid="{325F1173-A6A5-431F-AD23-4A0AEAF11BE9}"/>
    <hyperlink ref="T47" r:id="rId91" location="match-statistics" xr:uid="{FFDE4F82-83FF-4AC7-B3D7-4F971ADC1756}"/>
    <hyperlink ref="T48" r:id="rId92" location="match-statistics" xr:uid="{240CAB42-BCDD-42CC-A5C3-72A05F65484C}"/>
    <hyperlink ref="T49" r:id="rId93" location="match-statistics" xr:uid="{A885DB70-C3CC-4DD9-944F-D619DC043FF3}"/>
    <hyperlink ref="T50" r:id="rId94" location="match-statistics" xr:uid="{27430475-62E3-4C22-9826-6F0EA23A4B76}"/>
    <hyperlink ref="U48" r:id="rId95" xr:uid="{83591DD3-641D-4456-82F1-C2C69A04E1E3}"/>
    <hyperlink ref="U47" r:id="rId96" xr:uid="{D281AAB3-2FBC-4E6D-9D86-6D5456FBB5F1}"/>
    <hyperlink ref="U50" r:id="rId97" xr:uid="{459385FC-4688-43F0-AA32-457A7CE413F4}"/>
    <hyperlink ref="U49" r:id="rId98" xr:uid="{2FF1BD59-FC1E-4CF0-9DBE-0BA2C1129FB3}"/>
    <hyperlink ref="U45" r:id="rId99" xr:uid="{64502A88-09A8-4025-961F-BD983A62EAA2}"/>
    <hyperlink ref="U46" r:id="rId100" xr:uid="{0821E693-6299-4A4F-9148-5668CB7845C2}"/>
    <hyperlink ref="U51" r:id="rId101" xr:uid="{D9982C1F-C182-4E3A-A54B-DCC3F44B6F13}"/>
    <hyperlink ref="T51" r:id="rId102" location="match-statistics" xr:uid="{70B404B5-CFAA-4F6E-A62F-7D947777C7AE}"/>
    <hyperlink ref="U52" r:id="rId103" xr:uid="{FF0E7EF5-2951-48CD-B76D-E0AF8A739DF7}"/>
    <hyperlink ref="U53" r:id="rId104" xr:uid="{CB4468A3-CDDC-4455-B417-9C1F99DD4F7E}"/>
    <hyperlink ref="U56" r:id="rId105" xr:uid="{EA18E104-A906-43CF-99FC-8A9753B9ACED}"/>
    <hyperlink ref="U55" r:id="rId106" xr:uid="{8BBC2133-42FE-4C3B-916B-F1054967361C}"/>
    <hyperlink ref="U54" r:id="rId107" xr:uid="{BBE81420-6F54-47E0-B1BA-3A58BFAF1262}"/>
    <hyperlink ref="T56" r:id="rId108" location="match-statistics" xr:uid="{CF914C3D-33F5-41E3-81D8-AB7047C70447}"/>
    <hyperlink ref="T55" r:id="rId109" location="match-statistics" xr:uid="{0CBEEA39-5DB7-4AE4-B111-D8C0B801E66C}"/>
  </hyperlinks>
  <pageMargins left="0.511811024" right="0.511811024" top="0.78740157499999996" bottom="0.78740157499999996" header="0.31496062000000002" footer="0.31496062000000002"/>
  <pageSetup paperSize="9" orientation="portrait" r:id="rId110"/>
  <ignoredErrors>
    <ignoredError sqref="K4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A1082-9D53-4FC8-A0F9-74AB3A995751}">
  <dimension ref="A1:S12"/>
  <sheetViews>
    <sheetView workbookViewId="0">
      <selection activeCell="A4" sqref="A4"/>
    </sheetView>
  </sheetViews>
  <sheetFormatPr defaultRowHeight="15" x14ac:dyDescent="0.25"/>
  <sheetData>
    <row r="1" spans="1:19" x14ac:dyDescent="0.25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2</v>
      </c>
      <c r="I1" s="3" t="s">
        <v>54</v>
      </c>
      <c r="J1" s="3" t="s">
        <v>56</v>
      </c>
      <c r="K1" t="s">
        <v>109</v>
      </c>
      <c r="L1" t="s">
        <v>203</v>
      </c>
    </row>
    <row r="2" spans="1:19" x14ac:dyDescent="0.25">
      <c r="A2">
        <v>1</v>
      </c>
      <c r="B2" t="s">
        <v>60</v>
      </c>
      <c r="C2">
        <v>3</v>
      </c>
      <c r="D2" t="s">
        <v>61</v>
      </c>
      <c r="E2">
        <v>1</v>
      </c>
      <c r="F2">
        <v>20180614</v>
      </c>
      <c r="G2">
        <v>1500</v>
      </c>
      <c r="H2" t="s">
        <v>4</v>
      </c>
      <c r="K2">
        <v>10</v>
      </c>
      <c r="L2" t="s">
        <v>204</v>
      </c>
    </row>
    <row r="3" spans="1:19" x14ac:dyDescent="0.25">
      <c r="A3">
        <v>2</v>
      </c>
      <c r="B3" t="s">
        <v>62</v>
      </c>
      <c r="C3">
        <v>1</v>
      </c>
      <c r="D3" t="s">
        <v>63</v>
      </c>
      <c r="E3">
        <v>3</v>
      </c>
      <c r="F3">
        <v>20180615</v>
      </c>
      <c r="G3">
        <v>1300</v>
      </c>
      <c r="H3" t="s">
        <v>4</v>
      </c>
      <c r="K3">
        <v>10</v>
      </c>
      <c r="L3" s="3" t="s">
        <v>205</v>
      </c>
    </row>
    <row r="4" spans="1:19" x14ac:dyDescent="0.25">
      <c r="A4">
        <v>3</v>
      </c>
      <c r="B4" t="s">
        <v>66</v>
      </c>
      <c r="C4">
        <v>2</v>
      </c>
      <c r="D4" t="s">
        <v>67</v>
      </c>
      <c r="E4">
        <v>1</v>
      </c>
      <c r="F4">
        <v>20180615</v>
      </c>
      <c r="G4">
        <v>1600</v>
      </c>
      <c r="H4" t="s">
        <v>17</v>
      </c>
      <c r="K4">
        <v>5</v>
      </c>
    </row>
    <row r="5" spans="1:19" x14ac:dyDescent="0.25">
      <c r="A5">
        <v>4</v>
      </c>
      <c r="B5" t="s">
        <v>64</v>
      </c>
      <c r="C5">
        <v>2</v>
      </c>
      <c r="D5" t="s">
        <v>65</v>
      </c>
      <c r="E5">
        <v>2</v>
      </c>
      <c r="F5">
        <v>20180615</v>
      </c>
      <c r="G5">
        <v>1900</v>
      </c>
      <c r="H5" t="s">
        <v>17</v>
      </c>
      <c r="K5">
        <v>16</v>
      </c>
    </row>
    <row r="6" spans="1:19" x14ac:dyDescent="0.25">
      <c r="A6">
        <v>5</v>
      </c>
      <c r="B6" t="s">
        <v>68</v>
      </c>
      <c r="C6">
        <v>3</v>
      </c>
      <c r="D6" t="s">
        <v>69</v>
      </c>
      <c r="E6">
        <v>0</v>
      </c>
      <c r="F6">
        <v>20180616</v>
      </c>
      <c r="G6">
        <v>1100</v>
      </c>
      <c r="H6" t="s">
        <v>18</v>
      </c>
      <c r="I6">
        <v>2</v>
      </c>
      <c r="J6">
        <v>1</v>
      </c>
      <c r="K6">
        <v>10</v>
      </c>
      <c r="Q6" t="s">
        <v>202</v>
      </c>
    </row>
    <row r="7" spans="1:19" x14ac:dyDescent="0.25">
      <c r="A7">
        <v>6</v>
      </c>
      <c r="B7" t="s">
        <v>72</v>
      </c>
      <c r="C7">
        <v>4</v>
      </c>
      <c r="D7" t="s">
        <v>73</v>
      </c>
      <c r="E7">
        <v>0</v>
      </c>
      <c r="F7">
        <v>20180616</v>
      </c>
      <c r="G7">
        <v>1400</v>
      </c>
      <c r="H7" t="s">
        <v>19</v>
      </c>
      <c r="I7">
        <v>2</v>
      </c>
      <c r="J7">
        <v>1</v>
      </c>
      <c r="K7">
        <v>0</v>
      </c>
      <c r="Q7" t="s">
        <v>199</v>
      </c>
      <c r="R7">
        <v>0.1</v>
      </c>
    </row>
    <row r="8" spans="1:19" x14ac:dyDescent="0.25">
      <c r="A8">
        <v>7</v>
      </c>
      <c r="B8" t="s">
        <v>70</v>
      </c>
      <c r="C8">
        <v>1</v>
      </c>
      <c r="D8" t="s">
        <v>71</v>
      </c>
      <c r="E8">
        <v>2</v>
      </c>
      <c r="F8">
        <v>20180616</v>
      </c>
      <c r="G8">
        <v>1700</v>
      </c>
      <c r="H8" t="s">
        <v>18</v>
      </c>
      <c r="I8">
        <v>1.5</v>
      </c>
      <c r="J8">
        <v>1.4</v>
      </c>
      <c r="Q8" t="s">
        <v>200</v>
      </c>
      <c r="R8">
        <v>234</v>
      </c>
      <c r="S8">
        <f>R8*R7</f>
        <v>23.400000000000002</v>
      </c>
    </row>
    <row r="9" spans="1:19" x14ac:dyDescent="0.25">
      <c r="A9">
        <v>8</v>
      </c>
      <c r="B9" t="s">
        <v>74</v>
      </c>
      <c r="C9">
        <v>2</v>
      </c>
      <c r="D9" t="s">
        <v>75</v>
      </c>
      <c r="E9">
        <v>1</v>
      </c>
      <c r="F9">
        <v>20180616</v>
      </c>
      <c r="G9">
        <v>2000</v>
      </c>
      <c r="H9" t="s">
        <v>19</v>
      </c>
      <c r="I9">
        <v>1.6</v>
      </c>
      <c r="J9">
        <v>1.2</v>
      </c>
      <c r="Q9" t="s">
        <v>201</v>
      </c>
      <c r="R9">
        <v>6457.84</v>
      </c>
      <c r="S9">
        <f>R9*R7</f>
        <v>645.78400000000011</v>
      </c>
    </row>
    <row r="10" spans="1:19" x14ac:dyDescent="0.25">
      <c r="A10">
        <v>9</v>
      </c>
      <c r="B10" t="s">
        <v>78</v>
      </c>
      <c r="C10">
        <v>0</v>
      </c>
      <c r="D10" t="s">
        <v>79</v>
      </c>
      <c r="E10">
        <v>2</v>
      </c>
      <c r="F10">
        <v>20180617</v>
      </c>
      <c r="G10">
        <v>1300</v>
      </c>
      <c r="H10" t="s">
        <v>20</v>
      </c>
    </row>
    <row r="11" spans="1:19" x14ac:dyDescent="0.25">
      <c r="A11">
        <v>10</v>
      </c>
      <c r="B11" t="s">
        <v>80</v>
      </c>
      <c r="C11">
        <v>3</v>
      </c>
      <c r="D11" t="s">
        <v>81</v>
      </c>
      <c r="E11">
        <v>1</v>
      </c>
      <c r="F11">
        <v>20180617</v>
      </c>
      <c r="G11">
        <v>1600</v>
      </c>
      <c r="H11" t="s">
        <v>21</v>
      </c>
    </row>
    <row r="12" spans="1:19" x14ac:dyDescent="0.25">
      <c r="A12">
        <v>11</v>
      </c>
      <c r="B12" t="s">
        <v>76</v>
      </c>
      <c r="C12">
        <v>3</v>
      </c>
      <c r="D12" t="s">
        <v>77</v>
      </c>
      <c r="E12">
        <v>0</v>
      </c>
      <c r="F12">
        <v>20180617</v>
      </c>
      <c r="G12">
        <v>1900</v>
      </c>
      <c r="H12" t="s">
        <v>20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FF2C1-CFF0-4CEA-A307-1607907799FC}">
  <dimension ref="A1:Y44"/>
  <sheetViews>
    <sheetView workbookViewId="0">
      <pane xSplit="3" ySplit="2" topLeftCell="D13" activePane="bottomRight" state="frozen"/>
      <selection pane="topRight" activeCell="D1" sqref="D1"/>
      <selection pane="bottomLeft" activeCell="A3" sqref="A3"/>
      <selection pane="bottomRight" activeCell="I25" sqref="I25"/>
    </sheetView>
  </sheetViews>
  <sheetFormatPr defaultRowHeight="15" x14ac:dyDescent="0.25"/>
  <cols>
    <col min="2" max="2" width="5.85546875" bestFit="1" customWidth="1"/>
    <col min="16" max="16" width="6.5703125" customWidth="1"/>
    <col min="17" max="18" width="6.42578125" customWidth="1"/>
    <col min="19" max="19" width="9.85546875" customWidth="1"/>
    <col min="20" max="20" width="7.28515625" customWidth="1"/>
    <col min="21" max="21" width="4.7109375" bestFit="1" customWidth="1"/>
    <col min="24" max="24" width="5" bestFit="1" customWidth="1"/>
  </cols>
  <sheetData>
    <row r="1" spans="1:25" ht="15.75" thickBot="1" x14ac:dyDescent="0.3">
      <c r="A1" t="s">
        <v>429</v>
      </c>
      <c r="B1" s="19"/>
    </row>
    <row r="2" spans="1:25" ht="15.75" thickBot="1" x14ac:dyDescent="0.3">
      <c r="A2" s="16" t="s">
        <v>2</v>
      </c>
      <c r="B2" s="17" t="s">
        <v>110</v>
      </c>
      <c r="C2" s="17" t="s">
        <v>111</v>
      </c>
      <c r="D2" s="17" t="s">
        <v>418</v>
      </c>
      <c r="E2" s="17" t="s">
        <v>417</v>
      </c>
      <c r="F2" s="17" t="s">
        <v>419</v>
      </c>
      <c r="G2" s="17" t="s">
        <v>420</v>
      </c>
      <c r="H2" s="17" t="s">
        <v>421</v>
      </c>
      <c r="I2" s="48" t="s">
        <v>573</v>
      </c>
      <c r="J2" s="17" t="s">
        <v>422</v>
      </c>
      <c r="K2" s="17" t="s">
        <v>423</v>
      </c>
      <c r="L2" s="17" t="s">
        <v>312</v>
      </c>
      <c r="M2" s="17" t="s">
        <v>424</v>
      </c>
      <c r="N2" s="17" t="s">
        <v>425</v>
      </c>
      <c r="O2" s="17" t="s">
        <v>426</v>
      </c>
      <c r="P2" s="17" t="s">
        <v>251</v>
      </c>
      <c r="Q2" s="17" t="s">
        <v>427</v>
      </c>
      <c r="R2" s="44" t="s">
        <v>428</v>
      </c>
      <c r="S2" s="45" t="s">
        <v>682</v>
      </c>
      <c r="T2" s="20" t="s">
        <v>437</v>
      </c>
      <c r="V2" s="15" t="s">
        <v>438</v>
      </c>
    </row>
    <row r="3" spans="1:25" x14ac:dyDescent="0.25">
      <c r="A3" s="56" t="s">
        <v>4</v>
      </c>
      <c r="B3" s="57">
        <v>3</v>
      </c>
      <c r="C3" s="57" t="s">
        <v>60</v>
      </c>
      <c r="D3" s="57">
        <v>8</v>
      </c>
      <c r="E3" s="57">
        <v>2.67</v>
      </c>
      <c r="F3" s="62">
        <v>6</v>
      </c>
      <c r="G3" s="57">
        <v>0.79</v>
      </c>
      <c r="H3" s="57">
        <v>0.43</v>
      </c>
      <c r="I3" s="77">
        <f t="shared" ref="I3:I34" si="0">(K3/L3)*(G3/H3)</f>
        <v>1.9581674961620783E-2</v>
      </c>
      <c r="J3" s="57">
        <v>9</v>
      </c>
      <c r="K3" s="57">
        <v>3.67</v>
      </c>
      <c r="L3" s="57">
        <v>344.33</v>
      </c>
      <c r="M3" s="57">
        <v>110.33</v>
      </c>
      <c r="N3" s="78">
        <v>48</v>
      </c>
      <c r="O3" s="78">
        <v>28.67</v>
      </c>
      <c r="P3" s="57">
        <v>51</v>
      </c>
      <c r="Q3" s="57">
        <v>3</v>
      </c>
      <c r="R3" s="79">
        <v>0</v>
      </c>
      <c r="S3" s="25">
        <v>4</v>
      </c>
      <c r="T3" s="25" t="s">
        <v>445</v>
      </c>
      <c r="U3" s="23" t="str">
        <f>C3</f>
        <v>RUS</v>
      </c>
      <c r="V3" s="73" t="s">
        <v>439</v>
      </c>
      <c r="W3" t="str">
        <f>VLOOKUP(V3,T3:U6,2,FALSE)</f>
        <v>URU</v>
      </c>
      <c r="X3">
        <v>2</v>
      </c>
      <c r="Y3">
        <f>ABS(SUM(N5:O5)/LOG(I5))</f>
        <v>34.024568123340593</v>
      </c>
    </row>
    <row r="4" spans="1:25" x14ac:dyDescent="0.25">
      <c r="A4" s="31" t="s">
        <v>4</v>
      </c>
      <c r="B4" s="28">
        <v>3</v>
      </c>
      <c r="C4" s="28" t="s">
        <v>61</v>
      </c>
      <c r="D4" s="28">
        <v>2</v>
      </c>
      <c r="E4" s="28">
        <v>0.67</v>
      </c>
      <c r="F4" s="60">
        <v>3</v>
      </c>
      <c r="G4" s="28">
        <v>0.87</v>
      </c>
      <c r="H4" s="28">
        <v>0.57999999999999996</v>
      </c>
      <c r="I4" s="51">
        <f t="shared" si="0"/>
        <v>8.5141561695672198E-3</v>
      </c>
      <c r="J4" s="28">
        <v>12</v>
      </c>
      <c r="K4" s="28">
        <v>3.33</v>
      </c>
      <c r="L4" s="28">
        <v>586.66999999999996</v>
      </c>
      <c r="M4" s="28">
        <v>102</v>
      </c>
      <c r="N4" s="28">
        <v>47</v>
      </c>
      <c r="O4" s="28">
        <v>22.33</v>
      </c>
      <c r="P4" s="28">
        <v>30</v>
      </c>
      <c r="Q4" s="28">
        <v>1</v>
      </c>
      <c r="R4" s="80">
        <v>0</v>
      </c>
      <c r="S4" s="35">
        <v>7</v>
      </c>
      <c r="T4" s="26"/>
      <c r="U4" s="21" t="str">
        <f>C4</f>
        <v>ASA</v>
      </c>
      <c r="V4" s="73" t="s">
        <v>440</v>
      </c>
      <c r="W4" t="str">
        <f>VLOOKUP(V4,T7:U10,2,FALSE)</f>
        <v>POR</v>
      </c>
      <c r="X4">
        <v>1</v>
      </c>
      <c r="Y4">
        <f>ABS(SUM(N8:O8)/LOG(I8))</f>
        <v>32.709247851450485</v>
      </c>
    </row>
    <row r="5" spans="1:25" x14ac:dyDescent="0.25">
      <c r="A5" s="31" t="s">
        <v>4</v>
      </c>
      <c r="B5" s="28">
        <v>3</v>
      </c>
      <c r="C5" s="28" t="s">
        <v>63</v>
      </c>
      <c r="D5" s="28">
        <v>5</v>
      </c>
      <c r="E5" s="28">
        <v>1.67</v>
      </c>
      <c r="F5" s="60">
        <v>9</v>
      </c>
      <c r="G5" s="28">
        <v>0.87</v>
      </c>
      <c r="H5" s="28">
        <v>0.53</v>
      </c>
      <c r="I5" s="71">
        <f t="shared" si="0"/>
        <v>1.5398775177882403E-2</v>
      </c>
      <c r="J5" s="28">
        <v>14.67</v>
      </c>
      <c r="K5" s="28">
        <v>5</v>
      </c>
      <c r="L5" s="28">
        <v>533</v>
      </c>
      <c r="M5" s="28">
        <v>104.33</v>
      </c>
      <c r="N5" s="72">
        <v>43.67</v>
      </c>
      <c r="O5" s="72">
        <v>18</v>
      </c>
      <c r="P5" s="28">
        <v>33</v>
      </c>
      <c r="Q5" s="28">
        <v>1</v>
      </c>
      <c r="R5" s="80">
        <v>0</v>
      </c>
      <c r="S5" s="35">
        <v>0</v>
      </c>
      <c r="T5" s="26" t="s">
        <v>439</v>
      </c>
      <c r="U5" s="21" t="str">
        <f t="shared" ref="U5:U34" si="1">C5</f>
        <v>URU</v>
      </c>
      <c r="V5" s="73" t="s">
        <v>456</v>
      </c>
      <c r="W5">
        <v>20180630</v>
      </c>
      <c r="X5">
        <v>1500</v>
      </c>
    </row>
    <row r="6" spans="1:25" ht="15.75" thickBot="1" x14ac:dyDescent="0.3">
      <c r="A6" s="32" t="s">
        <v>4</v>
      </c>
      <c r="B6" s="33">
        <v>3</v>
      </c>
      <c r="C6" s="33" t="s">
        <v>62</v>
      </c>
      <c r="D6" s="33">
        <v>2</v>
      </c>
      <c r="E6" s="33">
        <v>0.67</v>
      </c>
      <c r="F6" s="63">
        <v>0</v>
      </c>
      <c r="G6" s="33">
        <v>0.8</v>
      </c>
      <c r="H6" s="33">
        <v>0.45</v>
      </c>
      <c r="I6" s="81">
        <f t="shared" si="0"/>
        <v>7.176949957427149E-3</v>
      </c>
      <c r="J6" s="33">
        <v>9.67</v>
      </c>
      <c r="K6" s="33">
        <v>1.67</v>
      </c>
      <c r="L6" s="33">
        <v>413.67</v>
      </c>
      <c r="M6" s="33">
        <v>109.33</v>
      </c>
      <c r="N6" s="33">
        <v>49.67</v>
      </c>
      <c r="O6" s="33">
        <v>31.33</v>
      </c>
      <c r="P6" s="33">
        <v>38</v>
      </c>
      <c r="Q6" s="33">
        <v>5</v>
      </c>
      <c r="R6" s="82">
        <v>0</v>
      </c>
      <c r="S6" s="22">
        <v>6</v>
      </c>
      <c r="T6" s="34"/>
      <c r="U6" s="21" t="str">
        <f t="shared" si="1"/>
        <v>EGI</v>
      </c>
    </row>
    <row r="7" spans="1:25" x14ac:dyDescent="0.25">
      <c r="A7" s="49" t="s">
        <v>17</v>
      </c>
      <c r="B7" s="50">
        <v>3</v>
      </c>
      <c r="C7" s="50" t="s">
        <v>67</v>
      </c>
      <c r="D7" s="50">
        <v>2</v>
      </c>
      <c r="E7" s="50">
        <v>0.67</v>
      </c>
      <c r="F7" s="59">
        <v>4</v>
      </c>
      <c r="G7" s="50">
        <v>0.68</v>
      </c>
      <c r="H7" s="50">
        <v>0.33</v>
      </c>
      <c r="I7" s="51">
        <f t="shared" si="0"/>
        <v>1.2866695120216248E-2</v>
      </c>
      <c r="J7" s="50">
        <v>7</v>
      </c>
      <c r="K7" s="50">
        <v>1.33</v>
      </c>
      <c r="L7" s="50">
        <v>213</v>
      </c>
      <c r="M7" s="50">
        <v>99.67</v>
      </c>
      <c r="N7" s="50">
        <v>41</v>
      </c>
      <c r="O7" s="50">
        <v>30.33</v>
      </c>
      <c r="P7" s="50">
        <v>44</v>
      </c>
      <c r="Q7" s="50">
        <v>7</v>
      </c>
      <c r="R7" s="52">
        <v>0</v>
      </c>
      <c r="S7" s="35">
        <v>2</v>
      </c>
      <c r="T7" s="25"/>
      <c r="U7" s="23" t="str">
        <f t="shared" si="1"/>
        <v>IRN</v>
      </c>
      <c r="V7" s="76" t="s">
        <v>441</v>
      </c>
      <c r="W7" t="str">
        <f>VLOOKUP(V7,T7:U10,2,FALSE)</f>
        <v>ESP</v>
      </c>
      <c r="X7">
        <v>2</v>
      </c>
      <c r="Y7">
        <f>ABS(SUM(N9:O9)/LOG(I9))</f>
        <v>18.207991818546592</v>
      </c>
    </row>
    <row r="8" spans="1:25" x14ac:dyDescent="0.25">
      <c r="A8" s="31" t="s">
        <v>17</v>
      </c>
      <c r="B8" s="28">
        <v>3</v>
      </c>
      <c r="C8" s="28" t="s">
        <v>64</v>
      </c>
      <c r="D8" s="28">
        <v>5</v>
      </c>
      <c r="E8" s="28">
        <v>1.67</v>
      </c>
      <c r="F8" s="60">
        <v>5</v>
      </c>
      <c r="G8" s="28">
        <v>0.84</v>
      </c>
      <c r="H8" s="28">
        <v>0.51</v>
      </c>
      <c r="I8" s="71">
        <f t="shared" si="0"/>
        <v>1.0796373960688345E-2</v>
      </c>
      <c r="J8" s="28">
        <v>10.67</v>
      </c>
      <c r="K8" s="28">
        <v>3</v>
      </c>
      <c r="L8" s="28">
        <v>457.67</v>
      </c>
      <c r="M8" s="28">
        <v>98.67</v>
      </c>
      <c r="N8" s="72">
        <v>41</v>
      </c>
      <c r="O8" s="72">
        <v>23.33</v>
      </c>
      <c r="P8" s="28">
        <v>42</v>
      </c>
      <c r="Q8" s="28">
        <v>6</v>
      </c>
      <c r="R8" s="29">
        <v>0</v>
      </c>
      <c r="S8" s="35">
        <v>4</v>
      </c>
      <c r="T8" s="26" t="s">
        <v>440</v>
      </c>
      <c r="U8" s="21" t="str">
        <f t="shared" si="1"/>
        <v>POR</v>
      </c>
      <c r="V8" s="76" t="s">
        <v>445</v>
      </c>
      <c r="W8" t="str">
        <f>VLOOKUP(V8,T3:U6,2,FALSE)</f>
        <v>RUS</v>
      </c>
      <c r="X8">
        <v>0</v>
      </c>
      <c r="Y8">
        <f>ABS(SUM(N3:O3)/LOG(I3))*1/3</f>
        <v>14.961604211427904</v>
      </c>
    </row>
    <row r="9" spans="1:25" x14ac:dyDescent="0.25">
      <c r="A9" s="31" t="s">
        <v>17</v>
      </c>
      <c r="B9" s="28">
        <v>3</v>
      </c>
      <c r="C9" s="28" t="s">
        <v>65</v>
      </c>
      <c r="D9" s="28">
        <v>6</v>
      </c>
      <c r="E9" s="28">
        <v>2</v>
      </c>
      <c r="F9" s="60">
        <v>5</v>
      </c>
      <c r="G9" s="28">
        <v>0.91</v>
      </c>
      <c r="H9" s="28">
        <v>0.66</v>
      </c>
      <c r="I9" s="74">
        <f t="shared" si="0"/>
        <v>7.2124596429198416E-3</v>
      </c>
      <c r="J9" s="28">
        <v>15</v>
      </c>
      <c r="K9" s="28">
        <v>4</v>
      </c>
      <c r="L9" s="28">
        <v>764.67</v>
      </c>
      <c r="M9" s="28">
        <v>103.67</v>
      </c>
      <c r="N9" s="75">
        <v>30</v>
      </c>
      <c r="O9" s="75">
        <v>9</v>
      </c>
      <c r="P9" s="28">
        <v>29</v>
      </c>
      <c r="Q9" s="28">
        <v>1</v>
      </c>
      <c r="R9" s="29">
        <v>0</v>
      </c>
      <c r="S9" s="35">
        <v>5</v>
      </c>
      <c r="T9" s="26" t="s">
        <v>441</v>
      </c>
      <c r="U9" s="21" t="str">
        <f t="shared" si="1"/>
        <v>ESP</v>
      </c>
      <c r="V9" s="76" t="s">
        <v>459</v>
      </c>
      <c r="W9">
        <v>20180701</v>
      </c>
      <c r="X9">
        <v>1500</v>
      </c>
    </row>
    <row r="10" spans="1:25" ht="15.75" thickBot="1" x14ac:dyDescent="0.3">
      <c r="A10" s="53" t="s">
        <v>17</v>
      </c>
      <c r="B10" s="54">
        <v>3</v>
      </c>
      <c r="C10" s="54" t="s">
        <v>66</v>
      </c>
      <c r="D10" s="54">
        <v>2</v>
      </c>
      <c r="E10" s="54">
        <v>0.67</v>
      </c>
      <c r="F10" s="61">
        <v>1</v>
      </c>
      <c r="G10" s="54">
        <v>0.82</v>
      </c>
      <c r="H10" s="54">
        <v>0.5</v>
      </c>
      <c r="I10" s="83">
        <f t="shared" si="0"/>
        <v>1.428399550126854E-2</v>
      </c>
      <c r="J10" s="54">
        <v>11.67</v>
      </c>
      <c r="K10" s="54">
        <v>3.33</v>
      </c>
      <c r="L10" s="54">
        <v>382.33</v>
      </c>
      <c r="M10" s="54">
        <v>106.33</v>
      </c>
      <c r="N10" s="54">
        <v>48</v>
      </c>
      <c r="O10" s="54">
        <v>20.67</v>
      </c>
      <c r="P10" s="54">
        <v>62</v>
      </c>
      <c r="Q10" s="54">
        <v>8</v>
      </c>
      <c r="R10" s="55">
        <v>0</v>
      </c>
      <c r="S10" s="21">
        <v>4</v>
      </c>
      <c r="T10" s="34"/>
      <c r="U10" s="22" t="str">
        <f t="shared" si="1"/>
        <v>MAR</v>
      </c>
    </row>
    <row r="11" spans="1:25" x14ac:dyDescent="0.25">
      <c r="A11" s="56" t="s">
        <v>18</v>
      </c>
      <c r="B11" s="57">
        <v>3</v>
      </c>
      <c r="C11" s="57" t="s">
        <v>68</v>
      </c>
      <c r="D11" s="57">
        <v>3</v>
      </c>
      <c r="E11" s="57">
        <v>1</v>
      </c>
      <c r="F11" s="62">
        <v>7</v>
      </c>
      <c r="G11" s="57">
        <v>0.84</v>
      </c>
      <c r="H11" s="57">
        <v>0.52</v>
      </c>
      <c r="I11" s="84">
        <f t="shared" si="0"/>
        <v>1.3485675640803179E-2</v>
      </c>
      <c r="J11" s="57">
        <v>11.67</v>
      </c>
      <c r="K11" s="57">
        <v>4.33</v>
      </c>
      <c r="L11" s="57">
        <v>518.66999999999996</v>
      </c>
      <c r="M11" s="57">
        <v>103.33</v>
      </c>
      <c r="N11" s="85">
        <v>43.67</v>
      </c>
      <c r="O11" s="85">
        <v>21.33</v>
      </c>
      <c r="P11" s="57">
        <v>37</v>
      </c>
      <c r="Q11" s="57">
        <v>3</v>
      </c>
      <c r="R11" s="58">
        <v>0</v>
      </c>
      <c r="S11" s="25">
        <v>1</v>
      </c>
      <c r="T11" s="25" t="s">
        <v>442</v>
      </c>
      <c r="U11" s="23" t="str">
        <f t="shared" si="1"/>
        <v>FRA</v>
      </c>
      <c r="V11" s="87" t="s">
        <v>442</v>
      </c>
      <c r="W11" t="str">
        <f>VLOOKUP(V11,T11:U14,2,FALSE)</f>
        <v>FRA</v>
      </c>
      <c r="X11">
        <v>1</v>
      </c>
      <c r="Y11">
        <f>ABS(SUM(N11:O11)/LOG(I11))</f>
        <v>34.756992392560733</v>
      </c>
    </row>
    <row r="12" spans="1:25" x14ac:dyDescent="0.25">
      <c r="A12" s="31" t="s">
        <v>18</v>
      </c>
      <c r="B12" s="28">
        <v>3</v>
      </c>
      <c r="C12" s="28" t="s">
        <v>71</v>
      </c>
      <c r="D12" s="28">
        <v>2</v>
      </c>
      <c r="E12" s="28">
        <v>0.67</v>
      </c>
      <c r="F12" s="60">
        <v>5</v>
      </c>
      <c r="G12" s="68">
        <v>0.81</v>
      </c>
      <c r="H12" s="68">
        <v>0.45</v>
      </c>
      <c r="I12" s="68">
        <f t="shared" si="0"/>
        <v>1.4687083525987977E-2</v>
      </c>
      <c r="J12" s="28">
        <v>8.33</v>
      </c>
      <c r="K12" s="28">
        <v>3</v>
      </c>
      <c r="L12" s="28">
        <v>367.67</v>
      </c>
      <c r="M12" s="28">
        <v>109.33</v>
      </c>
      <c r="N12" s="60">
        <v>41.67</v>
      </c>
      <c r="O12" s="60">
        <v>25.33</v>
      </c>
      <c r="P12" s="28">
        <v>35</v>
      </c>
      <c r="Q12" s="28">
        <v>5</v>
      </c>
      <c r="R12" s="29">
        <v>0</v>
      </c>
      <c r="S12" s="60">
        <v>1</v>
      </c>
      <c r="T12" s="26" t="s">
        <v>446</v>
      </c>
      <c r="U12" s="21" t="str">
        <f t="shared" si="1"/>
        <v>DIN</v>
      </c>
      <c r="V12" s="87" t="s">
        <v>447</v>
      </c>
      <c r="W12" t="str">
        <f>VLOOKUP(V12,T15:U18,2,FALSE)</f>
        <v>ARG</v>
      </c>
      <c r="X12">
        <v>1</v>
      </c>
      <c r="Y12">
        <f>ABS(SUM(N17:O17)/LOG(I17))</f>
        <v>29.656828122990358</v>
      </c>
    </row>
    <row r="13" spans="1:25" x14ac:dyDescent="0.25">
      <c r="A13" s="31" t="s">
        <v>18</v>
      </c>
      <c r="B13" s="28">
        <v>3</v>
      </c>
      <c r="C13" s="28" t="s">
        <v>70</v>
      </c>
      <c r="D13" s="28">
        <v>2</v>
      </c>
      <c r="E13" s="28">
        <v>0.67</v>
      </c>
      <c r="F13" s="60">
        <v>3</v>
      </c>
      <c r="G13" s="28">
        <v>0.82</v>
      </c>
      <c r="H13" s="28">
        <v>0.52</v>
      </c>
      <c r="I13" s="51">
        <f t="shared" si="0"/>
        <v>1.2927620104781852E-2</v>
      </c>
      <c r="J13" s="28">
        <v>10.67</v>
      </c>
      <c r="K13" s="28">
        <v>3.67</v>
      </c>
      <c r="L13" s="28">
        <v>447.67</v>
      </c>
      <c r="M13" s="28">
        <v>102</v>
      </c>
      <c r="N13" s="28">
        <v>44.67</v>
      </c>
      <c r="O13" s="28">
        <v>20</v>
      </c>
      <c r="P13" s="28">
        <v>37</v>
      </c>
      <c r="Q13" s="28">
        <v>5</v>
      </c>
      <c r="R13" s="29">
        <v>0</v>
      </c>
      <c r="S13" s="35">
        <v>2</v>
      </c>
      <c r="T13" s="26"/>
      <c r="U13" s="21" t="str">
        <f t="shared" si="1"/>
        <v>PER</v>
      </c>
      <c r="V13" s="87" t="s">
        <v>455</v>
      </c>
      <c r="W13">
        <v>20180630</v>
      </c>
      <c r="X13">
        <v>1900</v>
      </c>
    </row>
    <row r="14" spans="1:25" ht="15.75" thickBot="1" x14ac:dyDescent="0.3">
      <c r="A14" s="32" t="s">
        <v>18</v>
      </c>
      <c r="B14" s="33">
        <v>3</v>
      </c>
      <c r="C14" s="33" t="s">
        <v>69</v>
      </c>
      <c r="D14" s="33">
        <v>2</v>
      </c>
      <c r="E14" s="33">
        <v>0.67</v>
      </c>
      <c r="F14" s="63">
        <v>1</v>
      </c>
      <c r="G14" s="33">
        <v>0.85</v>
      </c>
      <c r="H14" s="33">
        <v>0.51</v>
      </c>
      <c r="I14" s="81">
        <f t="shared" si="0"/>
        <v>9.1188524590163928E-3</v>
      </c>
      <c r="J14" s="33">
        <v>10.67</v>
      </c>
      <c r="K14" s="33">
        <v>2.67</v>
      </c>
      <c r="L14" s="33">
        <v>488</v>
      </c>
      <c r="M14" s="33">
        <v>110</v>
      </c>
      <c r="N14" s="33">
        <v>42</v>
      </c>
      <c r="O14" s="33">
        <v>27.67</v>
      </c>
      <c r="P14" s="33">
        <v>37</v>
      </c>
      <c r="Q14" s="33">
        <v>7</v>
      </c>
      <c r="R14" s="30">
        <v>0</v>
      </c>
      <c r="S14" s="22">
        <v>5</v>
      </c>
      <c r="T14" s="27"/>
      <c r="U14" s="22" t="str">
        <f t="shared" si="1"/>
        <v>AUS</v>
      </c>
    </row>
    <row r="15" spans="1:25" x14ac:dyDescent="0.25">
      <c r="A15" s="49" t="s">
        <v>19</v>
      </c>
      <c r="B15" s="50">
        <v>3</v>
      </c>
      <c r="C15" s="50" t="s">
        <v>75</v>
      </c>
      <c r="D15" s="50">
        <v>3</v>
      </c>
      <c r="E15" s="50">
        <v>1</v>
      </c>
      <c r="F15" s="59">
        <v>3</v>
      </c>
      <c r="G15" s="50">
        <v>0.8</v>
      </c>
      <c r="H15" s="50">
        <v>0.46</v>
      </c>
      <c r="I15" s="51">
        <f t="shared" si="0"/>
        <v>1.4164991459690567E-2</v>
      </c>
      <c r="J15" s="50">
        <v>13</v>
      </c>
      <c r="K15" s="50">
        <v>3</v>
      </c>
      <c r="L15" s="50">
        <v>368.33</v>
      </c>
      <c r="M15" s="50">
        <v>99.67</v>
      </c>
      <c r="N15" s="50">
        <v>42</v>
      </c>
      <c r="O15" s="50">
        <v>32</v>
      </c>
      <c r="P15" s="50">
        <v>45</v>
      </c>
      <c r="Q15" s="50">
        <v>4</v>
      </c>
      <c r="R15" s="52">
        <v>0</v>
      </c>
      <c r="S15" s="25">
        <v>4</v>
      </c>
      <c r="T15" s="35"/>
      <c r="U15" s="23" t="str">
        <f t="shared" si="1"/>
        <v>NIG</v>
      </c>
      <c r="V15" s="88" t="s">
        <v>443</v>
      </c>
      <c r="W15" t="str">
        <f>VLOOKUP(V15,T15:U18,2,FALSE)</f>
        <v>CRO</v>
      </c>
      <c r="X15">
        <v>0</v>
      </c>
      <c r="Y15">
        <f>ABS(SUM(N16:O16)/LOG(I16))</f>
        <v>33.908560883784212</v>
      </c>
    </row>
    <row r="16" spans="1:25" x14ac:dyDescent="0.25">
      <c r="A16" s="31" t="s">
        <v>19</v>
      </c>
      <c r="B16" s="28">
        <v>3</v>
      </c>
      <c r="C16" s="28" t="s">
        <v>74</v>
      </c>
      <c r="D16" s="28">
        <v>7</v>
      </c>
      <c r="E16" s="28">
        <v>2.33</v>
      </c>
      <c r="F16" s="60">
        <v>9</v>
      </c>
      <c r="G16" s="68">
        <v>0.83</v>
      </c>
      <c r="H16" s="68">
        <v>0.52</v>
      </c>
      <c r="I16" s="68">
        <f t="shared" si="0"/>
        <v>1.0570555272542026E-2</v>
      </c>
      <c r="J16" s="28">
        <v>13</v>
      </c>
      <c r="K16" s="28">
        <v>3</v>
      </c>
      <c r="L16" s="28">
        <v>453</v>
      </c>
      <c r="M16" s="28">
        <v>103</v>
      </c>
      <c r="N16" s="60">
        <v>40</v>
      </c>
      <c r="O16" s="60">
        <v>27</v>
      </c>
      <c r="P16" s="28">
        <v>55</v>
      </c>
      <c r="Q16" s="28">
        <v>8</v>
      </c>
      <c r="R16" s="29">
        <v>0</v>
      </c>
      <c r="S16" s="122">
        <v>1</v>
      </c>
      <c r="T16" s="26" t="s">
        <v>443</v>
      </c>
      <c r="U16" s="21" t="str">
        <f t="shared" si="1"/>
        <v>CRO</v>
      </c>
      <c r="V16" s="88" t="s">
        <v>446</v>
      </c>
      <c r="W16" t="str">
        <f>VLOOKUP(V16,T11:U14,2,FALSE)</f>
        <v>DIN</v>
      </c>
      <c r="X16">
        <v>1</v>
      </c>
      <c r="Y16">
        <f>ABS(SUM(N12:O12)/LOG(I12))</f>
        <v>36.550815514578957</v>
      </c>
    </row>
    <row r="17" spans="1:25" x14ac:dyDescent="0.25">
      <c r="A17" s="31" t="s">
        <v>19</v>
      </c>
      <c r="B17" s="28">
        <v>3</v>
      </c>
      <c r="C17" s="28" t="s">
        <v>72</v>
      </c>
      <c r="D17" s="28">
        <v>3</v>
      </c>
      <c r="E17" s="28">
        <v>1</v>
      </c>
      <c r="F17" s="60">
        <v>4</v>
      </c>
      <c r="G17" s="28">
        <v>0.85</v>
      </c>
      <c r="H17" s="28">
        <v>0.65</v>
      </c>
      <c r="I17" s="86">
        <f t="shared" si="0"/>
        <v>1.0246515229736707E-2</v>
      </c>
      <c r="J17" s="28">
        <v>14.67</v>
      </c>
      <c r="K17" s="28">
        <v>4.67</v>
      </c>
      <c r="L17" s="28">
        <v>596</v>
      </c>
      <c r="M17" s="28">
        <v>101</v>
      </c>
      <c r="N17" s="18">
        <v>38.33</v>
      </c>
      <c r="O17" s="18">
        <v>20.67</v>
      </c>
      <c r="P17" s="28">
        <v>40</v>
      </c>
      <c r="Q17" s="28">
        <v>6</v>
      </c>
      <c r="R17" s="29">
        <v>0</v>
      </c>
      <c r="S17" s="35">
        <v>5</v>
      </c>
      <c r="T17" s="26" t="s">
        <v>447</v>
      </c>
      <c r="U17" s="21" t="str">
        <f t="shared" si="1"/>
        <v>ARG</v>
      </c>
      <c r="V17" s="88" t="s">
        <v>460</v>
      </c>
      <c r="W17">
        <v>20180701</v>
      </c>
      <c r="X17">
        <v>1900</v>
      </c>
    </row>
    <row r="18" spans="1:25" ht="15.75" thickBot="1" x14ac:dyDescent="0.3">
      <c r="A18" s="53" t="s">
        <v>19</v>
      </c>
      <c r="B18" s="54">
        <v>3</v>
      </c>
      <c r="C18" s="54" t="s">
        <v>73</v>
      </c>
      <c r="D18" s="54">
        <v>2</v>
      </c>
      <c r="E18" s="54">
        <v>0.67</v>
      </c>
      <c r="F18" s="61">
        <v>1</v>
      </c>
      <c r="G18" s="54">
        <v>0.72</v>
      </c>
      <c r="H18" s="54">
        <v>0.37</v>
      </c>
      <c r="I18" s="83">
        <f t="shared" si="0"/>
        <v>2.9008250228389609E-2</v>
      </c>
      <c r="J18" s="54">
        <v>12</v>
      </c>
      <c r="K18" s="54">
        <v>4</v>
      </c>
      <c r="L18" s="54">
        <v>268.33</v>
      </c>
      <c r="M18" s="54">
        <v>104.67</v>
      </c>
      <c r="N18" s="54">
        <v>36.67</v>
      </c>
      <c r="O18" s="54">
        <v>26.33</v>
      </c>
      <c r="P18" s="54">
        <v>35</v>
      </c>
      <c r="Q18" s="54">
        <v>3</v>
      </c>
      <c r="R18" s="55">
        <v>0</v>
      </c>
      <c r="S18" s="22">
        <v>5</v>
      </c>
      <c r="T18" s="34"/>
      <c r="U18" s="22" t="str">
        <f t="shared" si="1"/>
        <v>ISL</v>
      </c>
    </row>
    <row r="19" spans="1:25" x14ac:dyDescent="0.25">
      <c r="A19" s="56" t="s">
        <v>20</v>
      </c>
      <c r="B19" s="57">
        <v>3</v>
      </c>
      <c r="C19" s="57" t="s">
        <v>76</v>
      </c>
      <c r="D19" s="57">
        <v>5</v>
      </c>
      <c r="E19" s="57">
        <v>1.67</v>
      </c>
      <c r="F19" s="62">
        <v>7</v>
      </c>
      <c r="G19" s="57">
        <v>0.89</v>
      </c>
      <c r="H19" s="57">
        <v>0.57999999999999996</v>
      </c>
      <c r="I19" s="91">
        <f t="shared" si="0"/>
        <v>1.6843733612064034E-2</v>
      </c>
      <c r="J19" s="57">
        <v>18.670000000000002</v>
      </c>
      <c r="K19" s="57">
        <v>6.33</v>
      </c>
      <c r="L19" s="57">
        <v>576.66999999999996</v>
      </c>
      <c r="M19" s="57">
        <v>104.33</v>
      </c>
      <c r="N19" s="92">
        <v>48.33</v>
      </c>
      <c r="O19" s="92">
        <v>21.33</v>
      </c>
      <c r="P19" s="57">
        <v>30</v>
      </c>
      <c r="Q19" s="57">
        <v>3</v>
      </c>
      <c r="R19" s="58">
        <v>0</v>
      </c>
      <c r="S19" s="25">
        <v>1</v>
      </c>
      <c r="T19" s="25" t="s">
        <v>444</v>
      </c>
      <c r="U19" s="23" t="str">
        <f t="shared" si="1"/>
        <v>BRA</v>
      </c>
      <c r="V19" s="89" t="s">
        <v>444</v>
      </c>
      <c r="W19" t="str">
        <f>VLOOKUP(V19,T19:U22,2,FALSE)</f>
        <v>BRA</v>
      </c>
      <c r="X19">
        <v>2</v>
      </c>
      <c r="Y19">
        <f>ABS(SUM(N19:O19)/LOG(I19))</f>
        <v>39.276898303834415</v>
      </c>
    </row>
    <row r="20" spans="1:25" x14ac:dyDescent="0.25">
      <c r="A20" s="31" t="s">
        <v>20</v>
      </c>
      <c r="B20" s="28">
        <v>2</v>
      </c>
      <c r="C20" s="28" t="s">
        <v>79</v>
      </c>
      <c r="D20" s="28">
        <v>2</v>
      </c>
      <c r="E20" s="28">
        <v>1</v>
      </c>
      <c r="F20" s="60">
        <v>3</v>
      </c>
      <c r="G20" s="28">
        <v>0.8</v>
      </c>
      <c r="H20" s="28">
        <v>0.46</v>
      </c>
      <c r="I20" s="51">
        <f t="shared" si="0"/>
        <v>1.4928158238477327E-2</v>
      </c>
      <c r="J20" s="28">
        <v>11</v>
      </c>
      <c r="K20" s="28">
        <v>3</v>
      </c>
      <c r="L20" s="28">
        <v>349.5</v>
      </c>
      <c r="M20" s="28">
        <v>112.5</v>
      </c>
      <c r="N20" s="28">
        <v>43</v>
      </c>
      <c r="O20" s="28">
        <v>30.5</v>
      </c>
      <c r="P20" s="28">
        <v>32</v>
      </c>
      <c r="Q20" s="28">
        <v>6</v>
      </c>
      <c r="R20" s="29">
        <v>0</v>
      </c>
      <c r="S20" s="35">
        <v>4</v>
      </c>
      <c r="T20" s="26"/>
      <c r="U20" s="21" t="str">
        <f t="shared" si="1"/>
        <v>SRB</v>
      </c>
      <c r="V20" s="89" t="s">
        <v>449</v>
      </c>
      <c r="W20" t="str">
        <f>VLOOKUP(V20,T23:U26,2,FALSE)</f>
        <v>MEX</v>
      </c>
      <c r="X20">
        <v>1</v>
      </c>
      <c r="Y20">
        <f>ABS(SUM(N23:O23)/LOG(I23))</f>
        <v>33.338487960005516</v>
      </c>
    </row>
    <row r="21" spans="1:25" x14ac:dyDescent="0.25">
      <c r="A21" s="31" t="s">
        <v>20</v>
      </c>
      <c r="B21" s="28">
        <v>3</v>
      </c>
      <c r="C21" s="28" t="s">
        <v>78</v>
      </c>
      <c r="D21" s="28">
        <v>2</v>
      </c>
      <c r="E21" s="28">
        <v>0.67</v>
      </c>
      <c r="F21" s="60">
        <v>1</v>
      </c>
      <c r="G21" s="28">
        <v>0.79</v>
      </c>
      <c r="H21" s="28">
        <v>0.41</v>
      </c>
      <c r="I21" s="51">
        <f t="shared" si="0"/>
        <v>1.6547355809343745E-2</v>
      </c>
      <c r="J21" s="28">
        <v>9.33</v>
      </c>
      <c r="K21" s="28">
        <v>3</v>
      </c>
      <c r="L21" s="28">
        <v>349.33</v>
      </c>
      <c r="M21" s="28">
        <v>106.33</v>
      </c>
      <c r="N21" s="28">
        <v>39.33</v>
      </c>
      <c r="O21" s="28">
        <v>32.67</v>
      </c>
      <c r="P21" s="28">
        <v>43</v>
      </c>
      <c r="Q21" s="28">
        <v>6</v>
      </c>
      <c r="R21" s="29">
        <v>0</v>
      </c>
      <c r="S21" s="35">
        <v>5</v>
      </c>
      <c r="T21" s="26"/>
      <c r="U21" s="21" t="str">
        <f t="shared" si="1"/>
        <v>CRC</v>
      </c>
      <c r="V21" s="89" t="s">
        <v>458</v>
      </c>
      <c r="W21">
        <v>20180702</v>
      </c>
      <c r="X21">
        <v>1500</v>
      </c>
    </row>
    <row r="22" spans="1:25" ht="15.75" thickBot="1" x14ac:dyDescent="0.3">
      <c r="A22" s="32" t="s">
        <v>20</v>
      </c>
      <c r="B22" s="33">
        <v>3</v>
      </c>
      <c r="C22" s="33" t="s">
        <v>77</v>
      </c>
      <c r="D22" s="95">
        <v>5</v>
      </c>
      <c r="E22" s="95">
        <v>1.67</v>
      </c>
      <c r="F22" s="63">
        <v>5</v>
      </c>
      <c r="G22" s="95">
        <v>0.86</v>
      </c>
      <c r="H22" s="95">
        <v>0.55000000000000004</v>
      </c>
      <c r="I22" s="94">
        <f t="shared" si="0"/>
        <v>9.905281052578787E-3</v>
      </c>
      <c r="J22" s="95">
        <v>12.67</v>
      </c>
      <c r="K22" s="95">
        <v>3.33</v>
      </c>
      <c r="L22" s="95">
        <v>525.66999999999996</v>
      </c>
      <c r="M22" s="95">
        <v>107.67</v>
      </c>
      <c r="N22" s="95">
        <v>42</v>
      </c>
      <c r="O22" s="95">
        <v>16.329999999999998</v>
      </c>
      <c r="P22" s="33">
        <v>40</v>
      </c>
      <c r="Q22" s="33">
        <v>7</v>
      </c>
      <c r="R22" s="30">
        <v>0</v>
      </c>
      <c r="S22" s="121">
        <v>4</v>
      </c>
      <c r="T22" s="27" t="s">
        <v>448</v>
      </c>
      <c r="U22" s="22" t="str">
        <f t="shared" si="1"/>
        <v>SUI</v>
      </c>
    </row>
    <row r="23" spans="1:25" x14ac:dyDescent="0.25">
      <c r="A23" s="49" t="s">
        <v>21</v>
      </c>
      <c r="B23" s="50">
        <v>3</v>
      </c>
      <c r="C23" s="50" t="s">
        <v>81</v>
      </c>
      <c r="D23" s="50">
        <v>3</v>
      </c>
      <c r="E23" s="50">
        <v>1</v>
      </c>
      <c r="F23" s="59">
        <v>6</v>
      </c>
      <c r="G23" s="50">
        <v>0.85</v>
      </c>
      <c r="H23" s="50">
        <v>0.55000000000000004</v>
      </c>
      <c r="I23" s="69">
        <f t="shared" si="0"/>
        <v>1.4800723494189625E-2</v>
      </c>
      <c r="J23" s="50">
        <v>14.67</v>
      </c>
      <c r="K23" s="50">
        <v>4</v>
      </c>
      <c r="L23" s="50">
        <v>417.67</v>
      </c>
      <c r="M23" s="50">
        <v>99.33</v>
      </c>
      <c r="N23" s="70">
        <v>37</v>
      </c>
      <c r="O23" s="70">
        <v>24</v>
      </c>
      <c r="P23" s="50">
        <v>36</v>
      </c>
      <c r="Q23" s="50">
        <v>5</v>
      </c>
      <c r="R23" s="52">
        <v>0</v>
      </c>
      <c r="S23" s="25">
        <v>4</v>
      </c>
      <c r="T23" s="35" t="s">
        <v>449</v>
      </c>
      <c r="U23" s="23" t="str">
        <f t="shared" si="1"/>
        <v>MEX</v>
      </c>
      <c r="V23" s="93" t="s">
        <v>452</v>
      </c>
      <c r="W23" t="str">
        <f>VLOOKUP(V23,T23:U26,2,FALSE)</f>
        <v>SUE</v>
      </c>
      <c r="X23">
        <v>1</v>
      </c>
      <c r="Y23">
        <f>ABS(SUM(N25:O25)/LOG(I25))</f>
        <v>53.731144241237544</v>
      </c>
    </row>
    <row r="24" spans="1:25" x14ac:dyDescent="0.25">
      <c r="A24" s="31" t="s">
        <v>21</v>
      </c>
      <c r="B24" s="28">
        <v>3</v>
      </c>
      <c r="C24" s="28" t="s">
        <v>80</v>
      </c>
      <c r="D24" s="28">
        <v>2</v>
      </c>
      <c r="E24" s="28">
        <v>0.67</v>
      </c>
      <c r="F24" s="60">
        <v>3</v>
      </c>
      <c r="G24" s="28">
        <v>0.88</v>
      </c>
      <c r="H24" s="28">
        <v>0.67</v>
      </c>
      <c r="I24" s="51">
        <f t="shared" si="0"/>
        <v>1.7121576435838282E-2</v>
      </c>
      <c r="J24" s="28">
        <v>22.33</v>
      </c>
      <c r="K24" s="28">
        <v>6.67</v>
      </c>
      <c r="L24" s="28">
        <v>511.67</v>
      </c>
      <c r="M24" s="28">
        <v>112</v>
      </c>
      <c r="N24" s="28">
        <v>33.33</v>
      </c>
      <c r="O24" s="28">
        <v>11.67</v>
      </c>
      <c r="P24" s="28">
        <v>29</v>
      </c>
      <c r="Q24" s="28">
        <v>2</v>
      </c>
      <c r="R24" s="29">
        <v>1</v>
      </c>
      <c r="S24" s="35">
        <v>4</v>
      </c>
      <c r="T24" s="26"/>
      <c r="U24" s="21" t="str">
        <f t="shared" si="1"/>
        <v>ALE</v>
      </c>
      <c r="V24" s="93" t="s">
        <v>448</v>
      </c>
      <c r="W24" t="str">
        <f>VLOOKUP(V24,T19:U22,2,FALSE)</f>
        <v>SUI</v>
      </c>
      <c r="X24">
        <v>0</v>
      </c>
      <c r="Y24">
        <f>ABS(SUM(N22:O22)/LOG(I22))</f>
        <v>29.104851952637752</v>
      </c>
    </row>
    <row r="25" spans="1:25" x14ac:dyDescent="0.25">
      <c r="A25" s="31" t="s">
        <v>21</v>
      </c>
      <c r="B25" s="28">
        <v>3</v>
      </c>
      <c r="C25" s="28" t="s">
        <v>82</v>
      </c>
      <c r="D25" s="96">
        <v>5</v>
      </c>
      <c r="E25" s="96">
        <v>1.67</v>
      </c>
      <c r="F25" s="60">
        <v>6</v>
      </c>
      <c r="G25" s="96">
        <v>0.74</v>
      </c>
      <c r="H25" s="96">
        <v>0.39</v>
      </c>
      <c r="I25" s="119">
        <f t="shared" si="0"/>
        <v>3.2903893064126132E-2</v>
      </c>
      <c r="J25" s="96">
        <v>12</v>
      </c>
      <c r="K25" s="96">
        <v>5</v>
      </c>
      <c r="L25" s="96">
        <v>288.33</v>
      </c>
      <c r="M25" s="96">
        <v>104.67</v>
      </c>
      <c r="N25" s="96">
        <v>44</v>
      </c>
      <c r="O25" s="96">
        <v>35.67</v>
      </c>
      <c r="P25" s="28">
        <v>44</v>
      </c>
      <c r="Q25" s="28">
        <v>5</v>
      </c>
      <c r="R25" s="29">
        <v>0</v>
      </c>
      <c r="S25" s="120">
        <v>2</v>
      </c>
      <c r="T25" s="26" t="s">
        <v>452</v>
      </c>
      <c r="U25" s="21" t="str">
        <f t="shared" si="1"/>
        <v>SUE</v>
      </c>
      <c r="V25" s="93" t="s">
        <v>461</v>
      </c>
      <c r="W25">
        <v>20180703</v>
      </c>
      <c r="X25">
        <v>1500</v>
      </c>
    </row>
    <row r="26" spans="1:25" ht="15.75" thickBot="1" x14ac:dyDescent="0.3">
      <c r="A26" s="53" t="s">
        <v>21</v>
      </c>
      <c r="B26" s="54">
        <v>3</v>
      </c>
      <c r="C26" s="54" t="s">
        <v>83</v>
      </c>
      <c r="D26" s="54">
        <v>3</v>
      </c>
      <c r="E26" s="54">
        <v>1</v>
      </c>
      <c r="F26" s="61">
        <v>3</v>
      </c>
      <c r="G26" s="118">
        <v>0.78</v>
      </c>
      <c r="H26" s="118">
        <v>0.4</v>
      </c>
      <c r="I26" s="83">
        <f t="shared" si="0"/>
        <v>1.516207627118644E-2</v>
      </c>
      <c r="J26" s="54">
        <v>11</v>
      </c>
      <c r="K26" s="54">
        <v>3.67</v>
      </c>
      <c r="L26" s="54">
        <v>472</v>
      </c>
      <c r="M26" s="54">
        <v>106.67</v>
      </c>
      <c r="N26" s="54">
        <v>43.33</v>
      </c>
      <c r="O26" s="54">
        <v>31.33</v>
      </c>
      <c r="P26" s="54">
        <v>63</v>
      </c>
      <c r="Q26" s="54">
        <v>10</v>
      </c>
      <c r="R26" s="55">
        <v>0</v>
      </c>
      <c r="S26" s="22">
        <v>3</v>
      </c>
      <c r="T26" s="34"/>
      <c r="U26" s="22" t="str">
        <f t="shared" si="1"/>
        <v>COR</v>
      </c>
    </row>
    <row r="27" spans="1:25" x14ac:dyDescent="0.25">
      <c r="A27" s="56" t="s">
        <v>22</v>
      </c>
      <c r="B27" s="57">
        <v>3</v>
      </c>
      <c r="C27" s="57" t="s">
        <v>84</v>
      </c>
      <c r="D27" s="57">
        <v>9</v>
      </c>
      <c r="E27" s="57">
        <v>3</v>
      </c>
      <c r="F27" s="62">
        <v>9</v>
      </c>
      <c r="G27" s="57">
        <v>0.87</v>
      </c>
      <c r="H27" s="57">
        <v>0.55000000000000004</v>
      </c>
      <c r="I27" s="97">
        <f t="shared" si="0"/>
        <v>2.212734212352533E-2</v>
      </c>
      <c r="J27" s="57">
        <v>17.670000000000002</v>
      </c>
      <c r="K27" s="57">
        <v>7.33</v>
      </c>
      <c r="L27" s="57">
        <v>524</v>
      </c>
      <c r="M27" s="57">
        <v>104</v>
      </c>
      <c r="N27" s="98">
        <v>39.33</v>
      </c>
      <c r="O27" s="98">
        <v>17</v>
      </c>
      <c r="P27" s="57">
        <v>43</v>
      </c>
      <c r="Q27" s="57">
        <v>5</v>
      </c>
      <c r="R27" s="58">
        <v>0</v>
      </c>
      <c r="S27" s="25">
        <v>2</v>
      </c>
      <c r="T27" s="25" t="s">
        <v>450</v>
      </c>
      <c r="U27" s="23" t="str">
        <f t="shared" si="1"/>
        <v>BEL</v>
      </c>
      <c r="V27" s="90" t="s">
        <v>450</v>
      </c>
      <c r="W27" t="str">
        <f>VLOOKUP(V27,T27:U30,2,FALSE)</f>
        <v>BEL</v>
      </c>
      <c r="X27">
        <v>2</v>
      </c>
      <c r="Y27">
        <f>ABS(SUM(N27:O27)/LOG(I27))</f>
        <v>34.034798830568171</v>
      </c>
    </row>
    <row r="28" spans="1:25" x14ac:dyDescent="0.25">
      <c r="A28" s="31" t="s">
        <v>22</v>
      </c>
      <c r="B28" s="28">
        <v>3</v>
      </c>
      <c r="C28" s="28" t="s">
        <v>86</v>
      </c>
      <c r="D28" s="28">
        <v>5</v>
      </c>
      <c r="E28" s="28">
        <v>1.67</v>
      </c>
      <c r="F28" s="60">
        <v>3</v>
      </c>
      <c r="G28" s="28">
        <v>0.84</v>
      </c>
      <c r="H28" s="28">
        <v>0.51</v>
      </c>
      <c r="I28" s="51">
        <f t="shared" si="0"/>
        <v>1.4930317386233913E-2</v>
      </c>
      <c r="J28" s="28">
        <v>12</v>
      </c>
      <c r="K28" s="28">
        <v>4.33</v>
      </c>
      <c r="L28" s="28">
        <v>477.67</v>
      </c>
      <c r="M28" s="28">
        <v>104</v>
      </c>
      <c r="N28" s="28">
        <v>36.67</v>
      </c>
      <c r="O28" s="28">
        <v>19.329999999999998</v>
      </c>
      <c r="P28" s="28">
        <v>46</v>
      </c>
      <c r="Q28" s="28">
        <v>4</v>
      </c>
      <c r="R28" s="29">
        <v>0</v>
      </c>
      <c r="S28" s="35">
        <v>8</v>
      </c>
      <c r="T28" s="26"/>
      <c r="U28" s="21" t="str">
        <f t="shared" si="1"/>
        <v>TUN</v>
      </c>
      <c r="V28" s="90" t="s">
        <v>451</v>
      </c>
      <c r="W28" t="str">
        <f>VLOOKUP(V28,T31:U34,2,FALSE)</f>
        <v>JAP</v>
      </c>
      <c r="X28">
        <v>2</v>
      </c>
      <c r="Y28">
        <f>ABS(SUM(N31:O31)/LOG(I31))</f>
        <v>35.810311011478902</v>
      </c>
    </row>
    <row r="29" spans="1:25" x14ac:dyDescent="0.25">
      <c r="A29" s="31" t="s">
        <v>22</v>
      </c>
      <c r="B29" s="28">
        <v>3</v>
      </c>
      <c r="C29" s="28" t="s">
        <v>87</v>
      </c>
      <c r="D29" s="28">
        <v>8</v>
      </c>
      <c r="E29" s="28">
        <v>2.67</v>
      </c>
      <c r="F29" s="60">
        <v>6</v>
      </c>
      <c r="G29" s="101">
        <v>0.91</v>
      </c>
      <c r="H29" s="101">
        <v>0.55000000000000004</v>
      </c>
      <c r="I29" s="101">
        <f t="shared" si="0"/>
        <v>1.5737491720522901E-2</v>
      </c>
      <c r="J29" s="28">
        <v>14</v>
      </c>
      <c r="K29" s="28">
        <v>5</v>
      </c>
      <c r="L29" s="28">
        <v>525.66999999999996</v>
      </c>
      <c r="M29" s="28">
        <v>104.33</v>
      </c>
      <c r="N29" s="102">
        <v>31.67</v>
      </c>
      <c r="O29" s="102">
        <v>9.67</v>
      </c>
      <c r="P29" s="28">
        <v>33</v>
      </c>
      <c r="Q29" s="28">
        <v>2</v>
      </c>
      <c r="R29" s="29">
        <v>0</v>
      </c>
      <c r="S29" s="102">
        <v>3</v>
      </c>
      <c r="T29" s="26" t="s">
        <v>454</v>
      </c>
      <c r="U29" s="21" t="str">
        <f t="shared" si="1"/>
        <v>ING</v>
      </c>
      <c r="V29" s="90" t="s">
        <v>457</v>
      </c>
      <c r="W29">
        <v>20180702</v>
      </c>
      <c r="X29">
        <v>1900</v>
      </c>
    </row>
    <row r="30" spans="1:25" ht="15.75" thickBot="1" x14ac:dyDescent="0.3">
      <c r="A30" s="32" t="s">
        <v>22</v>
      </c>
      <c r="B30" s="33">
        <v>3</v>
      </c>
      <c r="C30" s="33" t="s">
        <v>85</v>
      </c>
      <c r="D30" s="33">
        <v>2</v>
      </c>
      <c r="E30" s="33">
        <v>0.67</v>
      </c>
      <c r="F30" s="63">
        <v>0</v>
      </c>
      <c r="G30" s="33">
        <v>0.83</v>
      </c>
      <c r="H30" s="33">
        <v>0.39</v>
      </c>
      <c r="I30" s="81">
        <f t="shared" si="0"/>
        <v>1.6978837936796522E-2</v>
      </c>
      <c r="J30" s="33">
        <v>7.67</v>
      </c>
      <c r="K30" s="33">
        <v>2.67</v>
      </c>
      <c r="L30" s="33">
        <v>334.67</v>
      </c>
      <c r="M30" s="33">
        <v>97</v>
      </c>
      <c r="N30" s="33">
        <v>33</v>
      </c>
      <c r="O30" s="33">
        <v>24</v>
      </c>
      <c r="P30" s="33">
        <v>49</v>
      </c>
      <c r="Q30" s="33">
        <v>11</v>
      </c>
      <c r="R30" s="30">
        <v>0</v>
      </c>
      <c r="S30" s="22">
        <v>11</v>
      </c>
      <c r="T30" s="27"/>
      <c r="U30" s="22" t="str">
        <f t="shared" si="1"/>
        <v>PAN</v>
      </c>
    </row>
    <row r="31" spans="1:25" x14ac:dyDescent="0.25">
      <c r="A31" s="49" t="s">
        <v>23</v>
      </c>
      <c r="B31" s="50">
        <v>3</v>
      </c>
      <c r="C31" s="50" t="s">
        <v>91</v>
      </c>
      <c r="D31" s="50">
        <v>4</v>
      </c>
      <c r="E31" s="50">
        <v>1.33</v>
      </c>
      <c r="F31" s="59">
        <v>4</v>
      </c>
      <c r="G31" s="50">
        <v>0.85</v>
      </c>
      <c r="H31" s="50">
        <v>0.56000000000000005</v>
      </c>
      <c r="I31" s="99">
        <f t="shared" si="0"/>
        <v>1.1579403374646826E-2</v>
      </c>
      <c r="J31" s="50">
        <v>10.33</v>
      </c>
      <c r="K31" s="50">
        <v>4</v>
      </c>
      <c r="L31" s="50">
        <v>524.33000000000004</v>
      </c>
      <c r="M31" s="50">
        <v>96.33</v>
      </c>
      <c r="N31" s="100">
        <v>41.67</v>
      </c>
      <c r="O31" s="100">
        <v>27.67</v>
      </c>
      <c r="P31" s="50">
        <v>28</v>
      </c>
      <c r="Q31" s="50">
        <v>4</v>
      </c>
      <c r="R31" s="52">
        <v>0</v>
      </c>
      <c r="S31" s="35">
        <v>4</v>
      </c>
      <c r="T31" s="35" t="s">
        <v>451</v>
      </c>
      <c r="U31" s="21" t="str">
        <f t="shared" si="1"/>
        <v>JAP</v>
      </c>
      <c r="V31" s="103" t="s">
        <v>453</v>
      </c>
      <c r="W31" t="str">
        <f>VLOOKUP(V31,T31:U34,2,FALSE)</f>
        <v>COL</v>
      </c>
      <c r="X31">
        <v>2</v>
      </c>
      <c r="Y31">
        <f>ABS(SUM(N32:O32)/LOG(I32))</f>
        <v>31.781367591210323</v>
      </c>
    </row>
    <row r="32" spans="1:25" x14ac:dyDescent="0.25">
      <c r="A32" s="31" t="s">
        <v>23</v>
      </c>
      <c r="B32" s="28">
        <v>3</v>
      </c>
      <c r="C32" s="28" t="s">
        <v>90</v>
      </c>
      <c r="D32" s="28">
        <v>5</v>
      </c>
      <c r="E32" s="28">
        <v>1.67</v>
      </c>
      <c r="F32" s="60">
        <v>6</v>
      </c>
      <c r="G32" s="101">
        <v>0.82</v>
      </c>
      <c r="H32" s="101">
        <v>0.51</v>
      </c>
      <c r="I32" s="101">
        <f t="shared" si="0"/>
        <v>9.9297785868910048E-3</v>
      </c>
      <c r="J32" s="28">
        <v>8.33</v>
      </c>
      <c r="K32" s="28">
        <v>2.67</v>
      </c>
      <c r="L32" s="28">
        <v>432.33</v>
      </c>
      <c r="M32" s="28">
        <v>100.33</v>
      </c>
      <c r="N32" s="102">
        <v>42.33</v>
      </c>
      <c r="O32" s="102">
        <v>21.33</v>
      </c>
      <c r="P32" s="28">
        <v>40</v>
      </c>
      <c r="Q32" s="28">
        <v>3</v>
      </c>
      <c r="R32" s="29">
        <v>1</v>
      </c>
      <c r="S32" s="102">
        <v>2</v>
      </c>
      <c r="T32" s="26" t="s">
        <v>453</v>
      </c>
      <c r="U32" s="21" t="str">
        <f t="shared" si="1"/>
        <v>COL</v>
      </c>
      <c r="V32" s="103" t="s">
        <v>454</v>
      </c>
      <c r="W32" t="str">
        <f>VLOOKUP(V32,T27:U30,2,FALSE)</f>
        <v>ING</v>
      </c>
      <c r="X32">
        <v>1</v>
      </c>
      <c r="Y32">
        <f>ABS(SUM(N29:O29)/LOG(I29))</f>
        <v>22.927632558638887</v>
      </c>
    </row>
    <row r="33" spans="1:24" x14ac:dyDescent="0.25">
      <c r="A33" s="31" t="s">
        <v>23</v>
      </c>
      <c r="B33" s="28">
        <v>3</v>
      </c>
      <c r="C33" s="28" t="s">
        <v>88</v>
      </c>
      <c r="D33" s="28">
        <v>2</v>
      </c>
      <c r="E33" s="28">
        <v>0.67</v>
      </c>
      <c r="F33" s="60">
        <v>3</v>
      </c>
      <c r="G33" s="28">
        <v>0.83</v>
      </c>
      <c r="H33" s="28">
        <v>0.49</v>
      </c>
      <c r="I33" s="51">
        <f t="shared" si="0"/>
        <v>9.4353640732365799E-3</v>
      </c>
      <c r="J33" s="28">
        <v>10</v>
      </c>
      <c r="K33" s="28">
        <v>2.67</v>
      </c>
      <c r="L33" s="28">
        <v>479.33</v>
      </c>
      <c r="M33" s="28">
        <v>99</v>
      </c>
      <c r="N33" s="28">
        <v>45.33</v>
      </c>
      <c r="O33" s="28">
        <v>24.67</v>
      </c>
      <c r="P33" s="28">
        <v>31</v>
      </c>
      <c r="Q33" s="28">
        <v>3</v>
      </c>
      <c r="R33" s="29">
        <v>0</v>
      </c>
      <c r="S33" s="35">
        <v>5</v>
      </c>
      <c r="T33" s="26"/>
      <c r="U33" s="21" t="str">
        <f t="shared" si="1"/>
        <v>POL</v>
      </c>
      <c r="V33" s="103" t="s">
        <v>462</v>
      </c>
      <c r="W33">
        <v>20180703</v>
      </c>
      <c r="X33">
        <v>1900</v>
      </c>
    </row>
    <row r="34" spans="1:24" ht="15.75" thickBot="1" x14ac:dyDescent="0.3">
      <c r="A34" s="32" t="s">
        <v>23</v>
      </c>
      <c r="B34" s="33">
        <v>3</v>
      </c>
      <c r="C34" s="33" t="s">
        <v>416</v>
      </c>
      <c r="D34" s="33">
        <v>4</v>
      </c>
      <c r="E34" s="33">
        <v>1.33</v>
      </c>
      <c r="F34" s="63">
        <v>4</v>
      </c>
      <c r="G34" s="64">
        <v>0.79</v>
      </c>
      <c r="H34" s="64">
        <v>0.44</v>
      </c>
      <c r="I34" s="65">
        <f t="shared" si="0"/>
        <v>2.2727272727272728E-2</v>
      </c>
      <c r="J34" s="64">
        <v>10</v>
      </c>
      <c r="K34" s="64">
        <v>4</v>
      </c>
      <c r="L34" s="64">
        <v>316</v>
      </c>
      <c r="M34" s="64">
        <v>102</v>
      </c>
      <c r="N34" s="64">
        <v>49</v>
      </c>
      <c r="O34" s="64">
        <v>31</v>
      </c>
      <c r="P34" s="64">
        <v>44</v>
      </c>
      <c r="Q34" s="64">
        <v>6</v>
      </c>
      <c r="R34" s="66">
        <v>0</v>
      </c>
      <c r="S34" s="67">
        <v>4</v>
      </c>
      <c r="T34" s="27"/>
      <c r="U34" s="22" t="str">
        <f t="shared" si="1"/>
        <v>SEN</v>
      </c>
    </row>
    <row r="35" spans="1:24" ht="15.75" thickBot="1" x14ac:dyDescent="0.3">
      <c r="A35" s="16" t="s">
        <v>2</v>
      </c>
      <c r="B35" s="17" t="s">
        <v>110</v>
      </c>
      <c r="C35" s="17" t="s">
        <v>111</v>
      </c>
      <c r="D35" s="17" t="s">
        <v>418</v>
      </c>
      <c r="E35" s="17" t="s">
        <v>417</v>
      </c>
      <c r="F35" s="17" t="s">
        <v>419</v>
      </c>
      <c r="G35" s="17" t="s">
        <v>420</v>
      </c>
      <c r="H35" s="17" t="s">
        <v>421</v>
      </c>
      <c r="I35" s="17"/>
      <c r="J35" s="17" t="s">
        <v>422</v>
      </c>
      <c r="K35" s="17" t="s">
        <v>423</v>
      </c>
      <c r="L35" s="17" t="s">
        <v>312</v>
      </c>
      <c r="M35" s="17" t="s">
        <v>424</v>
      </c>
      <c r="N35" s="17" t="s">
        <v>425</v>
      </c>
      <c r="O35" s="17" t="s">
        <v>426</v>
      </c>
      <c r="P35" s="17" t="s">
        <v>251</v>
      </c>
      <c r="Q35" s="17" t="s">
        <v>427</v>
      </c>
      <c r="R35" s="44" t="s">
        <v>428</v>
      </c>
      <c r="S35" s="24"/>
      <c r="T35" s="24" t="s">
        <v>437</v>
      </c>
    </row>
    <row r="37" spans="1:24" x14ac:dyDescent="0.25">
      <c r="A37" t="s">
        <v>4</v>
      </c>
      <c r="D37">
        <f>SUM(D3:D6)</f>
        <v>17</v>
      </c>
      <c r="F37">
        <f>SUM(F3:F6)</f>
        <v>18</v>
      </c>
      <c r="G37" s="104">
        <f>AVERAGE(G3:G6)</f>
        <v>0.83250000000000002</v>
      </c>
      <c r="I37" s="105">
        <f>AVERAGE(I3:I6)</f>
        <v>1.2667889066624388E-2</v>
      </c>
      <c r="J37" s="104">
        <f>AVERAGE(J3:J6)</f>
        <v>11.335000000000001</v>
      </c>
      <c r="K37" s="104">
        <f>AVERAGE(K3:K6)</f>
        <v>3.4175</v>
      </c>
      <c r="M37" s="6">
        <f>AVERAGE(M3:M6)</f>
        <v>106.49749999999999</v>
      </c>
      <c r="N37" s="104">
        <f>AVERAGE(N3:N6)</f>
        <v>47.085000000000008</v>
      </c>
      <c r="O37" s="104">
        <f>AVERAGE(O3:O6)</f>
        <v>25.0825</v>
      </c>
    </row>
    <row r="38" spans="1:24" x14ac:dyDescent="0.25">
      <c r="A38" t="s">
        <v>17</v>
      </c>
      <c r="D38">
        <f>SUM(D7:D10)</f>
        <v>15</v>
      </c>
      <c r="F38">
        <f>SUM(F7:F10)</f>
        <v>15</v>
      </c>
      <c r="G38" s="104">
        <f>AVERAGE(G7:G10)</f>
        <v>0.8125</v>
      </c>
      <c r="I38" s="105">
        <f>AVERAGE(I7:I10)</f>
        <v>1.1289881056273243E-2</v>
      </c>
      <c r="J38" s="104">
        <f>AVERAGE(J7:J10)</f>
        <v>11.085000000000001</v>
      </c>
      <c r="K38" s="104">
        <f>AVERAGE(K7:K10)</f>
        <v>2.915</v>
      </c>
      <c r="M38" s="6">
        <f>AVERAGE(M7:M10)</f>
        <v>102.08499999999999</v>
      </c>
      <c r="N38" s="104">
        <f>AVERAGE(N7:N10)</f>
        <v>40</v>
      </c>
      <c r="O38" s="104">
        <f>AVERAGE(O7:O10)</f>
        <v>20.8325</v>
      </c>
    </row>
    <row r="39" spans="1:24" x14ac:dyDescent="0.25">
      <c r="A39" t="s">
        <v>18</v>
      </c>
      <c r="D39">
        <f>SUM(D11:D14)</f>
        <v>9</v>
      </c>
      <c r="F39">
        <f>SUM(F11:F14)</f>
        <v>16</v>
      </c>
      <c r="G39" s="104">
        <f>AVERAGE(G11:G14)</f>
        <v>0.83</v>
      </c>
      <c r="I39" s="105">
        <f>AVERAGE(I11:I14)</f>
        <v>1.2554807932647349E-2</v>
      </c>
      <c r="J39" s="104">
        <f>AVERAGE(J11:J14)</f>
        <v>10.335000000000001</v>
      </c>
      <c r="K39" s="104">
        <f>AVERAGE(K11:K14)</f>
        <v>3.4175</v>
      </c>
      <c r="M39" s="6">
        <f>AVERAGE(M11:M14)</f>
        <v>106.16499999999999</v>
      </c>
      <c r="N39" s="104">
        <f>AVERAGE(N11:N14)</f>
        <v>43.002499999999998</v>
      </c>
      <c r="O39" s="104">
        <f>AVERAGE(O11:O14)</f>
        <v>23.5825</v>
      </c>
    </row>
    <row r="40" spans="1:24" x14ac:dyDescent="0.25">
      <c r="A40" t="s">
        <v>19</v>
      </c>
      <c r="D40">
        <f>SUM(D15:D18)</f>
        <v>15</v>
      </c>
      <c r="F40">
        <f>SUM(F15:F18)</f>
        <v>17</v>
      </c>
      <c r="G40" s="104">
        <f>AVERAGE(G15:G18)</f>
        <v>0.8</v>
      </c>
      <c r="I40" s="105">
        <f>AVERAGE(I15:I18)</f>
        <v>1.5997578047589726E-2</v>
      </c>
      <c r="J40" s="104">
        <f>AVERAGE(J15:J18)</f>
        <v>13.1675</v>
      </c>
      <c r="K40" s="104">
        <f>AVERAGE(K15:K18)</f>
        <v>3.6675</v>
      </c>
      <c r="M40" s="6">
        <f>AVERAGE(M15:M18)</f>
        <v>102.08500000000001</v>
      </c>
      <c r="N40" s="104">
        <f>AVERAGE(N15:N18)</f>
        <v>39.25</v>
      </c>
      <c r="O40" s="104">
        <f>AVERAGE(O15:O18)</f>
        <v>26.5</v>
      </c>
    </row>
    <row r="41" spans="1:24" x14ac:dyDescent="0.25">
      <c r="A41" t="s">
        <v>20</v>
      </c>
      <c r="D41">
        <f>SUM(D19:D22)</f>
        <v>14</v>
      </c>
      <c r="F41">
        <f>SUM(F19:F22)</f>
        <v>16</v>
      </c>
      <c r="G41" s="104">
        <f>AVERAGE(G19:G22)</f>
        <v>0.83499999999999996</v>
      </c>
      <c r="I41" s="105">
        <f>AVERAGE(I19:I22)</f>
        <v>1.4556132178115973E-2</v>
      </c>
      <c r="J41" s="104">
        <f>AVERAGE(J19:J22)</f>
        <v>12.9175</v>
      </c>
      <c r="K41" s="104">
        <f>AVERAGE(K19:K22)</f>
        <v>3.915</v>
      </c>
      <c r="M41" s="6">
        <f>AVERAGE(M19:M22)</f>
        <v>107.7075</v>
      </c>
      <c r="N41" s="104">
        <f>AVERAGE(N19:N22)</f>
        <v>43.164999999999999</v>
      </c>
      <c r="O41" s="104">
        <f>AVERAGE(O19:O22)</f>
        <v>25.2075</v>
      </c>
    </row>
    <row r="42" spans="1:24" x14ac:dyDescent="0.25">
      <c r="A42" t="s">
        <v>21</v>
      </c>
      <c r="D42">
        <f>SUM(D23:D26)</f>
        <v>13</v>
      </c>
      <c r="F42">
        <f>SUM(F23:F26)</f>
        <v>18</v>
      </c>
      <c r="G42" s="104">
        <f>AVERAGE(G23:G26)</f>
        <v>0.8125</v>
      </c>
      <c r="I42" s="105">
        <f>AVERAGE(I23:I26)</f>
        <v>1.9997067316335122E-2</v>
      </c>
      <c r="J42" s="104">
        <f>AVERAGE(J23:J26)</f>
        <v>15</v>
      </c>
      <c r="K42" s="104">
        <f>AVERAGE(K23:K26)</f>
        <v>4.835</v>
      </c>
      <c r="M42" s="6">
        <f>AVERAGE(M23:M26)</f>
        <v>105.6675</v>
      </c>
      <c r="N42" s="104">
        <f>AVERAGE(N23:N26)</f>
        <v>39.414999999999999</v>
      </c>
      <c r="O42" s="104">
        <f>AVERAGE(O23:O26)</f>
        <v>25.6675</v>
      </c>
    </row>
    <row r="43" spans="1:24" x14ac:dyDescent="0.25">
      <c r="A43" t="s">
        <v>22</v>
      </c>
      <c r="D43">
        <f>SUM(D27:D30)</f>
        <v>24</v>
      </c>
      <c r="F43">
        <f>SUM(F27:F30)</f>
        <v>18</v>
      </c>
      <c r="G43" s="104">
        <f>AVERAGE(G27:G30)</f>
        <v>0.86250000000000004</v>
      </c>
      <c r="I43" s="105">
        <f>AVERAGE(I27:I30)</f>
        <v>1.7443497291769666E-2</v>
      </c>
      <c r="J43" s="104">
        <f>AVERAGE(J27:J30)</f>
        <v>12.835000000000001</v>
      </c>
      <c r="K43" s="104">
        <f>AVERAGE(K27:K30)</f>
        <v>4.8324999999999996</v>
      </c>
      <c r="M43" s="6">
        <f>AVERAGE(M27:M30)</f>
        <v>102.3325</v>
      </c>
      <c r="N43" s="104">
        <f>AVERAGE(N27:N30)</f>
        <v>35.167500000000004</v>
      </c>
      <c r="O43" s="104">
        <f>AVERAGE(O27:O30)</f>
        <v>17.5</v>
      </c>
    </row>
    <row r="44" spans="1:24" x14ac:dyDescent="0.25">
      <c r="A44" t="s">
        <v>23</v>
      </c>
      <c r="D44">
        <f>SUM(D31:D34)</f>
        <v>15</v>
      </c>
      <c r="F44">
        <f>SUM(F31:F34)</f>
        <v>17</v>
      </c>
      <c r="G44" s="104">
        <f>AVERAGE(G31:G34)</f>
        <v>0.82250000000000001</v>
      </c>
      <c r="I44" s="105">
        <f>AVERAGE(I31:I34)</f>
        <v>1.3417954690511784E-2</v>
      </c>
      <c r="J44" s="104">
        <f>AVERAGE(J31:J34)</f>
        <v>9.6649999999999991</v>
      </c>
      <c r="K44" s="104">
        <f>AVERAGE(K31:K34)</f>
        <v>3.335</v>
      </c>
      <c r="M44" s="6">
        <f>AVERAGE(M31:M34)</f>
        <v>99.414999999999992</v>
      </c>
      <c r="N44" s="104">
        <f>AVERAGE(N31:N34)</f>
        <v>44.582499999999996</v>
      </c>
      <c r="O44" s="104">
        <f>AVERAGE(O31:O34)</f>
        <v>26.1675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8CEBF-C14A-499F-ACD5-0C73D3A33E32}">
  <dimension ref="A1:O85"/>
  <sheetViews>
    <sheetView topLeftCell="A66" workbookViewId="0">
      <selection activeCell="M83" sqref="M83"/>
    </sheetView>
  </sheetViews>
  <sheetFormatPr defaultRowHeight="15" x14ac:dyDescent="0.25"/>
  <cols>
    <col min="1" max="1" width="42.140625" bestFit="1" customWidth="1"/>
    <col min="6" max="8" width="4" bestFit="1" customWidth="1"/>
    <col min="9" max="9" width="3" bestFit="1" customWidth="1"/>
    <col min="10" max="10" width="3.5703125" bestFit="1" customWidth="1"/>
    <col min="11" max="11" width="10.42578125" bestFit="1" customWidth="1"/>
    <col min="12" max="12" width="14.140625" bestFit="1" customWidth="1"/>
    <col min="13" max="13" width="23.7109375" bestFit="1" customWidth="1"/>
    <col min="14" max="14" width="2.5703125" customWidth="1"/>
    <col min="15" max="15" width="19.5703125" bestFit="1" customWidth="1"/>
  </cols>
  <sheetData>
    <row r="1" spans="1:15" x14ac:dyDescent="0.25">
      <c r="A1" t="s">
        <v>385</v>
      </c>
    </row>
    <row r="2" spans="1:15" x14ac:dyDescent="0.25">
      <c r="A2" t="s">
        <v>406</v>
      </c>
      <c r="B2" t="s">
        <v>57</v>
      </c>
      <c r="C2" t="s">
        <v>407</v>
      </c>
      <c r="D2" t="s">
        <v>109</v>
      </c>
      <c r="E2" t="s">
        <v>408</v>
      </c>
      <c r="F2" t="s">
        <v>409</v>
      </c>
      <c r="G2" t="s">
        <v>410</v>
      </c>
      <c r="H2" t="s">
        <v>412</v>
      </c>
      <c r="I2" t="s">
        <v>411</v>
      </c>
      <c r="J2" t="s">
        <v>386</v>
      </c>
      <c r="K2" t="s">
        <v>413</v>
      </c>
      <c r="L2" t="s">
        <v>0</v>
      </c>
    </row>
    <row r="3" spans="1:15" x14ac:dyDescent="0.25">
      <c r="A3" t="s">
        <v>387</v>
      </c>
      <c r="B3">
        <f>$A$22</f>
        <v>20180623</v>
      </c>
      <c r="C3" t="str">
        <f>MID(A3,1,SEARCH("º",A3)-1)</f>
        <v>1</v>
      </c>
      <c r="D3">
        <f>VALUE(MID(A3,K3-2,3))</f>
        <v>356</v>
      </c>
      <c r="E3">
        <f>VALUE(MID(A3,K3-3,1))</f>
        <v>3</v>
      </c>
      <c r="K3">
        <f>LEN(A3)</f>
        <v>38</v>
      </c>
      <c r="L3" t="str">
        <f>MID(A3,SEARCH("º",A3,5)+1,K3-SEARCH("º",A3,3))</f>
        <v>003035763356</v>
      </c>
      <c r="M3" t="str">
        <f>IF(AND(CODE(MID(MID(A3,SEARCH("º",A3,1)+1,SEARCH("º",A3,4)-SEARCH("º",A3,1)-4),LEN(MID(A3,SEARCH("º",A3,1)+1,SEARCH("º",A3,4)-SEARCH("º",A3,1)-4)),1))&gt;47,CODE(MID(MID(A3,SEARCH("º",A3,1)+1,SEARCH("º",A3,4)-SEARCH("º",A3,1)-4),LEN(MID(A3,SEARCH("º",A3,1)+1,SEARCH("º",A3,4)-SEARCH("º",A3,1)-4)),1))&lt;58),IF(AND(CODE(MID(MID(A3,SEARCH("º",A3,1)+1,SEARCH("º",A3,4)-SEARCH("º",A3,1)-4),LEN(MID(A3,SEARCH("º",A3,1)+1,SEARCH("º",A3,4)-SEARCH("º",A3,1)-5)),1))&gt;47,CODE(MID(MID(A3,SEARCH("º",A3,1)+1,SEARCH("º",A3,4)-SEARCH("º",A3,1)-5),LEN(MID(A3,SEARCH("º",A3,1)+1,SEARCH("º",A3,4)-SEARCH("º",A3,1)-5)),1))&lt;58),IF(AND(CODE(MID(MID(A3,SEARCH("º",A3,1)+1,SEARCH("º",A3,4)-SEARCH("º",A3,1)-4),LEN(MID(A3,SEARCH("º",A3,1)+1,SEARCH("º",A3,4)-SEARCH("º",A3,1)-4)),1))&gt;47,CODE(MID(MID(A3,SEARCH("º",A3,1)+1,SEARCH("º",A3,4)-SEARCH("º",A3,1)-4),LEN(MID(A3,SEARCH("º",A3,1)+1,SEARCH("º",A3,4)-SEARCH("º",A3,1)-4)),1))&lt;58),IF(AND(CODE(MID(MID(A3,SEARCH("º",A3,1)+1,SEARCH("º",A3,4)-SEARCH("º",A3,1)-4),LEN(MID(A3,SEARCH("º",A3,1)+1,SEARCH("º",A3,4)-SEARCH("º",A3,1)-6)),1))&gt;47,CODE(MID(MID(A3,SEARCH("º",A3,1)+1,SEARCH("º",A3,4)-SEARCH("º",A3,1)-6),LEN(MID(A3,SEARCH("º",A3,1)+1,SEARCH("º",A3,4)-SEARCH("º",A3,1)-6)),1))&lt;58),"MAIS UM",MID(A3,SEARCH("º",A3,1)+1,SEARCH("º",A3,4)-SEARCH("º",A3,1)-6)),MID(A3,SEARCH("º",A3,1)+1,SEARCH("º",A3,4)-SEARCH("º",A3,1)-4)),MID(A3,SEARCH("º",A3,1)+1,SEARCH("º",A3,4)-SEARCH("º",A3,1)-5)),MID(A3,SEARCH("º",A3,1)+1,SEARCH("º",A3,4)-SEARCH("º",A3,1)-4))</f>
        <v>Fernando Gloria Dias</v>
      </c>
      <c r="O3" t="s">
        <v>609</v>
      </c>
    </row>
    <row r="4" spans="1:15" x14ac:dyDescent="0.25">
      <c r="A4" t="s">
        <v>388</v>
      </c>
      <c r="B4">
        <f t="shared" ref="B4:B21" si="0">$A$22</f>
        <v>20180623</v>
      </c>
      <c r="C4" t="str">
        <f t="shared" ref="C4:C21" si="1">MID(A4,1,SEARCH("º",A4)-1)</f>
        <v>2</v>
      </c>
      <c r="D4">
        <f t="shared" ref="D4:D21" si="2">VALUE(MID(A4,K4-2,3))</f>
        <v>339</v>
      </c>
      <c r="E4">
        <f t="shared" ref="E4:E21" si="3">VALUE(MID(A4,K4-3,1))</f>
        <v>7</v>
      </c>
      <c r="K4">
        <f t="shared" ref="K4:K21" si="4">LEN(A4)</f>
        <v>32</v>
      </c>
      <c r="L4" t="str">
        <f t="shared" ref="L4:L21" si="5">MID(A4,SEARCH("º",A4,5)+1,K4-SEARCH("º",A4,3))</f>
        <v>002031647339</v>
      </c>
      <c r="M4" t="str">
        <f t="shared" ref="M4:M21" si="6">IF(AND(CODE(MID(MID(A4,SEARCH("º",A4,1)+1,SEARCH("º",A4,4)-SEARCH("º",A4,1)-4),LEN(MID(A4,SEARCH("º",A4,1)+1,SEARCH("º",A4,4)-SEARCH("º",A4,1)-4)),1))&gt;47,CODE(MID(MID(A4,SEARCH("º",A4,1)+1,SEARCH("º",A4,4)-SEARCH("º",A4,1)-4),LEN(MID(A4,SEARCH("º",A4,1)+1,SEARCH("º",A4,4)-SEARCH("º",A4,1)-4)),1))&lt;58),IF(AND(CODE(MID(MID(A4,SEARCH("º",A4,1)+1,SEARCH("º",A4,4)-SEARCH("º",A4,1)-4),LEN(MID(A4,SEARCH("º",A4,1)+1,SEARCH("º",A4,4)-SEARCH("º",A4,1)-5)),1))&gt;47,CODE(MID(MID(A4,SEARCH("º",A4,1)+1,SEARCH("º",A4,4)-SEARCH("º",A4,1)-5),LEN(MID(A4,SEARCH("º",A4,1)+1,SEARCH("º",A4,4)-SEARCH("º",A4,1)-5)),1))&lt;58),IF(AND(CODE(MID(MID(A4,SEARCH("º",A4,1)+1,SEARCH("º",A4,4)-SEARCH("º",A4,1)-4),LEN(MID(A4,SEARCH("º",A4,1)+1,SEARCH("º",A4,4)-SEARCH("º",A4,1)-4)),1))&gt;47,CODE(MID(MID(A4,SEARCH("º",A4,1)+1,SEARCH("º",A4,4)-SEARCH("º",A4,1)-4),LEN(MID(A4,SEARCH("º",A4,1)+1,SEARCH("º",A4,4)-SEARCH("º",A4,1)-4)),1))&lt;58),IF(AND(CODE(MID(MID(A4,SEARCH("º",A4,1)+1,SEARCH("º",A4,4)-SEARCH("º",A4,1)-4),LEN(MID(A4,SEARCH("º",A4,1)+1,SEARCH("º",A4,4)-SEARCH("º",A4,1)-6)),1))&gt;47,CODE(MID(MID(A4,SEARCH("º",A4,1)+1,SEARCH("º",A4,4)-SEARCH("º",A4,1)-6),LEN(MID(A4,SEARCH("º",A4,1)+1,SEARCH("º",A4,4)-SEARCH("º",A4,1)-6)),1))&lt;58),"MAIS UM",MID(A4,SEARCH("º",A4,1)+1,SEARCH("º",A4,4)-SEARCH("º",A4,1)-6)),MID(A4,SEARCH("º",A4,1)+1,SEARCH("º",A4,4)-SEARCH("º",A4,1)-4)),MID(A4,SEARCH("º",A4,1)+1,SEARCH("º",A4,4)-SEARCH("º",A4,1)-5)),MID(A4,SEARCH("º",A4,1)+1,SEARCH("º",A4,4)-SEARCH("º",A4,1)-4))</f>
        <v>Jose Barradas</v>
      </c>
    </row>
    <row r="5" spans="1:15" x14ac:dyDescent="0.25">
      <c r="A5" t="s">
        <v>389</v>
      </c>
      <c r="B5">
        <f t="shared" si="0"/>
        <v>20180623</v>
      </c>
      <c r="C5" t="str">
        <f t="shared" si="1"/>
        <v>3</v>
      </c>
      <c r="D5">
        <f t="shared" si="2"/>
        <v>337</v>
      </c>
      <c r="E5">
        <f t="shared" si="3"/>
        <v>4</v>
      </c>
      <c r="K5">
        <f t="shared" si="4"/>
        <v>42</v>
      </c>
      <c r="L5" t="str">
        <f t="shared" si="5"/>
        <v>003063924337</v>
      </c>
      <c r="M5" t="str">
        <f t="shared" si="6"/>
        <v>Ibiã Marques dos Santos</v>
      </c>
    </row>
    <row r="6" spans="1:15" x14ac:dyDescent="0.25">
      <c r="A6" t="s">
        <v>390</v>
      </c>
      <c r="B6">
        <f t="shared" si="0"/>
        <v>20180623</v>
      </c>
      <c r="C6" t="str">
        <f t="shared" si="1"/>
        <v>4</v>
      </c>
      <c r="D6">
        <f t="shared" si="2"/>
        <v>336</v>
      </c>
      <c r="E6">
        <f t="shared" si="3"/>
        <v>4</v>
      </c>
      <c r="K6">
        <f t="shared" si="4"/>
        <v>32</v>
      </c>
      <c r="L6" t="str">
        <f t="shared" si="5"/>
        <v>0030711114336</v>
      </c>
      <c r="M6" t="str">
        <f t="shared" si="6"/>
        <v>eurico costa</v>
      </c>
    </row>
    <row r="7" spans="1:15" x14ac:dyDescent="0.25">
      <c r="A7" t="s">
        <v>391</v>
      </c>
      <c r="B7">
        <f t="shared" si="0"/>
        <v>20180623</v>
      </c>
      <c r="C7" t="str">
        <f t="shared" si="1"/>
        <v>5</v>
      </c>
      <c r="D7">
        <f t="shared" si="2"/>
        <v>333</v>
      </c>
      <c r="E7">
        <f t="shared" si="3"/>
        <v>2</v>
      </c>
      <c r="K7">
        <f t="shared" si="4"/>
        <v>37</v>
      </c>
      <c r="L7" t="str">
        <f t="shared" si="5"/>
        <v>0025421232333</v>
      </c>
      <c r="M7" t="str">
        <f t="shared" si="6"/>
        <v>Thiago Nascimento</v>
      </c>
    </row>
    <row r="8" spans="1:15" x14ac:dyDescent="0.25">
      <c r="A8" t="s">
        <v>392</v>
      </c>
      <c r="B8">
        <f t="shared" si="0"/>
        <v>20180623</v>
      </c>
      <c r="C8" t="str">
        <f t="shared" si="1"/>
        <v>6</v>
      </c>
      <c r="D8">
        <f t="shared" si="2"/>
        <v>332</v>
      </c>
      <c r="E8">
        <f t="shared" si="3"/>
        <v>6</v>
      </c>
      <c r="K8">
        <f t="shared" si="4"/>
        <v>37</v>
      </c>
      <c r="L8" t="str">
        <f t="shared" si="5"/>
        <v>001541926332</v>
      </c>
      <c r="M8" t="str">
        <f t="shared" si="6"/>
        <v>Renato Alves Silva</v>
      </c>
    </row>
    <row r="9" spans="1:15" x14ac:dyDescent="0.25">
      <c r="A9" t="s">
        <v>393</v>
      </c>
      <c r="B9">
        <f t="shared" si="0"/>
        <v>20180623</v>
      </c>
      <c r="C9" t="str">
        <f t="shared" si="1"/>
        <v>7</v>
      </c>
      <c r="D9">
        <f t="shared" si="2"/>
        <v>332</v>
      </c>
      <c r="E9">
        <f t="shared" si="3"/>
        <v>6</v>
      </c>
      <c r="K9">
        <f t="shared" si="4"/>
        <v>33</v>
      </c>
      <c r="L9" t="str">
        <f t="shared" si="5"/>
        <v>001552826332</v>
      </c>
      <c r="M9" t="str">
        <f t="shared" si="6"/>
        <v>Manuel Correia</v>
      </c>
    </row>
    <row r="10" spans="1:15" x14ac:dyDescent="0.25">
      <c r="A10" t="s">
        <v>394</v>
      </c>
      <c r="B10">
        <f t="shared" si="0"/>
        <v>20180623</v>
      </c>
      <c r="C10" t="str">
        <f t="shared" si="1"/>
        <v>8</v>
      </c>
      <c r="D10">
        <f t="shared" si="2"/>
        <v>331</v>
      </c>
      <c r="E10">
        <f t="shared" si="3"/>
        <v>2</v>
      </c>
      <c r="K10">
        <f t="shared" si="4"/>
        <v>31</v>
      </c>
      <c r="L10" t="str">
        <f t="shared" si="5"/>
        <v>002535762331</v>
      </c>
      <c r="M10" t="str">
        <f t="shared" si="6"/>
        <v>Marcelo Lira</v>
      </c>
    </row>
    <row r="11" spans="1:15" x14ac:dyDescent="0.25">
      <c r="A11" t="s">
        <v>395</v>
      </c>
      <c r="B11">
        <f t="shared" si="0"/>
        <v>20180623</v>
      </c>
      <c r="C11" t="str">
        <f t="shared" si="1"/>
        <v>9</v>
      </c>
      <c r="D11">
        <f t="shared" si="2"/>
        <v>328</v>
      </c>
      <c r="E11">
        <f t="shared" si="3"/>
        <v>2</v>
      </c>
      <c r="K11">
        <f t="shared" si="4"/>
        <v>30</v>
      </c>
      <c r="L11" t="str">
        <f t="shared" si="5"/>
        <v>0020531132328</v>
      </c>
      <c r="M11" t="str">
        <f t="shared" si="6"/>
        <v>Ailsa Coto</v>
      </c>
    </row>
    <row r="12" spans="1:15" x14ac:dyDescent="0.25">
      <c r="A12" t="s">
        <v>396</v>
      </c>
      <c r="B12">
        <f t="shared" si="0"/>
        <v>20180623</v>
      </c>
      <c r="C12" t="str">
        <f t="shared" si="1"/>
        <v>10</v>
      </c>
      <c r="D12">
        <f t="shared" si="2"/>
        <v>327</v>
      </c>
      <c r="E12">
        <f t="shared" si="3"/>
        <v>4</v>
      </c>
      <c r="K12">
        <f t="shared" si="4"/>
        <v>26</v>
      </c>
      <c r="L12" t="str">
        <f t="shared" si="5"/>
        <v>002034474327</v>
      </c>
      <c r="M12" t="str">
        <f t="shared" si="6"/>
        <v>Naga J</v>
      </c>
    </row>
    <row r="13" spans="1:15" x14ac:dyDescent="0.25">
      <c r="A13" t="s">
        <v>397</v>
      </c>
      <c r="B13">
        <f t="shared" si="0"/>
        <v>20180623</v>
      </c>
      <c r="C13" t="str">
        <f t="shared" si="1"/>
        <v>11</v>
      </c>
      <c r="D13">
        <f t="shared" si="2"/>
        <v>321</v>
      </c>
      <c r="E13">
        <f t="shared" si="3"/>
        <v>3</v>
      </c>
      <c r="K13">
        <f t="shared" si="4"/>
        <v>34</v>
      </c>
      <c r="L13" t="str">
        <f t="shared" si="5"/>
        <v>001541863321</v>
      </c>
      <c r="M13" t="str">
        <f t="shared" si="6"/>
        <v>Maurício Braga</v>
      </c>
    </row>
    <row r="14" spans="1:15" x14ac:dyDescent="0.25">
      <c r="A14" t="s">
        <v>398</v>
      </c>
      <c r="B14">
        <f t="shared" si="0"/>
        <v>20180623</v>
      </c>
      <c r="C14" t="str">
        <f t="shared" si="1"/>
        <v>12</v>
      </c>
      <c r="D14">
        <f t="shared" si="2"/>
        <v>313</v>
      </c>
      <c r="E14">
        <f t="shared" si="3"/>
        <v>2</v>
      </c>
      <c r="K14">
        <f t="shared" si="4"/>
        <v>43</v>
      </c>
      <c r="L14" t="str">
        <f t="shared" si="5"/>
        <v>0030521032313</v>
      </c>
      <c r="M14" t="str">
        <f t="shared" si="6"/>
        <v>André da Silva Freitas</v>
      </c>
    </row>
    <row r="15" spans="1:15" x14ac:dyDescent="0.25">
      <c r="A15" t="s">
        <v>399</v>
      </c>
      <c r="B15">
        <f t="shared" si="0"/>
        <v>20180623</v>
      </c>
      <c r="C15" t="str">
        <f t="shared" si="1"/>
        <v>13</v>
      </c>
      <c r="D15">
        <f t="shared" si="2"/>
        <v>309</v>
      </c>
      <c r="E15">
        <f t="shared" si="3"/>
        <v>3</v>
      </c>
      <c r="K15">
        <f t="shared" si="4"/>
        <v>36</v>
      </c>
      <c r="L15" t="str">
        <f t="shared" si="5"/>
        <v>001562843309</v>
      </c>
      <c r="M15" t="str">
        <f t="shared" si="6"/>
        <v>Eduardo da Fonte</v>
      </c>
    </row>
    <row r="16" spans="1:15" x14ac:dyDescent="0.25">
      <c r="A16" t="s">
        <v>400</v>
      </c>
      <c r="B16">
        <f t="shared" si="0"/>
        <v>20180623</v>
      </c>
      <c r="C16" t="str">
        <f t="shared" si="1"/>
        <v>14</v>
      </c>
      <c r="D16">
        <f t="shared" si="2"/>
        <v>309</v>
      </c>
      <c r="E16">
        <f t="shared" si="3"/>
        <v>2</v>
      </c>
      <c r="K16">
        <f t="shared" si="4"/>
        <v>33</v>
      </c>
      <c r="L16" t="str">
        <f t="shared" si="5"/>
        <v>001553942309</v>
      </c>
      <c r="M16" t="str">
        <f t="shared" si="6"/>
        <v>Fúlvio Falcão</v>
      </c>
    </row>
    <row r="17" spans="1:13" x14ac:dyDescent="0.25">
      <c r="A17" t="s">
        <v>401</v>
      </c>
      <c r="B17">
        <f t="shared" si="0"/>
        <v>20180623</v>
      </c>
      <c r="C17" t="str">
        <f t="shared" si="1"/>
        <v>15</v>
      </c>
      <c r="D17">
        <f t="shared" si="2"/>
        <v>309</v>
      </c>
      <c r="E17">
        <f t="shared" si="3"/>
        <v>2</v>
      </c>
      <c r="K17">
        <f t="shared" si="4"/>
        <v>38</v>
      </c>
      <c r="L17" t="str">
        <f t="shared" si="5"/>
        <v>002552942309</v>
      </c>
      <c r="M17" t="str">
        <f t="shared" si="6"/>
        <v>Felipe Faria Cunha</v>
      </c>
    </row>
    <row r="18" spans="1:13" x14ac:dyDescent="0.25">
      <c r="A18" t="s">
        <v>402</v>
      </c>
      <c r="B18">
        <f t="shared" si="0"/>
        <v>20180623</v>
      </c>
      <c r="C18" t="str">
        <f t="shared" si="1"/>
        <v>16</v>
      </c>
      <c r="D18">
        <f t="shared" si="2"/>
        <v>298</v>
      </c>
      <c r="E18">
        <f t="shared" si="3"/>
        <v>3</v>
      </c>
      <c r="K18">
        <f t="shared" si="4"/>
        <v>36</v>
      </c>
      <c r="L18" t="str">
        <f t="shared" si="5"/>
        <v>003191823298</v>
      </c>
      <c r="M18" t="str">
        <f t="shared" si="6"/>
        <v>Eliseu Agostinho</v>
      </c>
    </row>
    <row r="19" spans="1:13" x14ac:dyDescent="0.25">
      <c r="A19" t="s">
        <v>403</v>
      </c>
      <c r="B19">
        <f t="shared" si="0"/>
        <v>20180623</v>
      </c>
      <c r="C19" t="str">
        <f t="shared" si="1"/>
        <v>17</v>
      </c>
      <c r="D19">
        <f t="shared" si="2"/>
        <v>294</v>
      </c>
      <c r="E19">
        <f t="shared" si="3"/>
        <v>4</v>
      </c>
      <c r="K19">
        <f t="shared" si="4"/>
        <v>32</v>
      </c>
      <c r="L19" t="str">
        <f t="shared" si="5"/>
        <v>001644634294</v>
      </c>
      <c r="M19" t="str">
        <f t="shared" si="6"/>
        <v>Silvia Brito</v>
      </c>
    </row>
    <row r="20" spans="1:13" x14ac:dyDescent="0.25">
      <c r="A20" t="s">
        <v>404</v>
      </c>
      <c r="B20">
        <f t="shared" si="0"/>
        <v>20180623</v>
      </c>
      <c r="C20" t="str">
        <f t="shared" si="1"/>
        <v>18</v>
      </c>
      <c r="D20">
        <f t="shared" si="2"/>
        <v>291</v>
      </c>
      <c r="E20">
        <f t="shared" si="3"/>
        <v>1</v>
      </c>
      <c r="K20">
        <f t="shared" si="4"/>
        <v>36</v>
      </c>
      <c r="L20" t="str">
        <f t="shared" si="5"/>
        <v>001036661291</v>
      </c>
      <c r="M20" t="str">
        <f t="shared" si="6"/>
        <v>Marco Guimarães</v>
      </c>
    </row>
    <row r="21" spans="1:13" x14ac:dyDescent="0.25">
      <c r="A21" t="s">
        <v>405</v>
      </c>
      <c r="B21">
        <f t="shared" si="0"/>
        <v>20180623</v>
      </c>
      <c r="C21" t="str">
        <f t="shared" si="1"/>
        <v>19</v>
      </c>
      <c r="D21">
        <f t="shared" si="2"/>
        <v>282</v>
      </c>
      <c r="E21">
        <f t="shared" si="3"/>
        <v>0</v>
      </c>
      <c r="K21">
        <f t="shared" si="4"/>
        <v>37</v>
      </c>
      <c r="L21" t="str">
        <f t="shared" si="5"/>
        <v>0025631120282</v>
      </c>
      <c r="M21" t="str">
        <f t="shared" si="6"/>
        <v>Camilla Pereira</v>
      </c>
    </row>
    <row r="22" spans="1:13" x14ac:dyDescent="0.25">
      <c r="A22">
        <v>20180623</v>
      </c>
    </row>
    <row r="23" spans="1:13" x14ac:dyDescent="0.25">
      <c r="B23" t="s">
        <v>57</v>
      </c>
      <c r="C23" t="s">
        <v>407</v>
      </c>
      <c r="D23" t="s">
        <v>109</v>
      </c>
      <c r="E23" t="s">
        <v>408</v>
      </c>
      <c r="F23" t="s">
        <v>409</v>
      </c>
      <c r="G23" t="s">
        <v>410</v>
      </c>
      <c r="H23" t="s">
        <v>412</v>
      </c>
      <c r="I23" t="s">
        <v>411</v>
      </c>
      <c r="J23" t="s">
        <v>386</v>
      </c>
      <c r="K23" t="s">
        <v>413</v>
      </c>
      <c r="L23" t="s">
        <v>0</v>
      </c>
    </row>
    <row r="24" spans="1:13" x14ac:dyDescent="0.25">
      <c r="A24" t="s">
        <v>471</v>
      </c>
      <c r="B24">
        <f>$A$43</f>
        <v>20180624</v>
      </c>
      <c r="C24" t="str">
        <f>MID(A24,1,SEARCH("º",A24)-1)</f>
        <v>1</v>
      </c>
      <c r="D24">
        <f>VALUE(MID(A24,K24-2,3))</f>
        <v>386</v>
      </c>
      <c r="E24">
        <f>VALUE(MID(A24,K24-3,1))</f>
        <v>3</v>
      </c>
      <c r="K24">
        <f>LEN(A24)</f>
        <v>38</v>
      </c>
      <c r="L24" t="str">
        <f t="shared" ref="L24:L42" si="7">MID(A24,SEARCH("º",A24,5)+1,K24-SEARCH("º",A24,3))</f>
        <v>003046863386</v>
      </c>
      <c r="M24" t="str">
        <f>IF(AND(CODE(MID(MID(A24,SEARCH("º",A24,1)+1,SEARCH("º",A24,4)-SEARCH("º",A24,1)-4),LEN(MID(A24,SEARCH("º",A24,1)+1,SEARCH("º",A24,4)-SEARCH("º",A24,1)-4)),1))&gt;47,CODE(MID(MID(A24,SEARCH("º",A24,1)+1,SEARCH("º",A24,4)-SEARCH("º",A24,1)-4),LEN(MID(A24,SEARCH("º",A24,1)+1,SEARCH("º",A24,4)-SEARCH("º",A24,1)-4)),1))&lt;58),IF(AND(CODE(MID(MID(A24,SEARCH("º",A24,1)+1,SEARCH("º",A24,4)-SEARCH("º",A24,1)-4),LEN(MID(A24,SEARCH("º",A24,1)+1,SEARCH("º",A24,4)-SEARCH("º",A24,1)-5)),1))&gt;47,CODE(MID(MID(A24,SEARCH("º",A24,1)+1,SEARCH("º",A24,4)-SEARCH("º",A24,1)-5),LEN(MID(A24,SEARCH("º",A24,1)+1,SEARCH("º",A24,4)-SEARCH("º",A24,1)-5)),1))&lt;58),IF(AND(CODE(MID(MID(A24,SEARCH("º",A24,1)+1,SEARCH("º",A24,4)-SEARCH("º",A24,1)-4),LEN(MID(A24,SEARCH("º",A24,1)+1,SEARCH("º",A24,4)-SEARCH("º",A24,1)-4)),1))&gt;47,CODE(MID(MID(A24,SEARCH("º",A24,1)+1,SEARCH("º",A24,4)-SEARCH("º",A24,1)-4),LEN(MID(A24,SEARCH("º",A24,1)+1,SEARCH("º",A24,4)-SEARCH("º",A24,1)-4)),1))&lt;58),IF(AND(CODE(MID(MID(A24,SEARCH("º",A24,1)+1,SEARCH("º",A24,4)-SEARCH("º",A24,1)-4),LEN(MID(A24,SEARCH("º",A24,1)+1,SEARCH("º",A24,4)-SEARCH("º",A24,1)-6)),1))&gt;47,CODE(MID(MID(A24,SEARCH("º",A24,1)+1,SEARCH("º",A24,4)-SEARCH("º",A24,1)-6),LEN(MID(A24,SEARCH("º",A24,1)+1,SEARCH("º",A24,4)-SEARCH("º",A24,1)-6)),1))&lt;58),"MAIS UM",MID(A24,SEARCH("º",A24,1)+1,SEARCH("º",A24,4)-SEARCH("º",A24,1)-6)),MID(A24,SEARCH("º",A24,1)+1,SEARCH("º",A24,4)-SEARCH("º",A24,1)-4)),MID(A24,SEARCH("º",A24,1)+1,SEARCH("º",A24,4)-SEARCH("º",A24,1)-5)),MID(A24,SEARCH("º",A24,1)+1,SEARCH("º",A24,4)-SEARCH("º",A24,1)-4))</f>
        <v>Fernando Gloria Dias</v>
      </c>
    </row>
    <row r="25" spans="1:13" x14ac:dyDescent="0.25">
      <c r="A25" t="s">
        <v>472</v>
      </c>
      <c r="B25">
        <f t="shared" ref="B25:B42" si="8">$A$43</f>
        <v>20180624</v>
      </c>
      <c r="C25" t="str">
        <f t="shared" ref="C25:C42" si="9">MID(A25,1,SEARCH("º",A25)-1)</f>
        <v>2</v>
      </c>
      <c r="D25">
        <f t="shared" ref="D25:D42" si="10">VALUE(MID(A25,K25-2,3))</f>
        <v>374</v>
      </c>
      <c r="E25">
        <f t="shared" ref="E25:E42" si="11">VALUE(MID(A25,K25-3,1))</f>
        <v>8</v>
      </c>
      <c r="K25">
        <f t="shared" ref="K25:K42" si="12">LEN(A25)</f>
        <v>32</v>
      </c>
      <c r="L25" t="str">
        <f t="shared" si="7"/>
        <v>002031748374</v>
      </c>
      <c r="M25" t="str">
        <f t="shared" ref="M25:M42" si="13">IF(AND(CODE(MID(MID(A25,SEARCH("º",A25,1)+1,SEARCH("º",A25,4)-SEARCH("º",A25,1)-4),LEN(MID(A25,SEARCH("º",A25,1)+1,SEARCH("º",A25,4)-SEARCH("º",A25,1)-4)),1))&gt;47,CODE(MID(MID(A25,SEARCH("º",A25,1)+1,SEARCH("º",A25,4)-SEARCH("º",A25,1)-4),LEN(MID(A25,SEARCH("º",A25,1)+1,SEARCH("º",A25,4)-SEARCH("º",A25,1)-4)),1))&lt;58),IF(AND(CODE(MID(MID(A25,SEARCH("º",A25,1)+1,SEARCH("º",A25,4)-SEARCH("º",A25,1)-4),LEN(MID(A25,SEARCH("º",A25,1)+1,SEARCH("º",A25,4)-SEARCH("º",A25,1)-5)),1))&gt;47,CODE(MID(MID(A25,SEARCH("º",A25,1)+1,SEARCH("º",A25,4)-SEARCH("º",A25,1)-5),LEN(MID(A25,SEARCH("º",A25,1)+1,SEARCH("º",A25,4)-SEARCH("º",A25,1)-5)),1))&lt;58),IF(AND(CODE(MID(MID(A25,SEARCH("º",A25,1)+1,SEARCH("º",A25,4)-SEARCH("º",A25,1)-4),LEN(MID(A25,SEARCH("º",A25,1)+1,SEARCH("º",A25,4)-SEARCH("º",A25,1)-4)),1))&gt;47,CODE(MID(MID(A25,SEARCH("º",A25,1)+1,SEARCH("º",A25,4)-SEARCH("º",A25,1)-4),LEN(MID(A25,SEARCH("º",A25,1)+1,SEARCH("º",A25,4)-SEARCH("º",A25,1)-4)),1))&lt;58),IF(AND(CODE(MID(MID(A25,SEARCH("º",A25,1)+1,SEARCH("º",A25,4)-SEARCH("º",A25,1)-4),LEN(MID(A25,SEARCH("º",A25,1)+1,SEARCH("º",A25,4)-SEARCH("º",A25,1)-6)),1))&gt;47,CODE(MID(MID(A25,SEARCH("º",A25,1)+1,SEARCH("º",A25,4)-SEARCH("º",A25,1)-6),LEN(MID(A25,SEARCH("º",A25,1)+1,SEARCH("º",A25,4)-SEARCH("º",A25,1)-6)),1))&lt;58),"MAIS UM",MID(A25,SEARCH("º",A25,1)+1,SEARCH("º",A25,4)-SEARCH("º",A25,1)-6)),MID(A25,SEARCH("º",A25,1)+1,SEARCH("º",A25,4)-SEARCH("º",A25,1)-4)),MID(A25,SEARCH("º",A25,1)+1,SEARCH("º",A25,4)-SEARCH("º",A25,1)-5)),MID(A25,SEARCH("º",A25,1)+1,SEARCH("º",A25,4)-SEARCH("º",A25,1)-4))</f>
        <v>Jose Barradas</v>
      </c>
    </row>
    <row r="26" spans="1:13" x14ac:dyDescent="0.25">
      <c r="A26" t="s">
        <v>473</v>
      </c>
      <c r="B26">
        <f t="shared" si="8"/>
        <v>20180624</v>
      </c>
      <c r="C26" t="str">
        <f t="shared" si="9"/>
        <v>3</v>
      </c>
      <c r="D26">
        <f t="shared" si="10"/>
        <v>368</v>
      </c>
      <c r="E26">
        <f t="shared" si="11"/>
        <v>6</v>
      </c>
      <c r="K26">
        <f t="shared" si="12"/>
        <v>33</v>
      </c>
      <c r="L26" t="str">
        <f t="shared" si="7"/>
        <v>001554836368</v>
      </c>
      <c r="M26" t="str">
        <f t="shared" si="13"/>
        <v>Manuel Correia</v>
      </c>
    </row>
    <row r="27" spans="1:13" x14ac:dyDescent="0.25">
      <c r="A27" t="s">
        <v>474</v>
      </c>
      <c r="B27">
        <f t="shared" si="8"/>
        <v>20180624</v>
      </c>
      <c r="C27" t="str">
        <f t="shared" si="9"/>
        <v>4</v>
      </c>
      <c r="D27">
        <f t="shared" si="10"/>
        <v>357</v>
      </c>
      <c r="E27">
        <f t="shared" si="11"/>
        <v>4</v>
      </c>
      <c r="K27">
        <f t="shared" si="12"/>
        <v>25</v>
      </c>
      <c r="L27" t="str">
        <f t="shared" si="7"/>
        <v>002045574357</v>
      </c>
      <c r="M27" t="str">
        <f t="shared" si="13"/>
        <v>Naga J</v>
      </c>
    </row>
    <row r="28" spans="1:13" x14ac:dyDescent="0.25">
      <c r="A28" t="s">
        <v>475</v>
      </c>
      <c r="B28">
        <f t="shared" si="8"/>
        <v>20180624</v>
      </c>
      <c r="C28" t="str">
        <f t="shared" si="9"/>
        <v>5</v>
      </c>
      <c r="D28">
        <f t="shared" si="10"/>
        <v>357</v>
      </c>
      <c r="E28">
        <f t="shared" si="11"/>
        <v>4</v>
      </c>
      <c r="K28">
        <f t="shared" si="12"/>
        <v>42</v>
      </c>
      <c r="L28" t="str">
        <f t="shared" si="7"/>
        <v>003065924357</v>
      </c>
      <c r="M28" t="str">
        <f t="shared" si="13"/>
        <v>Ibiã Marques dos Santos</v>
      </c>
    </row>
    <row r="29" spans="1:13" x14ac:dyDescent="0.25">
      <c r="A29" t="s">
        <v>476</v>
      </c>
      <c r="B29">
        <f t="shared" si="8"/>
        <v>20180624</v>
      </c>
      <c r="C29" t="str">
        <f t="shared" si="9"/>
        <v>6</v>
      </c>
      <c r="D29">
        <f t="shared" si="10"/>
        <v>356</v>
      </c>
      <c r="E29">
        <f t="shared" si="11"/>
        <v>2</v>
      </c>
      <c r="K29">
        <f t="shared" si="12"/>
        <v>31</v>
      </c>
      <c r="L29" t="str">
        <f t="shared" si="7"/>
        <v>002547762356</v>
      </c>
      <c r="M29" t="str">
        <f t="shared" si="13"/>
        <v>Marcelo Lira</v>
      </c>
    </row>
    <row r="30" spans="1:13" x14ac:dyDescent="0.25">
      <c r="A30" t="s">
        <v>477</v>
      </c>
      <c r="B30">
        <f t="shared" si="8"/>
        <v>20180624</v>
      </c>
      <c r="C30" t="str">
        <f t="shared" si="9"/>
        <v>7</v>
      </c>
      <c r="D30">
        <f t="shared" si="10"/>
        <v>353</v>
      </c>
      <c r="E30">
        <f t="shared" si="11"/>
        <v>2</v>
      </c>
      <c r="K30">
        <f t="shared" si="12"/>
        <v>30</v>
      </c>
      <c r="L30" t="str">
        <f t="shared" si="7"/>
        <v>0020651132353</v>
      </c>
      <c r="M30" t="str">
        <f t="shared" si="13"/>
        <v>Ailsa Coto</v>
      </c>
    </row>
    <row r="31" spans="1:13" x14ac:dyDescent="0.25">
      <c r="A31" t="s">
        <v>478</v>
      </c>
      <c r="B31">
        <f t="shared" si="8"/>
        <v>20180624</v>
      </c>
      <c r="C31" t="str">
        <f t="shared" si="9"/>
        <v>8</v>
      </c>
      <c r="D31">
        <f t="shared" si="10"/>
        <v>352</v>
      </c>
      <c r="E31">
        <f t="shared" si="11"/>
        <v>6</v>
      </c>
      <c r="K31">
        <f t="shared" si="12"/>
        <v>37</v>
      </c>
      <c r="L31" t="str">
        <f t="shared" si="7"/>
        <v>001543926352</v>
      </c>
      <c r="M31" t="str">
        <f t="shared" si="13"/>
        <v>Renato Alves Silva</v>
      </c>
    </row>
    <row r="32" spans="1:13" x14ac:dyDescent="0.25">
      <c r="A32" t="s">
        <v>479</v>
      </c>
      <c r="B32">
        <f t="shared" si="8"/>
        <v>20180624</v>
      </c>
      <c r="C32" t="str">
        <f t="shared" si="9"/>
        <v>9</v>
      </c>
      <c r="D32">
        <f t="shared" si="10"/>
        <v>348</v>
      </c>
      <c r="E32">
        <f t="shared" si="11"/>
        <v>3</v>
      </c>
      <c r="K32">
        <f t="shared" si="12"/>
        <v>42</v>
      </c>
      <c r="L32" t="str">
        <f t="shared" si="7"/>
        <v>0030631033348</v>
      </c>
      <c r="M32" t="str">
        <f t="shared" si="13"/>
        <v>André da Silva Freitas</v>
      </c>
    </row>
    <row r="33" spans="1:13" x14ac:dyDescent="0.25">
      <c r="A33" t="s">
        <v>480</v>
      </c>
      <c r="B33">
        <f t="shared" si="8"/>
        <v>20180624</v>
      </c>
      <c r="C33" t="str">
        <f t="shared" si="9"/>
        <v>10</v>
      </c>
      <c r="D33">
        <f t="shared" si="10"/>
        <v>348</v>
      </c>
      <c r="E33">
        <f t="shared" si="11"/>
        <v>2</v>
      </c>
      <c r="K33">
        <f t="shared" si="12"/>
        <v>38</v>
      </c>
      <c r="L33" t="str">
        <f t="shared" si="7"/>
        <v>0025531232348</v>
      </c>
      <c r="M33" t="str">
        <f t="shared" si="13"/>
        <v>Thiago Nascimento</v>
      </c>
    </row>
    <row r="34" spans="1:13" x14ac:dyDescent="0.25">
      <c r="A34" t="s">
        <v>481</v>
      </c>
      <c r="B34">
        <f t="shared" si="8"/>
        <v>20180624</v>
      </c>
      <c r="C34" t="str">
        <f t="shared" si="9"/>
        <v>11</v>
      </c>
      <c r="D34">
        <f t="shared" si="10"/>
        <v>347</v>
      </c>
      <c r="E34">
        <f t="shared" si="11"/>
        <v>3</v>
      </c>
      <c r="K34">
        <f t="shared" si="12"/>
        <v>34</v>
      </c>
      <c r="L34" t="str">
        <f t="shared" si="7"/>
        <v>001542873347</v>
      </c>
      <c r="M34" t="str">
        <f t="shared" si="13"/>
        <v>Maurício Braga</v>
      </c>
    </row>
    <row r="35" spans="1:13" x14ac:dyDescent="0.25">
      <c r="A35" t="s">
        <v>482</v>
      </c>
      <c r="B35">
        <f t="shared" si="8"/>
        <v>20180624</v>
      </c>
      <c r="C35" t="str">
        <f t="shared" si="9"/>
        <v>12</v>
      </c>
      <c r="D35">
        <f t="shared" si="10"/>
        <v>346</v>
      </c>
      <c r="E35">
        <f t="shared" si="11"/>
        <v>4</v>
      </c>
      <c r="K35">
        <f t="shared" si="12"/>
        <v>33</v>
      </c>
      <c r="L35" t="str">
        <f t="shared" si="7"/>
        <v>0030721114346</v>
      </c>
      <c r="M35" t="str">
        <f t="shared" si="13"/>
        <v>eurico costa</v>
      </c>
    </row>
    <row r="36" spans="1:13" x14ac:dyDescent="0.25">
      <c r="A36" t="s">
        <v>483</v>
      </c>
      <c r="B36">
        <f t="shared" si="8"/>
        <v>20180624</v>
      </c>
      <c r="C36" t="str">
        <f t="shared" si="9"/>
        <v>13</v>
      </c>
      <c r="D36">
        <f t="shared" si="10"/>
        <v>345</v>
      </c>
      <c r="E36">
        <f t="shared" si="11"/>
        <v>2</v>
      </c>
      <c r="K36">
        <f t="shared" si="12"/>
        <v>33</v>
      </c>
      <c r="L36" t="str">
        <f t="shared" si="7"/>
        <v>001555952345</v>
      </c>
      <c r="M36" t="str">
        <f t="shared" si="13"/>
        <v>Fúlvio Falcão</v>
      </c>
    </row>
    <row r="37" spans="1:13" x14ac:dyDescent="0.25">
      <c r="A37" t="s">
        <v>484</v>
      </c>
      <c r="B37">
        <f t="shared" si="8"/>
        <v>20180624</v>
      </c>
      <c r="C37" t="str">
        <f t="shared" si="9"/>
        <v>14</v>
      </c>
      <c r="D37">
        <f t="shared" si="10"/>
        <v>339</v>
      </c>
      <c r="E37">
        <f t="shared" si="11"/>
        <v>3</v>
      </c>
      <c r="K37">
        <f t="shared" si="12"/>
        <v>36</v>
      </c>
      <c r="L37" t="str">
        <f t="shared" si="7"/>
        <v>001573943339</v>
      </c>
      <c r="M37" t="str">
        <f t="shared" si="13"/>
        <v>Eduardo da Fonte</v>
      </c>
    </row>
    <row r="38" spans="1:13" x14ac:dyDescent="0.25">
      <c r="A38" t="s">
        <v>485</v>
      </c>
      <c r="B38">
        <f t="shared" si="8"/>
        <v>20180624</v>
      </c>
      <c r="C38" t="str">
        <f t="shared" si="9"/>
        <v>15</v>
      </c>
      <c r="D38">
        <f t="shared" si="10"/>
        <v>328</v>
      </c>
      <c r="E38">
        <f t="shared" si="11"/>
        <v>3</v>
      </c>
      <c r="K38">
        <f t="shared" si="12"/>
        <v>37</v>
      </c>
      <c r="L38" t="str">
        <f t="shared" si="7"/>
        <v>0031102923328</v>
      </c>
      <c r="M38" t="str">
        <f t="shared" si="13"/>
        <v>Eliseu Agostinho</v>
      </c>
    </row>
    <row r="39" spans="1:13" x14ac:dyDescent="0.25">
      <c r="A39" t="s">
        <v>486</v>
      </c>
      <c r="B39">
        <f t="shared" si="8"/>
        <v>20180624</v>
      </c>
      <c r="C39" t="str">
        <f t="shared" si="9"/>
        <v>16</v>
      </c>
      <c r="D39">
        <f t="shared" si="10"/>
        <v>323</v>
      </c>
      <c r="E39">
        <f t="shared" si="11"/>
        <v>0</v>
      </c>
      <c r="K39">
        <f t="shared" si="12"/>
        <v>36</v>
      </c>
      <c r="L39" t="str">
        <f t="shared" si="7"/>
        <v>0025641230323</v>
      </c>
      <c r="M39" t="str">
        <f t="shared" si="13"/>
        <v>Camilla Pereira</v>
      </c>
    </row>
    <row r="40" spans="1:13" x14ac:dyDescent="0.25">
      <c r="A40" t="s">
        <v>487</v>
      </c>
      <c r="B40">
        <f t="shared" si="8"/>
        <v>20180624</v>
      </c>
      <c r="C40" t="str">
        <f t="shared" si="9"/>
        <v>17</v>
      </c>
      <c r="D40">
        <f t="shared" si="10"/>
        <v>319</v>
      </c>
      <c r="E40">
        <f t="shared" si="11"/>
        <v>2</v>
      </c>
      <c r="K40">
        <f t="shared" si="12"/>
        <v>39</v>
      </c>
      <c r="L40" t="str">
        <f t="shared" si="7"/>
        <v>002553942319</v>
      </c>
      <c r="M40" t="str">
        <f t="shared" si="13"/>
        <v>Felipe Faria Cunha</v>
      </c>
    </row>
    <row r="41" spans="1:13" x14ac:dyDescent="0.25">
      <c r="A41" t="s">
        <v>488</v>
      </c>
      <c r="B41">
        <f t="shared" si="8"/>
        <v>20180624</v>
      </c>
      <c r="C41" t="str">
        <f t="shared" si="9"/>
        <v>18</v>
      </c>
      <c r="D41">
        <f t="shared" si="10"/>
        <v>311</v>
      </c>
      <c r="E41">
        <f t="shared" si="11"/>
        <v>1</v>
      </c>
      <c r="K41">
        <f t="shared" si="12"/>
        <v>36</v>
      </c>
      <c r="L41" t="str">
        <f t="shared" si="7"/>
        <v>001046761311</v>
      </c>
      <c r="M41" t="str">
        <f t="shared" si="13"/>
        <v>Marco Guimarães</v>
      </c>
    </row>
    <row r="42" spans="1:13" x14ac:dyDescent="0.25">
      <c r="A42" t="s">
        <v>489</v>
      </c>
      <c r="B42">
        <f t="shared" si="8"/>
        <v>20180624</v>
      </c>
      <c r="C42" t="str">
        <f t="shared" si="9"/>
        <v>19</v>
      </c>
      <c r="D42">
        <f t="shared" si="10"/>
        <v>309</v>
      </c>
      <c r="E42">
        <f t="shared" si="11"/>
        <v>4</v>
      </c>
      <c r="K42">
        <f t="shared" si="12"/>
        <v>33</v>
      </c>
      <c r="L42" t="str">
        <f t="shared" si="7"/>
        <v>001644734309</v>
      </c>
      <c r="M42" t="str">
        <f t="shared" si="13"/>
        <v>Silvia Brito</v>
      </c>
    </row>
    <row r="43" spans="1:13" x14ac:dyDescent="0.25">
      <c r="A43">
        <v>20180624</v>
      </c>
    </row>
    <row r="44" spans="1:13" x14ac:dyDescent="0.25">
      <c r="B44" t="s">
        <v>57</v>
      </c>
      <c r="C44" t="s">
        <v>407</v>
      </c>
      <c r="D44" t="s">
        <v>109</v>
      </c>
      <c r="E44" t="s">
        <v>408</v>
      </c>
      <c r="F44" t="s">
        <v>409</v>
      </c>
      <c r="G44" t="s">
        <v>410</v>
      </c>
      <c r="H44" t="s">
        <v>412</v>
      </c>
      <c r="I44" t="s">
        <v>411</v>
      </c>
      <c r="J44" t="s">
        <v>386</v>
      </c>
      <c r="K44" t="s">
        <v>413</v>
      </c>
      <c r="L44" t="s">
        <v>0</v>
      </c>
    </row>
    <row r="45" spans="1:13" x14ac:dyDescent="0.25">
      <c r="A45" t="s">
        <v>506</v>
      </c>
      <c r="B45">
        <f>$A$64</f>
        <v>20180625</v>
      </c>
      <c r="C45" t="str">
        <f>MID(A45,1,SEARCH("º",A45)-1)</f>
        <v>1</v>
      </c>
      <c r="D45">
        <f>VALUE(MID(A45,K45-2,3))</f>
        <v>386</v>
      </c>
      <c r="E45">
        <f>VALUE(MID(A45,K45-3,1))</f>
        <v>3</v>
      </c>
      <c r="K45">
        <f>LEN(A45)</f>
        <v>39</v>
      </c>
      <c r="L45" t="str">
        <f t="shared" ref="L45:L63" si="14">MID(A45,SEARCH("º",A45,5)+1,K45-SEARCH("º",A45,3))</f>
        <v>003046863386</v>
      </c>
      <c r="M45" t="str">
        <f>IF(AND(CODE(MID(MID(A45,SEARCH("º",A45,1)+1,SEARCH("º",A45,4)-SEARCH("º",A45,1)-4),LEN(MID(A45,SEARCH("º",A45,1)+1,SEARCH("º",A45,4)-SEARCH("º",A45,1)-4)),1))&gt;47,CODE(MID(MID(A45,SEARCH("º",A45,1)+1,SEARCH("º",A45,4)-SEARCH("º",A45,1)-4),LEN(MID(A45,SEARCH("º",A45,1)+1,SEARCH("º",A45,4)-SEARCH("º",A45,1)-4)),1))&lt;58),IF(AND(CODE(MID(MID(A45,SEARCH("º",A45,1)+1,SEARCH("º",A45,4)-SEARCH("º",A45,1)-4),LEN(MID(A45,SEARCH("º",A45,1)+1,SEARCH("º",A45,4)-SEARCH("º",A45,1)-5)),1))&gt;47,CODE(MID(MID(A45,SEARCH("º",A45,1)+1,SEARCH("º",A45,4)-SEARCH("º",A45,1)-5),LEN(MID(A45,SEARCH("º",A45,1)+1,SEARCH("º",A45,4)-SEARCH("º",A45,1)-5)),1))&lt;58),IF(AND(CODE(MID(MID(A45,SEARCH("º",A45,1)+1,SEARCH("º",A45,4)-SEARCH("º",A45,1)-4),LEN(MID(A45,SEARCH("º",A45,1)+1,SEARCH("º",A45,4)-SEARCH("º",A45,1)-4)),1))&gt;47,CODE(MID(MID(A45,SEARCH("º",A45,1)+1,SEARCH("º",A45,4)-SEARCH("º",A45,1)-4),LEN(MID(A45,SEARCH("º",A45,1)+1,SEARCH("º",A45,4)-SEARCH("º",A45,1)-4)),1))&lt;58),IF(AND(CODE(MID(MID(A45,SEARCH("º",A45,1)+1,SEARCH("º",A45,4)-SEARCH("º",A45,1)-4),LEN(MID(A45,SEARCH("º",A45,1)+1,SEARCH("º",A45,4)-SEARCH("º",A45,1)-6)),1))&gt;47,CODE(MID(MID(A45,SEARCH("º",A45,1)+1,SEARCH("º",A45,4)-SEARCH("º",A45,1)-6),LEN(MID(A45,SEARCH("º",A45,1)+1,SEARCH("º",A45,4)-SEARCH("º",A45,1)-6)),1))&lt;58),"MAIS UM",MID(A45,SEARCH("º",A45,1)+1,SEARCH("º",A45,4)-SEARCH("º",A45,1)-6)),MID(A45,SEARCH("º",A45,1)+1,SEARCH("º",A45,4)-SEARCH("º",A45,1)-4)),MID(A45,SEARCH("º",A45,1)+1,SEARCH("º",A45,4)-SEARCH("º",A45,1)-5)),MID(A45,SEARCH("º",A45,1)+1,SEARCH("º",A45,4)-SEARCH("º",A45,1)-4))</f>
        <v>Fernando Gloria Dias</v>
      </c>
    </row>
    <row r="46" spans="1:13" x14ac:dyDescent="0.25">
      <c r="A46" t="s">
        <v>507</v>
      </c>
      <c r="B46">
        <f t="shared" ref="B46:B63" si="15">$A$64</f>
        <v>20180625</v>
      </c>
      <c r="C46" t="str">
        <f t="shared" ref="C46:C63" si="16">MID(A46,1,SEARCH("º",A46)-1)</f>
        <v>2</v>
      </c>
      <c r="D46">
        <f t="shared" ref="D46:D63" si="17">VALUE(MID(A46,K46-2,3))</f>
        <v>384</v>
      </c>
      <c r="E46">
        <f t="shared" ref="E46:E63" si="18">VALUE(MID(A46,K46-3,1))</f>
        <v>8</v>
      </c>
      <c r="K46">
        <f t="shared" ref="K46:K63" si="19">LEN(A46)</f>
        <v>32</v>
      </c>
      <c r="L46" t="str">
        <f t="shared" si="14"/>
        <v>002051748384</v>
      </c>
      <c r="M46" t="str">
        <f t="shared" ref="M46:M63" si="20">IF(AND(CODE(MID(MID(A46,SEARCH("º",A46,1)+1,SEARCH("º",A46,4)-SEARCH("º",A46,1)-4),LEN(MID(A46,SEARCH("º",A46,1)+1,SEARCH("º",A46,4)-SEARCH("º",A46,1)-4)),1))&gt;47,CODE(MID(MID(A46,SEARCH("º",A46,1)+1,SEARCH("º",A46,4)-SEARCH("º",A46,1)-4),LEN(MID(A46,SEARCH("º",A46,1)+1,SEARCH("º",A46,4)-SEARCH("º",A46,1)-4)),1))&lt;58),IF(AND(CODE(MID(MID(A46,SEARCH("º",A46,1)+1,SEARCH("º",A46,4)-SEARCH("º",A46,1)-4),LEN(MID(A46,SEARCH("º",A46,1)+1,SEARCH("º",A46,4)-SEARCH("º",A46,1)-5)),1))&gt;47,CODE(MID(MID(A46,SEARCH("º",A46,1)+1,SEARCH("º",A46,4)-SEARCH("º",A46,1)-5),LEN(MID(A46,SEARCH("º",A46,1)+1,SEARCH("º",A46,4)-SEARCH("º",A46,1)-5)),1))&lt;58),IF(AND(CODE(MID(MID(A46,SEARCH("º",A46,1)+1,SEARCH("º",A46,4)-SEARCH("º",A46,1)-4),LEN(MID(A46,SEARCH("º",A46,1)+1,SEARCH("º",A46,4)-SEARCH("º",A46,1)-4)),1))&gt;47,CODE(MID(MID(A46,SEARCH("º",A46,1)+1,SEARCH("º",A46,4)-SEARCH("º",A46,1)-4),LEN(MID(A46,SEARCH("º",A46,1)+1,SEARCH("º",A46,4)-SEARCH("º",A46,1)-4)),1))&lt;58),IF(AND(CODE(MID(MID(A46,SEARCH("º",A46,1)+1,SEARCH("º",A46,4)-SEARCH("º",A46,1)-4),LEN(MID(A46,SEARCH("º",A46,1)+1,SEARCH("º",A46,4)-SEARCH("º",A46,1)-6)),1))&gt;47,CODE(MID(MID(A46,SEARCH("º",A46,1)+1,SEARCH("º",A46,4)-SEARCH("º",A46,1)-6),LEN(MID(A46,SEARCH("º",A46,1)+1,SEARCH("º",A46,4)-SEARCH("º",A46,1)-6)),1))&lt;58),"MAIS UM",MID(A46,SEARCH("º",A46,1)+1,SEARCH("º",A46,4)-SEARCH("º",A46,1)-6)),MID(A46,SEARCH("º",A46,1)+1,SEARCH("º",A46,4)-SEARCH("º",A46,1)-4)),MID(A46,SEARCH("º",A46,1)+1,SEARCH("º",A46,4)-SEARCH("º",A46,1)-5)),MID(A46,SEARCH("º",A46,1)+1,SEARCH("º",A46,4)-SEARCH("º",A46,1)-4))</f>
        <v>Jose Barradas</v>
      </c>
    </row>
    <row r="47" spans="1:13" x14ac:dyDescent="0.25">
      <c r="A47" t="s">
        <v>508</v>
      </c>
      <c r="B47">
        <f t="shared" si="15"/>
        <v>20180625</v>
      </c>
      <c r="C47" t="str">
        <f t="shared" si="16"/>
        <v>3</v>
      </c>
      <c r="D47">
        <f t="shared" si="17"/>
        <v>376</v>
      </c>
      <c r="E47">
        <f t="shared" si="18"/>
        <v>3</v>
      </c>
      <c r="K47">
        <f t="shared" si="19"/>
        <v>31</v>
      </c>
      <c r="L47" t="str">
        <f t="shared" si="14"/>
        <v>002547763376</v>
      </c>
      <c r="M47" t="str">
        <f t="shared" si="20"/>
        <v>Marcelo Lira</v>
      </c>
    </row>
    <row r="48" spans="1:13" x14ac:dyDescent="0.25">
      <c r="A48" t="s">
        <v>509</v>
      </c>
      <c r="B48">
        <f t="shared" si="15"/>
        <v>20180625</v>
      </c>
      <c r="C48" t="str">
        <f t="shared" si="16"/>
        <v>4</v>
      </c>
      <c r="D48">
        <f t="shared" si="17"/>
        <v>373</v>
      </c>
      <c r="E48">
        <f t="shared" si="18"/>
        <v>6</v>
      </c>
      <c r="K48">
        <f t="shared" si="19"/>
        <v>33</v>
      </c>
      <c r="L48" t="str">
        <f t="shared" si="14"/>
        <v>001564836373</v>
      </c>
      <c r="M48" t="str">
        <f t="shared" si="20"/>
        <v>Manuel Correia</v>
      </c>
    </row>
    <row r="49" spans="1:13" x14ac:dyDescent="0.25">
      <c r="A49" t="s">
        <v>510</v>
      </c>
      <c r="B49">
        <f t="shared" si="15"/>
        <v>20180625</v>
      </c>
      <c r="C49" t="str">
        <f t="shared" si="16"/>
        <v>5</v>
      </c>
      <c r="D49">
        <f t="shared" si="17"/>
        <v>367</v>
      </c>
      <c r="E49">
        <f t="shared" si="18"/>
        <v>6</v>
      </c>
      <c r="K49">
        <f t="shared" si="19"/>
        <v>37</v>
      </c>
      <c r="L49" t="str">
        <f t="shared" si="14"/>
        <v>001554926367</v>
      </c>
      <c r="M49" t="str">
        <f t="shared" si="20"/>
        <v>Renato Alves Silva</v>
      </c>
    </row>
    <row r="50" spans="1:13" x14ac:dyDescent="0.25">
      <c r="A50" t="s">
        <v>511</v>
      </c>
      <c r="B50">
        <f t="shared" si="15"/>
        <v>20180625</v>
      </c>
      <c r="C50" t="str">
        <f t="shared" si="16"/>
        <v>6</v>
      </c>
      <c r="D50">
        <f t="shared" si="17"/>
        <v>367</v>
      </c>
      <c r="E50">
        <f t="shared" si="18"/>
        <v>4</v>
      </c>
      <c r="K50">
        <f t="shared" si="19"/>
        <v>25</v>
      </c>
      <c r="L50" t="str">
        <f t="shared" si="14"/>
        <v>002065574367</v>
      </c>
      <c r="M50" t="str">
        <f t="shared" si="20"/>
        <v>Naga J</v>
      </c>
    </row>
    <row r="51" spans="1:13" x14ac:dyDescent="0.25">
      <c r="A51" t="s">
        <v>512</v>
      </c>
      <c r="B51">
        <f t="shared" si="15"/>
        <v>20180625</v>
      </c>
      <c r="C51" t="str">
        <f t="shared" si="16"/>
        <v>7</v>
      </c>
      <c r="D51">
        <f t="shared" si="17"/>
        <v>363</v>
      </c>
      <c r="E51">
        <f t="shared" si="18"/>
        <v>2</v>
      </c>
      <c r="K51">
        <f t="shared" si="19"/>
        <v>30</v>
      </c>
      <c r="L51" t="str">
        <f t="shared" si="14"/>
        <v>0020661132363</v>
      </c>
      <c r="M51" t="str">
        <f t="shared" si="20"/>
        <v>Ailsa Coto</v>
      </c>
    </row>
    <row r="52" spans="1:13" x14ac:dyDescent="0.25">
      <c r="A52" t="s">
        <v>513</v>
      </c>
      <c r="B52">
        <f t="shared" si="15"/>
        <v>20180625</v>
      </c>
      <c r="C52" t="str">
        <f t="shared" si="16"/>
        <v>8</v>
      </c>
      <c r="D52">
        <f t="shared" si="17"/>
        <v>362</v>
      </c>
      <c r="E52">
        <f t="shared" si="18"/>
        <v>4</v>
      </c>
      <c r="K52">
        <f t="shared" si="19"/>
        <v>42</v>
      </c>
      <c r="L52" t="str">
        <f t="shared" si="14"/>
        <v>003075924362</v>
      </c>
      <c r="M52" t="str">
        <f t="shared" si="20"/>
        <v>Ibiã Marques dos Santos</v>
      </c>
    </row>
    <row r="53" spans="1:13" x14ac:dyDescent="0.25">
      <c r="A53" t="s">
        <v>514</v>
      </c>
      <c r="B53">
        <f t="shared" si="15"/>
        <v>20180625</v>
      </c>
      <c r="C53" t="str">
        <f t="shared" si="16"/>
        <v>9</v>
      </c>
      <c r="D53">
        <f t="shared" si="17"/>
        <v>361</v>
      </c>
      <c r="E53">
        <f t="shared" si="18"/>
        <v>4</v>
      </c>
      <c r="K53">
        <f t="shared" si="19"/>
        <v>32</v>
      </c>
      <c r="L53" t="str">
        <f t="shared" si="14"/>
        <v>0035921114361</v>
      </c>
      <c r="M53" t="str">
        <f t="shared" si="20"/>
        <v>eurico costa</v>
      </c>
    </row>
    <row r="54" spans="1:13" x14ac:dyDescent="0.25">
      <c r="A54" t="s">
        <v>515</v>
      </c>
      <c r="B54">
        <f t="shared" si="15"/>
        <v>20180625</v>
      </c>
      <c r="C54" t="str">
        <f t="shared" si="16"/>
        <v>10</v>
      </c>
      <c r="D54">
        <f t="shared" si="17"/>
        <v>360</v>
      </c>
      <c r="E54">
        <f t="shared" si="18"/>
        <v>2</v>
      </c>
      <c r="K54">
        <f t="shared" si="19"/>
        <v>34</v>
      </c>
      <c r="L54" t="str">
        <f t="shared" si="14"/>
        <v>0015551052360</v>
      </c>
      <c r="M54" t="str">
        <f t="shared" si="20"/>
        <v>Fúlvio Falcão</v>
      </c>
    </row>
    <row r="55" spans="1:13" x14ac:dyDescent="0.25">
      <c r="A55" t="s">
        <v>516</v>
      </c>
      <c r="B55">
        <f t="shared" si="15"/>
        <v>20180625</v>
      </c>
      <c r="C55" t="str">
        <f t="shared" si="16"/>
        <v>11</v>
      </c>
      <c r="D55">
        <f t="shared" si="17"/>
        <v>358</v>
      </c>
      <c r="E55">
        <f t="shared" si="18"/>
        <v>3</v>
      </c>
      <c r="K55">
        <f t="shared" si="19"/>
        <v>43</v>
      </c>
      <c r="L55" t="str">
        <f t="shared" si="14"/>
        <v>0030831033358</v>
      </c>
      <c r="M55" t="str">
        <f t="shared" si="20"/>
        <v>André da Silva Freitas</v>
      </c>
    </row>
    <row r="56" spans="1:13" x14ac:dyDescent="0.25">
      <c r="A56" t="s">
        <v>517</v>
      </c>
      <c r="B56">
        <f t="shared" si="15"/>
        <v>20180625</v>
      </c>
      <c r="C56" t="str">
        <f t="shared" si="16"/>
        <v>12</v>
      </c>
      <c r="D56">
        <f t="shared" si="17"/>
        <v>354</v>
      </c>
      <c r="E56">
        <f t="shared" si="18"/>
        <v>3</v>
      </c>
      <c r="K56">
        <f t="shared" si="19"/>
        <v>38</v>
      </c>
      <c r="L56" t="str">
        <f t="shared" si="14"/>
        <v>003073943354</v>
      </c>
      <c r="M56" t="str">
        <f t="shared" si="20"/>
        <v>Felipe Faria Cunha</v>
      </c>
    </row>
    <row r="57" spans="1:13" x14ac:dyDescent="0.25">
      <c r="A57" t="s">
        <v>518</v>
      </c>
      <c r="B57">
        <f t="shared" si="15"/>
        <v>20180625</v>
      </c>
      <c r="C57" t="str">
        <f t="shared" si="16"/>
        <v>13</v>
      </c>
      <c r="D57">
        <f t="shared" si="17"/>
        <v>352</v>
      </c>
      <c r="E57">
        <f t="shared" si="18"/>
        <v>3</v>
      </c>
      <c r="K57">
        <f t="shared" si="19"/>
        <v>34</v>
      </c>
      <c r="L57" t="str">
        <f t="shared" si="14"/>
        <v>001552873352</v>
      </c>
      <c r="M57" t="str">
        <f t="shared" si="20"/>
        <v>Maurício Braga</v>
      </c>
    </row>
    <row r="58" spans="1:13" x14ac:dyDescent="0.25">
      <c r="A58" t="s">
        <v>519</v>
      </c>
      <c r="B58">
        <f t="shared" si="15"/>
        <v>20180625</v>
      </c>
      <c r="C58" t="str">
        <f t="shared" si="16"/>
        <v>14</v>
      </c>
      <c r="D58">
        <f t="shared" si="17"/>
        <v>348</v>
      </c>
      <c r="E58">
        <f t="shared" si="18"/>
        <v>2</v>
      </c>
      <c r="K58">
        <f t="shared" si="19"/>
        <v>38</v>
      </c>
      <c r="L58" t="str">
        <f t="shared" si="14"/>
        <v>0025531232348</v>
      </c>
      <c r="M58" t="str">
        <f t="shared" si="20"/>
        <v>Thiago Nascimento</v>
      </c>
    </row>
    <row r="59" spans="1:13" x14ac:dyDescent="0.25">
      <c r="A59" t="s">
        <v>520</v>
      </c>
      <c r="B59">
        <f t="shared" si="15"/>
        <v>20180625</v>
      </c>
      <c r="C59" t="str">
        <f t="shared" si="16"/>
        <v>15</v>
      </c>
      <c r="D59">
        <f t="shared" si="17"/>
        <v>343</v>
      </c>
      <c r="E59">
        <f t="shared" si="18"/>
        <v>3</v>
      </c>
      <c r="K59">
        <f t="shared" si="19"/>
        <v>37</v>
      </c>
      <c r="L59" t="str">
        <f t="shared" si="14"/>
        <v>0031132923343</v>
      </c>
      <c r="M59" t="str">
        <f t="shared" si="20"/>
        <v>Eliseu Agostinho</v>
      </c>
    </row>
    <row r="60" spans="1:13" x14ac:dyDescent="0.25">
      <c r="A60" t="s">
        <v>521</v>
      </c>
      <c r="B60">
        <f t="shared" si="15"/>
        <v>20180625</v>
      </c>
      <c r="C60" t="str">
        <f t="shared" si="16"/>
        <v>16</v>
      </c>
      <c r="D60">
        <f t="shared" si="17"/>
        <v>340</v>
      </c>
      <c r="E60">
        <f t="shared" si="18"/>
        <v>4</v>
      </c>
      <c r="K60">
        <f t="shared" si="19"/>
        <v>32</v>
      </c>
      <c r="L60" t="str">
        <f t="shared" si="14"/>
        <v>002164744340</v>
      </c>
      <c r="M60" t="str">
        <f t="shared" si="20"/>
        <v>Silvia Brito</v>
      </c>
    </row>
    <row r="61" spans="1:13" x14ac:dyDescent="0.25">
      <c r="A61" t="s">
        <v>522</v>
      </c>
      <c r="B61">
        <f t="shared" si="15"/>
        <v>20180625</v>
      </c>
      <c r="C61" t="str">
        <f t="shared" si="16"/>
        <v>17</v>
      </c>
      <c r="D61">
        <f t="shared" si="17"/>
        <v>339</v>
      </c>
      <c r="E61">
        <f t="shared" si="18"/>
        <v>3</v>
      </c>
      <c r="K61">
        <f t="shared" si="19"/>
        <v>36</v>
      </c>
      <c r="L61" t="str">
        <f t="shared" si="14"/>
        <v>001573943339</v>
      </c>
      <c r="M61" t="str">
        <f t="shared" si="20"/>
        <v>Eduardo da Fonte</v>
      </c>
    </row>
    <row r="62" spans="1:13" x14ac:dyDescent="0.25">
      <c r="A62" t="s">
        <v>523</v>
      </c>
      <c r="B62">
        <f t="shared" si="15"/>
        <v>20180625</v>
      </c>
      <c r="C62" t="str">
        <f t="shared" si="16"/>
        <v>18</v>
      </c>
      <c r="D62">
        <f t="shared" si="17"/>
        <v>338</v>
      </c>
      <c r="E62">
        <f t="shared" si="18"/>
        <v>0</v>
      </c>
      <c r="K62">
        <f t="shared" si="19"/>
        <v>36</v>
      </c>
      <c r="L62" t="str">
        <f t="shared" si="14"/>
        <v>0030841230338</v>
      </c>
      <c r="M62" t="str">
        <f t="shared" si="20"/>
        <v>Camilla Pereira</v>
      </c>
    </row>
    <row r="63" spans="1:13" x14ac:dyDescent="0.25">
      <c r="A63" t="s">
        <v>524</v>
      </c>
      <c r="B63">
        <f t="shared" si="15"/>
        <v>20180625</v>
      </c>
      <c r="C63" t="str">
        <f t="shared" si="16"/>
        <v>19</v>
      </c>
      <c r="D63">
        <f t="shared" si="17"/>
        <v>316</v>
      </c>
      <c r="E63">
        <f t="shared" si="18"/>
        <v>1</v>
      </c>
      <c r="K63">
        <f t="shared" si="19"/>
        <v>36</v>
      </c>
      <c r="L63" t="str">
        <f t="shared" si="14"/>
        <v>001056761316</v>
      </c>
      <c r="M63" t="str">
        <f t="shared" si="20"/>
        <v>Marco Guimarães</v>
      </c>
    </row>
    <row r="64" spans="1:13" x14ac:dyDescent="0.25">
      <c r="A64">
        <v>20180625</v>
      </c>
    </row>
    <row r="65" spans="1:13" x14ac:dyDescent="0.25">
      <c r="B65" t="s">
        <v>57</v>
      </c>
      <c r="C65" t="s">
        <v>407</v>
      </c>
      <c r="D65" t="s">
        <v>109</v>
      </c>
      <c r="E65" t="s">
        <v>408</v>
      </c>
      <c r="F65" t="s">
        <v>409</v>
      </c>
      <c r="G65" t="s">
        <v>410</v>
      </c>
      <c r="H65" t="s">
        <v>412</v>
      </c>
      <c r="I65" t="s">
        <v>411</v>
      </c>
      <c r="J65" t="s">
        <v>386</v>
      </c>
      <c r="K65" t="s">
        <v>413</v>
      </c>
      <c r="L65" t="s">
        <v>0</v>
      </c>
    </row>
    <row r="66" spans="1:13" x14ac:dyDescent="0.25">
      <c r="A66" t="s">
        <v>590</v>
      </c>
      <c r="B66">
        <f>$A$85</f>
        <v>20180626</v>
      </c>
      <c r="C66" t="str">
        <f>MID(A66,1,SEARCH("º",A66)-1)</f>
        <v>1</v>
      </c>
      <c r="D66">
        <f>VALUE(MID(A66,K66-2,3))</f>
        <v>420</v>
      </c>
      <c r="E66">
        <f>VALUE(MID(A66,K66-3,1))</f>
        <v>4</v>
      </c>
      <c r="K66">
        <f>LEN(A66)</f>
        <v>33</v>
      </c>
      <c r="L66" t="str">
        <f t="shared" ref="L66:L84" si="21">MID(A66,SEARCH("º",A66,5)+1,K66-SEARCH("º",A66,3))</f>
        <v>0015651154420</v>
      </c>
      <c r="M66" t="str">
        <f>IF(AND(CODE(MID(MID(A66,SEARCH("º",A66,1)+1,SEARCH("º",A66,4)-SEARCH("º",A66,1)-4),LEN(MID(A66,SEARCH("º",A66,1)+1,SEARCH("º",A66,4)-SEARCH("º",A66,1)-4)),1))&gt;47,CODE(MID(MID(A66,SEARCH("º",A66,1)+1,SEARCH("º",A66,4)-SEARCH("º",A66,1)-4),LEN(MID(A66,SEARCH("º",A66,1)+1,SEARCH("º",A66,4)-SEARCH("º",A66,1)-4)),1))&lt;58),IF(AND(CODE(MID(MID(A66,SEARCH("º",A66,1)+1,SEARCH("º",A66,4)-SEARCH("º",A66,1)-4),LEN(MID(A66,SEARCH("º",A66,1)+1,SEARCH("º",A66,4)-SEARCH("º",A66,1)-5)),1))&gt;47,CODE(MID(MID(A66,SEARCH("º",A66,1)+1,SEARCH("º",A66,4)-SEARCH("º",A66,1)-5),LEN(MID(A66,SEARCH("º",A66,1)+1,SEARCH("º",A66,4)-SEARCH("º",A66,1)-5)),1))&lt;58),IF(AND(CODE(MID(MID(A66,SEARCH("º",A66,1)+1,SEARCH("º",A66,4)-SEARCH("º",A66,1)-4),LEN(MID(A66,SEARCH("º",A66,1)+1,SEARCH("º",A66,4)-SEARCH("º",A66,1)-4)),1))&gt;47,CODE(MID(MID(A66,SEARCH("º",A66,1)+1,SEARCH("º",A66,4)-SEARCH("º",A66,1)-4),LEN(MID(A66,SEARCH("º",A66,1)+1,SEARCH("º",A66,4)-SEARCH("º",A66,1)-4)),1))&lt;58),IF(AND(CODE(MID(MID(A66,SEARCH("º",A66,1)+1,SEARCH("º",A66,4)-SEARCH("º",A66,1)-4),LEN(MID(A66,SEARCH("º",A66,1)+1,SEARCH("º",A66,4)-SEARCH("º",A66,1)-6)),1))&gt;47,CODE(MID(MID(A66,SEARCH("º",A66,1)+1,SEARCH("º",A66,4)-SEARCH("º",A66,1)-6),LEN(MID(A66,SEARCH("º",A66,1)+1,SEARCH("º",A66,4)-SEARCH("º",A66,1)-6)),1))&lt;58),"MAIS UM",MID(A66,SEARCH("º",A66,1)+1,SEARCH("º",A66,4)-SEARCH("º",A66,1)-6)),MID(A66,SEARCH("º",A66,1)+1,SEARCH("º",A66,4)-SEARCH("º",A66,1)-4)),MID(A66,SEARCH("º",A66,1)+1,SEARCH("º",A66,4)-SEARCH("º",A66,1)-5)),MID(A66,SEARCH("º",A66,1)+1,SEARCH("º",A66,4)-SEARCH("º",A66,1)-4))</f>
        <v>Fúlvio Falcão</v>
      </c>
    </row>
    <row r="67" spans="1:13" x14ac:dyDescent="0.25">
      <c r="A67" t="s">
        <v>591</v>
      </c>
      <c r="B67">
        <f t="shared" ref="B67:B84" si="22">$A$85</f>
        <v>20180626</v>
      </c>
      <c r="C67" t="str">
        <f t="shared" ref="C67:C84" si="23">MID(A67,1,SEARCH("º",A67)-1)</f>
        <v>2</v>
      </c>
      <c r="D67">
        <f t="shared" ref="D67:D83" si="24">VALUE(MID(A67,K67-2,3))</f>
        <v>413</v>
      </c>
      <c r="E67">
        <f t="shared" ref="E67:E84" si="25">VALUE(MID(A67,K67-3,1))</f>
        <v>2</v>
      </c>
      <c r="K67">
        <f t="shared" ref="K67:K84" si="26">LEN(A67)</f>
        <v>37</v>
      </c>
      <c r="L67" t="str">
        <f t="shared" si="21"/>
        <v>0040631532413</v>
      </c>
      <c r="M67" t="str">
        <f t="shared" ref="M67:M84" si="27">IF(AND(CODE(MID(MID(A67,SEARCH("º",A67,1)+1,SEARCH("º",A67,4)-SEARCH("º",A67,1)-4),LEN(MID(A67,SEARCH("º",A67,1)+1,SEARCH("º",A67,4)-SEARCH("º",A67,1)-4)),1))&gt;47,CODE(MID(MID(A67,SEARCH("º",A67,1)+1,SEARCH("º",A67,4)-SEARCH("º",A67,1)-4),LEN(MID(A67,SEARCH("º",A67,1)+1,SEARCH("º",A67,4)-SEARCH("º",A67,1)-4)),1))&lt;58),IF(AND(CODE(MID(MID(A67,SEARCH("º",A67,1)+1,SEARCH("º",A67,4)-SEARCH("º",A67,1)-4),LEN(MID(A67,SEARCH("º",A67,1)+1,SEARCH("º",A67,4)-SEARCH("º",A67,1)-5)),1))&gt;47,CODE(MID(MID(A67,SEARCH("º",A67,1)+1,SEARCH("º",A67,4)-SEARCH("º",A67,1)-5),LEN(MID(A67,SEARCH("º",A67,1)+1,SEARCH("º",A67,4)-SEARCH("º",A67,1)-5)),1))&lt;58),IF(AND(CODE(MID(MID(A67,SEARCH("º",A67,1)+1,SEARCH("º",A67,4)-SEARCH("º",A67,1)-4),LEN(MID(A67,SEARCH("º",A67,1)+1,SEARCH("º",A67,4)-SEARCH("º",A67,1)-4)),1))&gt;47,CODE(MID(MID(A67,SEARCH("º",A67,1)+1,SEARCH("º",A67,4)-SEARCH("º",A67,1)-4),LEN(MID(A67,SEARCH("º",A67,1)+1,SEARCH("º",A67,4)-SEARCH("º",A67,1)-4)),1))&lt;58),IF(AND(CODE(MID(MID(A67,SEARCH("º",A67,1)+1,SEARCH("º",A67,4)-SEARCH("º",A67,1)-4),LEN(MID(A67,SEARCH("º",A67,1)+1,SEARCH("º",A67,4)-SEARCH("º",A67,1)-6)),1))&gt;47,CODE(MID(MID(A67,SEARCH("º",A67,1)+1,SEARCH("º",A67,4)-SEARCH("º",A67,1)-6),LEN(MID(A67,SEARCH("º",A67,1)+1,SEARCH("º",A67,4)-SEARCH("º",A67,1)-6)),1))&lt;58),"MAIS UM",MID(A67,SEARCH("º",A67,1)+1,SEARCH("º",A67,4)-SEARCH("º",A67,1)-6)),MID(A67,SEARCH("º",A67,1)+1,SEARCH("º",A67,4)-SEARCH("º",A67,1)-4)),MID(A67,SEARCH("º",A67,1)+1,SEARCH("º",A67,4)-SEARCH("º",A67,1)-5)),MID(A67,SEARCH("º",A67,1)+1,SEARCH("º",A67,4)-SEARCH("º",A67,1)-4))</f>
        <v>Thiago Nascimento</v>
      </c>
    </row>
    <row r="68" spans="1:13" x14ac:dyDescent="0.25">
      <c r="A68" t="s">
        <v>592</v>
      </c>
      <c r="B68">
        <f t="shared" si="22"/>
        <v>20180626</v>
      </c>
      <c r="C68" t="str">
        <f t="shared" si="23"/>
        <v>3</v>
      </c>
      <c r="D68">
        <f t="shared" si="24"/>
        <v>408</v>
      </c>
      <c r="E68">
        <f t="shared" si="25"/>
        <v>3</v>
      </c>
      <c r="K68">
        <f t="shared" si="26"/>
        <v>31</v>
      </c>
      <c r="L68" t="str">
        <f t="shared" si="21"/>
        <v>002547783408</v>
      </c>
      <c r="M68" t="str">
        <f t="shared" si="27"/>
        <v>Marcelo Lira</v>
      </c>
    </row>
    <row r="69" spans="1:13" x14ac:dyDescent="0.25">
      <c r="A69" t="s">
        <v>593</v>
      </c>
      <c r="B69">
        <f t="shared" si="22"/>
        <v>20180626</v>
      </c>
      <c r="C69" t="str">
        <f t="shared" si="23"/>
        <v>4</v>
      </c>
      <c r="D69">
        <f t="shared" si="24"/>
        <v>406</v>
      </c>
      <c r="E69">
        <f t="shared" si="25"/>
        <v>6</v>
      </c>
      <c r="K69">
        <f t="shared" si="26"/>
        <v>33</v>
      </c>
      <c r="L69" t="str">
        <f t="shared" si="21"/>
        <v>00351021116406</v>
      </c>
      <c r="M69" t="str">
        <f t="shared" si="27"/>
        <v>eurico costa</v>
      </c>
    </row>
    <row r="70" spans="1:13" x14ac:dyDescent="0.25">
      <c r="A70" t="s">
        <v>594</v>
      </c>
      <c r="B70">
        <f t="shared" si="22"/>
        <v>20180626</v>
      </c>
      <c r="C70" t="str">
        <f t="shared" si="23"/>
        <v>5</v>
      </c>
      <c r="D70">
        <f t="shared" si="24"/>
        <v>406</v>
      </c>
      <c r="E70">
        <f t="shared" si="25"/>
        <v>3</v>
      </c>
      <c r="K70">
        <f t="shared" si="26"/>
        <v>39</v>
      </c>
      <c r="L70" t="str">
        <f t="shared" si="21"/>
        <v>003056963406</v>
      </c>
      <c r="M70" t="str">
        <f t="shared" si="27"/>
        <v>Fernando Gloria Dias</v>
      </c>
    </row>
    <row r="71" spans="1:13" x14ac:dyDescent="0.25">
      <c r="A71" t="s">
        <v>595</v>
      </c>
      <c r="B71">
        <f t="shared" si="22"/>
        <v>20180626</v>
      </c>
      <c r="C71" t="str">
        <f t="shared" si="23"/>
        <v>6</v>
      </c>
      <c r="D71">
        <f t="shared" si="24"/>
        <v>402</v>
      </c>
      <c r="E71">
        <f t="shared" si="25"/>
        <v>7</v>
      </c>
      <c r="K71">
        <f t="shared" si="26"/>
        <v>38</v>
      </c>
      <c r="L71" t="str">
        <f t="shared" si="21"/>
        <v>0015541027402</v>
      </c>
      <c r="M71" t="str">
        <f t="shared" si="27"/>
        <v>Renato Alves Silva</v>
      </c>
    </row>
    <row r="72" spans="1:13" x14ac:dyDescent="0.25">
      <c r="A72" t="s">
        <v>596</v>
      </c>
      <c r="B72">
        <f t="shared" si="22"/>
        <v>20180626</v>
      </c>
      <c r="C72" t="str">
        <f t="shared" si="23"/>
        <v>7</v>
      </c>
      <c r="D72">
        <f t="shared" si="24"/>
        <v>400</v>
      </c>
      <c r="E72">
        <f t="shared" si="25"/>
        <v>3</v>
      </c>
      <c r="K72">
        <f t="shared" si="26"/>
        <v>38</v>
      </c>
      <c r="L72" t="str">
        <f t="shared" si="21"/>
        <v>0030731153400</v>
      </c>
      <c r="M72" t="str">
        <f t="shared" si="27"/>
        <v>Felipe Faria Cunha</v>
      </c>
    </row>
    <row r="73" spans="1:13" x14ac:dyDescent="0.25">
      <c r="A73" t="s">
        <v>597</v>
      </c>
      <c r="B73">
        <f t="shared" si="22"/>
        <v>20180626</v>
      </c>
      <c r="C73" t="str">
        <f t="shared" si="23"/>
        <v>8</v>
      </c>
      <c r="D73">
        <f t="shared" si="24"/>
        <v>399</v>
      </c>
      <c r="E73">
        <f t="shared" si="25"/>
        <v>8</v>
      </c>
      <c r="K73">
        <f t="shared" si="26"/>
        <v>32</v>
      </c>
      <c r="L73" t="str">
        <f t="shared" si="21"/>
        <v>002062748399</v>
      </c>
      <c r="M73" t="str">
        <f t="shared" si="27"/>
        <v>Jose Barradas</v>
      </c>
    </row>
    <row r="74" spans="1:13" x14ac:dyDescent="0.25">
      <c r="A74" t="s">
        <v>598</v>
      </c>
      <c r="B74">
        <f t="shared" si="22"/>
        <v>20180626</v>
      </c>
      <c r="C74" t="str">
        <f t="shared" si="23"/>
        <v>9</v>
      </c>
      <c r="D74">
        <f t="shared" si="24"/>
        <v>398</v>
      </c>
      <c r="E74">
        <f t="shared" si="25"/>
        <v>4</v>
      </c>
      <c r="K74">
        <f t="shared" si="26"/>
        <v>42</v>
      </c>
      <c r="L74" t="str">
        <f t="shared" si="21"/>
        <v>0030931134398</v>
      </c>
      <c r="M74" t="str">
        <f t="shared" si="27"/>
        <v>André da Silva Freitas</v>
      </c>
    </row>
    <row r="75" spans="1:13" x14ac:dyDescent="0.25">
      <c r="A75" t="s">
        <v>599</v>
      </c>
      <c r="B75">
        <f t="shared" si="22"/>
        <v>20180626</v>
      </c>
      <c r="C75" t="str">
        <f t="shared" si="23"/>
        <v>10</v>
      </c>
      <c r="D75">
        <f t="shared" si="24"/>
        <v>394</v>
      </c>
      <c r="E75">
        <f t="shared" si="25"/>
        <v>3</v>
      </c>
      <c r="K75">
        <f t="shared" si="26"/>
        <v>34</v>
      </c>
      <c r="L75" t="str">
        <f t="shared" si="21"/>
        <v>001553893394</v>
      </c>
      <c r="M75" t="str">
        <f t="shared" si="27"/>
        <v>Maurício Braga</v>
      </c>
    </row>
    <row r="76" spans="1:13" x14ac:dyDescent="0.25">
      <c r="A76" t="s">
        <v>600</v>
      </c>
      <c r="B76">
        <f t="shared" si="22"/>
        <v>20180626</v>
      </c>
      <c r="C76" t="str">
        <f t="shared" si="23"/>
        <v>11</v>
      </c>
      <c r="D76">
        <f t="shared" si="24"/>
        <v>393</v>
      </c>
      <c r="E76">
        <f t="shared" si="25"/>
        <v>4</v>
      </c>
      <c r="K76">
        <f t="shared" si="26"/>
        <v>44</v>
      </c>
      <c r="L76" t="str">
        <f t="shared" si="21"/>
        <v>0030751034393</v>
      </c>
      <c r="M76" t="str">
        <f t="shared" si="27"/>
        <v>Ibiã Marques dos Santos</v>
      </c>
    </row>
    <row r="77" spans="1:13" x14ac:dyDescent="0.25">
      <c r="A77" t="s">
        <v>601</v>
      </c>
      <c r="B77">
        <f t="shared" si="22"/>
        <v>20180626</v>
      </c>
      <c r="C77" t="str">
        <f t="shared" si="23"/>
        <v>12</v>
      </c>
      <c r="D77">
        <f t="shared" si="24"/>
        <v>393</v>
      </c>
      <c r="E77">
        <f t="shared" si="25"/>
        <v>3</v>
      </c>
      <c r="K77">
        <f t="shared" si="26"/>
        <v>31</v>
      </c>
      <c r="L77" t="str">
        <f t="shared" si="21"/>
        <v>0020861133393</v>
      </c>
      <c r="M77" t="str">
        <f t="shared" si="27"/>
        <v>Ailsa Coto</v>
      </c>
    </row>
    <row r="78" spans="1:13" x14ac:dyDescent="0.25">
      <c r="A78" t="s">
        <v>602</v>
      </c>
      <c r="B78">
        <f t="shared" si="22"/>
        <v>20180626</v>
      </c>
      <c r="C78" t="str">
        <f t="shared" si="23"/>
        <v>13</v>
      </c>
      <c r="D78">
        <f t="shared" si="24"/>
        <v>392</v>
      </c>
      <c r="E78">
        <f t="shared" si="25"/>
        <v>4</v>
      </c>
      <c r="K78">
        <f t="shared" si="26"/>
        <v>26</v>
      </c>
      <c r="L78" t="str">
        <f t="shared" si="21"/>
        <v>002085674392</v>
      </c>
      <c r="M78" t="str">
        <f t="shared" si="27"/>
        <v>Naga J</v>
      </c>
    </row>
    <row r="79" spans="1:13" x14ac:dyDescent="0.25">
      <c r="A79" t="s">
        <v>603</v>
      </c>
      <c r="B79">
        <f t="shared" si="22"/>
        <v>20180626</v>
      </c>
      <c r="C79" t="str">
        <f t="shared" si="23"/>
        <v>14</v>
      </c>
      <c r="D79">
        <f t="shared" si="24"/>
        <v>383</v>
      </c>
      <c r="E79">
        <f t="shared" si="25"/>
        <v>5</v>
      </c>
      <c r="K79">
        <f t="shared" si="26"/>
        <v>37</v>
      </c>
      <c r="L79" t="str">
        <f t="shared" si="21"/>
        <v>0031132925383</v>
      </c>
      <c r="M79" t="str">
        <f t="shared" si="27"/>
        <v>Eliseu Agostinho</v>
      </c>
    </row>
    <row r="80" spans="1:13" x14ac:dyDescent="0.25">
      <c r="A80" t="s">
        <v>604</v>
      </c>
      <c r="B80">
        <f t="shared" si="22"/>
        <v>20180626</v>
      </c>
      <c r="C80" t="str">
        <f t="shared" si="23"/>
        <v>15</v>
      </c>
      <c r="D80">
        <f t="shared" si="24"/>
        <v>375</v>
      </c>
      <c r="E80">
        <f t="shared" si="25"/>
        <v>4</v>
      </c>
      <c r="K80">
        <f t="shared" si="26"/>
        <v>32</v>
      </c>
      <c r="L80" t="str">
        <f t="shared" si="21"/>
        <v>002174944375</v>
      </c>
      <c r="M80" t="str">
        <f t="shared" si="27"/>
        <v>Silvia Brito</v>
      </c>
    </row>
    <row r="81" spans="1:13" x14ac:dyDescent="0.25">
      <c r="A81" t="s">
        <v>605</v>
      </c>
      <c r="B81">
        <f t="shared" si="22"/>
        <v>20180626</v>
      </c>
      <c r="C81" t="str">
        <f t="shared" si="23"/>
        <v>16</v>
      </c>
      <c r="D81">
        <f t="shared" si="24"/>
        <v>373</v>
      </c>
      <c r="E81">
        <f t="shared" si="25"/>
        <v>6</v>
      </c>
      <c r="K81">
        <f t="shared" si="26"/>
        <v>34</v>
      </c>
      <c r="L81" t="str">
        <f t="shared" si="21"/>
        <v>001564836373</v>
      </c>
      <c r="M81" t="str">
        <f t="shared" si="27"/>
        <v>Manuel Correia</v>
      </c>
    </row>
    <row r="82" spans="1:13" x14ac:dyDescent="0.25">
      <c r="A82" t="s">
        <v>606</v>
      </c>
      <c r="B82">
        <f t="shared" si="22"/>
        <v>20180626</v>
      </c>
      <c r="C82" t="str">
        <f t="shared" si="23"/>
        <v>17</v>
      </c>
      <c r="D82">
        <f t="shared" si="24"/>
        <v>364</v>
      </c>
      <c r="E82">
        <f t="shared" si="25"/>
        <v>0</v>
      </c>
      <c r="K82">
        <f t="shared" si="26"/>
        <v>38</v>
      </c>
      <c r="L82" t="str">
        <f t="shared" si="21"/>
        <v>00301041240364</v>
      </c>
      <c r="M82" t="str">
        <f t="shared" si="27"/>
        <v>Camilla Pereira</v>
      </c>
    </row>
    <row r="83" spans="1:13" x14ac:dyDescent="0.25">
      <c r="A83" t="s">
        <v>607</v>
      </c>
      <c r="B83">
        <f t="shared" si="22"/>
        <v>20180626</v>
      </c>
      <c r="C83" t="str">
        <f t="shared" si="23"/>
        <v>18</v>
      </c>
      <c r="D83">
        <f t="shared" si="24"/>
        <v>339</v>
      </c>
      <c r="E83">
        <f t="shared" si="25"/>
        <v>3</v>
      </c>
      <c r="K83">
        <f t="shared" si="26"/>
        <v>37</v>
      </c>
      <c r="L83" t="str">
        <f t="shared" si="21"/>
        <v>001573943339</v>
      </c>
      <c r="M83" t="str">
        <f t="shared" si="27"/>
        <v>Eduardo da Fonte</v>
      </c>
    </row>
    <row r="84" spans="1:13" x14ac:dyDescent="0.25">
      <c r="A84" t="s">
        <v>608</v>
      </c>
      <c r="B84">
        <f t="shared" si="22"/>
        <v>20180626</v>
      </c>
      <c r="C84" t="str">
        <f t="shared" si="23"/>
        <v>19</v>
      </c>
      <c r="D84">
        <f>VALUE(MID(A84,K84-2,3))</f>
        <v>336</v>
      </c>
      <c r="E84">
        <f t="shared" si="25"/>
        <v>1</v>
      </c>
      <c r="K84">
        <f t="shared" si="26"/>
        <v>36</v>
      </c>
      <c r="L84" t="str">
        <f t="shared" si="21"/>
        <v>001066861336</v>
      </c>
      <c r="M84" t="str">
        <f t="shared" si="27"/>
        <v>Marco Guimarães</v>
      </c>
    </row>
    <row r="85" spans="1:13" x14ac:dyDescent="0.25">
      <c r="A85">
        <v>20180626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5248E-F435-4EB0-866F-496940A188A1}">
  <dimension ref="A1:U33"/>
  <sheetViews>
    <sheetView topLeftCell="B1" workbookViewId="0">
      <selection activeCell="U4" activeCellId="1" sqref="I4 U4"/>
    </sheetView>
  </sheetViews>
  <sheetFormatPr defaultRowHeight="15" x14ac:dyDescent="0.25"/>
  <cols>
    <col min="10" max="10" width="9.85546875" bestFit="1" customWidth="1"/>
    <col min="18" max="18" width="9.42578125" bestFit="1" customWidth="1"/>
    <col min="19" max="19" width="10.7109375" bestFit="1" customWidth="1"/>
    <col min="20" max="20" width="4.85546875" customWidth="1"/>
  </cols>
  <sheetData>
    <row r="1" spans="1:21" ht="15.75" thickBot="1" x14ac:dyDescent="0.3">
      <c r="A1" s="16" t="s">
        <v>2</v>
      </c>
      <c r="B1" s="17" t="s">
        <v>110</v>
      </c>
      <c r="C1" s="17" t="s">
        <v>111</v>
      </c>
      <c r="D1" s="17" t="s">
        <v>418</v>
      </c>
      <c r="E1" s="17" t="s">
        <v>417</v>
      </c>
      <c r="F1" s="17" t="s">
        <v>419</v>
      </c>
      <c r="G1" s="17" t="s">
        <v>420</v>
      </c>
      <c r="H1" s="17" t="s">
        <v>421</v>
      </c>
      <c r="I1" s="48" t="s">
        <v>573</v>
      </c>
      <c r="J1" s="48" t="s">
        <v>639</v>
      </c>
      <c r="K1" s="17" t="s">
        <v>422</v>
      </c>
      <c r="L1" s="17" t="s">
        <v>423</v>
      </c>
      <c r="M1" s="17" t="s">
        <v>312</v>
      </c>
      <c r="N1" s="17" t="s">
        <v>424</v>
      </c>
      <c r="O1" s="17" t="s">
        <v>425</v>
      </c>
      <c r="P1" s="17" t="s">
        <v>426</v>
      </c>
      <c r="Q1" s="106" t="s">
        <v>251</v>
      </c>
      <c r="R1" s="106" t="s">
        <v>640</v>
      </c>
      <c r="S1" s="106" t="s">
        <v>641</v>
      </c>
    </row>
    <row r="2" spans="1:21" x14ac:dyDescent="0.25">
      <c r="A2" t="s">
        <v>4</v>
      </c>
      <c r="B2">
        <v>3</v>
      </c>
      <c r="C2" t="s">
        <v>60</v>
      </c>
      <c r="D2">
        <v>8</v>
      </c>
      <c r="E2">
        <v>2.67</v>
      </c>
      <c r="F2">
        <v>6</v>
      </c>
      <c r="G2">
        <v>0.79</v>
      </c>
      <c r="H2">
        <v>0.43</v>
      </c>
      <c r="I2">
        <v>1.0699999999999999E-2</v>
      </c>
      <c r="J2">
        <v>0.69489999999999996</v>
      </c>
      <c r="K2">
        <v>9</v>
      </c>
      <c r="L2">
        <v>3.67</v>
      </c>
      <c r="M2">
        <v>344.33</v>
      </c>
      <c r="N2">
        <v>110.33</v>
      </c>
      <c r="O2">
        <v>48</v>
      </c>
      <c r="P2">
        <v>28.67</v>
      </c>
      <c r="Q2">
        <v>51</v>
      </c>
      <c r="R2">
        <v>3</v>
      </c>
      <c r="S2">
        <v>0</v>
      </c>
      <c r="U2" s="104">
        <f>(K2*G2/L2)/M2</f>
        <v>5.626374989900618E-3</v>
      </c>
    </row>
    <row r="3" spans="1:21" x14ac:dyDescent="0.25">
      <c r="A3" t="s">
        <v>4</v>
      </c>
      <c r="B3">
        <v>3</v>
      </c>
      <c r="C3" t="s">
        <v>61</v>
      </c>
      <c r="D3">
        <v>2</v>
      </c>
      <c r="E3">
        <v>0.67</v>
      </c>
      <c r="F3">
        <v>3</v>
      </c>
      <c r="G3">
        <v>0.87</v>
      </c>
      <c r="H3">
        <v>0.57999999999999996</v>
      </c>
      <c r="I3">
        <v>5.7000000000000002E-3</v>
      </c>
      <c r="J3">
        <v>0.67969999999999997</v>
      </c>
      <c r="K3">
        <v>12</v>
      </c>
      <c r="L3">
        <v>3.33</v>
      </c>
      <c r="M3">
        <v>586.66999999999996</v>
      </c>
      <c r="N3">
        <v>102</v>
      </c>
      <c r="O3">
        <v>47</v>
      </c>
      <c r="P3">
        <v>22.33</v>
      </c>
      <c r="Q3">
        <v>30</v>
      </c>
      <c r="R3">
        <v>1</v>
      </c>
      <c r="S3">
        <v>0</v>
      </c>
      <c r="U3" s="104">
        <f>(K3*G3/L3)/M3</f>
        <v>5.3439499806281817E-3</v>
      </c>
    </row>
    <row r="4" spans="1:21" x14ac:dyDescent="0.25">
      <c r="A4" t="s">
        <v>4</v>
      </c>
      <c r="B4">
        <v>3</v>
      </c>
      <c r="C4" t="s">
        <v>63</v>
      </c>
      <c r="D4">
        <v>5</v>
      </c>
      <c r="E4">
        <v>1.67</v>
      </c>
      <c r="F4">
        <v>9</v>
      </c>
      <c r="G4">
        <v>0.87</v>
      </c>
      <c r="H4">
        <v>0.53</v>
      </c>
      <c r="I4" s="3">
        <v>9.4000000000000004E-3</v>
      </c>
      <c r="J4">
        <v>0.59109999999999996</v>
      </c>
      <c r="K4">
        <v>14.67</v>
      </c>
      <c r="L4">
        <v>5</v>
      </c>
      <c r="M4">
        <v>533</v>
      </c>
      <c r="N4">
        <v>104.33</v>
      </c>
      <c r="O4">
        <v>43.67</v>
      </c>
      <c r="P4">
        <v>18</v>
      </c>
      <c r="Q4">
        <v>33</v>
      </c>
      <c r="R4">
        <v>1</v>
      </c>
      <c r="S4">
        <v>0</v>
      </c>
      <c r="U4" s="107">
        <f>(K4*G4/L4)/M4</f>
        <v>4.7890806754221386E-3</v>
      </c>
    </row>
    <row r="5" spans="1:21" x14ac:dyDescent="0.25">
      <c r="A5" t="s">
        <v>4</v>
      </c>
      <c r="B5">
        <v>3</v>
      </c>
      <c r="C5" t="s">
        <v>62</v>
      </c>
      <c r="D5">
        <v>2</v>
      </c>
      <c r="E5">
        <v>0.67</v>
      </c>
      <c r="F5">
        <v>0</v>
      </c>
      <c r="G5">
        <v>0.8</v>
      </c>
      <c r="H5">
        <v>0.45</v>
      </c>
      <c r="I5">
        <v>4.0000000000000001E-3</v>
      </c>
      <c r="J5">
        <v>0.7409</v>
      </c>
      <c r="K5">
        <v>9.67</v>
      </c>
      <c r="L5">
        <v>1.67</v>
      </c>
      <c r="M5">
        <v>413.67</v>
      </c>
      <c r="N5">
        <v>109.33</v>
      </c>
      <c r="O5">
        <v>49.67</v>
      </c>
      <c r="P5">
        <v>31.33</v>
      </c>
      <c r="Q5">
        <v>38</v>
      </c>
      <c r="R5">
        <v>5</v>
      </c>
      <c r="S5">
        <v>0</v>
      </c>
      <c r="U5" s="104">
        <f t="shared" ref="U5:U33" si="0">(K5*G5/L5)/M5</f>
        <v>1.1198141826434882E-2</v>
      </c>
    </row>
    <row r="6" spans="1:21" x14ac:dyDescent="0.25">
      <c r="A6" t="s">
        <v>17</v>
      </c>
      <c r="B6">
        <v>3</v>
      </c>
      <c r="C6" t="s">
        <v>67</v>
      </c>
      <c r="D6">
        <v>2</v>
      </c>
      <c r="E6">
        <v>0.67</v>
      </c>
      <c r="F6">
        <v>4</v>
      </c>
      <c r="G6">
        <v>0.68</v>
      </c>
      <c r="H6">
        <v>0.33</v>
      </c>
      <c r="I6">
        <v>6.1999999999999998E-3</v>
      </c>
      <c r="J6">
        <v>0.7157</v>
      </c>
      <c r="K6">
        <v>7</v>
      </c>
      <c r="L6">
        <v>1.33</v>
      </c>
      <c r="M6">
        <v>213</v>
      </c>
      <c r="N6">
        <v>99.67</v>
      </c>
      <c r="O6">
        <v>41</v>
      </c>
      <c r="P6">
        <v>30.33</v>
      </c>
      <c r="Q6">
        <v>44</v>
      </c>
      <c r="R6">
        <v>7</v>
      </c>
      <c r="S6">
        <v>0</v>
      </c>
      <c r="U6" s="104">
        <f t="shared" si="0"/>
        <v>1.6802569804793676E-2</v>
      </c>
    </row>
    <row r="7" spans="1:21" x14ac:dyDescent="0.25">
      <c r="A7" t="s">
        <v>17</v>
      </c>
      <c r="B7">
        <v>3</v>
      </c>
      <c r="C7" t="s">
        <v>64</v>
      </c>
      <c r="D7">
        <v>5</v>
      </c>
      <c r="E7">
        <v>1.67</v>
      </c>
      <c r="F7">
        <v>5</v>
      </c>
      <c r="G7">
        <v>0.84</v>
      </c>
      <c r="H7">
        <v>0.51</v>
      </c>
      <c r="I7" s="3">
        <v>6.6E-3</v>
      </c>
      <c r="J7">
        <v>0.65200000000000002</v>
      </c>
      <c r="K7">
        <v>10.67</v>
      </c>
      <c r="L7">
        <v>3</v>
      </c>
      <c r="M7">
        <v>457.67</v>
      </c>
      <c r="N7">
        <v>98.67</v>
      </c>
      <c r="O7">
        <v>41</v>
      </c>
      <c r="P7">
        <v>23.33</v>
      </c>
      <c r="Q7">
        <v>42</v>
      </c>
      <c r="R7">
        <v>6</v>
      </c>
      <c r="S7">
        <v>0</v>
      </c>
      <c r="U7" s="107">
        <f t="shared" si="0"/>
        <v>6.5278475757641966E-3</v>
      </c>
    </row>
    <row r="8" spans="1:21" x14ac:dyDescent="0.25">
      <c r="A8" t="s">
        <v>17</v>
      </c>
      <c r="B8">
        <v>3</v>
      </c>
      <c r="C8" t="s">
        <v>65</v>
      </c>
      <c r="D8">
        <v>6</v>
      </c>
      <c r="E8">
        <v>2</v>
      </c>
      <c r="F8">
        <v>5</v>
      </c>
      <c r="G8">
        <v>0.91</v>
      </c>
      <c r="H8">
        <v>0.66</v>
      </c>
      <c r="I8">
        <v>5.1999999999999998E-3</v>
      </c>
      <c r="J8">
        <v>0.37619999999999998</v>
      </c>
      <c r="K8">
        <v>15</v>
      </c>
      <c r="L8">
        <v>4</v>
      </c>
      <c r="M8">
        <v>764.67</v>
      </c>
      <c r="N8">
        <v>103.67</v>
      </c>
      <c r="O8">
        <v>30</v>
      </c>
      <c r="P8">
        <v>9</v>
      </c>
      <c r="Q8">
        <v>29</v>
      </c>
      <c r="R8">
        <v>1</v>
      </c>
      <c r="S8">
        <v>0</v>
      </c>
      <c r="U8" s="104">
        <f t="shared" si="0"/>
        <v>4.4627094040566523E-3</v>
      </c>
    </row>
    <row r="9" spans="1:21" x14ac:dyDescent="0.25">
      <c r="A9" t="s">
        <v>17</v>
      </c>
      <c r="B9">
        <v>3</v>
      </c>
      <c r="C9" t="s">
        <v>66</v>
      </c>
      <c r="D9">
        <v>2</v>
      </c>
      <c r="E9">
        <v>0.67</v>
      </c>
      <c r="F9">
        <v>1</v>
      </c>
      <c r="G9">
        <v>0.82</v>
      </c>
      <c r="H9">
        <v>0.5</v>
      </c>
      <c r="I9">
        <v>8.6999999999999994E-3</v>
      </c>
      <c r="J9">
        <v>0.64580000000000004</v>
      </c>
      <c r="K9">
        <v>11.67</v>
      </c>
      <c r="L9">
        <v>3.33</v>
      </c>
      <c r="M9">
        <v>382.33</v>
      </c>
      <c r="N9">
        <v>106.33</v>
      </c>
      <c r="O9">
        <v>48</v>
      </c>
      <c r="P9">
        <v>20.67</v>
      </c>
      <c r="Q9">
        <v>62</v>
      </c>
      <c r="R9">
        <v>8</v>
      </c>
      <c r="S9">
        <v>0</v>
      </c>
      <c r="U9" s="104">
        <f t="shared" si="0"/>
        <v>7.5162652517293789E-3</v>
      </c>
    </row>
    <row r="10" spans="1:21" x14ac:dyDescent="0.25">
      <c r="A10" t="s">
        <v>18</v>
      </c>
      <c r="B10">
        <v>3</v>
      </c>
      <c r="C10" t="s">
        <v>68</v>
      </c>
      <c r="D10">
        <v>3</v>
      </c>
      <c r="E10">
        <v>1</v>
      </c>
      <c r="F10">
        <v>7</v>
      </c>
      <c r="G10">
        <v>0.84</v>
      </c>
      <c r="H10">
        <v>0.52</v>
      </c>
      <c r="I10">
        <v>8.3000000000000001E-3</v>
      </c>
      <c r="J10">
        <v>0.62909999999999999</v>
      </c>
      <c r="K10">
        <v>11.67</v>
      </c>
      <c r="L10">
        <v>4.33</v>
      </c>
      <c r="M10">
        <v>518.66999999999996</v>
      </c>
      <c r="N10">
        <v>103.33</v>
      </c>
      <c r="O10">
        <v>43.67</v>
      </c>
      <c r="P10">
        <v>21.33</v>
      </c>
      <c r="Q10">
        <v>37</v>
      </c>
      <c r="R10">
        <v>3</v>
      </c>
      <c r="S10">
        <v>0</v>
      </c>
      <c r="U10" s="104">
        <f t="shared" si="0"/>
        <v>4.364868022051961E-3</v>
      </c>
    </row>
    <row r="11" spans="1:21" x14ac:dyDescent="0.25">
      <c r="A11" t="s">
        <v>18</v>
      </c>
      <c r="B11">
        <v>3</v>
      </c>
      <c r="C11" t="s">
        <v>71</v>
      </c>
      <c r="D11">
        <v>2</v>
      </c>
      <c r="E11">
        <v>0.67</v>
      </c>
      <c r="F11">
        <v>5</v>
      </c>
      <c r="G11">
        <v>0.81</v>
      </c>
      <c r="H11">
        <v>0.45</v>
      </c>
      <c r="I11">
        <v>8.2000000000000007E-3</v>
      </c>
      <c r="J11">
        <v>0.61280000000000001</v>
      </c>
      <c r="K11">
        <v>8.33</v>
      </c>
      <c r="L11">
        <v>3</v>
      </c>
      <c r="M11">
        <v>367.67</v>
      </c>
      <c r="N11">
        <v>109.33</v>
      </c>
      <c r="O11">
        <v>41.67</v>
      </c>
      <c r="P11">
        <v>25.33</v>
      </c>
      <c r="Q11">
        <v>35</v>
      </c>
      <c r="R11">
        <v>5</v>
      </c>
      <c r="S11">
        <v>0</v>
      </c>
      <c r="U11" s="104">
        <f t="shared" si="0"/>
        <v>6.1171702885739927E-3</v>
      </c>
    </row>
    <row r="12" spans="1:21" x14ac:dyDescent="0.25">
      <c r="A12" t="s">
        <v>18</v>
      </c>
      <c r="B12">
        <v>3</v>
      </c>
      <c r="C12" t="s">
        <v>70</v>
      </c>
      <c r="D12">
        <v>2</v>
      </c>
      <c r="E12">
        <v>0.67</v>
      </c>
      <c r="F12">
        <v>3</v>
      </c>
      <c r="G12">
        <v>0.82</v>
      </c>
      <c r="H12">
        <v>0.52</v>
      </c>
      <c r="I12">
        <v>8.2000000000000007E-3</v>
      </c>
      <c r="J12">
        <v>0.63400000000000001</v>
      </c>
      <c r="K12">
        <v>10.67</v>
      </c>
      <c r="L12">
        <v>3.67</v>
      </c>
      <c r="M12">
        <v>447.67</v>
      </c>
      <c r="N12">
        <v>102</v>
      </c>
      <c r="O12">
        <v>44.67</v>
      </c>
      <c r="P12">
        <v>20</v>
      </c>
      <c r="Q12">
        <v>37</v>
      </c>
      <c r="R12">
        <v>5</v>
      </c>
      <c r="S12">
        <v>0</v>
      </c>
      <c r="U12" s="104">
        <f t="shared" si="0"/>
        <v>5.3254243026061247E-3</v>
      </c>
    </row>
    <row r="13" spans="1:21" x14ac:dyDescent="0.25">
      <c r="A13" t="s">
        <v>18</v>
      </c>
      <c r="B13">
        <v>3</v>
      </c>
      <c r="C13" t="s">
        <v>69</v>
      </c>
      <c r="D13">
        <v>2</v>
      </c>
      <c r="E13">
        <v>0.67</v>
      </c>
      <c r="F13">
        <v>1</v>
      </c>
      <c r="G13">
        <v>0.85</v>
      </c>
      <c r="H13">
        <v>0.51</v>
      </c>
      <c r="I13">
        <v>5.4999999999999997E-3</v>
      </c>
      <c r="J13">
        <v>0.63339999999999996</v>
      </c>
      <c r="K13">
        <v>10.67</v>
      </c>
      <c r="L13">
        <v>2.67</v>
      </c>
      <c r="M13">
        <v>488</v>
      </c>
      <c r="N13">
        <v>110</v>
      </c>
      <c r="O13">
        <v>42</v>
      </c>
      <c r="P13">
        <v>27.67</v>
      </c>
      <c r="Q13">
        <v>37</v>
      </c>
      <c r="R13">
        <v>7</v>
      </c>
      <c r="S13">
        <v>0</v>
      </c>
      <c r="U13" s="104">
        <f t="shared" si="0"/>
        <v>6.9606895069687482E-3</v>
      </c>
    </row>
    <row r="14" spans="1:21" x14ac:dyDescent="0.25">
      <c r="A14" t="s">
        <v>19</v>
      </c>
      <c r="B14">
        <v>3</v>
      </c>
      <c r="C14" t="s">
        <v>75</v>
      </c>
      <c r="D14">
        <v>3</v>
      </c>
      <c r="E14">
        <v>1</v>
      </c>
      <c r="F14">
        <v>3</v>
      </c>
      <c r="G14">
        <v>0.8</v>
      </c>
      <c r="H14">
        <v>0.46</v>
      </c>
      <c r="I14">
        <v>8.0999999999999996E-3</v>
      </c>
      <c r="J14">
        <v>0.74250000000000005</v>
      </c>
      <c r="K14">
        <v>13</v>
      </c>
      <c r="L14">
        <v>3</v>
      </c>
      <c r="M14">
        <v>368.33</v>
      </c>
      <c r="N14">
        <v>99.67</v>
      </c>
      <c r="O14">
        <v>42</v>
      </c>
      <c r="P14">
        <v>32</v>
      </c>
      <c r="Q14">
        <v>45</v>
      </c>
      <c r="R14">
        <v>4</v>
      </c>
      <c r="S14">
        <v>0</v>
      </c>
      <c r="U14" s="104">
        <f t="shared" si="0"/>
        <v>9.4118498809943989E-3</v>
      </c>
    </row>
    <row r="15" spans="1:21" x14ac:dyDescent="0.25">
      <c r="A15" t="s">
        <v>19</v>
      </c>
      <c r="B15">
        <v>3</v>
      </c>
      <c r="C15" t="s">
        <v>74</v>
      </c>
      <c r="D15">
        <v>7</v>
      </c>
      <c r="E15">
        <v>2.33</v>
      </c>
      <c r="F15">
        <v>9</v>
      </c>
      <c r="G15">
        <v>0.83</v>
      </c>
      <c r="H15">
        <v>0.52</v>
      </c>
      <c r="I15">
        <v>6.6E-3</v>
      </c>
      <c r="J15">
        <v>0.65049999999999997</v>
      </c>
      <c r="K15">
        <v>13</v>
      </c>
      <c r="L15">
        <v>3</v>
      </c>
      <c r="M15">
        <v>453</v>
      </c>
      <c r="N15">
        <v>103</v>
      </c>
      <c r="O15">
        <v>40</v>
      </c>
      <c r="P15">
        <v>27</v>
      </c>
      <c r="Q15">
        <v>55</v>
      </c>
      <c r="R15">
        <v>8</v>
      </c>
      <c r="S15">
        <v>0</v>
      </c>
      <c r="U15" s="104">
        <f t="shared" si="0"/>
        <v>7.9396615158204547E-3</v>
      </c>
    </row>
    <row r="16" spans="1:21" x14ac:dyDescent="0.25">
      <c r="A16" t="s">
        <v>19</v>
      </c>
      <c r="B16">
        <v>3</v>
      </c>
      <c r="C16" t="s">
        <v>72</v>
      </c>
      <c r="D16">
        <v>3</v>
      </c>
      <c r="E16">
        <v>1</v>
      </c>
      <c r="F16">
        <v>4</v>
      </c>
      <c r="G16">
        <v>0.85</v>
      </c>
      <c r="H16">
        <v>0.65</v>
      </c>
      <c r="I16">
        <v>7.7999999999999996E-3</v>
      </c>
      <c r="J16">
        <v>0.58420000000000005</v>
      </c>
      <c r="K16">
        <v>14.67</v>
      </c>
      <c r="L16">
        <v>4.67</v>
      </c>
      <c r="M16">
        <v>596</v>
      </c>
      <c r="N16">
        <v>101</v>
      </c>
      <c r="O16">
        <v>38.33</v>
      </c>
      <c r="P16">
        <v>20.67</v>
      </c>
      <c r="Q16">
        <v>40</v>
      </c>
      <c r="R16">
        <v>6</v>
      </c>
      <c r="S16">
        <v>0</v>
      </c>
      <c r="U16" s="104">
        <f t="shared" si="0"/>
        <v>4.4800813417070259E-3</v>
      </c>
    </row>
    <row r="17" spans="1:21" x14ac:dyDescent="0.25">
      <c r="A17" t="s">
        <v>19</v>
      </c>
      <c r="B17">
        <v>3</v>
      </c>
      <c r="C17" t="s">
        <v>73</v>
      </c>
      <c r="D17">
        <v>2</v>
      </c>
      <c r="E17">
        <v>0.67</v>
      </c>
      <c r="F17">
        <v>1</v>
      </c>
      <c r="G17">
        <v>0.72</v>
      </c>
      <c r="H17">
        <v>0.37</v>
      </c>
      <c r="I17">
        <v>1.49E-2</v>
      </c>
      <c r="J17">
        <v>0.60189999999999999</v>
      </c>
      <c r="K17">
        <v>12</v>
      </c>
      <c r="L17">
        <v>4</v>
      </c>
      <c r="M17">
        <v>268.33</v>
      </c>
      <c r="N17">
        <v>104.67</v>
      </c>
      <c r="O17">
        <v>36.67</v>
      </c>
      <c r="P17">
        <v>26.33</v>
      </c>
      <c r="Q17">
        <v>35</v>
      </c>
      <c r="R17">
        <v>3</v>
      </c>
      <c r="S17">
        <v>0</v>
      </c>
      <c r="U17" s="104">
        <f t="shared" si="0"/>
        <v>8.0497894383781167E-3</v>
      </c>
    </row>
    <row r="18" spans="1:21" x14ac:dyDescent="0.25">
      <c r="A18" t="s">
        <v>20</v>
      </c>
      <c r="B18">
        <v>3</v>
      </c>
      <c r="C18" t="s">
        <v>76</v>
      </c>
      <c r="D18">
        <v>5</v>
      </c>
      <c r="E18">
        <v>1.67</v>
      </c>
      <c r="F18">
        <v>7</v>
      </c>
      <c r="G18">
        <v>0.89</v>
      </c>
      <c r="H18">
        <v>0.57999999999999996</v>
      </c>
      <c r="I18">
        <v>1.0999999999999999E-2</v>
      </c>
      <c r="J18">
        <v>0.66769999999999996</v>
      </c>
      <c r="K18">
        <v>18.670000000000002</v>
      </c>
      <c r="L18">
        <v>6.33</v>
      </c>
      <c r="M18">
        <v>576.66999999999996</v>
      </c>
      <c r="N18">
        <v>104.33</v>
      </c>
      <c r="O18">
        <v>48.33</v>
      </c>
      <c r="P18">
        <v>21.33</v>
      </c>
      <c r="Q18">
        <v>30</v>
      </c>
      <c r="R18">
        <v>3</v>
      </c>
      <c r="S18">
        <v>0</v>
      </c>
      <c r="U18" s="104">
        <f t="shared" si="0"/>
        <v>4.5520105066921383E-3</v>
      </c>
    </row>
    <row r="19" spans="1:21" x14ac:dyDescent="0.25">
      <c r="A19" t="s">
        <v>20</v>
      </c>
      <c r="B19">
        <v>2</v>
      </c>
      <c r="C19" t="s">
        <v>79</v>
      </c>
      <c r="D19">
        <v>2</v>
      </c>
      <c r="E19">
        <v>1</v>
      </c>
      <c r="F19">
        <v>3</v>
      </c>
      <c r="G19">
        <v>0.8</v>
      </c>
      <c r="H19">
        <v>0.46</v>
      </c>
      <c r="I19">
        <v>8.6E-3</v>
      </c>
      <c r="J19">
        <v>0.65329999999999999</v>
      </c>
      <c r="K19">
        <v>11</v>
      </c>
      <c r="L19">
        <v>3</v>
      </c>
      <c r="M19">
        <v>349.5</v>
      </c>
      <c r="N19">
        <v>112.5</v>
      </c>
      <c r="O19">
        <v>43</v>
      </c>
      <c r="P19">
        <v>30.5</v>
      </c>
      <c r="Q19">
        <v>32</v>
      </c>
      <c r="R19">
        <v>6</v>
      </c>
      <c r="S19">
        <v>0</v>
      </c>
      <c r="U19" s="104">
        <f t="shared" si="0"/>
        <v>8.3929422985216991E-3</v>
      </c>
    </row>
    <row r="20" spans="1:21" x14ac:dyDescent="0.25">
      <c r="A20" t="s">
        <v>20</v>
      </c>
      <c r="B20">
        <v>3</v>
      </c>
      <c r="C20" t="s">
        <v>78</v>
      </c>
      <c r="D20">
        <v>2</v>
      </c>
      <c r="E20">
        <v>0.67</v>
      </c>
      <c r="F20">
        <v>1</v>
      </c>
      <c r="G20">
        <v>0.79</v>
      </c>
      <c r="H20">
        <v>0.41</v>
      </c>
      <c r="I20">
        <v>8.6E-3</v>
      </c>
      <c r="J20">
        <v>0.67710000000000004</v>
      </c>
      <c r="K20">
        <v>9.33</v>
      </c>
      <c r="L20">
        <v>3</v>
      </c>
      <c r="M20">
        <v>349.33</v>
      </c>
      <c r="N20">
        <v>106.33</v>
      </c>
      <c r="O20">
        <v>39.33</v>
      </c>
      <c r="P20">
        <v>32.67</v>
      </c>
      <c r="Q20">
        <v>43</v>
      </c>
      <c r="R20">
        <v>6</v>
      </c>
      <c r="S20">
        <v>0</v>
      </c>
      <c r="U20" s="104">
        <f t="shared" si="0"/>
        <v>7.0331777974980683E-3</v>
      </c>
    </row>
    <row r="21" spans="1:21" x14ac:dyDescent="0.25">
      <c r="A21" t="s">
        <v>20</v>
      </c>
      <c r="B21">
        <v>3</v>
      </c>
      <c r="C21" t="s">
        <v>77</v>
      </c>
      <c r="D21">
        <v>5</v>
      </c>
      <c r="E21">
        <v>1.67</v>
      </c>
      <c r="F21">
        <v>5</v>
      </c>
      <c r="G21">
        <v>0.86</v>
      </c>
      <c r="H21">
        <v>0.55000000000000004</v>
      </c>
      <c r="I21">
        <v>6.3E-3</v>
      </c>
      <c r="J21">
        <v>0.54169999999999996</v>
      </c>
      <c r="K21">
        <v>12.67</v>
      </c>
      <c r="L21">
        <v>3.33</v>
      </c>
      <c r="M21">
        <v>525.66999999999996</v>
      </c>
      <c r="N21">
        <v>107.67</v>
      </c>
      <c r="O21">
        <v>42</v>
      </c>
      <c r="P21">
        <v>16.329999999999998</v>
      </c>
      <c r="Q21">
        <v>40</v>
      </c>
      <c r="R21">
        <v>7</v>
      </c>
      <c r="S21">
        <v>0</v>
      </c>
      <c r="U21" s="104">
        <f t="shared" si="0"/>
        <v>6.2246887441401114E-3</v>
      </c>
    </row>
    <row r="22" spans="1:21" x14ac:dyDescent="0.25">
      <c r="A22" t="s">
        <v>21</v>
      </c>
      <c r="B22">
        <v>3</v>
      </c>
      <c r="C22" t="s">
        <v>81</v>
      </c>
      <c r="D22">
        <v>3</v>
      </c>
      <c r="E22">
        <v>1</v>
      </c>
      <c r="F22">
        <v>6</v>
      </c>
      <c r="G22">
        <v>0.85</v>
      </c>
      <c r="H22">
        <v>0.55000000000000004</v>
      </c>
      <c r="I22">
        <v>9.5999999999999992E-3</v>
      </c>
      <c r="J22">
        <v>0.61409999999999998</v>
      </c>
      <c r="K22">
        <v>14.67</v>
      </c>
      <c r="L22">
        <v>4</v>
      </c>
      <c r="M22">
        <v>417.67</v>
      </c>
      <c r="N22">
        <v>99.33</v>
      </c>
      <c r="O22">
        <v>37</v>
      </c>
      <c r="P22">
        <v>24</v>
      </c>
      <c r="Q22">
        <v>36</v>
      </c>
      <c r="R22">
        <v>5</v>
      </c>
      <c r="S22">
        <v>0</v>
      </c>
      <c r="U22" s="104">
        <f t="shared" si="0"/>
        <v>7.4637273445543129E-3</v>
      </c>
    </row>
    <row r="23" spans="1:21" x14ac:dyDescent="0.25">
      <c r="A23" t="s">
        <v>21</v>
      </c>
      <c r="B23">
        <v>3</v>
      </c>
      <c r="C23" t="s">
        <v>80</v>
      </c>
      <c r="D23">
        <v>2</v>
      </c>
      <c r="E23">
        <v>0.67</v>
      </c>
      <c r="F23">
        <v>3</v>
      </c>
      <c r="G23">
        <v>0.88</v>
      </c>
      <c r="H23">
        <v>0.67</v>
      </c>
      <c r="I23">
        <v>1.2999999999999999E-2</v>
      </c>
      <c r="J23">
        <v>0.40179999999999999</v>
      </c>
      <c r="K23">
        <v>22.33</v>
      </c>
      <c r="L23">
        <v>6.67</v>
      </c>
      <c r="M23">
        <v>511.67</v>
      </c>
      <c r="N23">
        <v>112</v>
      </c>
      <c r="O23">
        <v>33.33</v>
      </c>
      <c r="P23">
        <v>11.67</v>
      </c>
      <c r="Q23">
        <v>29</v>
      </c>
      <c r="R23">
        <v>2</v>
      </c>
      <c r="S23">
        <v>1</v>
      </c>
      <c r="U23" s="104">
        <f t="shared" si="0"/>
        <v>5.7577871607124489E-3</v>
      </c>
    </row>
    <row r="24" spans="1:21" x14ac:dyDescent="0.25">
      <c r="A24" t="s">
        <v>21</v>
      </c>
      <c r="B24">
        <v>3</v>
      </c>
      <c r="C24" t="s">
        <v>82</v>
      </c>
      <c r="D24">
        <v>5</v>
      </c>
      <c r="E24">
        <v>1.67</v>
      </c>
      <c r="F24">
        <v>6</v>
      </c>
      <c r="G24">
        <v>0.74</v>
      </c>
      <c r="H24">
        <v>0.39</v>
      </c>
      <c r="I24">
        <v>1.7299999999999999E-2</v>
      </c>
      <c r="J24">
        <v>0.76119999999999999</v>
      </c>
      <c r="K24">
        <v>12</v>
      </c>
      <c r="L24">
        <v>5</v>
      </c>
      <c r="M24">
        <v>288.33</v>
      </c>
      <c r="N24">
        <v>104.67</v>
      </c>
      <c r="O24">
        <v>44</v>
      </c>
      <c r="P24">
        <v>35.67</v>
      </c>
      <c r="Q24">
        <v>44</v>
      </c>
      <c r="R24">
        <v>5</v>
      </c>
      <c r="S24">
        <v>0</v>
      </c>
      <c r="U24" s="104">
        <f t="shared" si="0"/>
        <v>6.159608781604411E-3</v>
      </c>
    </row>
    <row r="25" spans="1:21" x14ac:dyDescent="0.25">
      <c r="A25" t="s">
        <v>21</v>
      </c>
      <c r="B25">
        <v>3</v>
      </c>
      <c r="C25" t="s">
        <v>83</v>
      </c>
      <c r="D25">
        <v>3</v>
      </c>
      <c r="E25">
        <v>1</v>
      </c>
      <c r="F25">
        <v>3</v>
      </c>
      <c r="G25">
        <v>0.78</v>
      </c>
      <c r="H25">
        <v>0.4</v>
      </c>
      <c r="I25">
        <v>7.7999999999999996E-3</v>
      </c>
      <c r="J25">
        <v>0.69989999999999997</v>
      </c>
      <c r="K25">
        <v>11</v>
      </c>
      <c r="L25">
        <v>3.67</v>
      </c>
      <c r="M25">
        <v>472</v>
      </c>
      <c r="N25">
        <v>106.67</v>
      </c>
      <c r="O25">
        <v>43.33</v>
      </c>
      <c r="P25">
        <v>31.33</v>
      </c>
      <c r="Q25">
        <v>63</v>
      </c>
      <c r="R25">
        <v>10</v>
      </c>
      <c r="S25">
        <v>0</v>
      </c>
      <c r="U25" s="104">
        <f t="shared" si="0"/>
        <v>4.9531242783909853E-3</v>
      </c>
    </row>
    <row r="26" spans="1:21" x14ac:dyDescent="0.25">
      <c r="A26" t="s">
        <v>22</v>
      </c>
      <c r="B26">
        <v>3</v>
      </c>
      <c r="C26" t="s">
        <v>84</v>
      </c>
      <c r="D26">
        <v>9</v>
      </c>
      <c r="E26">
        <v>3</v>
      </c>
      <c r="F26">
        <v>9</v>
      </c>
      <c r="G26">
        <v>0.87</v>
      </c>
      <c r="H26">
        <v>0.55000000000000004</v>
      </c>
      <c r="I26">
        <v>1.4E-2</v>
      </c>
      <c r="J26">
        <v>0.54159999999999997</v>
      </c>
      <c r="K26">
        <v>17.670000000000002</v>
      </c>
      <c r="L26">
        <v>7.33</v>
      </c>
      <c r="M26">
        <v>524</v>
      </c>
      <c r="N26">
        <v>104</v>
      </c>
      <c r="O26">
        <v>39.33</v>
      </c>
      <c r="P26">
        <v>17</v>
      </c>
      <c r="Q26">
        <v>43</v>
      </c>
      <c r="R26">
        <v>5</v>
      </c>
      <c r="S26">
        <v>0</v>
      </c>
      <c r="U26" s="104">
        <f t="shared" si="0"/>
        <v>4.0024004665548882E-3</v>
      </c>
    </row>
    <row r="27" spans="1:21" x14ac:dyDescent="0.25">
      <c r="A27" t="s">
        <v>22</v>
      </c>
      <c r="B27">
        <v>3</v>
      </c>
      <c r="C27" t="s">
        <v>86</v>
      </c>
      <c r="D27">
        <v>5</v>
      </c>
      <c r="E27">
        <v>1.67</v>
      </c>
      <c r="F27">
        <v>3</v>
      </c>
      <c r="G27">
        <v>0.84</v>
      </c>
      <c r="H27">
        <v>0.51</v>
      </c>
      <c r="I27">
        <v>9.1000000000000004E-3</v>
      </c>
      <c r="J27">
        <v>0.53849999999999998</v>
      </c>
      <c r="K27">
        <v>12</v>
      </c>
      <c r="L27">
        <v>4.33</v>
      </c>
      <c r="M27">
        <v>477.67</v>
      </c>
      <c r="N27">
        <v>104</v>
      </c>
      <c r="O27">
        <v>36.67</v>
      </c>
      <c r="P27">
        <v>19.329999999999998</v>
      </c>
      <c r="Q27">
        <v>46</v>
      </c>
      <c r="R27">
        <v>4</v>
      </c>
      <c r="S27">
        <v>0</v>
      </c>
      <c r="U27" s="104">
        <f t="shared" si="0"/>
        <v>4.8735415093019612E-3</v>
      </c>
    </row>
    <row r="28" spans="1:21" x14ac:dyDescent="0.25">
      <c r="A28" t="s">
        <v>22</v>
      </c>
      <c r="B28">
        <v>3</v>
      </c>
      <c r="C28" t="s">
        <v>87</v>
      </c>
      <c r="D28">
        <v>8</v>
      </c>
      <c r="E28">
        <v>2.67</v>
      </c>
      <c r="F28">
        <v>6</v>
      </c>
      <c r="G28">
        <v>0.91</v>
      </c>
      <c r="H28">
        <v>0.55000000000000004</v>
      </c>
      <c r="I28">
        <v>9.4999999999999998E-3</v>
      </c>
      <c r="J28">
        <v>0.3962</v>
      </c>
      <c r="K28">
        <v>14</v>
      </c>
      <c r="L28">
        <v>5</v>
      </c>
      <c r="M28">
        <v>525.66999999999996</v>
      </c>
      <c r="N28">
        <v>104.33</v>
      </c>
      <c r="O28">
        <v>31.67</v>
      </c>
      <c r="P28">
        <v>9.67</v>
      </c>
      <c r="Q28">
        <v>33</v>
      </c>
      <c r="R28">
        <v>2</v>
      </c>
      <c r="S28">
        <v>0</v>
      </c>
      <c r="U28" s="104">
        <f t="shared" si="0"/>
        <v>4.847147449921054E-3</v>
      </c>
    </row>
    <row r="29" spans="1:21" x14ac:dyDescent="0.25">
      <c r="A29" t="s">
        <v>22</v>
      </c>
      <c r="B29">
        <v>3</v>
      </c>
      <c r="C29" t="s">
        <v>85</v>
      </c>
      <c r="D29">
        <v>2</v>
      </c>
      <c r="E29">
        <v>0.67</v>
      </c>
      <c r="F29">
        <v>0</v>
      </c>
      <c r="G29">
        <v>0.83</v>
      </c>
      <c r="H29">
        <v>0.39</v>
      </c>
      <c r="I29">
        <v>8.0000000000000002E-3</v>
      </c>
      <c r="J29">
        <v>0.58760000000000001</v>
      </c>
      <c r="K29">
        <v>7.67</v>
      </c>
      <c r="L29">
        <v>2.67</v>
      </c>
      <c r="M29">
        <v>334.67</v>
      </c>
      <c r="N29">
        <v>97</v>
      </c>
      <c r="O29">
        <v>33</v>
      </c>
      <c r="P29">
        <v>24</v>
      </c>
      <c r="Q29">
        <v>49</v>
      </c>
      <c r="R29">
        <v>11</v>
      </c>
      <c r="S29">
        <v>0</v>
      </c>
      <c r="U29" s="104">
        <f t="shared" si="0"/>
        <v>7.1243526940116186E-3</v>
      </c>
    </row>
    <row r="30" spans="1:21" x14ac:dyDescent="0.25">
      <c r="A30" t="s">
        <v>23</v>
      </c>
      <c r="B30">
        <v>3</v>
      </c>
      <c r="C30" t="s">
        <v>91</v>
      </c>
      <c r="D30">
        <v>4</v>
      </c>
      <c r="E30">
        <v>1.33</v>
      </c>
      <c r="F30">
        <v>4</v>
      </c>
      <c r="G30">
        <v>0.85</v>
      </c>
      <c r="H30">
        <v>0.56000000000000005</v>
      </c>
      <c r="I30">
        <v>7.6E-3</v>
      </c>
      <c r="J30">
        <v>0.7198</v>
      </c>
      <c r="K30">
        <v>10.33</v>
      </c>
      <c r="L30">
        <v>4</v>
      </c>
      <c r="M30">
        <v>524.33000000000004</v>
      </c>
      <c r="N30">
        <v>96.33</v>
      </c>
      <c r="O30">
        <v>41.67</v>
      </c>
      <c r="P30">
        <v>27.67</v>
      </c>
      <c r="Q30">
        <v>28</v>
      </c>
      <c r="R30">
        <v>4</v>
      </c>
      <c r="S30">
        <v>0</v>
      </c>
      <c r="U30" s="104">
        <f t="shared" si="0"/>
        <v>4.1865332901035602E-3</v>
      </c>
    </row>
    <row r="31" spans="1:21" x14ac:dyDescent="0.25">
      <c r="A31" t="s">
        <v>23</v>
      </c>
      <c r="B31">
        <v>3</v>
      </c>
      <c r="C31" t="s">
        <v>90</v>
      </c>
      <c r="D31">
        <v>5</v>
      </c>
      <c r="E31">
        <v>1.67</v>
      </c>
      <c r="F31">
        <v>6</v>
      </c>
      <c r="G31">
        <v>0.82</v>
      </c>
      <c r="H31">
        <v>0.51</v>
      </c>
      <c r="I31">
        <v>6.1999999999999998E-3</v>
      </c>
      <c r="J31">
        <v>0.63449999999999995</v>
      </c>
      <c r="K31">
        <v>8.33</v>
      </c>
      <c r="L31">
        <v>2.67</v>
      </c>
      <c r="M31">
        <v>432.33</v>
      </c>
      <c r="N31">
        <v>100.33</v>
      </c>
      <c r="O31">
        <v>42.33</v>
      </c>
      <c r="P31">
        <v>21.33</v>
      </c>
      <c r="Q31">
        <v>40</v>
      </c>
      <c r="R31">
        <v>3</v>
      </c>
      <c r="S31">
        <v>1</v>
      </c>
      <c r="U31" s="104">
        <f t="shared" si="0"/>
        <v>5.9174176058983934E-3</v>
      </c>
    </row>
    <row r="32" spans="1:21" x14ac:dyDescent="0.25">
      <c r="A32" t="s">
        <v>23</v>
      </c>
      <c r="B32">
        <v>3</v>
      </c>
      <c r="C32" t="s">
        <v>88</v>
      </c>
      <c r="D32">
        <v>2</v>
      </c>
      <c r="E32">
        <v>0.67</v>
      </c>
      <c r="F32">
        <v>3</v>
      </c>
      <c r="G32">
        <v>0.83</v>
      </c>
      <c r="H32">
        <v>0.49</v>
      </c>
      <c r="I32">
        <v>5.5999999999999999E-3</v>
      </c>
      <c r="J32">
        <v>0.70709999999999995</v>
      </c>
      <c r="K32">
        <v>10</v>
      </c>
      <c r="L32">
        <v>2.67</v>
      </c>
      <c r="M32">
        <v>479.33</v>
      </c>
      <c r="N32">
        <v>99</v>
      </c>
      <c r="O32">
        <v>45.33</v>
      </c>
      <c r="P32">
        <v>24.67</v>
      </c>
      <c r="Q32">
        <v>31</v>
      </c>
      <c r="R32">
        <v>3</v>
      </c>
      <c r="S32">
        <v>0</v>
      </c>
      <c r="U32" s="104">
        <f t="shared" si="0"/>
        <v>6.4853320931503085E-3</v>
      </c>
    </row>
    <row r="33" spans="1:21" x14ac:dyDescent="0.25">
      <c r="A33" t="s">
        <v>23</v>
      </c>
      <c r="B33">
        <v>3</v>
      </c>
      <c r="C33" t="s">
        <v>416</v>
      </c>
      <c r="D33">
        <v>4</v>
      </c>
      <c r="E33">
        <v>1.33</v>
      </c>
      <c r="F33">
        <v>4</v>
      </c>
      <c r="G33">
        <v>0.79</v>
      </c>
      <c r="H33">
        <v>0.44</v>
      </c>
      <c r="I33">
        <v>1.2699999999999999E-2</v>
      </c>
      <c r="J33">
        <v>0.7843</v>
      </c>
      <c r="K33">
        <v>10</v>
      </c>
      <c r="L33">
        <v>4</v>
      </c>
      <c r="M33">
        <v>316</v>
      </c>
      <c r="N33">
        <v>102</v>
      </c>
      <c r="O33">
        <v>49</v>
      </c>
      <c r="P33">
        <v>31</v>
      </c>
      <c r="Q33">
        <v>44</v>
      </c>
      <c r="R33">
        <v>6</v>
      </c>
      <c r="S33">
        <v>0</v>
      </c>
      <c r="U33" s="104">
        <f t="shared" si="0"/>
        <v>6.2500000000000003E-3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1C682-2153-46EC-9961-E982E852C8C5}">
  <dimension ref="A1:AE97"/>
  <sheetViews>
    <sheetView workbookViewId="0">
      <selection activeCell="H5" sqref="H5"/>
    </sheetView>
  </sheetViews>
  <sheetFormatPr defaultRowHeight="15" x14ac:dyDescent="0.25"/>
  <cols>
    <col min="4" max="4" width="10.7109375" bestFit="1" customWidth="1"/>
    <col min="26" max="26" width="13.7109375" bestFit="1" customWidth="1"/>
  </cols>
  <sheetData>
    <row r="1" spans="1:31" x14ac:dyDescent="0.25">
      <c r="A1" s="113" t="s">
        <v>650</v>
      </c>
      <c r="B1" s="113" t="s">
        <v>651</v>
      </c>
      <c r="C1" s="113" t="s">
        <v>652</v>
      </c>
      <c r="D1" s="113" t="s">
        <v>653</v>
      </c>
      <c r="E1" s="113" t="s">
        <v>654</v>
      </c>
      <c r="F1" s="112" t="s">
        <v>655</v>
      </c>
      <c r="G1" s="113" t="s">
        <v>656</v>
      </c>
      <c r="H1" s="113" t="s">
        <v>657</v>
      </c>
      <c r="I1" s="113" t="s">
        <v>658</v>
      </c>
      <c r="J1" s="113" t="s">
        <v>659</v>
      </c>
      <c r="K1" s="113" t="s">
        <v>660</v>
      </c>
      <c r="L1" s="112" t="s">
        <v>661</v>
      </c>
      <c r="M1" s="113" t="s">
        <v>662</v>
      </c>
      <c r="N1" s="113" t="s">
        <v>663</v>
      </c>
      <c r="O1" s="113" t="s">
        <v>664</v>
      </c>
      <c r="P1" s="113" t="s">
        <v>665</v>
      </c>
      <c r="Q1" s="113" t="s">
        <v>666</v>
      </c>
      <c r="R1" s="112" t="s">
        <v>667</v>
      </c>
      <c r="S1" s="113" t="s">
        <v>668</v>
      </c>
      <c r="T1" s="113" t="s">
        <v>645</v>
      </c>
      <c r="U1" s="113" t="s">
        <v>669</v>
      </c>
      <c r="V1" s="113" t="s">
        <v>646</v>
      </c>
      <c r="W1" s="113" t="s">
        <v>647</v>
      </c>
      <c r="X1" s="113" t="s">
        <v>648</v>
      </c>
      <c r="Y1" s="112" t="s">
        <v>649</v>
      </c>
      <c r="Z1" s="117" t="s">
        <v>670</v>
      </c>
      <c r="AA1" s="116" t="s">
        <v>671</v>
      </c>
      <c r="AB1" s="116" t="s">
        <v>648</v>
      </c>
      <c r="AC1" s="116" t="s">
        <v>647</v>
      </c>
      <c r="AD1" s="117" t="s">
        <v>672</v>
      </c>
      <c r="AE1" s="117" t="s">
        <v>673</v>
      </c>
    </row>
    <row r="2" spans="1:31" x14ac:dyDescent="0.25">
      <c r="A2" s="108">
        <v>81</v>
      </c>
      <c r="B2" s="109">
        <v>33</v>
      </c>
      <c r="C2" s="109" t="s">
        <v>63</v>
      </c>
      <c r="D2" s="114">
        <v>43276</v>
      </c>
      <c r="E2" s="109">
        <v>41212</v>
      </c>
      <c r="F2" s="109">
        <v>87</v>
      </c>
      <c r="G2" s="109">
        <v>56</v>
      </c>
      <c r="H2" s="109">
        <v>17</v>
      </c>
      <c r="I2" s="109">
        <v>7</v>
      </c>
      <c r="J2" s="109">
        <v>489</v>
      </c>
      <c r="K2" s="109">
        <v>101</v>
      </c>
      <c r="L2" s="109">
        <v>34</v>
      </c>
      <c r="M2" s="109">
        <v>13</v>
      </c>
      <c r="N2" s="109">
        <v>17</v>
      </c>
      <c r="O2" s="109">
        <v>1</v>
      </c>
      <c r="P2" s="109">
        <v>0</v>
      </c>
      <c r="Q2" s="109">
        <v>3</v>
      </c>
      <c r="R2" s="109">
        <v>1</v>
      </c>
      <c r="S2" s="109">
        <v>95</v>
      </c>
      <c r="T2">
        <f>VLOOKUP(C2,Team2018!$E$2:$R$33,4,FALSE)</f>
        <v>431.2</v>
      </c>
      <c r="U2">
        <f>VLOOKUP(C2,Team2018!$E$2:$R$33,5,FALSE)</f>
        <v>14</v>
      </c>
      <c r="V2">
        <f>VLOOKUP(C2,Team2018!$E$2:$R$33,10,FALSE)</f>
        <v>2</v>
      </c>
      <c r="W2">
        <f>VLOOKUP(C2,Team2018!$E$2:$R$33,11,FALSE)</f>
        <v>1</v>
      </c>
      <c r="X2">
        <f>VLOOKUP(C2,Team2018!$E$2:$R$33,12,FALSE)</f>
        <v>1</v>
      </c>
      <c r="Y2">
        <f>VLOOKUP(C2,Team2018!$E$2:$R$33,13,FALSE)</f>
        <v>2</v>
      </c>
      <c r="Z2" s="104">
        <f t="shared" ref="Z2:Z33" si="0">Q2*(SQRT(IF(H2=0,0.01,H2))/SQRT(IF(J2=0,0.01,J2))/IF(I2=0,0.01,I2))</f>
        <v>7.990854920710376E-2</v>
      </c>
      <c r="AA2">
        <f t="shared" ref="AA2:AA33" si="1">Z2*V2</f>
        <v>0.15981709841420752</v>
      </c>
      <c r="AB2">
        <f t="shared" ref="AB2:AB33" si="2">(M2+N2)/K2</f>
        <v>0.29702970297029702</v>
      </c>
      <c r="AC2">
        <f>(W2*(J2*G2/100)*(F2/100))</f>
        <v>238.24079999999998</v>
      </c>
      <c r="AD2">
        <f t="shared" ref="AD2:AD33" si="3">AC2*AA2</f>
        <v>38.074953379879524</v>
      </c>
      <c r="AE2">
        <f t="shared" ref="AE2:AE33" si="4">AD2*AB2</f>
        <v>11.309392093033521</v>
      </c>
    </row>
    <row r="3" spans="1:31" x14ac:dyDescent="0.25">
      <c r="A3" s="110">
        <v>82</v>
      </c>
      <c r="B3" s="111">
        <v>34</v>
      </c>
      <c r="C3" s="111" t="s">
        <v>61</v>
      </c>
      <c r="D3" s="115">
        <v>43276</v>
      </c>
      <c r="E3" s="111">
        <v>4141</v>
      </c>
      <c r="F3" s="111">
        <v>9</v>
      </c>
      <c r="G3" s="111">
        <v>62</v>
      </c>
      <c r="H3" s="111">
        <v>22</v>
      </c>
      <c r="I3" s="111">
        <v>7</v>
      </c>
      <c r="J3" s="111">
        <v>659</v>
      </c>
      <c r="K3" s="111">
        <v>101</v>
      </c>
      <c r="L3" s="111">
        <v>48</v>
      </c>
      <c r="M3" s="111">
        <v>22</v>
      </c>
      <c r="N3" s="111">
        <v>7</v>
      </c>
      <c r="O3" s="111">
        <v>0</v>
      </c>
      <c r="P3" s="111">
        <v>0</v>
      </c>
      <c r="Q3" s="111">
        <v>2</v>
      </c>
      <c r="R3" s="111">
        <v>1</v>
      </c>
      <c r="S3" s="111">
        <v>96</v>
      </c>
      <c r="T3">
        <f>VLOOKUP(C3,Team2018!$E$2:$R$33,4,FALSE)</f>
        <v>20.133333333333333</v>
      </c>
      <c r="U3">
        <f>VLOOKUP(C3,Team2018!$E$2:$R$33,5,FALSE)</f>
        <v>67</v>
      </c>
      <c r="V3">
        <f>VLOOKUP(C3,Team2018!$E$2:$R$33,10,FALSE)</f>
        <v>0</v>
      </c>
      <c r="W3">
        <f>VLOOKUP(C3,Team2018!$E$2:$R$33,11,FALSE)</f>
        <v>0</v>
      </c>
      <c r="X3">
        <f>VLOOKUP(C3,Team2018!$E$2:$R$33,12,FALSE)</f>
        <v>0</v>
      </c>
      <c r="Y3">
        <f>VLOOKUP(C3,Team2018!$E$2:$R$33,13,FALSE)</f>
        <v>0</v>
      </c>
      <c r="Z3" s="104">
        <f t="shared" si="0"/>
        <v>5.2203616281618952E-2</v>
      </c>
      <c r="AA3">
        <f t="shared" si="1"/>
        <v>0</v>
      </c>
      <c r="AB3">
        <f t="shared" si="2"/>
        <v>0.28712871287128711</v>
      </c>
      <c r="AC3">
        <f t="shared" ref="AC3:AC34" si="5">W3*(J3*G3/100)*(F3/100)</f>
        <v>0</v>
      </c>
      <c r="AD3">
        <f t="shared" si="3"/>
        <v>0</v>
      </c>
      <c r="AE3">
        <f t="shared" si="4"/>
        <v>0</v>
      </c>
    </row>
    <row r="4" spans="1:31" x14ac:dyDescent="0.25">
      <c r="A4" s="108">
        <v>83</v>
      </c>
      <c r="B4" s="109">
        <v>35</v>
      </c>
      <c r="C4" s="109" t="s">
        <v>67</v>
      </c>
      <c r="D4" s="114">
        <v>43276</v>
      </c>
      <c r="E4" s="109">
        <v>4141</v>
      </c>
      <c r="F4" s="109">
        <v>68</v>
      </c>
      <c r="G4" s="109">
        <v>33</v>
      </c>
      <c r="H4" s="109">
        <v>8</v>
      </c>
      <c r="I4" s="109">
        <v>2</v>
      </c>
      <c r="J4" s="109">
        <v>226</v>
      </c>
      <c r="K4" s="109">
        <v>93</v>
      </c>
      <c r="L4" s="109">
        <v>35</v>
      </c>
      <c r="M4" s="109">
        <v>19</v>
      </c>
      <c r="N4" s="109">
        <v>16</v>
      </c>
      <c r="O4" s="109">
        <v>2</v>
      </c>
      <c r="P4" s="109">
        <v>0</v>
      </c>
      <c r="Q4" s="109">
        <v>1</v>
      </c>
      <c r="R4" s="109">
        <v>0</v>
      </c>
      <c r="S4" s="109">
        <v>98</v>
      </c>
      <c r="T4">
        <f>VLOOKUP(C4,Team2018!$E$2:$R$33,4,FALSE)</f>
        <v>49.866666666666667</v>
      </c>
      <c r="U4">
        <f>VLOOKUP(C4,Team2018!$E$2:$R$33,5,FALSE)</f>
        <v>37</v>
      </c>
      <c r="V4">
        <f>VLOOKUP(C4,Team2018!$E$2:$R$33,10,FALSE)</f>
        <v>0</v>
      </c>
      <c r="W4">
        <f>VLOOKUP(C4,Team2018!$E$2:$R$33,11,FALSE)</f>
        <v>0</v>
      </c>
      <c r="X4">
        <f>VLOOKUP(C4,Team2018!$E$2:$R$33,12,FALSE)</f>
        <v>0</v>
      </c>
      <c r="Y4">
        <f>VLOOKUP(C4,Team2018!$E$2:$R$33,13,FALSE)</f>
        <v>0</v>
      </c>
      <c r="Z4" s="104">
        <f t="shared" si="0"/>
        <v>9.4072086838359742E-2</v>
      </c>
      <c r="AA4">
        <f t="shared" si="1"/>
        <v>0</v>
      </c>
      <c r="AB4">
        <f t="shared" si="2"/>
        <v>0.37634408602150538</v>
      </c>
      <c r="AC4">
        <f t="shared" si="5"/>
        <v>0</v>
      </c>
      <c r="AD4">
        <f t="shared" si="3"/>
        <v>0</v>
      </c>
      <c r="AE4">
        <f t="shared" si="4"/>
        <v>0</v>
      </c>
    </row>
    <row r="5" spans="1:31" x14ac:dyDescent="0.25">
      <c r="A5" s="110">
        <v>84</v>
      </c>
      <c r="B5" s="111">
        <v>36</v>
      </c>
      <c r="C5" s="111" t="s">
        <v>65</v>
      </c>
      <c r="D5" s="115">
        <v>43276</v>
      </c>
      <c r="E5" s="111">
        <v>433</v>
      </c>
      <c r="F5" s="111">
        <v>91</v>
      </c>
      <c r="G5" s="111">
        <v>68</v>
      </c>
      <c r="H5" s="111">
        <v>16</v>
      </c>
      <c r="I5" s="111">
        <v>4</v>
      </c>
      <c r="J5" s="111">
        <v>762</v>
      </c>
      <c r="K5" s="111">
        <v>103</v>
      </c>
      <c r="L5" s="111">
        <v>27</v>
      </c>
      <c r="M5" s="111">
        <v>4</v>
      </c>
      <c r="N5" s="111">
        <v>5</v>
      </c>
      <c r="O5" s="111">
        <v>0</v>
      </c>
      <c r="P5" s="111">
        <v>0</v>
      </c>
      <c r="Q5" s="111">
        <v>2</v>
      </c>
      <c r="R5" s="111">
        <v>0</v>
      </c>
      <c r="S5" s="111">
        <v>97</v>
      </c>
      <c r="T5">
        <f>VLOOKUP(C5,Team2018!$E$2:$R$33,4,FALSE)</f>
        <v>1214.3999999999999</v>
      </c>
      <c r="U5">
        <f>VLOOKUP(C5,Team2018!$E$2:$R$33,5,FALSE)</f>
        <v>10</v>
      </c>
      <c r="V5">
        <f>VLOOKUP(C5,Team2018!$E$2:$R$33,10,FALSE)</f>
        <v>1</v>
      </c>
      <c r="W5">
        <f>VLOOKUP(C5,Team2018!$E$2:$R$33,11,FALSE)</f>
        <v>2</v>
      </c>
      <c r="X5">
        <f>VLOOKUP(C5,Team2018!$E$2:$R$33,12,FALSE)</f>
        <v>1.5</v>
      </c>
      <c r="Y5">
        <f>VLOOKUP(C5,Team2018!$E$2:$R$33,13,FALSE)</f>
        <v>1</v>
      </c>
      <c r="Z5" s="104">
        <f t="shared" si="0"/>
        <v>7.2452355600221841E-2</v>
      </c>
      <c r="AA5">
        <f t="shared" si="1"/>
        <v>7.2452355600221841E-2</v>
      </c>
      <c r="AB5">
        <f t="shared" si="2"/>
        <v>8.7378640776699032E-2</v>
      </c>
      <c r="AC5">
        <f t="shared" si="5"/>
        <v>943.05119999999999</v>
      </c>
      <c r="AD5">
        <f t="shared" si="3"/>
        <v>68.326280891615923</v>
      </c>
      <c r="AE5">
        <f t="shared" si="4"/>
        <v>5.9702575536363431</v>
      </c>
    </row>
    <row r="6" spans="1:31" x14ac:dyDescent="0.25">
      <c r="A6" s="108">
        <v>85</v>
      </c>
      <c r="B6" s="109">
        <v>33</v>
      </c>
      <c r="C6" s="109" t="s">
        <v>60</v>
      </c>
      <c r="D6" s="114">
        <v>43276</v>
      </c>
      <c r="E6" s="109">
        <v>4231</v>
      </c>
      <c r="F6" s="109">
        <v>83</v>
      </c>
      <c r="G6" s="109">
        <v>44</v>
      </c>
      <c r="H6" s="109">
        <v>3</v>
      </c>
      <c r="I6" s="109">
        <v>1</v>
      </c>
      <c r="J6" s="109">
        <v>347</v>
      </c>
      <c r="K6" s="109">
        <v>98</v>
      </c>
      <c r="L6" s="109">
        <v>32</v>
      </c>
      <c r="M6" s="109">
        <v>20</v>
      </c>
      <c r="N6" s="109">
        <v>18</v>
      </c>
      <c r="O6" s="109">
        <v>1</v>
      </c>
      <c r="P6" s="109">
        <v>0</v>
      </c>
      <c r="Q6" s="109">
        <v>0</v>
      </c>
      <c r="R6" s="109">
        <v>-1</v>
      </c>
      <c r="S6" s="109">
        <v>95</v>
      </c>
      <c r="T6">
        <f>VLOOKUP(C6,Team2018!$E$2:$R$33,4,FALSE)</f>
        <v>139.46666666666667</v>
      </c>
      <c r="U6">
        <f>VLOOKUP(C6,Team2018!$E$2:$R$33,5,FALSE)</f>
        <v>70</v>
      </c>
      <c r="V6">
        <f>VLOOKUP(C6,Team2018!$E$2:$R$33,10,FALSE)</f>
        <v>1.25</v>
      </c>
      <c r="W6">
        <f>VLOOKUP(C6,Team2018!$E$2:$R$33,11,FALSE)</f>
        <v>1.5</v>
      </c>
      <c r="X6">
        <f>VLOOKUP(C6,Team2018!$E$2:$R$33,12,FALSE)</f>
        <v>2</v>
      </c>
      <c r="Y6">
        <f>VLOOKUP(C6,Team2018!$E$2:$R$33,13,FALSE)</f>
        <v>0</v>
      </c>
      <c r="Z6" s="104">
        <f t="shared" si="0"/>
        <v>0</v>
      </c>
      <c r="AA6">
        <f t="shared" si="1"/>
        <v>0</v>
      </c>
      <c r="AB6">
        <f t="shared" si="2"/>
        <v>0.38775510204081631</v>
      </c>
      <c r="AC6">
        <f t="shared" si="5"/>
        <v>190.0866</v>
      </c>
      <c r="AD6">
        <f t="shared" si="3"/>
        <v>0</v>
      </c>
      <c r="AE6">
        <f t="shared" si="4"/>
        <v>0</v>
      </c>
    </row>
    <row r="7" spans="1:31" x14ac:dyDescent="0.25">
      <c r="A7" s="110">
        <v>86</v>
      </c>
      <c r="B7" s="111">
        <v>34</v>
      </c>
      <c r="C7" s="111" t="s">
        <v>62</v>
      </c>
      <c r="D7" s="115">
        <v>43276</v>
      </c>
      <c r="E7" s="111">
        <v>4231</v>
      </c>
      <c r="F7" s="111">
        <v>81</v>
      </c>
      <c r="G7" s="111">
        <v>38</v>
      </c>
      <c r="H7" s="111">
        <v>8</v>
      </c>
      <c r="I7" s="111">
        <v>1</v>
      </c>
      <c r="J7" s="111">
        <v>363</v>
      </c>
      <c r="K7" s="111">
        <v>106</v>
      </c>
      <c r="L7" s="111">
        <v>51</v>
      </c>
      <c r="M7" s="111">
        <v>33</v>
      </c>
      <c r="N7" s="111">
        <v>16</v>
      </c>
      <c r="O7" s="111">
        <v>2</v>
      </c>
      <c r="P7" s="111">
        <v>0</v>
      </c>
      <c r="Q7" s="111">
        <v>1</v>
      </c>
      <c r="R7" s="111">
        <v>-1</v>
      </c>
      <c r="S7" s="111">
        <v>96</v>
      </c>
      <c r="T7">
        <f>VLOOKUP(C7,Team2018!$E$2:$R$33,4,FALSE)</f>
        <v>230.53333333333333</v>
      </c>
      <c r="U7">
        <f>VLOOKUP(C7,Team2018!$E$2:$R$33,5,FALSE)</f>
        <v>45</v>
      </c>
      <c r="V7">
        <f>VLOOKUP(C7,Team2018!$E$2:$R$33,10,FALSE)</f>
        <v>0</v>
      </c>
      <c r="W7">
        <f>VLOOKUP(C7,Team2018!$E$2:$R$33,11,FALSE)</f>
        <v>0</v>
      </c>
      <c r="X7">
        <f>VLOOKUP(C7,Team2018!$E$2:$R$33,12,FALSE)</f>
        <v>0</v>
      </c>
      <c r="Y7">
        <f>VLOOKUP(C7,Team2018!$E$2:$R$33,13,FALSE)</f>
        <v>0</v>
      </c>
      <c r="Z7" s="104">
        <f t="shared" si="0"/>
        <v>0.1484539238050411</v>
      </c>
      <c r="AA7">
        <f t="shared" si="1"/>
        <v>0</v>
      </c>
      <c r="AB7">
        <f t="shared" si="2"/>
        <v>0.46226415094339623</v>
      </c>
      <c r="AC7">
        <f t="shared" si="5"/>
        <v>0</v>
      </c>
      <c r="AD7">
        <f t="shared" si="3"/>
        <v>0</v>
      </c>
      <c r="AE7">
        <f t="shared" si="4"/>
        <v>0</v>
      </c>
    </row>
    <row r="8" spans="1:31" x14ac:dyDescent="0.25">
      <c r="A8" s="108">
        <v>87</v>
      </c>
      <c r="B8" s="109">
        <v>35</v>
      </c>
      <c r="C8" s="109" t="s">
        <v>64</v>
      </c>
      <c r="D8" s="114">
        <v>43276</v>
      </c>
      <c r="E8" s="109">
        <v>442</v>
      </c>
      <c r="F8" s="109">
        <v>89</v>
      </c>
      <c r="G8" s="109">
        <v>67</v>
      </c>
      <c r="H8" s="109">
        <v>14</v>
      </c>
      <c r="I8" s="109">
        <v>4</v>
      </c>
      <c r="J8" s="109">
        <v>620</v>
      </c>
      <c r="K8" s="109">
        <v>89</v>
      </c>
      <c r="L8" s="109">
        <v>38</v>
      </c>
      <c r="M8" s="109">
        <v>17</v>
      </c>
      <c r="N8" s="109">
        <v>11</v>
      </c>
      <c r="O8" s="109">
        <v>4</v>
      </c>
      <c r="P8" s="109">
        <v>0</v>
      </c>
      <c r="Q8" s="109">
        <v>1</v>
      </c>
      <c r="R8" s="109">
        <v>0</v>
      </c>
      <c r="S8" s="109">
        <v>98</v>
      </c>
      <c r="T8">
        <f>VLOOKUP(C8,Team2018!$E$2:$R$33,4,FALSE)</f>
        <v>548.0533333333334</v>
      </c>
      <c r="U8">
        <f>VLOOKUP(C8,Team2018!$E$2:$R$33,5,FALSE)</f>
        <v>4</v>
      </c>
      <c r="V8">
        <f>VLOOKUP(C8,Team2018!$E$2:$R$33,10,FALSE)</f>
        <v>2</v>
      </c>
      <c r="W8">
        <f>VLOOKUP(C8,Team2018!$E$2:$R$33,11,FALSE)</f>
        <v>1.5</v>
      </c>
      <c r="X8">
        <f>VLOOKUP(C8,Team2018!$E$2:$R$33,12,FALSE)</f>
        <v>1</v>
      </c>
      <c r="Y8">
        <f>VLOOKUP(C8,Team2018!$E$2:$R$33,13,FALSE)</f>
        <v>1</v>
      </c>
      <c r="Z8" s="104">
        <f t="shared" si="0"/>
        <v>3.7567144189845532E-2</v>
      </c>
      <c r="AA8">
        <f t="shared" si="1"/>
        <v>7.5134288379691064E-2</v>
      </c>
      <c r="AB8">
        <f t="shared" si="2"/>
        <v>0.3146067415730337</v>
      </c>
      <c r="AC8">
        <f t="shared" si="5"/>
        <v>554.55899999999997</v>
      </c>
      <c r="AD8">
        <f t="shared" si="3"/>
        <v>41.666395829553096</v>
      </c>
      <c r="AE8">
        <f t="shared" si="4"/>
        <v>13.10852902502794</v>
      </c>
    </row>
    <row r="9" spans="1:31" x14ac:dyDescent="0.25">
      <c r="A9" s="110">
        <v>88</v>
      </c>
      <c r="B9" s="111">
        <v>36</v>
      </c>
      <c r="C9" s="111" t="s">
        <v>66</v>
      </c>
      <c r="D9" s="115">
        <v>43276</v>
      </c>
      <c r="E9" s="111">
        <v>4141</v>
      </c>
      <c r="F9" s="111">
        <v>83</v>
      </c>
      <c r="G9" s="111">
        <v>32</v>
      </c>
      <c r="H9" s="111">
        <v>6</v>
      </c>
      <c r="I9" s="111">
        <v>3</v>
      </c>
      <c r="J9" s="111">
        <v>248</v>
      </c>
      <c r="K9" s="111">
        <v>111</v>
      </c>
      <c r="L9" s="111">
        <v>40</v>
      </c>
      <c r="M9" s="111">
        <v>30</v>
      </c>
      <c r="N9" s="111">
        <v>17</v>
      </c>
      <c r="O9" s="111">
        <v>6</v>
      </c>
      <c r="P9" s="111">
        <v>0</v>
      </c>
      <c r="Q9" s="111">
        <v>2</v>
      </c>
      <c r="R9" s="111">
        <v>0</v>
      </c>
      <c r="S9" s="111">
        <v>97</v>
      </c>
      <c r="T9">
        <f>VLOOKUP(C9,Team2018!$E$2:$R$33,4,FALSE)</f>
        <v>140.66666666666666</v>
      </c>
      <c r="U9">
        <f>VLOOKUP(C9,Team2018!$E$2:$R$33,5,FALSE)</f>
        <v>41</v>
      </c>
      <c r="V9">
        <f>VLOOKUP(C9,Team2018!$E$2:$R$33,10,FALSE)</f>
        <v>0</v>
      </c>
      <c r="W9">
        <f>VLOOKUP(C9,Team2018!$E$2:$R$33,11,FALSE)</f>
        <v>0</v>
      </c>
      <c r="X9">
        <f>VLOOKUP(C9,Team2018!$E$2:$R$33,12,FALSE)</f>
        <v>0</v>
      </c>
      <c r="Y9">
        <f>VLOOKUP(C9,Team2018!$E$2:$R$33,13,FALSE)</f>
        <v>0</v>
      </c>
      <c r="Z9" s="104">
        <f t="shared" si="0"/>
        <v>0.10369516947304251</v>
      </c>
      <c r="AA9">
        <f t="shared" si="1"/>
        <v>0</v>
      </c>
      <c r="AB9">
        <f t="shared" si="2"/>
        <v>0.42342342342342343</v>
      </c>
      <c r="AC9">
        <f t="shared" si="5"/>
        <v>0</v>
      </c>
      <c r="AD9">
        <f t="shared" si="3"/>
        <v>0</v>
      </c>
      <c r="AE9">
        <f t="shared" si="4"/>
        <v>0</v>
      </c>
    </row>
    <row r="10" spans="1:31" x14ac:dyDescent="0.25">
      <c r="A10" s="108">
        <v>89</v>
      </c>
      <c r="B10" s="109">
        <v>37</v>
      </c>
      <c r="C10" s="109" t="s">
        <v>71</v>
      </c>
      <c r="D10" s="114">
        <v>43277</v>
      </c>
      <c r="E10" s="109">
        <v>4141</v>
      </c>
      <c r="F10" s="109">
        <v>74</v>
      </c>
      <c r="G10" s="109">
        <v>38</v>
      </c>
      <c r="H10" s="109">
        <v>5</v>
      </c>
      <c r="I10" s="109">
        <v>1</v>
      </c>
      <c r="J10" s="109">
        <v>303</v>
      </c>
      <c r="K10" s="109">
        <v>106</v>
      </c>
      <c r="L10" s="109">
        <v>44</v>
      </c>
      <c r="M10" s="109">
        <v>30</v>
      </c>
      <c r="N10" s="109">
        <v>10</v>
      </c>
      <c r="O10" s="109">
        <v>1</v>
      </c>
      <c r="P10" s="109">
        <v>0</v>
      </c>
      <c r="Q10" s="109">
        <v>0</v>
      </c>
      <c r="R10" s="109">
        <v>0</v>
      </c>
      <c r="S10" s="109">
        <v>92</v>
      </c>
      <c r="T10">
        <f>VLOOKUP(C10,Team2018!$E$2:$R$33,4,FALSE)</f>
        <v>298.13333333333333</v>
      </c>
      <c r="U10">
        <f>VLOOKUP(C10,Team2018!$E$2:$R$33,5,FALSE)</f>
        <v>12</v>
      </c>
      <c r="V10">
        <f>VLOOKUP(C10,Team2018!$E$2:$R$33,10,FALSE)</f>
        <v>0.75</v>
      </c>
      <c r="W10">
        <f>VLOOKUP(C10,Team2018!$E$2:$R$33,11,FALSE)</f>
        <v>1.5</v>
      </c>
      <c r="X10">
        <f>VLOOKUP(C10,Team2018!$E$2:$R$33,12,FALSE)</f>
        <v>2</v>
      </c>
      <c r="Y10">
        <f>VLOOKUP(C10,Team2018!$E$2:$R$33,13,FALSE)</f>
        <v>0.1</v>
      </c>
      <c r="Z10" s="104">
        <f t="shared" si="0"/>
        <v>0</v>
      </c>
      <c r="AA10">
        <f t="shared" si="1"/>
        <v>0</v>
      </c>
      <c r="AB10">
        <f t="shared" si="2"/>
        <v>0.37735849056603776</v>
      </c>
      <c r="AC10">
        <f t="shared" si="5"/>
        <v>127.80540000000001</v>
      </c>
      <c r="AD10">
        <f t="shared" si="3"/>
        <v>0</v>
      </c>
      <c r="AE10">
        <f t="shared" si="4"/>
        <v>0</v>
      </c>
    </row>
    <row r="11" spans="1:31" x14ac:dyDescent="0.25">
      <c r="A11" s="110">
        <v>90</v>
      </c>
      <c r="B11" s="111">
        <v>38</v>
      </c>
      <c r="C11" s="111" t="s">
        <v>69</v>
      </c>
      <c r="D11" s="115">
        <v>43277</v>
      </c>
      <c r="E11" s="111">
        <v>4411</v>
      </c>
      <c r="F11" s="111">
        <v>86</v>
      </c>
      <c r="G11" s="111">
        <v>53</v>
      </c>
      <c r="H11" s="111">
        <v>14</v>
      </c>
      <c r="I11" s="111">
        <v>2</v>
      </c>
      <c r="J11" s="111">
        <v>554</v>
      </c>
      <c r="K11" s="111">
        <v>105</v>
      </c>
      <c r="L11" s="111">
        <v>35</v>
      </c>
      <c r="M11" s="111">
        <v>12</v>
      </c>
      <c r="N11" s="111">
        <v>13</v>
      </c>
      <c r="O11" s="111">
        <v>4</v>
      </c>
      <c r="P11" s="111">
        <v>0</v>
      </c>
      <c r="Q11" s="111">
        <v>0</v>
      </c>
      <c r="R11" s="111">
        <v>-1</v>
      </c>
      <c r="S11" s="111">
        <v>92</v>
      </c>
      <c r="T11">
        <f>VLOOKUP(C11,Team2018!$E$2:$R$33,4,FALSE)</f>
        <v>58.133333333333333</v>
      </c>
      <c r="U11">
        <f>VLOOKUP(C11,Team2018!$E$2:$R$33,5,FALSE)</f>
        <v>36</v>
      </c>
      <c r="V11">
        <f>VLOOKUP(C11,Team2018!$E$2:$R$33,10,FALSE)</f>
        <v>1.75</v>
      </c>
      <c r="W11">
        <f>VLOOKUP(C11,Team2018!$E$2:$R$33,11,FALSE)</f>
        <v>2</v>
      </c>
      <c r="X11">
        <f>VLOOKUP(C11,Team2018!$E$2:$R$33,12,FALSE)</f>
        <v>1.5</v>
      </c>
      <c r="Y11">
        <f>VLOOKUP(C11,Team2018!$E$2:$R$33,13,FALSE)</f>
        <v>0.1</v>
      </c>
      <c r="Z11" s="104">
        <f t="shared" si="0"/>
        <v>0</v>
      </c>
      <c r="AA11">
        <f t="shared" si="1"/>
        <v>0</v>
      </c>
      <c r="AB11">
        <f t="shared" si="2"/>
        <v>0.23809523809523808</v>
      </c>
      <c r="AC11">
        <f t="shared" si="5"/>
        <v>505.02640000000002</v>
      </c>
      <c r="AD11">
        <f t="shared" si="3"/>
        <v>0</v>
      </c>
      <c r="AE11">
        <f t="shared" si="4"/>
        <v>0</v>
      </c>
    </row>
    <row r="12" spans="1:31" x14ac:dyDescent="0.25">
      <c r="A12" s="108">
        <v>91</v>
      </c>
      <c r="B12" s="109">
        <v>39</v>
      </c>
      <c r="C12" s="109" t="s">
        <v>75</v>
      </c>
      <c r="D12" s="114">
        <v>43277</v>
      </c>
      <c r="E12" s="109">
        <v>352</v>
      </c>
      <c r="F12" s="109">
        <v>74</v>
      </c>
      <c r="G12" s="109">
        <v>35</v>
      </c>
      <c r="H12" s="109">
        <v>9</v>
      </c>
      <c r="I12" s="109">
        <v>3</v>
      </c>
      <c r="J12" s="109">
        <v>244</v>
      </c>
      <c r="K12" s="109">
        <v>98</v>
      </c>
      <c r="L12" s="109">
        <v>44</v>
      </c>
      <c r="M12" s="109">
        <v>31</v>
      </c>
      <c r="N12" s="109">
        <v>20</v>
      </c>
      <c r="O12" s="109">
        <v>2</v>
      </c>
      <c r="P12" s="109">
        <v>0</v>
      </c>
      <c r="Q12" s="109">
        <v>1</v>
      </c>
      <c r="R12" s="109">
        <v>-1</v>
      </c>
      <c r="S12" s="109">
        <v>94</v>
      </c>
      <c r="T12">
        <f>VLOOKUP(C12,Team2018!$E$2:$R$33,4,FALSE)</f>
        <v>153.46666666666667</v>
      </c>
      <c r="U12">
        <f>VLOOKUP(C12,Team2018!$E$2:$R$33,5,FALSE)</f>
        <v>48</v>
      </c>
      <c r="V12">
        <f>VLOOKUP(C12,Team2018!$E$2:$R$33,10,FALSE)</f>
        <v>1.5</v>
      </c>
      <c r="W12">
        <f>VLOOKUP(C12,Team2018!$E$2:$R$33,11,FALSE)</f>
        <v>0.75</v>
      </c>
      <c r="X12">
        <f>VLOOKUP(C12,Team2018!$E$2:$R$33,12,FALSE)</f>
        <v>1.25</v>
      </c>
      <c r="Y12">
        <f>VLOOKUP(C12,Team2018!$E$2:$R$33,13,FALSE)</f>
        <v>1</v>
      </c>
      <c r="Z12" s="104">
        <f t="shared" si="0"/>
        <v>6.4018439966447988E-2</v>
      </c>
      <c r="AA12">
        <f t="shared" si="1"/>
        <v>9.6027659949671981E-2</v>
      </c>
      <c r="AB12">
        <f t="shared" si="2"/>
        <v>0.52040816326530615</v>
      </c>
      <c r="AC12">
        <f t="shared" si="5"/>
        <v>47.397000000000006</v>
      </c>
      <c r="AD12">
        <f t="shared" si="3"/>
        <v>4.5514229986346031</v>
      </c>
      <c r="AE12">
        <f t="shared" si="4"/>
        <v>2.3685976829629056</v>
      </c>
    </row>
    <row r="13" spans="1:31" x14ac:dyDescent="0.25">
      <c r="A13" s="110">
        <v>92</v>
      </c>
      <c r="B13" s="111">
        <v>40</v>
      </c>
      <c r="C13" s="111" t="s">
        <v>73</v>
      </c>
      <c r="D13" s="115">
        <v>43277</v>
      </c>
      <c r="E13" s="111">
        <v>4231</v>
      </c>
      <c r="F13" s="111">
        <v>74</v>
      </c>
      <c r="G13" s="111">
        <v>41</v>
      </c>
      <c r="H13" s="111">
        <v>17</v>
      </c>
      <c r="I13" s="111">
        <v>6</v>
      </c>
      <c r="J13" s="111">
        <v>325</v>
      </c>
      <c r="K13" s="111">
        <v>103</v>
      </c>
      <c r="L13" s="111">
        <v>39</v>
      </c>
      <c r="M13" s="111">
        <v>15</v>
      </c>
      <c r="N13" s="111">
        <v>10</v>
      </c>
      <c r="O13" s="111">
        <v>3</v>
      </c>
      <c r="P13" s="111">
        <v>0</v>
      </c>
      <c r="Q13" s="111">
        <v>1</v>
      </c>
      <c r="R13" s="111">
        <v>-1</v>
      </c>
      <c r="S13" s="111">
        <v>95</v>
      </c>
      <c r="T13">
        <f>VLOOKUP(C13,Team2018!$E$2:$R$33,4,FALSE)</f>
        <v>86.8</v>
      </c>
      <c r="U13">
        <f>VLOOKUP(C13,Team2018!$E$2:$R$33,5,FALSE)</f>
        <v>22</v>
      </c>
      <c r="V13">
        <f>VLOOKUP(C13,Team2018!$E$2:$R$33,10,FALSE)</f>
        <v>0.75</v>
      </c>
      <c r="W13">
        <f>VLOOKUP(C13,Team2018!$E$2:$R$33,11,FALSE)</f>
        <v>1</v>
      </c>
      <c r="X13">
        <f>VLOOKUP(C13,Team2018!$E$2:$R$33,12,FALSE)</f>
        <v>2.25</v>
      </c>
      <c r="Y13">
        <f>VLOOKUP(C13,Team2018!$E$2:$R$33,13,FALSE)</f>
        <v>0.1</v>
      </c>
      <c r="Z13" s="104">
        <f t="shared" si="0"/>
        <v>3.8118124993124371E-2</v>
      </c>
      <c r="AA13">
        <f t="shared" si="1"/>
        <v>2.858859374484328E-2</v>
      </c>
      <c r="AB13">
        <f t="shared" si="2"/>
        <v>0.24271844660194175</v>
      </c>
      <c r="AC13">
        <f t="shared" si="5"/>
        <v>98.605000000000004</v>
      </c>
      <c r="AD13">
        <f t="shared" si="3"/>
        <v>2.8189782862102719</v>
      </c>
      <c r="AE13">
        <f t="shared" si="4"/>
        <v>0.68421803063356113</v>
      </c>
    </row>
    <row r="14" spans="1:31" x14ac:dyDescent="0.25">
      <c r="A14" s="108">
        <v>93</v>
      </c>
      <c r="B14" s="109">
        <v>37</v>
      </c>
      <c r="C14" s="109" t="s">
        <v>68</v>
      </c>
      <c r="D14" s="114">
        <v>43277</v>
      </c>
      <c r="E14" s="109">
        <v>4231</v>
      </c>
      <c r="F14" s="109">
        <v>87</v>
      </c>
      <c r="G14" s="109">
        <v>62</v>
      </c>
      <c r="H14" s="109">
        <v>11</v>
      </c>
      <c r="I14" s="109">
        <v>4</v>
      </c>
      <c r="J14" s="109">
        <v>667</v>
      </c>
      <c r="K14" s="109">
        <v>104</v>
      </c>
      <c r="L14" s="109">
        <v>33</v>
      </c>
      <c r="M14" s="109">
        <v>17</v>
      </c>
      <c r="N14" s="109">
        <v>10</v>
      </c>
      <c r="O14" s="109">
        <v>0</v>
      </c>
      <c r="P14" s="109">
        <v>0</v>
      </c>
      <c r="Q14" s="109">
        <v>0</v>
      </c>
      <c r="R14" s="109">
        <v>0</v>
      </c>
      <c r="S14" s="109">
        <v>92</v>
      </c>
      <c r="T14">
        <f>VLOOKUP(C14,Team2018!$E$2:$R$33,4,FALSE)</f>
        <v>1210.2666666666667</v>
      </c>
      <c r="U14">
        <f>VLOOKUP(C14,Team2018!$E$2:$R$33,5,FALSE)</f>
        <v>7</v>
      </c>
      <c r="V14">
        <f>VLOOKUP(C14,Team2018!$E$2:$R$33,10,FALSE)</f>
        <v>1.5</v>
      </c>
      <c r="W14">
        <f>VLOOKUP(C14,Team2018!$E$2:$R$33,11,FALSE)</f>
        <v>2</v>
      </c>
      <c r="X14">
        <f>VLOOKUP(C14,Team2018!$E$2:$R$33,12,FALSE)</f>
        <v>2</v>
      </c>
      <c r="Y14">
        <f>VLOOKUP(C14,Team2018!$E$2:$R$33,13,FALSE)</f>
        <v>1</v>
      </c>
      <c r="Z14" s="104">
        <f t="shared" si="0"/>
        <v>0</v>
      </c>
      <c r="AA14">
        <f t="shared" si="1"/>
        <v>0</v>
      </c>
      <c r="AB14">
        <f t="shared" si="2"/>
        <v>0.25961538461538464</v>
      </c>
      <c r="AC14">
        <f t="shared" si="5"/>
        <v>719.55960000000005</v>
      </c>
      <c r="AD14">
        <f t="shared" si="3"/>
        <v>0</v>
      </c>
      <c r="AE14">
        <f t="shared" si="4"/>
        <v>0</v>
      </c>
    </row>
    <row r="15" spans="1:31" x14ac:dyDescent="0.25">
      <c r="A15" s="110">
        <v>94</v>
      </c>
      <c r="B15" s="111">
        <v>38</v>
      </c>
      <c r="C15" s="111" t="s">
        <v>70</v>
      </c>
      <c r="D15" s="115">
        <v>43277</v>
      </c>
      <c r="E15" s="111">
        <v>4231</v>
      </c>
      <c r="F15" s="111">
        <v>81</v>
      </c>
      <c r="G15" s="111">
        <v>47</v>
      </c>
      <c r="H15" s="111">
        <v>4</v>
      </c>
      <c r="I15" s="111">
        <v>3</v>
      </c>
      <c r="J15" s="111">
        <v>417</v>
      </c>
      <c r="K15" s="111">
        <v>100</v>
      </c>
      <c r="L15" s="111">
        <v>48</v>
      </c>
      <c r="M15" s="111">
        <v>24</v>
      </c>
      <c r="N15" s="111">
        <v>12</v>
      </c>
      <c r="O15" s="111">
        <v>2</v>
      </c>
      <c r="P15" s="111">
        <v>0</v>
      </c>
      <c r="Q15" s="111">
        <v>2</v>
      </c>
      <c r="R15" s="111">
        <v>1</v>
      </c>
      <c r="S15" s="111">
        <v>92</v>
      </c>
      <c r="T15">
        <f>VLOOKUP(C15,Team2018!$E$2:$R$33,4,FALSE)</f>
        <v>43.466666666666669</v>
      </c>
      <c r="U15">
        <f>VLOOKUP(C15,Team2018!$E$2:$R$33,5,FALSE)</f>
        <v>11</v>
      </c>
      <c r="V15">
        <f>VLOOKUP(C15,Team2018!$E$2:$R$33,10,FALSE)</f>
        <v>1.75</v>
      </c>
      <c r="W15">
        <f>VLOOKUP(C15,Team2018!$E$2:$R$33,11,FALSE)</f>
        <v>1</v>
      </c>
      <c r="X15">
        <f>VLOOKUP(C15,Team2018!$E$2:$R$33,12,FALSE)</f>
        <v>1.5</v>
      </c>
      <c r="Y15">
        <f>VLOOKUP(C15,Team2018!$E$2:$R$33,13,FALSE)</f>
        <v>0.5</v>
      </c>
      <c r="Z15" s="104">
        <f t="shared" si="0"/>
        <v>6.5293614249918905E-2</v>
      </c>
      <c r="AA15">
        <f t="shared" si="1"/>
        <v>0.11426382493735808</v>
      </c>
      <c r="AB15">
        <f t="shared" si="2"/>
        <v>0.36</v>
      </c>
      <c r="AC15">
        <f t="shared" si="5"/>
        <v>158.75190000000001</v>
      </c>
      <c r="AD15">
        <f t="shared" si="3"/>
        <v>18.139599310072978</v>
      </c>
      <c r="AE15">
        <f t="shared" si="4"/>
        <v>6.5302557516262718</v>
      </c>
    </row>
    <row r="16" spans="1:31" x14ac:dyDescent="0.25">
      <c r="A16" s="108">
        <v>95</v>
      </c>
      <c r="B16" s="109">
        <v>39</v>
      </c>
      <c r="C16" s="109" t="s">
        <v>72</v>
      </c>
      <c r="D16" s="114">
        <v>43277</v>
      </c>
      <c r="E16" s="109">
        <v>442</v>
      </c>
      <c r="F16" s="109">
        <v>84</v>
      </c>
      <c r="G16" s="109">
        <v>65</v>
      </c>
      <c r="H16" s="109">
        <v>8</v>
      </c>
      <c r="I16" s="109">
        <v>4</v>
      </c>
      <c r="J16" s="109">
        <v>565</v>
      </c>
      <c r="K16" s="109">
        <v>101</v>
      </c>
      <c r="L16" s="109">
        <v>40</v>
      </c>
      <c r="M16" s="109">
        <v>20</v>
      </c>
      <c r="N16" s="109">
        <v>15</v>
      </c>
      <c r="O16" s="109">
        <v>3</v>
      </c>
      <c r="P16" s="109">
        <v>0</v>
      </c>
      <c r="Q16" s="109">
        <v>2</v>
      </c>
      <c r="R16" s="109">
        <v>1</v>
      </c>
      <c r="S16" s="109">
        <v>94</v>
      </c>
      <c r="T16">
        <f>VLOOKUP(C16,Team2018!$E$2:$R$33,4,FALSE)</f>
        <v>818.93333333333339</v>
      </c>
      <c r="U16">
        <f>VLOOKUP(C16,Team2018!$E$2:$R$33,5,FALSE)</f>
        <v>5</v>
      </c>
      <c r="V16">
        <f>VLOOKUP(C16,Team2018!$E$2:$R$33,10,FALSE)</f>
        <v>1.5</v>
      </c>
      <c r="W16">
        <f>VLOOKUP(C16,Team2018!$E$2:$R$33,11,FALSE)</f>
        <v>1.25</v>
      </c>
      <c r="X16">
        <f>VLOOKUP(C16,Team2018!$E$2:$R$33,12,FALSE)</f>
        <v>0.5</v>
      </c>
      <c r="Y16">
        <f>VLOOKUP(C16,Team2018!$E$2:$R$33,13,FALSE)</f>
        <v>1.5</v>
      </c>
      <c r="Z16" s="104">
        <f t="shared" si="0"/>
        <v>5.9496411730872965E-2</v>
      </c>
      <c r="AA16">
        <f t="shared" si="1"/>
        <v>8.9244617596309445E-2</v>
      </c>
      <c r="AB16">
        <f t="shared" si="2"/>
        <v>0.34653465346534651</v>
      </c>
      <c r="AC16">
        <f t="shared" si="5"/>
        <v>385.61250000000001</v>
      </c>
      <c r="AD16">
        <f t="shared" si="3"/>
        <v>34.413840102856874</v>
      </c>
      <c r="AE16">
        <f t="shared" si="4"/>
        <v>11.925588154455351</v>
      </c>
    </row>
    <row r="17" spans="1:31" x14ac:dyDescent="0.25">
      <c r="A17" s="110">
        <v>96</v>
      </c>
      <c r="B17" s="111">
        <v>40</v>
      </c>
      <c r="C17" s="111" t="s">
        <v>74</v>
      </c>
      <c r="D17" s="115">
        <v>43277</v>
      </c>
      <c r="E17" s="111">
        <v>4321</v>
      </c>
      <c r="F17" s="111">
        <v>87</v>
      </c>
      <c r="G17" s="111">
        <v>59</v>
      </c>
      <c r="H17" s="111">
        <v>13</v>
      </c>
      <c r="I17" s="111">
        <v>2</v>
      </c>
      <c r="J17" s="111">
        <v>525</v>
      </c>
      <c r="K17" s="111">
        <v>101</v>
      </c>
      <c r="L17" s="111">
        <v>43</v>
      </c>
      <c r="M17" s="111">
        <v>30</v>
      </c>
      <c r="N17" s="111">
        <v>12</v>
      </c>
      <c r="O17" s="111">
        <v>2</v>
      </c>
      <c r="P17" s="111">
        <v>0</v>
      </c>
      <c r="Q17" s="111">
        <v>2</v>
      </c>
      <c r="R17" s="111">
        <v>1</v>
      </c>
      <c r="S17" s="111">
        <v>95</v>
      </c>
      <c r="T17">
        <f>VLOOKUP(C17,Team2018!$E$2:$R$33,4,FALSE)</f>
        <v>403.33333333333331</v>
      </c>
      <c r="U17">
        <f>VLOOKUP(C17,Team2018!$E$2:$R$33,5,FALSE)</f>
        <v>20</v>
      </c>
      <c r="V17">
        <f>VLOOKUP(C17,Team2018!$E$2:$R$33,10,FALSE)</f>
        <v>1.5</v>
      </c>
      <c r="W17">
        <f>VLOOKUP(C17,Team2018!$E$2:$R$33,11,FALSE)</f>
        <v>2.25</v>
      </c>
      <c r="X17">
        <f>VLOOKUP(C17,Team2018!$E$2:$R$33,12,FALSE)</f>
        <v>2</v>
      </c>
      <c r="Y17">
        <f>VLOOKUP(C17,Team2018!$E$2:$R$33,13,FALSE)</f>
        <v>0.1</v>
      </c>
      <c r="Z17" s="104">
        <f t="shared" si="0"/>
        <v>0.15735915849388862</v>
      </c>
      <c r="AA17">
        <f t="shared" si="1"/>
        <v>0.23603873774083295</v>
      </c>
      <c r="AB17">
        <f t="shared" si="2"/>
        <v>0.41584158415841582</v>
      </c>
      <c r="AC17">
        <f t="shared" si="5"/>
        <v>606.33562500000005</v>
      </c>
      <c r="AD17">
        <f t="shared" si="3"/>
        <v>143.11869557229903</v>
      </c>
      <c r="AE17">
        <f t="shared" si="4"/>
        <v>59.51470508947088</v>
      </c>
    </row>
    <row r="18" spans="1:31" x14ac:dyDescent="0.25">
      <c r="A18" s="108">
        <v>1</v>
      </c>
      <c r="B18" s="109">
        <v>1</v>
      </c>
      <c r="C18" s="109" t="s">
        <v>60</v>
      </c>
      <c r="D18" s="114">
        <v>43265</v>
      </c>
      <c r="E18" s="109">
        <v>4231</v>
      </c>
      <c r="F18" s="109">
        <v>78</v>
      </c>
      <c r="G18" s="109">
        <v>4</v>
      </c>
      <c r="H18" s="109">
        <v>13</v>
      </c>
      <c r="I18" s="109">
        <v>7</v>
      </c>
      <c r="J18" s="109">
        <v>306</v>
      </c>
      <c r="K18" s="109">
        <v>118</v>
      </c>
      <c r="L18" s="109">
        <v>53</v>
      </c>
      <c r="M18" s="109">
        <v>19</v>
      </c>
      <c r="N18" s="109">
        <v>22</v>
      </c>
      <c r="O18" s="109">
        <v>1</v>
      </c>
      <c r="P18" s="109">
        <v>0</v>
      </c>
      <c r="Q18" s="109">
        <v>5</v>
      </c>
      <c r="R18" s="109">
        <v>1</v>
      </c>
      <c r="S18" s="109">
        <v>94</v>
      </c>
      <c r="T18">
        <f>VLOOKUP(C18,Team2018!$E$2:$R$33,4,FALSE)</f>
        <v>139.46666666666667</v>
      </c>
      <c r="U18">
        <f>VLOOKUP(C18,Team2018!$E$2:$R$33,5,FALSE)</f>
        <v>70</v>
      </c>
      <c r="V18">
        <f>VLOOKUP(C18,Team2018!$E$2:$R$33,10,FALSE)</f>
        <v>1.25</v>
      </c>
      <c r="W18">
        <f>VLOOKUP(C18,Team2018!$E$2:$R$33,11,FALSE)</f>
        <v>1.5</v>
      </c>
      <c r="X18">
        <f>VLOOKUP(C18,Team2018!$E$2:$R$33,12,FALSE)</f>
        <v>2</v>
      </c>
      <c r="Y18">
        <f>VLOOKUP(C18,Team2018!$E$2:$R$33,13,FALSE)</f>
        <v>0</v>
      </c>
      <c r="Z18" s="104">
        <f t="shared" si="0"/>
        <v>0.14722546247639104</v>
      </c>
      <c r="AA18">
        <f t="shared" si="1"/>
        <v>0.18403182809548879</v>
      </c>
      <c r="AB18">
        <f t="shared" si="2"/>
        <v>0.34745762711864409</v>
      </c>
      <c r="AC18">
        <f t="shared" si="5"/>
        <v>14.3208</v>
      </c>
      <c r="AD18">
        <f t="shared" si="3"/>
        <v>2.6354830037898758</v>
      </c>
      <c r="AE18">
        <f t="shared" si="4"/>
        <v>0.91571867080834668</v>
      </c>
    </row>
    <row r="19" spans="1:31" x14ac:dyDescent="0.25">
      <c r="A19" s="110">
        <v>2</v>
      </c>
      <c r="B19" s="111">
        <v>2</v>
      </c>
      <c r="C19" s="111" t="s">
        <v>62</v>
      </c>
      <c r="D19" s="115">
        <v>43266</v>
      </c>
      <c r="E19" s="111">
        <v>4231</v>
      </c>
      <c r="F19" s="111">
        <v>78</v>
      </c>
      <c r="G19" s="111">
        <v>43</v>
      </c>
      <c r="H19" s="111">
        <v>8</v>
      </c>
      <c r="I19" s="111">
        <v>3</v>
      </c>
      <c r="J19" s="111">
        <v>395</v>
      </c>
      <c r="K19" s="111">
        <v>112</v>
      </c>
      <c r="L19" s="111">
        <v>57</v>
      </c>
      <c r="M19" s="111">
        <v>32</v>
      </c>
      <c r="N19" s="111">
        <v>12</v>
      </c>
      <c r="O19" s="111">
        <v>2</v>
      </c>
      <c r="P19" s="111">
        <v>0</v>
      </c>
      <c r="Q19" s="111">
        <v>0</v>
      </c>
      <c r="R19" s="111">
        <v>-1</v>
      </c>
      <c r="S19" s="111">
        <v>97</v>
      </c>
      <c r="T19">
        <f>VLOOKUP(C19,Team2018!$E$2:$R$33,4,FALSE)</f>
        <v>230.53333333333333</v>
      </c>
      <c r="U19">
        <f>VLOOKUP(C19,Team2018!$E$2:$R$33,5,FALSE)</f>
        <v>45</v>
      </c>
      <c r="V19">
        <f>VLOOKUP(C19,Team2018!$E$2:$R$33,10,FALSE)</f>
        <v>0</v>
      </c>
      <c r="W19">
        <f>VLOOKUP(C19,Team2018!$E$2:$R$33,11,FALSE)</f>
        <v>0</v>
      </c>
      <c r="X19">
        <f>VLOOKUP(C19,Team2018!$E$2:$R$33,12,FALSE)</f>
        <v>0</v>
      </c>
      <c r="Y19">
        <f>VLOOKUP(C19,Team2018!$E$2:$R$33,13,FALSE)</f>
        <v>0</v>
      </c>
      <c r="Z19" s="104">
        <f t="shared" si="0"/>
        <v>0</v>
      </c>
      <c r="AA19">
        <f t="shared" si="1"/>
        <v>0</v>
      </c>
      <c r="AB19">
        <f t="shared" si="2"/>
        <v>0.39285714285714285</v>
      </c>
      <c r="AC19">
        <f t="shared" si="5"/>
        <v>0</v>
      </c>
      <c r="AD19">
        <f t="shared" si="3"/>
        <v>0</v>
      </c>
      <c r="AE19">
        <f t="shared" si="4"/>
        <v>0</v>
      </c>
    </row>
    <row r="20" spans="1:31" x14ac:dyDescent="0.25">
      <c r="A20" s="108">
        <v>3</v>
      </c>
      <c r="B20" s="109">
        <v>3</v>
      </c>
      <c r="C20" s="109" t="s">
        <v>66</v>
      </c>
      <c r="D20" s="114">
        <v>43266</v>
      </c>
      <c r="E20" s="109">
        <v>4231</v>
      </c>
      <c r="F20" s="109">
        <v>86</v>
      </c>
      <c r="G20" s="109">
        <v>64</v>
      </c>
      <c r="H20" s="109">
        <v>13</v>
      </c>
      <c r="I20" s="109">
        <v>3</v>
      </c>
      <c r="J20" s="109">
        <v>433</v>
      </c>
      <c r="K20" s="109">
        <v>101</v>
      </c>
      <c r="L20" s="109">
        <v>38</v>
      </c>
      <c r="M20" s="109">
        <v>16</v>
      </c>
      <c r="N20" s="109">
        <v>22</v>
      </c>
      <c r="O20" s="109">
        <v>1</v>
      </c>
      <c r="P20" s="109">
        <v>0</v>
      </c>
      <c r="Q20" s="109">
        <v>0</v>
      </c>
      <c r="R20" s="109">
        <v>-1</v>
      </c>
      <c r="S20" s="109">
        <v>96</v>
      </c>
      <c r="T20">
        <f>VLOOKUP(C20,Team2018!$E$2:$R$33,4,FALSE)</f>
        <v>140.66666666666666</v>
      </c>
      <c r="U20">
        <f>VLOOKUP(C20,Team2018!$E$2:$R$33,5,FALSE)</f>
        <v>41</v>
      </c>
      <c r="V20">
        <f>VLOOKUP(C20,Team2018!$E$2:$R$33,10,FALSE)</f>
        <v>0</v>
      </c>
      <c r="W20">
        <f>VLOOKUP(C20,Team2018!$E$2:$R$33,11,FALSE)</f>
        <v>0</v>
      </c>
      <c r="X20">
        <f>VLOOKUP(C20,Team2018!$E$2:$R$33,12,FALSE)</f>
        <v>0</v>
      </c>
      <c r="Y20">
        <f>VLOOKUP(C20,Team2018!$E$2:$R$33,13,FALSE)</f>
        <v>0</v>
      </c>
      <c r="Z20" s="104">
        <f t="shared" si="0"/>
        <v>0</v>
      </c>
      <c r="AA20">
        <f t="shared" si="1"/>
        <v>0</v>
      </c>
      <c r="AB20">
        <f t="shared" si="2"/>
        <v>0.37623762376237624</v>
      </c>
      <c r="AC20">
        <f t="shared" si="5"/>
        <v>0</v>
      </c>
      <c r="AD20">
        <f t="shared" si="3"/>
        <v>0</v>
      </c>
      <c r="AE20">
        <f t="shared" si="4"/>
        <v>0</v>
      </c>
    </row>
    <row r="21" spans="1:31" x14ac:dyDescent="0.25">
      <c r="A21" s="110">
        <v>4</v>
      </c>
      <c r="B21" s="111">
        <v>4</v>
      </c>
      <c r="C21" s="111" t="s">
        <v>64</v>
      </c>
      <c r="D21" s="115">
        <v>43266</v>
      </c>
      <c r="E21" s="111">
        <v>442</v>
      </c>
      <c r="F21" s="111">
        <v>87</v>
      </c>
      <c r="G21" s="111">
        <v>39</v>
      </c>
      <c r="H21" s="111">
        <v>8</v>
      </c>
      <c r="I21" s="111">
        <v>3</v>
      </c>
      <c r="J21" s="111">
        <v>366</v>
      </c>
      <c r="K21" s="111">
        <v>102</v>
      </c>
      <c r="L21" s="111">
        <v>36</v>
      </c>
      <c r="M21" s="111">
        <v>17</v>
      </c>
      <c r="N21" s="111">
        <v>12</v>
      </c>
      <c r="O21" s="111">
        <v>1</v>
      </c>
      <c r="P21" s="111">
        <v>0</v>
      </c>
      <c r="Q21" s="111">
        <v>3</v>
      </c>
      <c r="R21" s="111">
        <v>0</v>
      </c>
      <c r="S21" s="111">
        <v>95</v>
      </c>
      <c r="T21">
        <f>VLOOKUP(C21,Team2018!$E$2:$R$33,4,FALSE)</f>
        <v>548.0533333333334</v>
      </c>
      <c r="U21">
        <f>VLOOKUP(C21,Team2018!$E$2:$R$33,5,FALSE)</f>
        <v>4</v>
      </c>
      <c r="V21">
        <f>VLOOKUP(C21,Team2018!$E$2:$R$33,10,FALSE)</f>
        <v>2</v>
      </c>
      <c r="W21">
        <f>VLOOKUP(C21,Team2018!$E$2:$R$33,11,FALSE)</f>
        <v>1.5</v>
      </c>
      <c r="X21">
        <f>VLOOKUP(C21,Team2018!$E$2:$R$33,12,FALSE)</f>
        <v>1</v>
      </c>
      <c r="Y21">
        <f>VLOOKUP(C21,Team2018!$E$2:$R$33,13,FALSE)</f>
        <v>1</v>
      </c>
      <c r="Z21" s="104">
        <f t="shared" si="0"/>
        <v>0.14784425419091457</v>
      </c>
      <c r="AA21">
        <f t="shared" si="1"/>
        <v>0.29568850838182914</v>
      </c>
      <c r="AB21">
        <f t="shared" si="2"/>
        <v>0.28431372549019607</v>
      </c>
      <c r="AC21">
        <f t="shared" si="5"/>
        <v>186.2757</v>
      </c>
      <c r="AD21">
        <f t="shared" si="3"/>
        <v>55.079583880781094</v>
      </c>
      <c r="AE21">
        <f t="shared" si="4"/>
        <v>15.659881691594624</v>
      </c>
    </row>
    <row r="22" spans="1:31" x14ac:dyDescent="0.25">
      <c r="A22" s="108">
        <v>5</v>
      </c>
      <c r="B22" s="109">
        <v>5</v>
      </c>
      <c r="C22" s="109" t="s">
        <v>68</v>
      </c>
      <c r="D22" s="114">
        <v>43267</v>
      </c>
      <c r="E22" s="109">
        <v>433</v>
      </c>
      <c r="F22" s="109">
        <v>87</v>
      </c>
      <c r="G22" s="109">
        <v>51</v>
      </c>
      <c r="H22" s="109">
        <v>12</v>
      </c>
      <c r="I22" s="109">
        <v>5</v>
      </c>
      <c r="J22" s="109">
        <v>484</v>
      </c>
      <c r="K22" s="109">
        <v>103</v>
      </c>
      <c r="L22" s="109">
        <v>52</v>
      </c>
      <c r="M22" s="109">
        <v>23</v>
      </c>
      <c r="N22" s="109">
        <v>16</v>
      </c>
      <c r="O22" s="109">
        <v>1</v>
      </c>
      <c r="P22" s="109">
        <v>0</v>
      </c>
      <c r="Q22" s="109">
        <v>2</v>
      </c>
      <c r="R22" s="109">
        <v>1</v>
      </c>
      <c r="S22" s="109">
        <v>96</v>
      </c>
      <c r="T22">
        <f>VLOOKUP(C22,Team2018!$E$2:$R$33,4,FALSE)</f>
        <v>1210.2666666666667</v>
      </c>
      <c r="U22">
        <f>VLOOKUP(C22,Team2018!$E$2:$R$33,5,FALSE)</f>
        <v>7</v>
      </c>
      <c r="V22">
        <f>VLOOKUP(C22,Team2018!$E$2:$R$33,10,FALSE)</f>
        <v>1.5</v>
      </c>
      <c r="W22">
        <f>VLOOKUP(C22,Team2018!$E$2:$R$33,11,FALSE)</f>
        <v>2</v>
      </c>
      <c r="X22">
        <f>VLOOKUP(C22,Team2018!$E$2:$R$33,12,FALSE)</f>
        <v>2</v>
      </c>
      <c r="Y22">
        <f>VLOOKUP(C22,Team2018!$E$2:$R$33,13,FALSE)</f>
        <v>1</v>
      </c>
      <c r="Z22" s="104">
        <f t="shared" si="0"/>
        <v>6.2983665729777344E-2</v>
      </c>
      <c r="AA22">
        <f t="shared" si="1"/>
        <v>9.4475498594666016E-2</v>
      </c>
      <c r="AB22">
        <f t="shared" si="2"/>
        <v>0.37864077669902912</v>
      </c>
      <c r="AC22">
        <f t="shared" si="5"/>
        <v>429.5016</v>
      </c>
      <c r="AD22">
        <f t="shared" si="3"/>
        <v>40.577377807206808</v>
      </c>
      <c r="AE22">
        <f t="shared" si="4"/>
        <v>15.364249849330733</v>
      </c>
    </row>
    <row r="23" spans="1:31" x14ac:dyDescent="0.25">
      <c r="A23" s="110">
        <v>6</v>
      </c>
      <c r="B23" s="111">
        <v>6</v>
      </c>
      <c r="C23" s="111" t="s">
        <v>72</v>
      </c>
      <c r="D23" s="115">
        <v>43267</v>
      </c>
      <c r="E23" s="111">
        <v>4231</v>
      </c>
      <c r="F23" s="111">
        <v>91</v>
      </c>
      <c r="G23" s="111">
        <v>72</v>
      </c>
      <c r="H23" s="111">
        <v>26</v>
      </c>
      <c r="I23" s="111">
        <v>7</v>
      </c>
      <c r="J23" s="111">
        <v>718</v>
      </c>
      <c r="K23" s="111">
        <v>101</v>
      </c>
      <c r="L23" s="111">
        <v>40</v>
      </c>
      <c r="M23" s="111">
        <v>18</v>
      </c>
      <c r="N23" s="111">
        <v>10</v>
      </c>
      <c r="O23" s="111">
        <v>0</v>
      </c>
      <c r="P23" s="111">
        <v>0</v>
      </c>
      <c r="Q23" s="111">
        <v>1</v>
      </c>
      <c r="R23" s="111">
        <v>0</v>
      </c>
      <c r="S23" s="111">
        <v>96</v>
      </c>
      <c r="T23">
        <f>VLOOKUP(C23,Team2018!$E$2:$R$33,4,FALSE)</f>
        <v>818.93333333333339</v>
      </c>
      <c r="U23">
        <f>VLOOKUP(C23,Team2018!$E$2:$R$33,5,FALSE)</f>
        <v>5</v>
      </c>
      <c r="V23">
        <f>VLOOKUP(C23,Team2018!$E$2:$R$33,10,FALSE)</f>
        <v>1.5</v>
      </c>
      <c r="W23">
        <f>VLOOKUP(C23,Team2018!$E$2:$R$33,11,FALSE)</f>
        <v>1.25</v>
      </c>
      <c r="X23">
        <f>VLOOKUP(C23,Team2018!$E$2:$R$33,12,FALSE)</f>
        <v>0.5</v>
      </c>
      <c r="Y23">
        <f>VLOOKUP(C23,Team2018!$E$2:$R$33,13,FALSE)</f>
        <v>1.5</v>
      </c>
      <c r="Z23" s="104">
        <f t="shared" si="0"/>
        <v>2.7184816877443008E-2</v>
      </c>
      <c r="AA23">
        <f t="shared" si="1"/>
        <v>4.0777225316164512E-2</v>
      </c>
      <c r="AB23">
        <f t="shared" si="2"/>
        <v>0.27722772277227725</v>
      </c>
      <c r="AC23">
        <f t="shared" si="5"/>
        <v>588.04200000000003</v>
      </c>
      <c r="AD23">
        <f t="shared" si="3"/>
        <v>23.978721129368012</v>
      </c>
      <c r="AE23">
        <f t="shared" si="4"/>
        <v>6.6475662536861817</v>
      </c>
    </row>
    <row r="24" spans="1:31" x14ac:dyDescent="0.25">
      <c r="A24" s="108">
        <v>7</v>
      </c>
      <c r="B24" s="109">
        <v>7</v>
      </c>
      <c r="C24" s="109" t="s">
        <v>70</v>
      </c>
      <c r="D24" s="114">
        <v>43267</v>
      </c>
      <c r="E24" s="109">
        <v>4231</v>
      </c>
      <c r="F24" s="109">
        <v>85</v>
      </c>
      <c r="G24" s="109">
        <v>52</v>
      </c>
      <c r="H24" s="109">
        <v>18</v>
      </c>
      <c r="I24" s="109">
        <v>6</v>
      </c>
      <c r="J24" s="109">
        <v>394</v>
      </c>
      <c r="K24" s="109">
        <v>104</v>
      </c>
      <c r="L24" s="109">
        <v>42</v>
      </c>
      <c r="M24" s="109">
        <v>19</v>
      </c>
      <c r="N24" s="109">
        <v>10</v>
      </c>
      <c r="O24" s="109">
        <v>1</v>
      </c>
      <c r="P24" s="109">
        <v>0</v>
      </c>
      <c r="Q24" s="109">
        <v>0</v>
      </c>
      <c r="R24" s="109">
        <v>-1</v>
      </c>
      <c r="S24" s="109">
        <v>96</v>
      </c>
      <c r="T24">
        <f>VLOOKUP(C24,Team2018!$E$2:$R$33,4,FALSE)</f>
        <v>43.466666666666669</v>
      </c>
      <c r="U24">
        <f>VLOOKUP(C24,Team2018!$E$2:$R$33,5,FALSE)</f>
        <v>11</v>
      </c>
      <c r="V24">
        <f>VLOOKUP(C24,Team2018!$E$2:$R$33,10,FALSE)</f>
        <v>1.75</v>
      </c>
      <c r="W24">
        <f>VLOOKUP(C24,Team2018!$E$2:$R$33,11,FALSE)</f>
        <v>1</v>
      </c>
      <c r="X24">
        <f>VLOOKUP(C24,Team2018!$E$2:$R$33,12,FALSE)</f>
        <v>1.5</v>
      </c>
      <c r="Y24">
        <f>VLOOKUP(C24,Team2018!$E$2:$R$33,13,FALSE)</f>
        <v>0.5</v>
      </c>
      <c r="Z24" s="104">
        <f t="shared" si="0"/>
        <v>0</v>
      </c>
      <c r="AA24">
        <f t="shared" si="1"/>
        <v>0</v>
      </c>
      <c r="AB24">
        <f t="shared" si="2"/>
        <v>0.27884615384615385</v>
      </c>
      <c r="AC24">
        <f t="shared" si="5"/>
        <v>174.148</v>
      </c>
      <c r="AD24">
        <f t="shared" si="3"/>
        <v>0</v>
      </c>
      <c r="AE24">
        <f t="shared" si="4"/>
        <v>0</v>
      </c>
    </row>
    <row r="25" spans="1:31" x14ac:dyDescent="0.25">
      <c r="A25" s="110">
        <v>8</v>
      </c>
      <c r="B25" s="111">
        <v>8</v>
      </c>
      <c r="C25" s="111" t="s">
        <v>74</v>
      </c>
      <c r="D25" s="115">
        <v>43267</v>
      </c>
      <c r="E25" s="111">
        <v>4231</v>
      </c>
      <c r="F25" s="111">
        <v>82</v>
      </c>
      <c r="G25" s="111">
        <v>54</v>
      </c>
      <c r="H25" s="111">
        <v>11</v>
      </c>
      <c r="I25" s="111">
        <v>2</v>
      </c>
      <c r="J25" s="111">
        <v>462</v>
      </c>
      <c r="K25" s="111">
        <v>104</v>
      </c>
      <c r="L25" s="111">
        <v>43</v>
      </c>
      <c r="M25" s="111">
        <v>32</v>
      </c>
      <c r="N25" s="111">
        <v>20</v>
      </c>
      <c r="O25" s="111">
        <v>2</v>
      </c>
      <c r="P25" s="111">
        <v>0</v>
      </c>
      <c r="Q25" s="111">
        <v>2</v>
      </c>
      <c r="R25" s="111">
        <v>1</v>
      </c>
      <c r="S25" s="111">
        <v>95</v>
      </c>
      <c r="T25">
        <f>VLOOKUP(C25,Team2018!$E$2:$R$33,4,FALSE)</f>
        <v>403.33333333333331</v>
      </c>
      <c r="U25">
        <f>VLOOKUP(C25,Team2018!$E$2:$R$33,5,FALSE)</f>
        <v>20</v>
      </c>
      <c r="V25">
        <f>VLOOKUP(C25,Team2018!$E$2:$R$33,10,FALSE)</f>
        <v>1.5</v>
      </c>
      <c r="W25">
        <f>VLOOKUP(C25,Team2018!$E$2:$R$33,11,FALSE)</f>
        <v>2.25</v>
      </c>
      <c r="X25">
        <f>VLOOKUP(C25,Team2018!$E$2:$R$33,12,FALSE)</f>
        <v>2</v>
      </c>
      <c r="Y25">
        <f>VLOOKUP(C25,Team2018!$E$2:$R$33,13,FALSE)</f>
        <v>0.1</v>
      </c>
      <c r="Z25" s="104">
        <f t="shared" si="0"/>
        <v>0.15430334996209191</v>
      </c>
      <c r="AA25">
        <f t="shared" si="1"/>
        <v>0.23145502494313785</v>
      </c>
      <c r="AB25">
        <f t="shared" si="2"/>
        <v>0.5</v>
      </c>
      <c r="AC25">
        <f t="shared" si="5"/>
        <v>460.29059999999993</v>
      </c>
      <c r="AD25">
        <f t="shared" si="3"/>
        <v>106.53657230409188</v>
      </c>
      <c r="AE25">
        <f t="shared" si="4"/>
        <v>53.268286152045938</v>
      </c>
    </row>
    <row r="26" spans="1:31" x14ac:dyDescent="0.25">
      <c r="A26" s="108">
        <v>9</v>
      </c>
      <c r="B26" s="109">
        <v>9</v>
      </c>
      <c r="C26" s="109" t="s">
        <v>78</v>
      </c>
      <c r="D26" s="114">
        <v>43268</v>
      </c>
      <c r="E26" s="109">
        <v>3421</v>
      </c>
      <c r="F26" s="109">
        <v>82</v>
      </c>
      <c r="G26" s="109">
        <v>5</v>
      </c>
      <c r="H26" s="109">
        <v>10</v>
      </c>
      <c r="I26" s="109">
        <v>3</v>
      </c>
      <c r="J26" s="109">
        <v>426</v>
      </c>
      <c r="K26" s="109">
        <v>107</v>
      </c>
      <c r="L26" s="109">
        <v>38</v>
      </c>
      <c r="M26" s="109">
        <v>30</v>
      </c>
      <c r="N26" s="109">
        <v>18</v>
      </c>
      <c r="O26" s="109">
        <v>2</v>
      </c>
      <c r="P26" s="109">
        <v>0</v>
      </c>
      <c r="Q26" s="109">
        <v>0</v>
      </c>
      <c r="R26" s="109">
        <v>-1</v>
      </c>
      <c r="S26" s="109">
        <v>97</v>
      </c>
      <c r="T26">
        <f>VLOOKUP(C26,Team2018!$E$2:$R$33,4,FALSE)</f>
        <v>49.360000000000007</v>
      </c>
      <c r="U26">
        <f>VLOOKUP(C26,Team2018!$E$2:$R$33,5,FALSE)</f>
        <v>23</v>
      </c>
      <c r="V26">
        <f>VLOOKUP(C26,Team2018!$E$2:$R$33,10,FALSE)</f>
        <v>0.5</v>
      </c>
      <c r="W26">
        <f>VLOOKUP(C26,Team2018!$E$2:$R$33,11,FALSE)</f>
        <v>0.75</v>
      </c>
      <c r="X26">
        <f>VLOOKUP(C26,Team2018!$E$2:$R$33,12,FALSE)</f>
        <v>0.75</v>
      </c>
      <c r="Y26">
        <f>VLOOKUP(C26,Team2018!$E$2:$R$33,13,FALSE)</f>
        <v>0.1</v>
      </c>
      <c r="Z26" s="104">
        <f t="shared" si="0"/>
        <v>0</v>
      </c>
      <c r="AA26">
        <f t="shared" si="1"/>
        <v>0</v>
      </c>
      <c r="AB26">
        <f t="shared" si="2"/>
        <v>0.44859813084112149</v>
      </c>
      <c r="AC26">
        <f t="shared" si="5"/>
        <v>13.099500000000001</v>
      </c>
      <c r="AD26">
        <f t="shared" si="3"/>
        <v>0</v>
      </c>
      <c r="AE26">
        <f t="shared" si="4"/>
        <v>0</v>
      </c>
    </row>
    <row r="27" spans="1:31" x14ac:dyDescent="0.25">
      <c r="A27" s="110">
        <v>10</v>
      </c>
      <c r="B27" s="111">
        <v>10</v>
      </c>
      <c r="C27" s="111" t="s">
        <v>80</v>
      </c>
      <c r="D27" s="115">
        <v>43268</v>
      </c>
      <c r="E27" s="111">
        <v>4231</v>
      </c>
      <c r="F27" s="111">
        <v>88</v>
      </c>
      <c r="G27" s="111">
        <v>6</v>
      </c>
      <c r="H27" s="111">
        <v>25</v>
      </c>
      <c r="I27" s="111">
        <v>9</v>
      </c>
      <c r="J27" s="111">
        <v>595</v>
      </c>
      <c r="K27" s="111">
        <v>110</v>
      </c>
      <c r="L27" s="111">
        <v>31</v>
      </c>
      <c r="M27" s="111">
        <v>12</v>
      </c>
      <c r="N27" s="111">
        <v>10</v>
      </c>
      <c r="O27" s="111">
        <v>2</v>
      </c>
      <c r="P27" s="111">
        <v>0</v>
      </c>
      <c r="Q27" s="111">
        <v>0</v>
      </c>
      <c r="R27" s="111">
        <v>-1</v>
      </c>
      <c r="S27" s="111">
        <v>94</v>
      </c>
      <c r="T27">
        <f>VLOOKUP(C27,Team2018!$E$2:$R$33,4,FALSE)</f>
        <v>1029.0666666666666</v>
      </c>
      <c r="U27">
        <f>VLOOKUP(C27,Team2018!$E$2:$R$33,5,FALSE)</f>
        <v>1</v>
      </c>
      <c r="V27">
        <f>VLOOKUP(C27,Team2018!$E$2:$R$33,10,FALSE)</f>
        <v>1.5</v>
      </c>
      <c r="W27">
        <f>VLOOKUP(C27,Team2018!$E$2:$R$33,11,FALSE)</f>
        <v>1.5</v>
      </c>
      <c r="X27">
        <f>VLOOKUP(C27,Team2018!$E$2:$R$33,12,FALSE)</f>
        <v>1.25</v>
      </c>
      <c r="Y27">
        <f>VLOOKUP(C27,Team2018!$E$2:$R$33,13,FALSE)</f>
        <v>3</v>
      </c>
      <c r="Z27" s="104">
        <f t="shared" si="0"/>
        <v>0</v>
      </c>
      <c r="AA27">
        <f t="shared" si="1"/>
        <v>0</v>
      </c>
      <c r="AB27">
        <f t="shared" si="2"/>
        <v>0.2</v>
      </c>
      <c r="AC27">
        <f t="shared" si="5"/>
        <v>47.124000000000002</v>
      </c>
      <c r="AD27">
        <f t="shared" si="3"/>
        <v>0</v>
      </c>
      <c r="AE27">
        <f t="shared" si="4"/>
        <v>0</v>
      </c>
    </row>
    <row r="28" spans="1:31" x14ac:dyDescent="0.25">
      <c r="A28" s="108">
        <v>11</v>
      </c>
      <c r="B28" s="109">
        <v>11</v>
      </c>
      <c r="C28" s="109" t="s">
        <v>76</v>
      </c>
      <c r="D28" s="114">
        <v>43268</v>
      </c>
      <c r="E28" s="109">
        <v>433</v>
      </c>
      <c r="F28" s="109">
        <v>88</v>
      </c>
      <c r="G28" s="109">
        <v>52</v>
      </c>
      <c r="H28" s="109">
        <v>20</v>
      </c>
      <c r="I28" s="109">
        <v>4</v>
      </c>
      <c r="J28" s="109">
        <v>521</v>
      </c>
      <c r="K28" s="109">
        <v>103</v>
      </c>
      <c r="L28" s="109">
        <v>51</v>
      </c>
      <c r="M28" s="109">
        <v>14</v>
      </c>
      <c r="N28" s="109">
        <v>12</v>
      </c>
      <c r="O28" s="109">
        <v>1</v>
      </c>
      <c r="P28" s="109">
        <v>0</v>
      </c>
      <c r="Q28" s="109">
        <v>1</v>
      </c>
      <c r="R28" s="109">
        <v>0</v>
      </c>
      <c r="S28" s="109">
        <v>97</v>
      </c>
      <c r="T28">
        <f>VLOOKUP(C28,Team2018!$E$2:$R$33,4,FALSE)</f>
        <v>1077.3466666666666</v>
      </c>
      <c r="U28">
        <f>VLOOKUP(C28,Team2018!$E$2:$R$33,5,FALSE)</f>
        <v>2</v>
      </c>
      <c r="V28">
        <f>VLOOKUP(C28,Team2018!$E$2:$R$33,10,FALSE)</f>
        <v>1.75</v>
      </c>
      <c r="W28">
        <f>VLOOKUP(C28,Team2018!$E$2:$R$33,11,FALSE)</f>
        <v>2</v>
      </c>
      <c r="X28">
        <f>VLOOKUP(C28,Team2018!$E$2:$R$33,12,FALSE)</f>
        <v>2.5</v>
      </c>
      <c r="Y28">
        <f>VLOOKUP(C28,Team2018!$E$2:$R$33,13,FALSE)</f>
        <v>3</v>
      </c>
      <c r="Z28" s="104">
        <f t="shared" si="0"/>
        <v>4.8981958369193265E-2</v>
      </c>
      <c r="AA28">
        <f t="shared" si="1"/>
        <v>8.5718427146088211E-2</v>
      </c>
      <c r="AB28">
        <f t="shared" si="2"/>
        <v>0.25242718446601942</v>
      </c>
      <c r="AC28">
        <f t="shared" si="5"/>
        <v>476.81920000000002</v>
      </c>
      <c r="AD28">
        <f t="shared" si="3"/>
        <v>40.872191857056066</v>
      </c>
      <c r="AE28">
        <f t="shared" si="4"/>
        <v>10.317252313431629</v>
      </c>
    </row>
    <row r="29" spans="1:31" x14ac:dyDescent="0.25">
      <c r="A29" s="110">
        <v>12</v>
      </c>
      <c r="B29" s="111">
        <v>12</v>
      </c>
      <c r="C29" s="111" t="s">
        <v>82</v>
      </c>
      <c r="D29" s="115">
        <v>43269</v>
      </c>
      <c r="E29" s="111">
        <v>442</v>
      </c>
      <c r="F29" s="111">
        <v>84</v>
      </c>
      <c r="G29" s="111">
        <v>52</v>
      </c>
      <c r="H29" s="111">
        <v>15</v>
      </c>
      <c r="I29" s="111">
        <v>4</v>
      </c>
      <c r="J29" s="111">
        <v>417</v>
      </c>
      <c r="K29" s="111">
        <v>102</v>
      </c>
      <c r="L29" s="111">
        <v>43</v>
      </c>
      <c r="M29" s="111">
        <v>30</v>
      </c>
      <c r="N29" s="111">
        <v>20</v>
      </c>
      <c r="O29" s="111">
        <v>1</v>
      </c>
      <c r="P29" s="111">
        <v>0</v>
      </c>
      <c r="Q29" s="111">
        <v>1</v>
      </c>
      <c r="R29" s="111">
        <v>1</v>
      </c>
      <c r="S29" s="111">
        <v>95</v>
      </c>
      <c r="T29">
        <f>VLOOKUP(C29,Team2018!$E$2:$R$33,4,FALSE)</f>
        <v>137.86666666666667</v>
      </c>
      <c r="U29">
        <f>VLOOKUP(C29,Team2018!$E$2:$R$33,5,FALSE)</f>
        <v>24</v>
      </c>
      <c r="V29">
        <f>VLOOKUP(C29,Team2018!$E$2:$R$33,10,FALSE)</f>
        <v>0.1</v>
      </c>
      <c r="W29">
        <f>VLOOKUP(C29,Team2018!$E$2:$R$33,11,FALSE)</f>
        <v>0.1</v>
      </c>
      <c r="X29">
        <f>VLOOKUP(C29,Team2018!$E$2:$R$33,12,FALSE)</f>
        <v>0.1</v>
      </c>
      <c r="Y29">
        <f>VLOOKUP(C29,Team2018!$E$2:$R$33,13,FALSE)</f>
        <v>0.1</v>
      </c>
      <c r="Z29" s="104">
        <f t="shared" si="0"/>
        <v>4.74152026131801E-2</v>
      </c>
      <c r="AA29">
        <f t="shared" si="1"/>
        <v>4.7415202613180106E-3</v>
      </c>
      <c r="AB29">
        <f t="shared" si="2"/>
        <v>0.49019607843137253</v>
      </c>
      <c r="AC29">
        <f t="shared" si="5"/>
        <v>18.214559999999999</v>
      </c>
      <c r="AD29">
        <f t="shared" si="3"/>
        <v>8.6364705290992577E-2</v>
      </c>
      <c r="AE29">
        <f t="shared" si="4"/>
        <v>4.2335639848525772E-2</v>
      </c>
    </row>
    <row r="30" spans="1:31" x14ac:dyDescent="0.25">
      <c r="A30" s="108">
        <v>13</v>
      </c>
      <c r="B30" s="109">
        <v>13</v>
      </c>
      <c r="C30" s="109" t="s">
        <v>84</v>
      </c>
      <c r="D30" s="114">
        <v>43269</v>
      </c>
      <c r="E30" s="109">
        <v>3421</v>
      </c>
      <c r="F30" s="109">
        <v>89</v>
      </c>
      <c r="G30" s="109">
        <v>61</v>
      </c>
      <c r="H30" s="109">
        <v>15</v>
      </c>
      <c r="I30" s="109">
        <v>6</v>
      </c>
      <c r="J30" s="109">
        <v>544</v>
      </c>
      <c r="K30" s="109">
        <v>102</v>
      </c>
      <c r="L30" s="109">
        <v>41</v>
      </c>
      <c r="M30" s="109">
        <v>12</v>
      </c>
      <c r="N30" s="109">
        <v>17</v>
      </c>
      <c r="O30" s="109">
        <v>3</v>
      </c>
      <c r="P30" s="109">
        <v>0</v>
      </c>
      <c r="Q30" s="109">
        <v>3</v>
      </c>
      <c r="R30" s="109">
        <v>1</v>
      </c>
      <c r="S30" s="109">
        <v>95</v>
      </c>
      <c r="T30">
        <f>VLOOKUP(C30,Team2018!$E$2:$R$33,4,FALSE)</f>
        <v>881.19999999999993</v>
      </c>
      <c r="U30">
        <f>VLOOKUP(C30,Team2018!$E$2:$R$33,5,FALSE)</f>
        <v>3</v>
      </c>
      <c r="V30">
        <f>VLOOKUP(C30,Team2018!$E$2:$R$33,10,FALSE)</f>
        <v>0.1</v>
      </c>
      <c r="W30">
        <f>VLOOKUP(C30,Team2018!$E$2:$R$33,11,FALSE)</f>
        <v>0.1</v>
      </c>
      <c r="X30">
        <f>VLOOKUP(C30,Team2018!$E$2:$R$33,12,FALSE)</f>
        <v>0.1</v>
      </c>
      <c r="Y30">
        <f>VLOOKUP(C30,Team2018!$E$2:$R$33,13,FALSE)</f>
        <v>0.1</v>
      </c>
      <c r="Z30" s="104">
        <f t="shared" si="0"/>
        <v>8.3026395519383928E-2</v>
      </c>
      <c r="AA30">
        <f t="shared" si="1"/>
        <v>8.3026395519383931E-3</v>
      </c>
      <c r="AB30">
        <f t="shared" si="2"/>
        <v>0.28431372549019607</v>
      </c>
      <c r="AC30">
        <f t="shared" si="5"/>
        <v>29.533759999999997</v>
      </c>
      <c r="AD30">
        <f t="shared" si="3"/>
        <v>0.24520816389345601</v>
      </c>
      <c r="AE30">
        <f t="shared" si="4"/>
        <v>6.9716046597159062E-2</v>
      </c>
    </row>
    <row r="31" spans="1:31" x14ac:dyDescent="0.25">
      <c r="A31" s="110">
        <v>14</v>
      </c>
      <c r="B31" s="111">
        <v>14</v>
      </c>
      <c r="C31" s="111" t="s">
        <v>86</v>
      </c>
      <c r="D31" s="115">
        <v>43269</v>
      </c>
      <c r="E31" s="111">
        <v>4141</v>
      </c>
      <c r="F31" s="111">
        <v>82</v>
      </c>
      <c r="G31" s="111">
        <v>41</v>
      </c>
      <c r="H31" s="111">
        <v>6</v>
      </c>
      <c r="I31" s="111">
        <v>1</v>
      </c>
      <c r="J31" s="111">
        <v>326</v>
      </c>
      <c r="K31" s="111">
        <v>103</v>
      </c>
      <c r="L31" s="111">
        <v>30</v>
      </c>
      <c r="M31" s="111">
        <v>26</v>
      </c>
      <c r="N31" s="111">
        <v>14</v>
      </c>
      <c r="O31" s="111">
        <v>0</v>
      </c>
      <c r="P31" s="111">
        <v>0</v>
      </c>
      <c r="Q31" s="111">
        <v>1</v>
      </c>
      <c r="R31" s="111">
        <v>-1</v>
      </c>
      <c r="S31" s="111">
        <v>93</v>
      </c>
      <c r="T31">
        <f>VLOOKUP(C31,Team2018!$E$2:$R$33,4,FALSE)</f>
        <v>61.6</v>
      </c>
      <c r="U31">
        <f>VLOOKUP(C31,Team2018!$E$2:$R$33,5,FALSE)</f>
        <v>21</v>
      </c>
      <c r="V31">
        <f>VLOOKUP(C31,Team2018!$E$2:$R$33,10,FALSE)</f>
        <v>0.1</v>
      </c>
      <c r="W31">
        <f>VLOOKUP(C31,Team2018!$E$2:$R$33,11,FALSE)</f>
        <v>0.1</v>
      </c>
      <c r="X31">
        <f>VLOOKUP(C31,Team2018!$E$2:$R$33,12,FALSE)</f>
        <v>0.1</v>
      </c>
      <c r="Y31">
        <f>VLOOKUP(C31,Team2018!$E$2:$R$33,13,FALSE)</f>
        <v>0.1</v>
      </c>
      <c r="Z31" s="104">
        <f t="shared" si="0"/>
        <v>0.13566468949384036</v>
      </c>
      <c r="AA31">
        <f t="shared" si="1"/>
        <v>1.3566468949384037E-2</v>
      </c>
      <c r="AB31">
        <f t="shared" si="2"/>
        <v>0.38834951456310679</v>
      </c>
      <c r="AC31">
        <f t="shared" si="5"/>
        <v>10.96012</v>
      </c>
      <c r="AD31">
        <f t="shared" si="3"/>
        <v>0.14869012766152295</v>
      </c>
      <c r="AE31">
        <f t="shared" si="4"/>
        <v>5.7743738897678816E-2</v>
      </c>
    </row>
    <row r="32" spans="1:31" x14ac:dyDescent="0.25">
      <c r="A32" s="108">
        <v>15</v>
      </c>
      <c r="B32" s="109">
        <v>15</v>
      </c>
      <c r="C32" s="109" t="s">
        <v>88</v>
      </c>
      <c r="D32" s="114">
        <v>43270</v>
      </c>
      <c r="E32" s="109">
        <v>4231</v>
      </c>
      <c r="F32" s="109">
        <v>88</v>
      </c>
      <c r="G32" s="109">
        <v>57</v>
      </c>
      <c r="H32" s="109">
        <v>10</v>
      </c>
      <c r="I32" s="109">
        <v>4</v>
      </c>
      <c r="J32" s="109">
        <v>552</v>
      </c>
      <c r="K32" s="109">
        <v>110</v>
      </c>
      <c r="L32" s="109">
        <v>43</v>
      </c>
      <c r="M32" s="109">
        <v>23</v>
      </c>
      <c r="N32" s="109">
        <v>8</v>
      </c>
      <c r="O32" s="109">
        <v>1</v>
      </c>
      <c r="P32" s="109">
        <v>0</v>
      </c>
      <c r="Q32" s="109">
        <v>1</v>
      </c>
      <c r="R32" s="109">
        <v>-1</v>
      </c>
      <c r="S32" s="109">
        <v>95</v>
      </c>
      <c r="T32">
        <f>VLOOKUP(C32,Team2018!$E$2:$R$33,4,FALSE)</f>
        <v>307.06666666666666</v>
      </c>
      <c r="U32">
        <f>VLOOKUP(C32,Team2018!$E$2:$R$33,5,FALSE)</f>
        <v>8</v>
      </c>
      <c r="V32">
        <f>VLOOKUP(C32,Team2018!$E$2:$R$33,10,FALSE)</f>
        <v>0.1</v>
      </c>
      <c r="W32">
        <f>VLOOKUP(C32,Team2018!$E$2:$R$33,11,FALSE)</f>
        <v>0.1</v>
      </c>
      <c r="X32">
        <f>VLOOKUP(C32,Team2018!$E$2:$R$33,12,FALSE)</f>
        <v>0.1</v>
      </c>
      <c r="Y32">
        <f>VLOOKUP(C32,Team2018!$E$2:$R$33,13,FALSE)</f>
        <v>0.1</v>
      </c>
      <c r="Z32" s="104">
        <f t="shared" si="0"/>
        <v>3.364886887863535E-2</v>
      </c>
      <c r="AA32">
        <f t="shared" si="1"/>
        <v>3.3648868878635354E-3</v>
      </c>
      <c r="AB32">
        <f t="shared" si="2"/>
        <v>0.2818181818181818</v>
      </c>
      <c r="AC32">
        <f t="shared" si="5"/>
        <v>27.688319999999997</v>
      </c>
      <c r="AD32">
        <f t="shared" si="3"/>
        <v>9.3168064914969678E-2</v>
      </c>
      <c r="AE32">
        <f t="shared" si="4"/>
        <v>2.6256454657855088E-2</v>
      </c>
    </row>
    <row r="33" spans="1:31" x14ac:dyDescent="0.25">
      <c r="A33" s="110">
        <v>16</v>
      </c>
      <c r="B33" s="111">
        <v>16</v>
      </c>
      <c r="C33" s="111" t="s">
        <v>90</v>
      </c>
      <c r="D33" s="115">
        <v>43270</v>
      </c>
      <c r="E33" s="111">
        <v>4231</v>
      </c>
      <c r="F33" s="111">
        <v>82</v>
      </c>
      <c r="G33" s="111">
        <v>41</v>
      </c>
      <c r="H33" s="111">
        <v>8</v>
      </c>
      <c r="I33" s="111">
        <v>3</v>
      </c>
      <c r="J33" s="111">
        <v>352</v>
      </c>
      <c r="K33" s="111">
        <v>93</v>
      </c>
      <c r="L33" s="111">
        <v>40</v>
      </c>
      <c r="M33" s="111">
        <v>22</v>
      </c>
      <c r="N33" s="111">
        <v>15</v>
      </c>
      <c r="O33" s="111">
        <v>2</v>
      </c>
      <c r="P33" s="111">
        <v>1</v>
      </c>
      <c r="Q33" s="111">
        <v>1</v>
      </c>
      <c r="R33" s="111">
        <v>-1</v>
      </c>
      <c r="S33" s="111">
        <v>94</v>
      </c>
      <c r="T33">
        <f>VLOOKUP(C33,Team2018!$E$2:$R$33,4,FALSE)</f>
        <v>298.40000000000003</v>
      </c>
      <c r="U33">
        <f>VLOOKUP(C33,Team2018!$E$2:$R$33,5,FALSE)</f>
        <v>16</v>
      </c>
      <c r="V33">
        <f>VLOOKUP(C33,Team2018!$E$2:$R$33,10,FALSE)</f>
        <v>0.1</v>
      </c>
      <c r="W33">
        <f>VLOOKUP(C33,Team2018!$E$2:$R$33,11,FALSE)</f>
        <v>0.1</v>
      </c>
      <c r="X33">
        <f>VLOOKUP(C33,Team2018!$E$2:$R$33,12,FALSE)</f>
        <v>0.1</v>
      </c>
      <c r="Y33">
        <f>VLOOKUP(C33,Team2018!$E$2:$R$33,13,FALSE)</f>
        <v>0.1</v>
      </c>
      <c r="Z33" s="104">
        <f t="shared" si="0"/>
        <v>5.0251890762960605E-2</v>
      </c>
      <c r="AA33">
        <f t="shared" si="1"/>
        <v>5.0251890762960608E-3</v>
      </c>
      <c r="AB33">
        <f t="shared" si="2"/>
        <v>0.39784946236559138</v>
      </c>
      <c r="AC33">
        <f t="shared" si="5"/>
        <v>11.834239999999999</v>
      </c>
      <c r="AD33">
        <f t="shared" si="3"/>
        <v>5.9469293574265891E-2</v>
      </c>
      <c r="AE33">
        <f t="shared" si="4"/>
        <v>2.3659826475783203E-2</v>
      </c>
    </row>
    <row r="34" spans="1:31" x14ac:dyDescent="0.25">
      <c r="A34" s="108">
        <v>17</v>
      </c>
      <c r="B34" s="109">
        <v>17</v>
      </c>
      <c r="C34" s="109" t="s">
        <v>60</v>
      </c>
      <c r="D34" s="114">
        <v>43270</v>
      </c>
      <c r="E34" s="109">
        <v>4231</v>
      </c>
      <c r="F34" s="109">
        <v>76</v>
      </c>
      <c r="G34" s="109">
        <v>46</v>
      </c>
      <c r="H34" s="109">
        <v>11</v>
      </c>
      <c r="I34" s="109">
        <v>3</v>
      </c>
      <c r="J34" s="109">
        <v>380</v>
      </c>
      <c r="K34" s="109">
        <v>115</v>
      </c>
      <c r="L34" s="109">
        <v>59</v>
      </c>
      <c r="M34" s="109">
        <v>47</v>
      </c>
      <c r="N34" s="109">
        <v>11</v>
      </c>
      <c r="O34" s="109">
        <v>1</v>
      </c>
      <c r="P34" s="109">
        <v>0</v>
      </c>
      <c r="Q34" s="109">
        <v>3</v>
      </c>
      <c r="R34" s="109">
        <v>1</v>
      </c>
      <c r="S34" s="109">
        <v>95</v>
      </c>
      <c r="T34">
        <f>VLOOKUP(C34,Team2018!$E$2:$R$33,4,FALSE)</f>
        <v>139.46666666666667</v>
      </c>
      <c r="U34">
        <f>VLOOKUP(C34,Team2018!$E$2:$R$33,5,FALSE)</f>
        <v>70</v>
      </c>
      <c r="V34">
        <f>VLOOKUP(C34,Team2018!$E$2:$R$33,10,FALSE)</f>
        <v>1.25</v>
      </c>
      <c r="W34">
        <f>VLOOKUP(C34,Team2018!$E$2:$R$33,11,FALSE)</f>
        <v>1.5</v>
      </c>
      <c r="X34">
        <f>VLOOKUP(C34,Team2018!$E$2:$R$33,12,FALSE)</f>
        <v>2</v>
      </c>
      <c r="Y34">
        <f>VLOOKUP(C34,Team2018!$E$2:$R$33,13,FALSE)</f>
        <v>0</v>
      </c>
      <c r="Z34" s="104">
        <f t="shared" ref="Z34:Z65" si="6">Q34*(SQRT(IF(H34=0,0.01,H34))/SQRT(IF(J34=0,0.01,J34))/IF(I34=0,0.01,I34))</f>
        <v>0.17013926184468015</v>
      </c>
      <c r="AA34">
        <f t="shared" ref="AA34:AA65" si="7">Z34*V34</f>
        <v>0.2126740773058502</v>
      </c>
      <c r="AB34">
        <f t="shared" ref="AB34:AB65" si="8">(M34+N34)/K34</f>
        <v>0.5043478260869565</v>
      </c>
      <c r="AC34">
        <f t="shared" si="5"/>
        <v>199.27200000000005</v>
      </c>
      <c r="AD34">
        <f t="shared" ref="AD34:AD65" si="9">AC34*AA34</f>
        <v>42.379988732891391</v>
      </c>
      <c r="AE34">
        <f t="shared" ref="AE34:AE65" si="10">AD34*AB34</f>
        <v>21.374255187023483</v>
      </c>
    </row>
    <row r="35" spans="1:31" x14ac:dyDescent="0.25">
      <c r="A35" s="110">
        <v>18</v>
      </c>
      <c r="B35" s="111">
        <v>18</v>
      </c>
      <c r="C35" s="111" t="s">
        <v>64</v>
      </c>
      <c r="D35" s="115">
        <v>43271</v>
      </c>
      <c r="E35" s="111">
        <v>442</v>
      </c>
      <c r="F35" s="111">
        <v>76</v>
      </c>
      <c r="G35" s="111">
        <v>47</v>
      </c>
      <c r="H35" s="111">
        <v>10</v>
      </c>
      <c r="I35" s="111">
        <v>2</v>
      </c>
      <c r="J35" s="111">
        <v>387</v>
      </c>
      <c r="K35" s="111">
        <v>105</v>
      </c>
      <c r="L35" s="111">
        <v>49</v>
      </c>
      <c r="M35" s="111">
        <v>36</v>
      </c>
      <c r="N35" s="111">
        <v>19</v>
      </c>
      <c r="O35" s="111">
        <v>1</v>
      </c>
      <c r="P35" s="111">
        <v>0</v>
      </c>
      <c r="Q35" s="111">
        <v>1</v>
      </c>
      <c r="R35" s="111">
        <v>1</v>
      </c>
      <c r="S35" s="111">
        <v>96</v>
      </c>
      <c r="T35">
        <f>VLOOKUP(C35,Team2018!$E$2:$R$33,4,FALSE)</f>
        <v>548.0533333333334</v>
      </c>
      <c r="U35">
        <f>VLOOKUP(C35,Team2018!$E$2:$R$33,5,FALSE)</f>
        <v>4</v>
      </c>
      <c r="V35">
        <f>VLOOKUP(C35,Team2018!$E$2:$R$33,10,FALSE)</f>
        <v>2</v>
      </c>
      <c r="W35">
        <f>VLOOKUP(C35,Team2018!$E$2:$R$33,11,FALSE)</f>
        <v>1.5</v>
      </c>
      <c r="X35">
        <f>VLOOKUP(C35,Team2018!$E$2:$R$33,12,FALSE)</f>
        <v>1</v>
      </c>
      <c r="Y35">
        <f>VLOOKUP(C35,Team2018!$E$2:$R$33,13,FALSE)</f>
        <v>1</v>
      </c>
      <c r="Z35" s="104">
        <f t="shared" si="6"/>
        <v>8.0373803695068691E-2</v>
      </c>
      <c r="AA35">
        <f t="shared" si="7"/>
        <v>0.16074760739013738</v>
      </c>
      <c r="AB35">
        <f t="shared" si="8"/>
        <v>0.52380952380952384</v>
      </c>
      <c r="AC35">
        <f t="shared" ref="AC35:AC66" si="11">W35*(J35*G35/100)*(F35/100)</f>
        <v>207.35459999999998</v>
      </c>
      <c r="AD35">
        <f t="shared" si="9"/>
        <v>33.331755831338974</v>
      </c>
      <c r="AE35">
        <f t="shared" si="10"/>
        <v>17.459491149748988</v>
      </c>
    </row>
    <row r="36" spans="1:31" x14ac:dyDescent="0.25">
      <c r="A36" s="108">
        <v>19</v>
      </c>
      <c r="B36" s="109">
        <v>19</v>
      </c>
      <c r="C36" s="109" t="s">
        <v>63</v>
      </c>
      <c r="D36" s="114">
        <v>43271</v>
      </c>
      <c r="E36" s="109">
        <v>442</v>
      </c>
      <c r="F36" s="109">
        <v>88</v>
      </c>
      <c r="G36" s="109">
        <v>47</v>
      </c>
      <c r="H36" s="109">
        <v>13</v>
      </c>
      <c r="I36" s="109">
        <v>4</v>
      </c>
      <c r="J36" s="109">
        <v>521</v>
      </c>
      <c r="K36" s="109">
        <v>101</v>
      </c>
      <c r="L36" s="109">
        <v>43</v>
      </c>
      <c r="M36" s="109">
        <v>19</v>
      </c>
      <c r="N36" s="109">
        <v>10</v>
      </c>
      <c r="O36" s="109">
        <v>0</v>
      </c>
      <c r="P36" s="109">
        <v>0</v>
      </c>
      <c r="Q36" s="109">
        <v>1</v>
      </c>
      <c r="R36" s="109">
        <v>1</v>
      </c>
      <c r="S36" s="109">
        <v>95</v>
      </c>
      <c r="T36">
        <f>VLOOKUP(C36,Team2018!$E$2:$R$33,4,FALSE)</f>
        <v>431.2</v>
      </c>
      <c r="U36">
        <f>VLOOKUP(C36,Team2018!$E$2:$R$33,5,FALSE)</f>
        <v>14</v>
      </c>
      <c r="V36">
        <f>VLOOKUP(C36,Team2018!$E$2:$R$33,10,FALSE)</f>
        <v>2</v>
      </c>
      <c r="W36">
        <f>VLOOKUP(C36,Team2018!$E$2:$R$33,11,FALSE)</f>
        <v>1</v>
      </c>
      <c r="X36">
        <f>VLOOKUP(C36,Team2018!$E$2:$R$33,12,FALSE)</f>
        <v>1</v>
      </c>
      <c r="Y36">
        <f>VLOOKUP(C36,Team2018!$E$2:$R$33,13,FALSE)</f>
        <v>2</v>
      </c>
      <c r="Z36" s="104">
        <f t="shared" si="6"/>
        <v>3.949051733888654E-2</v>
      </c>
      <c r="AA36">
        <f t="shared" si="7"/>
        <v>7.8981034677773079E-2</v>
      </c>
      <c r="AB36">
        <f t="shared" si="8"/>
        <v>0.28712871287128711</v>
      </c>
      <c r="AC36">
        <f t="shared" si="11"/>
        <v>215.48560000000001</v>
      </c>
      <c r="AD36">
        <f t="shared" si="9"/>
        <v>17.01927564616074</v>
      </c>
      <c r="AE36">
        <f t="shared" si="10"/>
        <v>4.8867227102837765</v>
      </c>
    </row>
    <row r="37" spans="1:31" x14ac:dyDescent="0.25">
      <c r="A37" s="110">
        <v>20</v>
      </c>
      <c r="B37" s="111">
        <v>20</v>
      </c>
      <c r="C37" s="111" t="s">
        <v>67</v>
      </c>
      <c r="D37" s="115">
        <v>43271</v>
      </c>
      <c r="E37" s="111">
        <v>4141</v>
      </c>
      <c r="F37" s="111">
        <v>69</v>
      </c>
      <c r="G37" s="111">
        <v>3</v>
      </c>
      <c r="H37" s="111">
        <v>5</v>
      </c>
      <c r="I37" s="111">
        <v>0</v>
      </c>
      <c r="J37" s="111">
        <v>219</v>
      </c>
      <c r="K37" s="111">
        <v>106</v>
      </c>
      <c r="L37" s="111">
        <v>50</v>
      </c>
      <c r="M37" s="111">
        <v>48</v>
      </c>
      <c r="N37" s="111">
        <v>14</v>
      </c>
      <c r="O37" s="111">
        <v>2</v>
      </c>
      <c r="P37" s="111">
        <v>0</v>
      </c>
      <c r="Q37" s="111">
        <v>0</v>
      </c>
      <c r="R37" s="111">
        <v>-1</v>
      </c>
      <c r="S37" s="111">
        <v>95</v>
      </c>
      <c r="T37">
        <f>VLOOKUP(C37,Team2018!$E$2:$R$33,4,FALSE)</f>
        <v>49.866666666666667</v>
      </c>
      <c r="U37">
        <f>VLOOKUP(C37,Team2018!$E$2:$R$33,5,FALSE)</f>
        <v>37</v>
      </c>
      <c r="V37">
        <f>VLOOKUP(C37,Team2018!$E$2:$R$33,10,FALSE)</f>
        <v>0</v>
      </c>
      <c r="W37">
        <f>VLOOKUP(C37,Team2018!$E$2:$R$33,11,FALSE)</f>
        <v>0</v>
      </c>
      <c r="X37">
        <f>VLOOKUP(C37,Team2018!$E$2:$R$33,12,FALSE)</f>
        <v>0</v>
      </c>
      <c r="Y37">
        <f>VLOOKUP(C37,Team2018!$E$2:$R$33,13,FALSE)</f>
        <v>0</v>
      </c>
      <c r="Z37" s="104">
        <f t="shared" si="6"/>
        <v>0</v>
      </c>
      <c r="AA37">
        <f t="shared" si="7"/>
        <v>0</v>
      </c>
      <c r="AB37">
        <f t="shared" si="8"/>
        <v>0.58490566037735847</v>
      </c>
      <c r="AC37">
        <f t="shared" si="11"/>
        <v>0</v>
      </c>
      <c r="AD37">
        <f t="shared" si="9"/>
        <v>0</v>
      </c>
      <c r="AE37">
        <f t="shared" si="10"/>
        <v>0</v>
      </c>
    </row>
    <row r="38" spans="1:31" x14ac:dyDescent="0.25">
      <c r="A38" s="108">
        <v>21</v>
      </c>
      <c r="B38" s="109">
        <v>21</v>
      </c>
      <c r="C38" s="109" t="s">
        <v>68</v>
      </c>
      <c r="D38" s="114">
        <v>43272</v>
      </c>
      <c r="E38" s="109">
        <v>4231</v>
      </c>
      <c r="F38" s="109">
        <v>77</v>
      </c>
      <c r="G38" s="109">
        <v>44</v>
      </c>
      <c r="H38" s="109">
        <v>12</v>
      </c>
      <c r="I38" s="109">
        <v>4</v>
      </c>
      <c r="J38" s="109">
        <v>405</v>
      </c>
      <c r="K38" s="109">
        <v>103</v>
      </c>
      <c r="L38" s="109">
        <v>46</v>
      </c>
      <c r="M38" s="109">
        <v>24</v>
      </c>
      <c r="N38" s="109">
        <v>11</v>
      </c>
      <c r="O38" s="109">
        <v>2</v>
      </c>
      <c r="P38" s="109">
        <v>0</v>
      </c>
      <c r="Q38" s="109">
        <v>1</v>
      </c>
      <c r="R38" s="109">
        <v>1</v>
      </c>
      <c r="S38" s="109">
        <v>94</v>
      </c>
      <c r="T38">
        <f>VLOOKUP(C38,Team2018!$E$2:$R$33,4,FALSE)</f>
        <v>1210.2666666666667</v>
      </c>
      <c r="U38">
        <f>VLOOKUP(C38,Team2018!$E$2:$R$33,5,FALSE)</f>
        <v>7</v>
      </c>
      <c r="V38">
        <f>VLOOKUP(C38,Team2018!$E$2:$R$33,10,FALSE)</f>
        <v>1.5</v>
      </c>
      <c r="W38">
        <f>VLOOKUP(C38,Team2018!$E$2:$R$33,11,FALSE)</f>
        <v>2</v>
      </c>
      <c r="X38">
        <f>VLOOKUP(C38,Team2018!$E$2:$R$33,12,FALSE)</f>
        <v>2</v>
      </c>
      <c r="Y38">
        <f>VLOOKUP(C38,Team2018!$E$2:$R$33,13,FALSE)</f>
        <v>1</v>
      </c>
      <c r="Z38" s="104">
        <f t="shared" si="6"/>
        <v>4.3033148291193514E-2</v>
      </c>
      <c r="AA38">
        <f t="shared" si="7"/>
        <v>6.4549722436790274E-2</v>
      </c>
      <c r="AB38">
        <f t="shared" si="8"/>
        <v>0.33980582524271846</v>
      </c>
      <c r="AC38">
        <f t="shared" si="11"/>
        <v>274.428</v>
      </c>
      <c r="AD38">
        <f t="shared" si="9"/>
        <v>17.71425122888348</v>
      </c>
      <c r="AE38">
        <f t="shared" si="10"/>
        <v>6.0194057573875908</v>
      </c>
    </row>
    <row r="39" spans="1:31" x14ac:dyDescent="0.25">
      <c r="A39" s="110">
        <v>22</v>
      </c>
      <c r="B39" s="111">
        <v>22</v>
      </c>
      <c r="C39" s="111" t="s">
        <v>71</v>
      </c>
      <c r="D39" s="115">
        <v>43272</v>
      </c>
      <c r="E39" s="111">
        <v>4231</v>
      </c>
      <c r="F39" s="111">
        <v>88</v>
      </c>
      <c r="G39" s="111">
        <v>49</v>
      </c>
      <c r="H39" s="111">
        <v>10</v>
      </c>
      <c r="I39" s="111">
        <v>5</v>
      </c>
      <c r="J39" s="111">
        <v>458</v>
      </c>
      <c r="K39" s="111">
        <v>112</v>
      </c>
      <c r="L39" s="111">
        <v>41</v>
      </c>
      <c r="M39" s="111">
        <v>26</v>
      </c>
      <c r="N39" s="111">
        <v>7</v>
      </c>
      <c r="O39" s="111">
        <v>2</v>
      </c>
      <c r="P39" s="111">
        <v>0</v>
      </c>
      <c r="Q39" s="111">
        <v>1</v>
      </c>
      <c r="R39" s="111">
        <v>0</v>
      </c>
      <c r="S39" s="111">
        <v>94</v>
      </c>
      <c r="T39">
        <f>VLOOKUP(C39,Team2018!$E$2:$R$33,4,FALSE)</f>
        <v>298.13333333333333</v>
      </c>
      <c r="U39">
        <f>VLOOKUP(C39,Team2018!$E$2:$R$33,5,FALSE)</f>
        <v>12</v>
      </c>
      <c r="V39">
        <f>VLOOKUP(C39,Team2018!$E$2:$R$33,10,FALSE)</f>
        <v>0.75</v>
      </c>
      <c r="W39">
        <f>VLOOKUP(C39,Team2018!$E$2:$R$33,11,FALSE)</f>
        <v>1.5</v>
      </c>
      <c r="X39">
        <f>VLOOKUP(C39,Team2018!$E$2:$R$33,12,FALSE)</f>
        <v>2</v>
      </c>
      <c r="Y39">
        <f>VLOOKUP(C39,Team2018!$E$2:$R$33,13,FALSE)</f>
        <v>0.1</v>
      </c>
      <c r="Z39" s="104">
        <f t="shared" si="6"/>
        <v>2.9552706228277086E-2</v>
      </c>
      <c r="AA39">
        <f t="shared" si="7"/>
        <v>2.2164529671207814E-2</v>
      </c>
      <c r="AB39">
        <f t="shared" si="8"/>
        <v>0.29464285714285715</v>
      </c>
      <c r="AC39">
        <f t="shared" si="11"/>
        <v>296.23439999999999</v>
      </c>
      <c r="AD39">
        <f t="shared" si="9"/>
        <v>6.5658961484324436</v>
      </c>
      <c r="AE39">
        <f t="shared" si="10"/>
        <v>1.9345944008774165</v>
      </c>
    </row>
    <row r="40" spans="1:31" x14ac:dyDescent="0.25">
      <c r="A40" s="108">
        <v>23</v>
      </c>
      <c r="B40" s="109">
        <v>23</v>
      </c>
      <c r="C40" s="109" t="s">
        <v>72</v>
      </c>
      <c r="D40" s="114">
        <v>43272</v>
      </c>
      <c r="E40" s="109">
        <v>3421</v>
      </c>
      <c r="F40" s="109">
        <v>81</v>
      </c>
      <c r="G40" s="109">
        <v>58</v>
      </c>
      <c r="H40" s="109">
        <v>10</v>
      </c>
      <c r="I40" s="109">
        <v>3</v>
      </c>
      <c r="J40" s="109">
        <v>505</v>
      </c>
      <c r="K40" s="109">
        <v>101</v>
      </c>
      <c r="L40" s="109">
        <v>35</v>
      </c>
      <c r="M40" s="109">
        <v>24</v>
      </c>
      <c r="N40" s="109">
        <v>15</v>
      </c>
      <c r="O40" s="109">
        <v>3</v>
      </c>
      <c r="P40" s="109">
        <v>0</v>
      </c>
      <c r="Q40" s="109">
        <v>0</v>
      </c>
      <c r="R40" s="109">
        <v>-1</v>
      </c>
      <c r="S40" s="109">
        <v>95</v>
      </c>
      <c r="T40">
        <f>VLOOKUP(C40,Team2018!$E$2:$R$33,4,FALSE)</f>
        <v>818.93333333333339</v>
      </c>
      <c r="U40">
        <f>VLOOKUP(C40,Team2018!$E$2:$R$33,5,FALSE)</f>
        <v>5</v>
      </c>
      <c r="V40">
        <f>VLOOKUP(C40,Team2018!$E$2:$R$33,10,FALSE)</f>
        <v>1.5</v>
      </c>
      <c r="W40">
        <f>VLOOKUP(C40,Team2018!$E$2:$R$33,11,FALSE)</f>
        <v>1.25</v>
      </c>
      <c r="X40">
        <f>VLOOKUP(C40,Team2018!$E$2:$R$33,12,FALSE)</f>
        <v>0.5</v>
      </c>
      <c r="Y40">
        <f>VLOOKUP(C40,Team2018!$E$2:$R$33,13,FALSE)</f>
        <v>1.5</v>
      </c>
      <c r="Z40" s="104">
        <f t="shared" si="6"/>
        <v>0</v>
      </c>
      <c r="AA40">
        <f t="shared" si="7"/>
        <v>0</v>
      </c>
      <c r="AB40">
        <f t="shared" si="8"/>
        <v>0.38613861386138615</v>
      </c>
      <c r="AC40">
        <f t="shared" si="11"/>
        <v>296.56125000000003</v>
      </c>
      <c r="AD40">
        <f t="shared" si="9"/>
        <v>0</v>
      </c>
      <c r="AE40">
        <f t="shared" si="10"/>
        <v>0</v>
      </c>
    </row>
    <row r="41" spans="1:31" x14ac:dyDescent="0.25">
      <c r="A41" s="110">
        <v>24</v>
      </c>
      <c r="B41" s="111">
        <v>24</v>
      </c>
      <c r="C41" s="111" t="s">
        <v>76</v>
      </c>
      <c r="D41" s="115">
        <v>43273</v>
      </c>
      <c r="E41" s="111">
        <v>433</v>
      </c>
      <c r="F41" s="111">
        <v>9</v>
      </c>
      <c r="G41" s="111">
        <v>66</v>
      </c>
      <c r="H41" s="111">
        <v>23</v>
      </c>
      <c r="I41" s="111">
        <v>9</v>
      </c>
      <c r="J41" s="111">
        <v>742</v>
      </c>
      <c r="K41" s="111">
        <v>105</v>
      </c>
      <c r="L41" s="111">
        <v>43</v>
      </c>
      <c r="M41" s="111">
        <v>13</v>
      </c>
      <c r="N41" s="111">
        <v>11</v>
      </c>
      <c r="O41" s="111">
        <v>2</v>
      </c>
      <c r="P41" s="111">
        <v>0</v>
      </c>
      <c r="Q41" s="111">
        <v>2</v>
      </c>
      <c r="R41" s="111">
        <v>1</v>
      </c>
      <c r="S41" s="111">
        <v>97</v>
      </c>
      <c r="T41">
        <f>VLOOKUP(C41,Team2018!$E$2:$R$33,4,FALSE)</f>
        <v>1077.3466666666666</v>
      </c>
      <c r="U41">
        <f>VLOOKUP(C41,Team2018!$E$2:$R$33,5,FALSE)</f>
        <v>2</v>
      </c>
      <c r="V41">
        <f>VLOOKUP(C41,Team2018!$E$2:$R$33,10,FALSE)</f>
        <v>1.75</v>
      </c>
      <c r="W41">
        <f>VLOOKUP(C41,Team2018!$E$2:$R$33,11,FALSE)</f>
        <v>2</v>
      </c>
      <c r="X41">
        <f>VLOOKUP(C41,Team2018!$E$2:$R$33,12,FALSE)</f>
        <v>2.5</v>
      </c>
      <c r="Y41">
        <f>VLOOKUP(C41,Team2018!$E$2:$R$33,13,FALSE)</f>
        <v>3</v>
      </c>
      <c r="Z41" s="104">
        <f t="shared" si="6"/>
        <v>3.9124558661785797E-2</v>
      </c>
      <c r="AA41">
        <f t="shared" si="7"/>
        <v>6.8467977658125151E-2</v>
      </c>
      <c r="AB41">
        <f t="shared" si="8"/>
        <v>0.22857142857142856</v>
      </c>
      <c r="AC41">
        <f t="shared" si="11"/>
        <v>88.149600000000007</v>
      </c>
      <c r="AD41">
        <f t="shared" si="9"/>
        <v>6.0354248433726694</v>
      </c>
      <c r="AE41">
        <f t="shared" si="10"/>
        <v>1.3795256784851815</v>
      </c>
    </row>
    <row r="42" spans="1:31" x14ac:dyDescent="0.25">
      <c r="A42" s="108">
        <v>25</v>
      </c>
      <c r="B42" s="109">
        <v>25</v>
      </c>
      <c r="C42" s="109" t="s">
        <v>75</v>
      </c>
      <c r="D42" s="114">
        <v>43273</v>
      </c>
      <c r="E42" s="109">
        <v>352</v>
      </c>
      <c r="F42" s="109">
        <v>84</v>
      </c>
      <c r="G42" s="109">
        <v>58</v>
      </c>
      <c r="H42" s="109">
        <v>16</v>
      </c>
      <c r="I42" s="109">
        <v>4</v>
      </c>
      <c r="J42" s="109">
        <v>473</v>
      </c>
      <c r="K42" s="109">
        <v>100</v>
      </c>
      <c r="L42" s="109">
        <v>40</v>
      </c>
      <c r="M42" s="109">
        <v>39</v>
      </c>
      <c r="N42" s="109">
        <v>9</v>
      </c>
      <c r="O42" s="109">
        <v>1</v>
      </c>
      <c r="P42" s="109">
        <v>0</v>
      </c>
      <c r="Q42" s="109">
        <v>2</v>
      </c>
      <c r="R42" s="109">
        <v>1</v>
      </c>
      <c r="S42" s="109">
        <v>97</v>
      </c>
      <c r="T42">
        <f>VLOOKUP(C42,Team2018!$E$2:$R$33,4,FALSE)</f>
        <v>153.46666666666667</v>
      </c>
      <c r="U42">
        <f>VLOOKUP(C42,Team2018!$E$2:$R$33,5,FALSE)</f>
        <v>48</v>
      </c>
      <c r="V42">
        <f>VLOOKUP(C42,Team2018!$E$2:$R$33,10,FALSE)</f>
        <v>1.5</v>
      </c>
      <c r="W42">
        <f>VLOOKUP(C42,Team2018!$E$2:$R$33,11,FALSE)</f>
        <v>0.75</v>
      </c>
      <c r="X42">
        <f>VLOOKUP(C42,Team2018!$E$2:$R$33,12,FALSE)</f>
        <v>1.25</v>
      </c>
      <c r="Y42">
        <f>VLOOKUP(C42,Team2018!$E$2:$R$33,13,FALSE)</f>
        <v>1</v>
      </c>
      <c r="Z42" s="104">
        <f t="shared" si="6"/>
        <v>9.1960097974340571E-2</v>
      </c>
      <c r="AA42">
        <f t="shared" si="7"/>
        <v>0.13794014696151086</v>
      </c>
      <c r="AB42">
        <f t="shared" si="8"/>
        <v>0.48</v>
      </c>
      <c r="AC42">
        <f t="shared" si="11"/>
        <v>172.83419999999998</v>
      </c>
      <c r="AD42">
        <f t="shared" si="9"/>
        <v>23.840774947975156</v>
      </c>
      <c r="AE42">
        <f t="shared" si="10"/>
        <v>11.443571975028075</v>
      </c>
    </row>
    <row r="43" spans="1:31" x14ac:dyDescent="0.25">
      <c r="A43" s="110">
        <v>26</v>
      </c>
      <c r="B43" s="111">
        <v>26</v>
      </c>
      <c r="C43" s="111" t="s">
        <v>79</v>
      </c>
      <c r="D43" s="115">
        <v>43273</v>
      </c>
      <c r="E43" s="111">
        <v>4231</v>
      </c>
      <c r="F43" s="111">
        <v>78</v>
      </c>
      <c r="G43" s="111">
        <v>42</v>
      </c>
      <c r="H43" s="111">
        <v>12</v>
      </c>
      <c r="I43" s="111">
        <v>3</v>
      </c>
      <c r="J43" s="111">
        <v>309</v>
      </c>
      <c r="K43" s="111">
        <v>116</v>
      </c>
      <c r="L43" s="111">
        <v>44</v>
      </c>
      <c r="M43" s="111">
        <v>30</v>
      </c>
      <c r="N43" s="111">
        <v>17</v>
      </c>
      <c r="O43" s="111">
        <v>4</v>
      </c>
      <c r="P43" s="111">
        <v>0</v>
      </c>
      <c r="Q43" s="111">
        <v>1</v>
      </c>
      <c r="R43" s="111">
        <v>-1</v>
      </c>
      <c r="S43" s="111">
        <v>96</v>
      </c>
      <c r="T43">
        <f>VLOOKUP(C43,Team2018!$E$2:$R$33,4,FALSE)</f>
        <v>281.59999999999997</v>
      </c>
      <c r="U43">
        <f>VLOOKUP(C43,Team2018!$E$2:$R$33,5,FALSE)</f>
        <v>34</v>
      </c>
      <c r="V43">
        <f>VLOOKUP(C43,Team2018!$E$2:$R$33,10,FALSE)</f>
        <v>1</v>
      </c>
      <c r="W43">
        <f>VLOOKUP(C43,Team2018!$E$2:$R$33,11,FALSE)</f>
        <v>1</v>
      </c>
      <c r="X43">
        <f>VLOOKUP(C43,Team2018!$E$2:$R$33,12,FALSE)</f>
        <v>1.5</v>
      </c>
      <c r="Y43">
        <f>VLOOKUP(C43,Team2018!$E$2:$R$33,13,FALSE)</f>
        <v>1</v>
      </c>
      <c r="Z43" s="104">
        <f t="shared" si="6"/>
        <v>6.5688618544286204E-2</v>
      </c>
      <c r="AA43">
        <f t="shared" si="7"/>
        <v>6.5688618544286204E-2</v>
      </c>
      <c r="AB43">
        <f t="shared" si="8"/>
        <v>0.40517241379310343</v>
      </c>
      <c r="AC43">
        <f t="shared" si="11"/>
        <v>101.22840000000001</v>
      </c>
      <c r="AD43">
        <f t="shared" si="9"/>
        <v>6.6495537534484219</v>
      </c>
      <c r="AE43">
        <f t="shared" si="10"/>
        <v>2.6942157449316881</v>
      </c>
    </row>
    <row r="44" spans="1:31" x14ac:dyDescent="0.25">
      <c r="A44" s="108">
        <v>27</v>
      </c>
      <c r="B44" s="109">
        <v>27</v>
      </c>
      <c r="C44" s="109" t="s">
        <v>84</v>
      </c>
      <c r="D44" s="114">
        <v>43274</v>
      </c>
      <c r="E44" s="109">
        <v>3421</v>
      </c>
      <c r="F44" s="109">
        <v>83</v>
      </c>
      <c r="G44" s="109">
        <v>52</v>
      </c>
      <c r="H44" s="109">
        <v>23</v>
      </c>
      <c r="I44" s="109">
        <v>12</v>
      </c>
      <c r="J44" s="109">
        <v>472</v>
      </c>
      <c r="K44" s="109">
        <v>104</v>
      </c>
      <c r="L44" s="109">
        <v>45</v>
      </c>
      <c r="M44" s="109">
        <v>15</v>
      </c>
      <c r="N44" s="109">
        <v>12</v>
      </c>
      <c r="O44" s="109">
        <v>0</v>
      </c>
      <c r="P44" s="109">
        <v>0</v>
      </c>
      <c r="Q44" s="109">
        <v>5</v>
      </c>
      <c r="R44" s="109">
        <v>1</v>
      </c>
      <c r="S44" s="109">
        <v>94</v>
      </c>
      <c r="T44">
        <f>VLOOKUP(C44,Team2018!$E$2:$R$33,4,FALSE)</f>
        <v>881.19999999999993</v>
      </c>
      <c r="U44">
        <f>VLOOKUP(C44,Team2018!$E$2:$R$33,5,FALSE)</f>
        <v>3</v>
      </c>
      <c r="V44">
        <f>VLOOKUP(C44,Team2018!$E$2:$R$33,10,FALSE)</f>
        <v>0.1</v>
      </c>
      <c r="W44">
        <f>VLOOKUP(C44,Team2018!$E$2:$R$33,11,FALSE)</f>
        <v>0.1</v>
      </c>
      <c r="X44">
        <f>VLOOKUP(C44,Team2018!$E$2:$R$33,12,FALSE)</f>
        <v>0.1</v>
      </c>
      <c r="Y44">
        <f>VLOOKUP(C44,Team2018!$E$2:$R$33,13,FALSE)</f>
        <v>0.1</v>
      </c>
      <c r="Z44" s="104">
        <f t="shared" si="6"/>
        <v>9.1977516084965433E-2</v>
      </c>
      <c r="AA44">
        <f t="shared" si="7"/>
        <v>9.1977516084965436E-3</v>
      </c>
      <c r="AB44">
        <f t="shared" si="8"/>
        <v>0.25961538461538464</v>
      </c>
      <c r="AC44">
        <f t="shared" si="11"/>
        <v>20.37152</v>
      </c>
      <c r="AD44">
        <f t="shared" si="9"/>
        <v>0.1873721808475195</v>
      </c>
      <c r="AE44">
        <f t="shared" si="10"/>
        <v>4.8644700796952184E-2</v>
      </c>
    </row>
    <row r="45" spans="1:31" x14ac:dyDescent="0.25">
      <c r="A45" s="110">
        <v>28</v>
      </c>
      <c r="B45" s="111">
        <v>29</v>
      </c>
      <c r="C45" s="111" t="s">
        <v>80</v>
      </c>
      <c r="D45" s="115">
        <v>43274</v>
      </c>
      <c r="E45" s="111">
        <v>4231</v>
      </c>
      <c r="F45" s="111">
        <v>88</v>
      </c>
      <c r="G45" s="111">
        <v>71</v>
      </c>
      <c r="H45" s="111">
        <v>16</v>
      </c>
      <c r="I45" s="111">
        <v>5</v>
      </c>
      <c r="J45" s="111">
        <v>703</v>
      </c>
      <c r="K45" s="111">
        <v>111</v>
      </c>
      <c r="L45" s="111">
        <v>30</v>
      </c>
      <c r="M45" s="111">
        <v>13</v>
      </c>
      <c r="N45" s="111">
        <v>12</v>
      </c>
      <c r="O45" s="111">
        <v>0</v>
      </c>
      <c r="P45" s="111">
        <v>1</v>
      </c>
      <c r="Q45" s="111">
        <v>2</v>
      </c>
      <c r="R45" s="111">
        <v>1</v>
      </c>
      <c r="S45" s="111">
        <v>96</v>
      </c>
      <c r="T45">
        <f>VLOOKUP(C45,Team2018!$E$2:$R$33,4,FALSE)</f>
        <v>1029.0666666666666</v>
      </c>
      <c r="U45">
        <f>VLOOKUP(C45,Team2018!$E$2:$R$33,5,FALSE)</f>
        <v>1</v>
      </c>
      <c r="V45">
        <f>VLOOKUP(C45,Team2018!$E$2:$R$33,10,FALSE)</f>
        <v>1.5</v>
      </c>
      <c r="W45">
        <f>VLOOKUP(C45,Team2018!$E$2:$R$33,11,FALSE)</f>
        <v>1.5</v>
      </c>
      <c r="X45">
        <f>VLOOKUP(C45,Team2018!$E$2:$R$33,12,FALSE)</f>
        <v>1.25</v>
      </c>
      <c r="Y45">
        <f>VLOOKUP(C45,Team2018!$E$2:$R$33,13,FALSE)</f>
        <v>3</v>
      </c>
      <c r="Z45" s="104">
        <f t="shared" si="6"/>
        <v>6.0345142912377137E-2</v>
      </c>
      <c r="AA45">
        <f t="shared" si="7"/>
        <v>9.0517714368565705E-2</v>
      </c>
      <c r="AB45">
        <f t="shared" si="8"/>
        <v>0.22522522522522523</v>
      </c>
      <c r="AC45">
        <f t="shared" si="11"/>
        <v>658.85159999999996</v>
      </c>
      <c r="AD45">
        <f t="shared" si="9"/>
        <v>59.637740940072504</v>
      </c>
      <c r="AE45">
        <f t="shared" si="10"/>
        <v>13.431923635151465</v>
      </c>
    </row>
    <row r="46" spans="1:31" x14ac:dyDescent="0.25">
      <c r="A46" s="108">
        <v>29</v>
      </c>
      <c r="B46" s="109">
        <v>28</v>
      </c>
      <c r="C46" s="109" t="s">
        <v>83</v>
      </c>
      <c r="D46" s="114">
        <v>43274</v>
      </c>
      <c r="E46" s="109">
        <v>4231</v>
      </c>
      <c r="F46" s="109">
        <v>82</v>
      </c>
      <c r="G46" s="109">
        <v>41</v>
      </c>
      <c r="H46" s="109">
        <v>17</v>
      </c>
      <c r="I46" s="109">
        <v>6</v>
      </c>
      <c r="J46" s="109">
        <v>346</v>
      </c>
      <c r="K46" s="109">
        <v>99</v>
      </c>
      <c r="L46" s="109">
        <v>42</v>
      </c>
      <c r="M46" s="109">
        <v>21</v>
      </c>
      <c r="N46" s="109">
        <v>24</v>
      </c>
      <c r="O46" s="109">
        <v>4</v>
      </c>
      <c r="P46" s="109">
        <v>0</v>
      </c>
      <c r="Q46" s="109">
        <v>1</v>
      </c>
      <c r="R46" s="109">
        <v>-1</v>
      </c>
      <c r="S46" s="109">
        <v>96</v>
      </c>
      <c r="T46">
        <f>VLOOKUP(C46,Team2018!$E$2:$R$33,4,FALSE)</f>
        <v>98.933333333333337</v>
      </c>
      <c r="U46">
        <f>VLOOKUP(C46,Team2018!$E$2:$R$33,5,FALSE)</f>
        <v>57</v>
      </c>
      <c r="V46">
        <f>VLOOKUP(C46,Team2018!$E$2:$R$33,10,FALSE)</f>
        <v>0.1</v>
      </c>
      <c r="W46">
        <f>VLOOKUP(C46,Team2018!$E$2:$R$33,11,FALSE)</f>
        <v>0.1</v>
      </c>
      <c r="X46">
        <f>VLOOKUP(C46,Team2018!$E$2:$R$33,12,FALSE)</f>
        <v>0.1</v>
      </c>
      <c r="Y46">
        <f>VLOOKUP(C46,Team2018!$E$2:$R$33,13,FALSE)</f>
        <v>0.1</v>
      </c>
      <c r="Z46" s="104">
        <f t="shared" si="6"/>
        <v>3.6943255277098283E-2</v>
      </c>
      <c r="AA46">
        <f t="shared" si="7"/>
        <v>3.6943255277098286E-3</v>
      </c>
      <c r="AB46">
        <f t="shared" si="8"/>
        <v>0.45454545454545453</v>
      </c>
      <c r="AC46">
        <f t="shared" si="11"/>
        <v>11.632520000000001</v>
      </c>
      <c r="AD46">
        <f t="shared" si="9"/>
        <v>4.2974315587595138E-2</v>
      </c>
      <c r="AE46">
        <f t="shared" si="10"/>
        <v>1.9533779812543246E-2</v>
      </c>
    </row>
    <row r="47" spans="1:31" x14ac:dyDescent="0.25">
      <c r="A47" s="110">
        <v>30</v>
      </c>
      <c r="B47" s="111">
        <v>30</v>
      </c>
      <c r="C47" s="111" t="s">
        <v>87</v>
      </c>
      <c r="D47" s="115">
        <v>43275</v>
      </c>
      <c r="E47" s="111">
        <v>3142</v>
      </c>
      <c r="F47" s="111">
        <v>93</v>
      </c>
      <c r="G47" s="111">
        <v>58</v>
      </c>
      <c r="H47" s="111">
        <v>12</v>
      </c>
      <c r="I47" s="111">
        <v>7</v>
      </c>
      <c r="J47" s="111">
        <v>601</v>
      </c>
      <c r="K47" s="111">
        <v>99</v>
      </c>
      <c r="L47" s="111">
        <v>26</v>
      </c>
      <c r="M47" s="111">
        <v>11</v>
      </c>
      <c r="N47" s="111">
        <v>14</v>
      </c>
      <c r="O47" s="111">
        <v>1</v>
      </c>
      <c r="P47" s="111">
        <v>0</v>
      </c>
      <c r="Q47" s="111">
        <v>6</v>
      </c>
      <c r="R47" s="111">
        <v>1</v>
      </c>
      <c r="S47" s="111">
        <v>95</v>
      </c>
      <c r="T47">
        <f>VLOOKUP(C47,Team2018!$E$2:$R$33,4,FALSE)</f>
        <v>1025.4666666666667</v>
      </c>
      <c r="U47">
        <f>VLOOKUP(C47,Team2018!$E$2:$R$33,5,FALSE)</f>
        <v>12</v>
      </c>
      <c r="V47">
        <f>VLOOKUP(C47,Team2018!$E$2:$R$33,10,FALSE)</f>
        <v>1</v>
      </c>
      <c r="W47">
        <f>VLOOKUP(C47,Team2018!$E$2:$R$33,11,FALSE)</f>
        <v>0.1</v>
      </c>
      <c r="X47">
        <f>VLOOKUP(C47,Team2018!$E$2:$R$33,12,FALSE)</f>
        <v>0.1</v>
      </c>
      <c r="Y47">
        <f>VLOOKUP(C47,Team2018!$E$2:$R$33,13,FALSE)</f>
        <v>1</v>
      </c>
      <c r="Z47" s="104">
        <f t="shared" si="6"/>
        <v>0.12111741618575977</v>
      </c>
      <c r="AA47">
        <f t="shared" si="7"/>
        <v>0.12111741618575977</v>
      </c>
      <c r="AB47">
        <f t="shared" si="8"/>
        <v>0.25252525252525254</v>
      </c>
      <c r="AC47">
        <f t="shared" si="11"/>
        <v>32.417940000000002</v>
      </c>
      <c r="AD47">
        <f t="shared" si="9"/>
        <v>3.9263771308649895</v>
      </c>
      <c r="AE47">
        <f t="shared" si="10"/>
        <v>0.99150937648105797</v>
      </c>
    </row>
    <row r="48" spans="1:31" x14ac:dyDescent="0.25">
      <c r="A48" s="108">
        <v>31</v>
      </c>
      <c r="B48" s="109">
        <v>1</v>
      </c>
      <c r="C48" s="109" t="s">
        <v>61</v>
      </c>
      <c r="D48" s="114">
        <v>43265</v>
      </c>
      <c r="E48" s="109">
        <v>4141</v>
      </c>
      <c r="F48" s="109">
        <v>86</v>
      </c>
      <c r="G48" s="109">
        <v>6</v>
      </c>
      <c r="H48" s="109">
        <v>6</v>
      </c>
      <c r="I48" s="109">
        <v>0</v>
      </c>
      <c r="J48" s="109">
        <v>511</v>
      </c>
      <c r="K48" s="109">
        <v>105</v>
      </c>
      <c r="L48" s="109">
        <v>48</v>
      </c>
      <c r="M48" s="109">
        <v>31</v>
      </c>
      <c r="N48" s="109">
        <v>10</v>
      </c>
      <c r="O48" s="109">
        <v>1</v>
      </c>
      <c r="P48" s="109">
        <v>0</v>
      </c>
      <c r="Q48" s="109">
        <v>0</v>
      </c>
      <c r="R48" s="109">
        <v>-1</v>
      </c>
      <c r="S48" s="109">
        <v>94</v>
      </c>
      <c r="T48">
        <f>VLOOKUP(C48,Team2018!$E$2:$R$33,4,FALSE)</f>
        <v>20.133333333333333</v>
      </c>
      <c r="U48">
        <f>VLOOKUP(C48,Team2018!$E$2:$R$33,5,FALSE)</f>
        <v>67</v>
      </c>
      <c r="V48">
        <f>VLOOKUP(C48,Team2018!$E$2:$R$33,10,FALSE)</f>
        <v>0</v>
      </c>
      <c r="W48">
        <f>VLOOKUP(C48,Team2018!$E$2:$R$33,11,FALSE)</f>
        <v>0</v>
      </c>
      <c r="X48">
        <f>VLOOKUP(C48,Team2018!$E$2:$R$33,12,FALSE)</f>
        <v>0</v>
      </c>
      <c r="Y48">
        <f>VLOOKUP(C48,Team2018!$E$2:$R$33,13,FALSE)</f>
        <v>0</v>
      </c>
      <c r="Z48" s="104">
        <f t="shared" si="6"/>
        <v>0</v>
      </c>
      <c r="AA48">
        <f t="shared" si="7"/>
        <v>0</v>
      </c>
      <c r="AB48">
        <f t="shared" si="8"/>
        <v>0.39047619047619048</v>
      </c>
      <c r="AC48">
        <f t="shared" si="11"/>
        <v>0</v>
      </c>
      <c r="AD48">
        <f t="shared" si="9"/>
        <v>0</v>
      </c>
      <c r="AE48">
        <f t="shared" si="10"/>
        <v>0</v>
      </c>
    </row>
    <row r="49" spans="1:31" x14ac:dyDescent="0.25">
      <c r="A49" s="110">
        <v>32</v>
      </c>
      <c r="B49" s="111">
        <v>2</v>
      </c>
      <c r="C49" s="111" t="s">
        <v>63</v>
      </c>
      <c r="D49" s="115">
        <v>43266</v>
      </c>
      <c r="E49" s="111">
        <v>442</v>
      </c>
      <c r="F49" s="111">
        <v>86</v>
      </c>
      <c r="G49" s="111">
        <v>57</v>
      </c>
      <c r="H49" s="111">
        <v>14</v>
      </c>
      <c r="I49" s="111">
        <v>4</v>
      </c>
      <c r="J49" s="111">
        <v>589</v>
      </c>
      <c r="K49" s="111">
        <v>111</v>
      </c>
      <c r="L49" s="111">
        <v>54</v>
      </c>
      <c r="M49" s="111">
        <v>22</v>
      </c>
      <c r="N49" s="111">
        <v>6</v>
      </c>
      <c r="O49" s="111">
        <v>0</v>
      </c>
      <c r="P49" s="111">
        <v>0</v>
      </c>
      <c r="Q49" s="111">
        <v>1</v>
      </c>
      <c r="R49" s="111">
        <v>1</v>
      </c>
      <c r="S49" s="111">
        <v>97</v>
      </c>
      <c r="T49">
        <f>VLOOKUP(C49,Team2018!$E$2:$R$33,4,FALSE)</f>
        <v>431.2</v>
      </c>
      <c r="U49">
        <f>VLOOKUP(C49,Team2018!$E$2:$R$33,5,FALSE)</f>
        <v>14</v>
      </c>
      <c r="V49">
        <f>VLOOKUP(C49,Team2018!$E$2:$R$33,10,FALSE)</f>
        <v>2</v>
      </c>
      <c r="W49">
        <f>VLOOKUP(C49,Team2018!$E$2:$R$33,11,FALSE)</f>
        <v>1</v>
      </c>
      <c r="X49">
        <f>VLOOKUP(C49,Team2018!$E$2:$R$33,12,FALSE)</f>
        <v>1</v>
      </c>
      <c r="Y49">
        <f>VLOOKUP(C49,Team2018!$E$2:$R$33,13,FALSE)</f>
        <v>2</v>
      </c>
      <c r="Z49" s="104">
        <f t="shared" si="6"/>
        <v>3.8543076688443097E-2</v>
      </c>
      <c r="AA49">
        <f t="shared" si="7"/>
        <v>7.7086153376886193E-2</v>
      </c>
      <c r="AB49">
        <f t="shared" si="8"/>
        <v>0.25225225225225223</v>
      </c>
      <c r="AC49">
        <f t="shared" si="11"/>
        <v>288.7278</v>
      </c>
      <c r="AD49">
        <f t="shared" si="9"/>
        <v>22.256915474970921</v>
      </c>
      <c r="AE49">
        <f t="shared" si="10"/>
        <v>5.6143570567494212</v>
      </c>
    </row>
    <row r="50" spans="1:31" x14ac:dyDescent="0.25">
      <c r="A50" s="108">
        <v>33</v>
      </c>
      <c r="B50" s="109">
        <v>3</v>
      </c>
      <c r="C50" s="109" t="s">
        <v>67</v>
      </c>
      <c r="D50" s="114">
        <v>43266</v>
      </c>
      <c r="E50" s="109">
        <v>4141</v>
      </c>
      <c r="F50" s="109">
        <v>66</v>
      </c>
      <c r="G50" s="109">
        <v>36</v>
      </c>
      <c r="H50" s="109">
        <v>8</v>
      </c>
      <c r="I50" s="109">
        <v>2</v>
      </c>
      <c r="J50" s="109">
        <v>194</v>
      </c>
      <c r="K50" s="109">
        <v>100</v>
      </c>
      <c r="L50" s="109">
        <v>38</v>
      </c>
      <c r="M50" s="109">
        <v>24</v>
      </c>
      <c r="N50" s="109">
        <v>14</v>
      </c>
      <c r="O50" s="109">
        <v>3</v>
      </c>
      <c r="P50" s="109">
        <v>0</v>
      </c>
      <c r="Q50" s="109">
        <v>1</v>
      </c>
      <c r="R50" s="109">
        <v>1</v>
      </c>
      <c r="S50" s="109">
        <v>96</v>
      </c>
      <c r="T50">
        <f>VLOOKUP(C50,Team2018!$E$2:$R$33,4,FALSE)</f>
        <v>49.866666666666667</v>
      </c>
      <c r="U50">
        <f>VLOOKUP(C50,Team2018!$E$2:$R$33,5,FALSE)</f>
        <v>37</v>
      </c>
      <c r="V50">
        <f>VLOOKUP(C50,Team2018!$E$2:$R$33,10,FALSE)</f>
        <v>0</v>
      </c>
      <c r="W50">
        <f>VLOOKUP(C50,Team2018!$E$2:$R$33,11,FALSE)</f>
        <v>0</v>
      </c>
      <c r="X50">
        <f>VLOOKUP(C50,Team2018!$E$2:$R$33,12,FALSE)</f>
        <v>0</v>
      </c>
      <c r="Y50">
        <f>VLOOKUP(C50,Team2018!$E$2:$R$33,13,FALSE)</f>
        <v>0</v>
      </c>
      <c r="Z50" s="104">
        <f t="shared" si="6"/>
        <v>0.10153461651336192</v>
      </c>
      <c r="AA50">
        <f t="shared" si="7"/>
        <v>0</v>
      </c>
      <c r="AB50">
        <f t="shared" si="8"/>
        <v>0.38</v>
      </c>
      <c r="AC50">
        <f t="shared" si="11"/>
        <v>0</v>
      </c>
      <c r="AD50">
        <f t="shared" si="9"/>
        <v>0</v>
      </c>
      <c r="AE50">
        <f t="shared" si="10"/>
        <v>0</v>
      </c>
    </row>
    <row r="51" spans="1:31" x14ac:dyDescent="0.25">
      <c r="A51" s="110">
        <v>34</v>
      </c>
      <c r="B51" s="111">
        <v>4</v>
      </c>
      <c r="C51" s="111" t="s">
        <v>65</v>
      </c>
      <c r="D51" s="115">
        <v>43266</v>
      </c>
      <c r="E51" s="111">
        <v>433</v>
      </c>
      <c r="F51" s="111">
        <v>93</v>
      </c>
      <c r="G51" s="111">
        <v>61</v>
      </c>
      <c r="H51" s="111">
        <v>12</v>
      </c>
      <c r="I51" s="111">
        <v>5</v>
      </c>
      <c r="J51" s="111">
        <v>727</v>
      </c>
      <c r="K51" s="111">
        <v>103</v>
      </c>
      <c r="L51" s="111">
        <v>28</v>
      </c>
      <c r="M51" s="111">
        <v>9</v>
      </c>
      <c r="N51" s="111">
        <v>10</v>
      </c>
      <c r="O51" s="111">
        <v>1</v>
      </c>
      <c r="P51" s="111">
        <v>0</v>
      </c>
      <c r="Q51" s="111">
        <v>3</v>
      </c>
      <c r="R51" s="111">
        <v>0</v>
      </c>
      <c r="S51" s="111">
        <v>95</v>
      </c>
      <c r="T51">
        <f>VLOOKUP(C51,Team2018!$E$2:$R$33,4,FALSE)</f>
        <v>1214.3999999999999</v>
      </c>
      <c r="U51">
        <f>VLOOKUP(C51,Team2018!$E$2:$R$33,5,FALSE)</f>
        <v>10</v>
      </c>
      <c r="V51">
        <f>VLOOKUP(C51,Team2018!$E$2:$R$33,10,FALSE)</f>
        <v>1</v>
      </c>
      <c r="W51">
        <f>VLOOKUP(C51,Team2018!$E$2:$R$33,11,FALSE)</f>
        <v>2</v>
      </c>
      <c r="X51">
        <f>VLOOKUP(C51,Team2018!$E$2:$R$33,12,FALSE)</f>
        <v>1.5</v>
      </c>
      <c r="Y51">
        <f>VLOOKUP(C51,Team2018!$E$2:$R$33,13,FALSE)</f>
        <v>1</v>
      </c>
      <c r="Z51" s="104">
        <f t="shared" si="6"/>
        <v>7.7085850424224139E-2</v>
      </c>
      <c r="AA51">
        <f t="shared" si="7"/>
        <v>7.7085850424224139E-2</v>
      </c>
      <c r="AB51">
        <f t="shared" si="8"/>
        <v>0.18446601941747573</v>
      </c>
      <c r="AC51">
        <f t="shared" si="11"/>
        <v>824.85420000000011</v>
      </c>
      <c r="AD51">
        <f t="shared" si="9"/>
        <v>63.584587482993072</v>
      </c>
      <c r="AE51">
        <f t="shared" si="10"/>
        <v>11.729195749289984</v>
      </c>
    </row>
    <row r="52" spans="1:31" x14ac:dyDescent="0.25">
      <c r="A52" s="108">
        <v>35</v>
      </c>
      <c r="B52" s="109">
        <v>5</v>
      </c>
      <c r="C52" s="109" t="s">
        <v>69</v>
      </c>
      <c r="D52" s="114">
        <v>43267</v>
      </c>
      <c r="E52" s="109">
        <v>4411</v>
      </c>
      <c r="F52" s="109">
        <v>85</v>
      </c>
      <c r="G52" s="109">
        <v>49</v>
      </c>
      <c r="H52" s="109">
        <v>4</v>
      </c>
      <c r="I52" s="109">
        <v>1</v>
      </c>
      <c r="J52" s="109">
        <v>390</v>
      </c>
      <c r="K52" s="109">
        <v>111</v>
      </c>
      <c r="L52" s="109">
        <v>49</v>
      </c>
      <c r="M52" s="109">
        <v>45</v>
      </c>
      <c r="N52" s="109">
        <v>19</v>
      </c>
      <c r="O52" s="109">
        <v>3</v>
      </c>
      <c r="P52" s="109">
        <v>0</v>
      </c>
      <c r="Q52" s="109">
        <v>1</v>
      </c>
      <c r="R52" s="109">
        <v>-1</v>
      </c>
      <c r="S52" s="109">
        <v>96</v>
      </c>
      <c r="T52">
        <f>VLOOKUP(C52,Team2018!$E$2:$R$33,4,FALSE)</f>
        <v>58.133333333333333</v>
      </c>
      <c r="U52">
        <f>VLOOKUP(C52,Team2018!$E$2:$R$33,5,FALSE)</f>
        <v>36</v>
      </c>
      <c r="V52">
        <f>VLOOKUP(C52,Team2018!$E$2:$R$33,10,FALSE)</f>
        <v>1.75</v>
      </c>
      <c r="W52">
        <f>VLOOKUP(C52,Team2018!$E$2:$R$33,11,FALSE)</f>
        <v>2</v>
      </c>
      <c r="X52">
        <f>VLOOKUP(C52,Team2018!$E$2:$R$33,12,FALSE)</f>
        <v>1.5</v>
      </c>
      <c r="Y52">
        <f>VLOOKUP(C52,Team2018!$E$2:$R$33,13,FALSE)</f>
        <v>0.1</v>
      </c>
      <c r="Z52" s="104">
        <f t="shared" si="6"/>
        <v>0.10127393670836667</v>
      </c>
      <c r="AA52">
        <f t="shared" si="7"/>
        <v>0.17722938923964165</v>
      </c>
      <c r="AB52">
        <f t="shared" si="8"/>
        <v>0.57657657657657657</v>
      </c>
      <c r="AC52">
        <f t="shared" si="11"/>
        <v>324.87</v>
      </c>
      <c r="AD52">
        <f t="shared" si="9"/>
        <v>57.576511682282387</v>
      </c>
      <c r="AE52">
        <f t="shared" si="10"/>
        <v>33.197267996991648</v>
      </c>
    </row>
    <row r="53" spans="1:31" x14ac:dyDescent="0.25">
      <c r="A53" s="110">
        <v>36</v>
      </c>
      <c r="B53" s="111">
        <v>6</v>
      </c>
      <c r="C53" s="111" t="s">
        <v>73</v>
      </c>
      <c r="D53" s="115">
        <v>43267</v>
      </c>
      <c r="E53" s="111">
        <v>4411</v>
      </c>
      <c r="F53" s="111">
        <v>67</v>
      </c>
      <c r="G53" s="111">
        <v>28</v>
      </c>
      <c r="H53" s="111">
        <v>9</v>
      </c>
      <c r="I53" s="111">
        <v>3</v>
      </c>
      <c r="J53" s="111">
        <v>189</v>
      </c>
      <c r="K53" s="111">
        <v>105</v>
      </c>
      <c r="L53" s="111">
        <v>25</v>
      </c>
      <c r="M53" s="111">
        <v>36</v>
      </c>
      <c r="N53" s="111">
        <v>15</v>
      </c>
      <c r="O53" s="111">
        <v>0</v>
      </c>
      <c r="P53" s="111">
        <v>0</v>
      </c>
      <c r="Q53" s="111">
        <v>1</v>
      </c>
      <c r="R53" s="111">
        <v>0</v>
      </c>
      <c r="S53" s="111">
        <v>96</v>
      </c>
      <c r="T53">
        <f>VLOOKUP(C53,Team2018!$E$2:$R$33,4,FALSE)</f>
        <v>86.8</v>
      </c>
      <c r="U53">
        <f>VLOOKUP(C53,Team2018!$E$2:$R$33,5,FALSE)</f>
        <v>22</v>
      </c>
      <c r="V53">
        <f>VLOOKUP(C53,Team2018!$E$2:$R$33,10,FALSE)</f>
        <v>0.75</v>
      </c>
      <c r="W53">
        <f>VLOOKUP(C53,Team2018!$E$2:$R$33,11,FALSE)</f>
        <v>1</v>
      </c>
      <c r="X53">
        <f>VLOOKUP(C53,Team2018!$E$2:$R$33,12,FALSE)</f>
        <v>2.25</v>
      </c>
      <c r="Y53">
        <f>VLOOKUP(C53,Team2018!$E$2:$R$33,13,FALSE)</f>
        <v>0.1</v>
      </c>
      <c r="Z53" s="104">
        <f t="shared" si="6"/>
        <v>7.2739296745330792E-2</v>
      </c>
      <c r="AA53">
        <f t="shared" si="7"/>
        <v>5.4554472558998091E-2</v>
      </c>
      <c r="AB53">
        <f t="shared" si="8"/>
        <v>0.48571428571428571</v>
      </c>
      <c r="AC53">
        <f t="shared" si="11"/>
        <v>35.456400000000002</v>
      </c>
      <c r="AD53">
        <f t="shared" si="9"/>
        <v>1.9343052008408601</v>
      </c>
      <c r="AE53">
        <f t="shared" si="10"/>
        <v>0.93951966897984629</v>
      </c>
    </row>
    <row r="54" spans="1:31" x14ac:dyDescent="0.25">
      <c r="A54" s="108">
        <v>37</v>
      </c>
      <c r="B54" s="109">
        <v>7</v>
      </c>
      <c r="C54" s="109" t="s">
        <v>71</v>
      </c>
      <c r="D54" s="114">
        <v>43267</v>
      </c>
      <c r="E54" s="109">
        <v>4231</v>
      </c>
      <c r="F54" s="109">
        <v>82</v>
      </c>
      <c r="G54" s="109">
        <v>48</v>
      </c>
      <c r="H54" s="109">
        <v>10</v>
      </c>
      <c r="I54" s="109">
        <v>3</v>
      </c>
      <c r="J54" s="109">
        <v>342</v>
      </c>
      <c r="K54" s="109">
        <v>110</v>
      </c>
      <c r="L54" s="109">
        <v>40</v>
      </c>
      <c r="M54" s="109">
        <v>20</v>
      </c>
      <c r="N54" s="109">
        <v>18</v>
      </c>
      <c r="O54" s="109">
        <v>2</v>
      </c>
      <c r="P54" s="109">
        <v>0</v>
      </c>
      <c r="Q54" s="109">
        <v>1</v>
      </c>
      <c r="R54" s="109">
        <v>1</v>
      </c>
      <c r="S54" s="109">
        <v>96</v>
      </c>
      <c r="T54">
        <f>VLOOKUP(C54,Team2018!$E$2:$R$33,4,FALSE)</f>
        <v>298.13333333333333</v>
      </c>
      <c r="U54">
        <f>VLOOKUP(C54,Team2018!$E$2:$R$33,5,FALSE)</f>
        <v>12</v>
      </c>
      <c r="V54">
        <f>VLOOKUP(C54,Team2018!$E$2:$R$33,10,FALSE)</f>
        <v>0.75</v>
      </c>
      <c r="W54">
        <f>VLOOKUP(C54,Team2018!$E$2:$R$33,11,FALSE)</f>
        <v>1.5</v>
      </c>
      <c r="X54">
        <f>VLOOKUP(C54,Team2018!$E$2:$R$33,12,FALSE)</f>
        <v>2</v>
      </c>
      <c r="Y54">
        <f>VLOOKUP(C54,Team2018!$E$2:$R$33,13,FALSE)</f>
        <v>0.1</v>
      </c>
      <c r="Z54" s="104">
        <f t="shared" si="6"/>
        <v>5.6998797338064122E-2</v>
      </c>
      <c r="AA54">
        <f t="shared" si="7"/>
        <v>4.2749098003548092E-2</v>
      </c>
      <c r="AB54">
        <f t="shared" si="8"/>
        <v>0.34545454545454546</v>
      </c>
      <c r="AC54">
        <f t="shared" si="11"/>
        <v>201.91679999999999</v>
      </c>
      <c r="AD54">
        <f t="shared" si="9"/>
        <v>8.6317610717628188</v>
      </c>
      <c r="AE54">
        <f t="shared" si="10"/>
        <v>2.9818810975180647</v>
      </c>
    </row>
    <row r="55" spans="1:31" x14ac:dyDescent="0.25">
      <c r="A55" s="110">
        <v>38</v>
      </c>
      <c r="B55" s="111">
        <v>8</v>
      </c>
      <c r="C55" s="111" t="s">
        <v>75</v>
      </c>
      <c r="D55" s="115">
        <v>43267</v>
      </c>
      <c r="E55" s="111">
        <v>4231</v>
      </c>
      <c r="F55" s="111">
        <v>83</v>
      </c>
      <c r="G55" s="111">
        <v>46</v>
      </c>
      <c r="H55" s="111">
        <v>14</v>
      </c>
      <c r="I55" s="111">
        <v>2</v>
      </c>
      <c r="J55" s="111">
        <v>388</v>
      </c>
      <c r="K55" s="111">
        <v>101</v>
      </c>
      <c r="L55" s="111">
        <v>42</v>
      </c>
      <c r="M55" s="111">
        <v>26</v>
      </c>
      <c r="N55" s="111">
        <v>16</v>
      </c>
      <c r="O55" s="111">
        <v>1</v>
      </c>
      <c r="P55" s="111">
        <v>0</v>
      </c>
      <c r="Q55" s="111">
        <v>0</v>
      </c>
      <c r="R55" s="111">
        <v>-1</v>
      </c>
      <c r="S55" s="111">
        <v>95</v>
      </c>
      <c r="T55">
        <f>VLOOKUP(C55,Team2018!$E$2:$R$33,4,FALSE)</f>
        <v>153.46666666666667</v>
      </c>
      <c r="U55">
        <f>VLOOKUP(C55,Team2018!$E$2:$R$33,5,FALSE)</f>
        <v>48</v>
      </c>
      <c r="V55">
        <f>VLOOKUP(C55,Team2018!$E$2:$R$33,10,FALSE)</f>
        <v>1.5</v>
      </c>
      <c r="W55">
        <f>VLOOKUP(C55,Team2018!$E$2:$R$33,11,FALSE)</f>
        <v>0.75</v>
      </c>
      <c r="X55">
        <f>VLOOKUP(C55,Team2018!$E$2:$R$33,12,FALSE)</f>
        <v>1.25</v>
      </c>
      <c r="Y55">
        <f>VLOOKUP(C55,Team2018!$E$2:$R$33,13,FALSE)</f>
        <v>1</v>
      </c>
      <c r="Z55" s="104">
        <f t="shared" si="6"/>
        <v>0</v>
      </c>
      <c r="AA55">
        <f t="shared" si="7"/>
        <v>0</v>
      </c>
      <c r="AB55">
        <f t="shared" si="8"/>
        <v>0.41584158415841582</v>
      </c>
      <c r="AC55">
        <f t="shared" si="11"/>
        <v>111.10379999999998</v>
      </c>
      <c r="AD55">
        <f t="shared" si="9"/>
        <v>0</v>
      </c>
      <c r="AE55">
        <f t="shared" si="10"/>
        <v>0</v>
      </c>
    </row>
    <row r="56" spans="1:31" x14ac:dyDescent="0.25">
      <c r="A56" s="108">
        <v>39</v>
      </c>
      <c r="B56" s="109">
        <v>9</v>
      </c>
      <c r="C56" s="109" t="s">
        <v>79</v>
      </c>
      <c r="D56" s="114">
        <v>43268</v>
      </c>
      <c r="E56" s="109">
        <v>4231</v>
      </c>
      <c r="F56" s="109">
        <v>82</v>
      </c>
      <c r="G56" s="109">
        <v>5</v>
      </c>
      <c r="H56" s="109">
        <v>10</v>
      </c>
      <c r="I56" s="109">
        <v>3</v>
      </c>
      <c r="J56" s="109">
        <v>390</v>
      </c>
      <c r="K56" s="109">
        <v>109</v>
      </c>
      <c r="L56" s="109">
        <v>42</v>
      </c>
      <c r="M56" s="109">
        <v>31</v>
      </c>
      <c r="N56" s="109">
        <v>15</v>
      </c>
      <c r="O56" s="109">
        <v>2</v>
      </c>
      <c r="P56" s="109">
        <v>0</v>
      </c>
      <c r="Q56" s="109">
        <v>1</v>
      </c>
      <c r="R56" s="109">
        <v>1</v>
      </c>
      <c r="S56" s="109">
        <v>97</v>
      </c>
      <c r="T56">
        <f>VLOOKUP(C56,Team2018!$E$2:$R$33,4,FALSE)</f>
        <v>281.59999999999997</v>
      </c>
      <c r="U56">
        <f>VLOOKUP(C56,Team2018!$E$2:$R$33,5,FALSE)</f>
        <v>34</v>
      </c>
      <c r="V56">
        <f>VLOOKUP(C56,Team2018!$E$2:$R$33,10,FALSE)</f>
        <v>1</v>
      </c>
      <c r="W56">
        <f>VLOOKUP(C56,Team2018!$E$2:$R$33,11,FALSE)</f>
        <v>1</v>
      </c>
      <c r="X56">
        <f>VLOOKUP(C56,Team2018!$E$2:$R$33,12,FALSE)</f>
        <v>1.5</v>
      </c>
      <c r="Y56">
        <f>VLOOKUP(C56,Team2018!$E$2:$R$33,13,FALSE)</f>
        <v>1</v>
      </c>
      <c r="Z56" s="104">
        <f t="shared" si="6"/>
        <v>5.3376051268362389E-2</v>
      </c>
      <c r="AA56">
        <f t="shared" si="7"/>
        <v>5.3376051268362389E-2</v>
      </c>
      <c r="AB56">
        <f t="shared" si="8"/>
        <v>0.42201834862385323</v>
      </c>
      <c r="AC56">
        <f t="shared" si="11"/>
        <v>15.989999999999998</v>
      </c>
      <c r="AD56">
        <f t="shared" si="9"/>
        <v>0.85348305978111449</v>
      </c>
      <c r="AE56">
        <f t="shared" si="10"/>
        <v>0.36018551146725936</v>
      </c>
    </row>
    <row r="57" spans="1:31" x14ac:dyDescent="0.25">
      <c r="A57" s="110">
        <v>40</v>
      </c>
      <c r="B57" s="111">
        <v>10</v>
      </c>
      <c r="C57" s="111" t="s">
        <v>81</v>
      </c>
      <c r="D57" s="115">
        <v>43268</v>
      </c>
      <c r="E57" s="111">
        <v>4231</v>
      </c>
      <c r="F57" s="111">
        <v>82</v>
      </c>
      <c r="G57" s="111">
        <v>4</v>
      </c>
      <c r="H57" s="111">
        <v>12</v>
      </c>
      <c r="I57" s="111">
        <v>4</v>
      </c>
      <c r="J57" s="111">
        <v>281</v>
      </c>
      <c r="K57" s="111">
        <v>106</v>
      </c>
      <c r="L57" s="111">
        <v>38</v>
      </c>
      <c r="M57" s="111">
        <v>42</v>
      </c>
      <c r="N57" s="111">
        <v>15</v>
      </c>
      <c r="O57" s="111">
        <v>2</v>
      </c>
      <c r="P57" s="111">
        <v>0</v>
      </c>
      <c r="Q57" s="111">
        <v>1</v>
      </c>
      <c r="R57" s="111">
        <v>1</v>
      </c>
      <c r="S57" s="111">
        <v>94</v>
      </c>
      <c r="T57">
        <f>VLOOKUP(C57,Team2018!$E$2:$R$33,4,FALSE)</f>
        <v>172.53333333333333</v>
      </c>
      <c r="U57">
        <f>VLOOKUP(C57,Team2018!$E$2:$R$33,5,FALSE)</f>
        <v>15</v>
      </c>
      <c r="V57">
        <f>VLOOKUP(C57,Team2018!$E$2:$R$33,10,FALSE)</f>
        <v>1.5</v>
      </c>
      <c r="W57">
        <f>VLOOKUP(C57,Team2018!$E$2:$R$33,11,FALSE)</f>
        <v>1.75</v>
      </c>
      <c r="X57">
        <f>VLOOKUP(C57,Team2018!$E$2:$R$33,12,FALSE)</f>
        <v>2.25</v>
      </c>
      <c r="Y57">
        <f>VLOOKUP(C57,Team2018!$E$2:$R$33,13,FALSE)</f>
        <v>2</v>
      </c>
      <c r="Z57" s="104">
        <f t="shared" si="6"/>
        <v>5.166274427387179E-2</v>
      </c>
      <c r="AA57">
        <f t="shared" si="7"/>
        <v>7.7494116410807681E-2</v>
      </c>
      <c r="AB57">
        <f t="shared" si="8"/>
        <v>0.53773584905660377</v>
      </c>
      <c r="AC57">
        <f t="shared" si="11"/>
        <v>16.1294</v>
      </c>
      <c r="AD57">
        <f t="shared" si="9"/>
        <v>1.2499336012364815</v>
      </c>
      <c r="AE57">
        <f t="shared" si="10"/>
        <v>0.6721341063252777</v>
      </c>
    </row>
    <row r="58" spans="1:31" x14ac:dyDescent="0.25">
      <c r="A58" s="108">
        <v>41</v>
      </c>
      <c r="B58" s="109">
        <v>11</v>
      </c>
      <c r="C58" s="109" t="s">
        <v>77</v>
      </c>
      <c r="D58" s="114">
        <v>43268</v>
      </c>
      <c r="E58" s="109">
        <v>4231</v>
      </c>
      <c r="F58" s="109">
        <v>83</v>
      </c>
      <c r="G58" s="109">
        <v>48</v>
      </c>
      <c r="H58" s="109">
        <v>6</v>
      </c>
      <c r="I58" s="109">
        <v>2</v>
      </c>
      <c r="J58" s="109">
        <v>436</v>
      </c>
      <c r="K58" s="109">
        <v>108</v>
      </c>
      <c r="L58" s="109">
        <v>56</v>
      </c>
      <c r="M58" s="109">
        <v>19</v>
      </c>
      <c r="N58" s="109">
        <v>19</v>
      </c>
      <c r="O58" s="109">
        <v>3</v>
      </c>
      <c r="P58" s="109">
        <v>0</v>
      </c>
      <c r="Q58" s="109">
        <v>1</v>
      </c>
      <c r="R58" s="109">
        <v>0</v>
      </c>
      <c r="S58" s="109">
        <v>97</v>
      </c>
      <c r="T58">
        <f>VLOOKUP(C58,Team2018!$E$2:$R$33,4,FALSE)</f>
        <v>249.46666666666667</v>
      </c>
      <c r="U58">
        <f>VLOOKUP(C58,Team2018!$E$2:$R$33,5,FALSE)</f>
        <v>6</v>
      </c>
      <c r="V58">
        <f>VLOOKUP(C58,Team2018!$E$2:$R$33,10,FALSE)</f>
        <v>1.25</v>
      </c>
      <c r="W58">
        <f>VLOOKUP(C58,Team2018!$E$2:$R$33,11,FALSE)</f>
        <v>1.5</v>
      </c>
      <c r="X58">
        <f>VLOOKUP(C58,Team2018!$E$2:$R$33,12,FALSE)</f>
        <v>1.75</v>
      </c>
      <c r="Y58">
        <f>VLOOKUP(C58,Team2018!$E$2:$R$33,13,FALSE)</f>
        <v>0.1</v>
      </c>
      <c r="Z58" s="104">
        <f t="shared" si="6"/>
        <v>5.8654641525433121E-2</v>
      </c>
      <c r="AA58">
        <f t="shared" si="7"/>
        <v>7.3318301906791394E-2</v>
      </c>
      <c r="AB58">
        <f t="shared" si="8"/>
        <v>0.35185185185185186</v>
      </c>
      <c r="AC58">
        <f t="shared" si="11"/>
        <v>260.55360000000002</v>
      </c>
      <c r="AD58">
        <f t="shared" si="9"/>
        <v>19.103347507701365</v>
      </c>
      <c r="AE58">
        <f t="shared" si="10"/>
        <v>6.7215481971541839</v>
      </c>
    </row>
    <row r="59" spans="1:31" x14ac:dyDescent="0.25">
      <c r="A59" s="110">
        <v>42</v>
      </c>
      <c r="B59" s="111">
        <v>12</v>
      </c>
      <c r="C59" s="111" t="s">
        <v>83</v>
      </c>
      <c r="D59" s="115">
        <v>43269</v>
      </c>
      <c r="E59" s="111">
        <v>433</v>
      </c>
      <c r="F59" s="111">
        <v>79</v>
      </c>
      <c r="G59" s="111">
        <v>48</v>
      </c>
      <c r="H59" s="111">
        <v>5</v>
      </c>
      <c r="I59" s="111">
        <v>0</v>
      </c>
      <c r="J59" s="111">
        <v>351</v>
      </c>
      <c r="K59" s="111">
        <v>103</v>
      </c>
      <c r="L59" s="111">
        <v>45</v>
      </c>
      <c r="M59" s="111">
        <v>31</v>
      </c>
      <c r="N59" s="111">
        <v>23</v>
      </c>
      <c r="O59" s="111">
        <v>2</v>
      </c>
      <c r="P59" s="111">
        <v>0</v>
      </c>
      <c r="Q59" s="111">
        <v>0</v>
      </c>
      <c r="R59" s="111">
        <v>-1</v>
      </c>
      <c r="S59" s="111">
        <v>95</v>
      </c>
      <c r="T59">
        <f>VLOOKUP(C59,Team2018!$E$2:$R$33,4,FALSE)</f>
        <v>98.933333333333337</v>
      </c>
      <c r="U59">
        <f>VLOOKUP(C59,Team2018!$E$2:$R$33,5,FALSE)</f>
        <v>57</v>
      </c>
      <c r="V59">
        <f>VLOOKUP(C59,Team2018!$E$2:$R$33,10,FALSE)</f>
        <v>0.1</v>
      </c>
      <c r="W59">
        <f>VLOOKUP(C59,Team2018!$E$2:$R$33,11,FALSE)</f>
        <v>0.1</v>
      </c>
      <c r="X59">
        <f>VLOOKUP(C59,Team2018!$E$2:$R$33,12,FALSE)</f>
        <v>0.1</v>
      </c>
      <c r="Y59">
        <f>VLOOKUP(C59,Team2018!$E$2:$R$33,13,FALSE)</f>
        <v>0.1</v>
      </c>
      <c r="Z59" s="104">
        <f t="shared" si="6"/>
        <v>0</v>
      </c>
      <c r="AA59">
        <f t="shared" si="7"/>
        <v>0</v>
      </c>
      <c r="AB59">
        <f t="shared" si="8"/>
        <v>0.52427184466019416</v>
      </c>
      <c r="AC59">
        <f t="shared" si="11"/>
        <v>13.30992</v>
      </c>
      <c r="AD59">
        <f t="shared" si="9"/>
        <v>0</v>
      </c>
      <c r="AE59">
        <f t="shared" si="10"/>
        <v>0</v>
      </c>
    </row>
    <row r="60" spans="1:31" x14ac:dyDescent="0.25">
      <c r="A60" s="108">
        <v>43</v>
      </c>
      <c r="B60" s="109">
        <v>13</v>
      </c>
      <c r="C60" s="109" t="s">
        <v>85</v>
      </c>
      <c r="D60" s="114">
        <v>43269</v>
      </c>
      <c r="E60" s="109">
        <v>4141</v>
      </c>
      <c r="F60" s="109">
        <v>82</v>
      </c>
      <c r="G60" s="109">
        <v>39</v>
      </c>
      <c r="H60" s="109">
        <v>6</v>
      </c>
      <c r="I60" s="109">
        <v>2</v>
      </c>
      <c r="J60" s="109">
        <v>317</v>
      </c>
      <c r="K60" s="109">
        <v>100</v>
      </c>
      <c r="L60" s="109">
        <v>38</v>
      </c>
      <c r="M60" s="109">
        <v>29</v>
      </c>
      <c r="N60" s="109">
        <v>18</v>
      </c>
      <c r="O60" s="109">
        <v>5</v>
      </c>
      <c r="P60" s="109">
        <v>0</v>
      </c>
      <c r="Q60" s="109">
        <v>0</v>
      </c>
      <c r="R60" s="109">
        <v>-1</v>
      </c>
      <c r="S60" s="109">
        <v>95</v>
      </c>
      <c r="T60">
        <f>VLOOKUP(C60,Team2018!$E$2:$R$33,4,FALSE)</f>
        <v>11.6</v>
      </c>
      <c r="U60">
        <f>VLOOKUP(C60,Team2018!$E$2:$R$33,5,FALSE)</f>
        <v>55</v>
      </c>
      <c r="V60">
        <f>VLOOKUP(C60,Team2018!$E$2:$R$33,10,FALSE)</f>
        <v>0.1</v>
      </c>
      <c r="W60">
        <f>VLOOKUP(C60,Team2018!$E$2:$R$33,11,FALSE)</f>
        <v>0.1</v>
      </c>
      <c r="X60">
        <f>VLOOKUP(C60,Team2018!$E$2:$R$33,12,FALSE)</f>
        <v>0.1</v>
      </c>
      <c r="Y60">
        <f>VLOOKUP(C60,Team2018!$E$2:$R$33,13,FALSE)</f>
        <v>0.1</v>
      </c>
      <c r="Z60" s="104">
        <f t="shared" si="6"/>
        <v>0</v>
      </c>
      <c r="AA60">
        <f t="shared" si="7"/>
        <v>0</v>
      </c>
      <c r="AB60">
        <f t="shared" si="8"/>
        <v>0.47</v>
      </c>
      <c r="AC60">
        <f t="shared" si="11"/>
        <v>10.137659999999999</v>
      </c>
      <c r="AD60">
        <f t="shared" si="9"/>
        <v>0</v>
      </c>
      <c r="AE60">
        <f t="shared" si="10"/>
        <v>0</v>
      </c>
    </row>
    <row r="61" spans="1:31" x14ac:dyDescent="0.25">
      <c r="A61" s="110">
        <v>44</v>
      </c>
      <c r="B61" s="111">
        <v>14</v>
      </c>
      <c r="C61" s="111" t="s">
        <v>87</v>
      </c>
      <c r="D61" s="115">
        <v>43269</v>
      </c>
      <c r="E61" s="111">
        <v>3142</v>
      </c>
      <c r="F61" s="111">
        <v>91</v>
      </c>
      <c r="G61" s="111">
        <v>59</v>
      </c>
      <c r="H61" s="111">
        <v>17</v>
      </c>
      <c r="I61" s="111">
        <v>7</v>
      </c>
      <c r="J61" s="111">
        <v>492</v>
      </c>
      <c r="K61" s="111">
        <v>105</v>
      </c>
      <c r="L61" s="111">
        <v>37</v>
      </c>
      <c r="M61" s="111">
        <v>8</v>
      </c>
      <c r="N61" s="111">
        <v>8</v>
      </c>
      <c r="O61" s="111">
        <v>1</v>
      </c>
      <c r="P61" s="111">
        <v>0</v>
      </c>
      <c r="Q61" s="111">
        <v>2</v>
      </c>
      <c r="R61" s="111">
        <v>1</v>
      </c>
      <c r="S61" s="111">
        <v>93</v>
      </c>
      <c r="T61">
        <f>VLOOKUP(C61,Team2018!$E$2:$R$33,4,FALSE)</f>
        <v>1025.4666666666667</v>
      </c>
      <c r="U61">
        <f>VLOOKUP(C61,Team2018!$E$2:$R$33,5,FALSE)</f>
        <v>12</v>
      </c>
      <c r="V61">
        <f>VLOOKUP(C61,Team2018!$E$2:$R$33,10,FALSE)</f>
        <v>1</v>
      </c>
      <c r="W61">
        <f>VLOOKUP(C61,Team2018!$E$2:$R$33,11,FALSE)</f>
        <v>0.1</v>
      </c>
      <c r="X61">
        <f>VLOOKUP(C61,Team2018!$E$2:$R$33,12,FALSE)</f>
        <v>0.1</v>
      </c>
      <c r="Y61">
        <f>VLOOKUP(C61,Team2018!$E$2:$R$33,13,FALSE)</f>
        <v>1</v>
      </c>
      <c r="Z61" s="104">
        <f t="shared" si="6"/>
        <v>5.310970204494158E-2</v>
      </c>
      <c r="AA61">
        <f t="shared" si="7"/>
        <v>5.310970204494158E-2</v>
      </c>
      <c r="AB61">
        <f t="shared" si="8"/>
        <v>0.15238095238095239</v>
      </c>
      <c r="AC61">
        <f t="shared" si="11"/>
        <v>26.415479999999999</v>
      </c>
      <c r="AD61">
        <f t="shared" si="9"/>
        <v>1.4029182721741134</v>
      </c>
      <c r="AE61">
        <f t="shared" si="10"/>
        <v>0.21377802242653157</v>
      </c>
    </row>
    <row r="62" spans="1:31" x14ac:dyDescent="0.25">
      <c r="A62" s="108">
        <v>45</v>
      </c>
      <c r="B62" s="109">
        <v>15</v>
      </c>
      <c r="C62" s="109" t="s">
        <v>416</v>
      </c>
      <c r="D62" s="114">
        <v>43270</v>
      </c>
      <c r="E62" s="109">
        <v>442</v>
      </c>
      <c r="F62" s="109">
        <v>81</v>
      </c>
      <c r="G62" s="109">
        <v>43</v>
      </c>
      <c r="H62" s="109">
        <v>8</v>
      </c>
      <c r="I62" s="109">
        <v>2</v>
      </c>
      <c r="J62" s="109">
        <v>328</v>
      </c>
      <c r="K62" s="109">
        <v>107</v>
      </c>
      <c r="L62" s="109">
        <v>48</v>
      </c>
      <c r="M62" s="109">
        <v>38</v>
      </c>
      <c r="N62" s="109">
        <v>15</v>
      </c>
      <c r="O62" s="109">
        <v>2</v>
      </c>
      <c r="P62" s="109">
        <v>0</v>
      </c>
      <c r="Q62" s="109">
        <v>2</v>
      </c>
      <c r="R62" s="109">
        <v>1</v>
      </c>
      <c r="S62" s="109">
        <v>95</v>
      </c>
      <c r="T62">
        <f>VLOOKUP(C62,Team2018!$E$2:$R$33,4,FALSE)</f>
        <v>330.40000000000003</v>
      </c>
      <c r="U62">
        <f>VLOOKUP(C62,Team2018!$E$2:$R$33,5,FALSE)</f>
        <v>27</v>
      </c>
      <c r="V62">
        <f>VLOOKUP(C62,Team2018!$E$2:$R$33,10,FALSE)</f>
        <v>0.1</v>
      </c>
      <c r="W62">
        <f>VLOOKUP(C62,Team2018!$E$2:$R$33,11,FALSE)</f>
        <v>0.1</v>
      </c>
      <c r="X62">
        <f>VLOOKUP(C62,Team2018!$E$2:$R$33,12,FALSE)</f>
        <v>0.1</v>
      </c>
      <c r="Y62">
        <f>VLOOKUP(C62,Team2018!$E$2:$R$33,13,FALSE)</f>
        <v>0.1</v>
      </c>
      <c r="Z62" s="104">
        <f t="shared" si="6"/>
        <v>0.15617376188860607</v>
      </c>
      <c r="AA62">
        <f t="shared" si="7"/>
        <v>1.5617376188860608E-2</v>
      </c>
      <c r="AB62">
        <f t="shared" si="8"/>
        <v>0.49532710280373832</v>
      </c>
      <c r="AC62">
        <f t="shared" si="11"/>
        <v>11.424239999999999</v>
      </c>
      <c r="AD62">
        <f t="shared" si="9"/>
        <v>0.17841665375182891</v>
      </c>
      <c r="AE62">
        <f t="shared" si="10"/>
        <v>8.8374604194831147E-2</v>
      </c>
    </row>
    <row r="63" spans="1:31" x14ac:dyDescent="0.25">
      <c r="A63" s="110">
        <v>46</v>
      </c>
      <c r="B63" s="111">
        <v>16</v>
      </c>
      <c r="C63" s="111" t="s">
        <v>91</v>
      </c>
      <c r="D63" s="115">
        <v>43270</v>
      </c>
      <c r="E63" s="111">
        <v>4231</v>
      </c>
      <c r="F63" s="111">
        <v>87</v>
      </c>
      <c r="G63" s="111">
        <v>59</v>
      </c>
      <c r="H63" s="111">
        <v>14</v>
      </c>
      <c r="I63" s="111">
        <v>6</v>
      </c>
      <c r="J63" s="111">
        <v>565</v>
      </c>
      <c r="K63" s="111">
        <v>101</v>
      </c>
      <c r="L63" s="111">
        <v>46</v>
      </c>
      <c r="M63" s="111">
        <v>24</v>
      </c>
      <c r="N63" s="111">
        <v>9</v>
      </c>
      <c r="O63" s="111">
        <v>1</v>
      </c>
      <c r="P63" s="111">
        <v>0</v>
      </c>
      <c r="Q63" s="111">
        <v>2</v>
      </c>
      <c r="R63" s="111">
        <v>1</v>
      </c>
      <c r="S63" s="111">
        <v>94</v>
      </c>
      <c r="T63">
        <f>VLOOKUP(C63,Team2018!$E$2:$R$33,4,FALSE)</f>
        <v>82</v>
      </c>
      <c r="U63">
        <f>VLOOKUP(C63,Team2018!$E$2:$R$33,5,FALSE)</f>
        <v>61</v>
      </c>
      <c r="V63">
        <f>VLOOKUP(C63,Team2018!$E$2:$R$33,10,FALSE)</f>
        <v>1</v>
      </c>
      <c r="W63">
        <f>VLOOKUP(C63,Team2018!$E$2:$R$33,11,FALSE)</f>
        <v>1</v>
      </c>
      <c r="X63">
        <f>VLOOKUP(C63,Team2018!$E$2:$R$33,12,FALSE)</f>
        <v>1</v>
      </c>
      <c r="Y63">
        <f>VLOOKUP(C63,Team2018!$E$2:$R$33,13,FALSE)</f>
        <v>1</v>
      </c>
      <c r="Z63" s="104">
        <f t="shared" si="6"/>
        <v>5.247090311353194E-2</v>
      </c>
      <c r="AA63">
        <f t="shared" si="7"/>
        <v>5.247090311353194E-2</v>
      </c>
      <c r="AB63">
        <f t="shared" si="8"/>
        <v>0.32673267326732675</v>
      </c>
      <c r="AC63">
        <f t="shared" si="11"/>
        <v>290.0145</v>
      </c>
      <c r="AD63">
        <f t="shared" si="9"/>
        <v>15.217322731019408</v>
      </c>
      <c r="AE63">
        <f t="shared" si="10"/>
        <v>4.9719965358776284</v>
      </c>
    </row>
    <row r="64" spans="1:31" x14ac:dyDescent="0.25">
      <c r="A64" s="108">
        <v>47</v>
      </c>
      <c r="B64" s="109">
        <v>17</v>
      </c>
      <c r="C64" s="109" t="s">
        <v>62</v>
      </c>
      <c r="D64" s="114">
        <v>43270</v>
      </c>
      <c r="E64" s="109">
        <v>4231</v>
      </c>
      <c r="F64" s="109">
        <v>81</v>
      </c>
      <c r="G64" s="109">
        <v>54</v>
      </c>
      <c r="H64" s="109">
        <v>13</v>
      </c>
      <c r="I64" s="109">
        <v>1</v>
      </c>
      <c r="J64" s="109">
        <v>483</v>
      </c>
      <c r="K64" s="109">
        <v>110</v>
      </c>
      <c r="L64" s="109">
        <v>41</v>
      </c>
      <c r="M64" s="109">
        <v>29</v>
      </c>
      <c r="N64" s="109">
        <v>10</v>
      </c>
      <c r="O64" s="109">
        <v>1</v>
      </c>
      <c r="P64" s="109">
        <v>0</v>
      </c>
      <c r="Q64" s="109">
        <v>1</v>
      </c>
      <c r="R64" s="109">
        <v>-1</v>
      </c>
      <c r="S64" s="109">
        <v>95</v>
      </c>
      <c r="T64">
        <f>VLOOKUP(C64,Team2018!$E$2:$R$33,4,FALSE)</f>
        <v>230.53333333333333</v>
      </c>
      <c r="U64">
        <f>VLOOKUP(C64,Team2018!$E$2:$R$33,5,FALSE)</f>
        <v>45</v>
      </c>
      <c r="V64">
        <f>VLOOKUP(C64,Team2018!$E$2:$R$33,10,FALSE)</f>
        <v>0</v>
      </c>
      <c r="W64">
        <f>VLOOKUP(C64,Team2018!$E$2:$R$33,11,FALSE)</f>
        <v>0</v>
      </c>
      <c r="X64">
        <f>VLOOKUP(C64,Team2018!$E$2:$R$33,12,FALSE)</f>
        <v>0</v>
      </c>
      <c r="Y64">
        <f>VLOOKUP(C64,Team2018!$E$2:$R$33,13,FALSE)</f>
        <v>0</v>
      </c>
      <c r="Z64" s="104">
        <f t="shared" si="6"/>
        <v>0.16405826364933773</v>
      </c>
      <c r="AA64">
        <f t="shared" si="7"/>
        <v>0</v>
      </c>
      <c r="AB64">
        <f t="shared" si="8"/>
        <v>0.35454545454545455</v>
      </c>
      <c r="AC64">
        <f t="shared" si="11"/>
        <v>0</v>
      </c>
      <c r="AD64">
        <f t="shared" si="9"/>
        <v>0</v>
      </c>
      <c r="AE64">
        <f t="shared" si="10"/>
        <v>0</v>
      </c>
    </row>
    <row r="65" spans="1:31" x14ac:dyDescent="0.25">
      <c r="A65" s="110">
        <v>48</v>
      </c>
      <c r="B65" s="111">
        <v>18</v>
      </c>
      <c r="C65" s="111" t="s">
        <v>66</v>
      </c>
      <c r="D65" s="115">
        <v>43271</v>
      </c>
      <c r="E65" s="111">
        <v>4231</v>
      </c>
      <c r="F65" s="111">
        <v>77</v>
      </c>
      <c r="G65" s="111">
        <v>53</v>
      </c>
      <c r="H65" s="111">
        <v>16</v>
      </c>
      <c r="I65" s="111">
        <v>4</v>
      </c>
      <c r="J65" s="111">
        <v>466</v>
      </c>
      <c r="K65" s="111">
        <v>107</v>
      </c>
      <c r="L65" s="111">
        <v>66</v>
      </c>
      <c r="M65" s="111">
        <v>16</v>
      </c>
      <c r="N65" s="111">
        <v>23</v>
      </c>
      <c r="O65" s="111">
        <v>1</v>
      </c>
      <c r="P65" s="111">
        <v>0</v>
      </c>
      <c r="Q65" s="111">
        <v>0</v>
      </c>
      <c r="R65" s="111">
        <v>-1</v>
      </c>
      <c r="S65" s="111">
        <v>96</v>
      </c>
      <c r="T65">
        <f>VLOOKUP(C65,Team2018!$E$2:$R$33,4,FALSE)</f>
        <v>140.66666666666666</v>
      </c>
      <c r="U65">
        <f>VLOOKUP(C65,Team2018!$E$2:$R$33,5,FALSE)</f>
        <v>41</v>
      </c>
      <c r="V65">
        <f>VLOOKUP(C65,Team2018!$E$2:$R$33,10,FALSE)</f>
        <v>0</v>
      </c>
      <c r="W65">
        <f>VLOOKUP(C65,Team2018!$E$2:$R$33,11,FALSE)</f>
        <v>0</v>
      </c>
      <c r="X65">
        <f>VLOOKUP(C65,Team2018!$E$2:$R$33,12,FALSE)</f>
        <v>0</v>
      </c>
      <c r="Y65">
        <f>VLOOKUP(C65,Team2018!$E$2:$R$33,13,FALSE)</f>
        <v>0</v>
      </c>
      <c r="Z65" s="104">
        <f t="shared" si="6"/>
        <v>0</v>
      </c>
      <c r="AA65">
        <f t="shared" si="7"/>
        <v>0</v>
      </c>
      <c r="AB65">
        <f t="shared" si="8"/>
        <v>0.3644859813084112</v>
      </c>
      <c r="AC65">
        <f t="shared" si="11"/>
        <v>0</v>
      </c>
      <c r="AD65">
        <f t="shared" si="9"/>
        <v>0</v>
      </c>
      <c r="AE65">
        <f t="shared" si="10"/>
        <v>0</v>
      </c>
    </row>
    <row r="66" spans="1:31" x14ac:dyDescent="0.25">
      <c r="A66" s="108">
        <v>49</v>
      </c>
      <c r="B66" s="109">
        <v>19</v>
      </c>
      <c r="C66" s="109" t="s">
        <v>61</v>
      </c>
      <c r="D66" s="114">
        <v>43271</v>
      </c>
      <c r="E66" s="109">
        <v>4231</v>
      </c>
      <c r="F66" s="109">
        <v>86</v>
      </c>
      <c r="G66" s="109">
        <v>53</v>
      </c>
      <c r="H66" s="109">
        <v>8</v>
      </c>
      <c r="I66" s="109">
        <v>3</v>
      </c>
      <c r="J66" s="109">
        <v>590</v>
      </c>
      <c r="K66" s="109">
        <v>100</v>
      </c>
      <c r="L66" s="109">
        <v>45</v>
      </c>
      <c r="M66" s="109">
        <v>14</v>
      </c>
      <c r="N66" s="109">
        <v>13</v>
      </c>
      <c r="O66" s="109">
        <v>0</v>
      </c>
      <c r="P66" s="109">
        <v>0</v>
      </c>
      <c r="Q66" s="109">
        <v>0</v>
      </c>
      <c r="R66" s="109">
        <v>-1</v>
      </c>
      <c r="S66" s="109">
        <v>95</v>
      </c>
      <c r="T66">
        <f>VLOOKUP(C66,Team2018!$E$2:$R$33,4,FALSE)</f>
        <v>20.133333333333333</v>
      </c>
      <c r="U66">
        <f>VLOOKUP(C66,Team2018!$E$2:$R$33,5,FALSE)</f>
        <v>67</v>
      </c>
      <c r="V66">
        <f>VLOOKUP(C66,Team2018!$E$2:$R$33,10,FALSE)</f>
        <v>0</v>
      </c>
      <c r="W66">
        <f>VLOOKUP(C66,Team2018!$E$2:$R$33,11,FALSE)</f>
        <v>0</v>
      </c>
      <c r="X66">
        <f>VLOOKUP(C66,Team2018!$E$2:$R$33,12,FALSE)</f>
        <v>0</v>
      </c>
      <c r="Y66">
        <f>VLOOKUP(C66,Team2018!$E$2:$R$33,13,FALSE)</f>
        <v>0</v>
      </c>
      <c r="Z66" s="104">
        <f t="shared" ref="Z66:Z97" si="12">Q66*(SQRT(IF(H66=0,0.01,H66))/SQRT(IF(J66=0,0.01,J66))/IF(I66=0,0.01,I66))</f>
        <v>0</v>
      </c>
      <c r="AA66">
        <f t="shared" ref="AA66:AA97" si="13">Z66*V66</f>
        <v>0</v>
      </c>
      <c r="AB66">
        <f t="shared" ref="AB66:AB97" si="14">(M66+N66)/K66</f>
        <v>0.27</v>
      </c>
      <c r="AC66">
        <f t="shared" si="11"/>
        <v>0</v>
      </c>
      <c r="AD66">
        <f t="shared" ref="AD66:AD97" si="15">AC66*AA66</f>
        <v>0</v>
      </c>
      <c r="AE66">
        <f t="shared" ref="AE66:AE97" si="16">AD66*AB66</f>
        <v>0</v>
      </c>
    </row>
    <row r="67" spans="1:31" x14ac:dyDescent="0.25">
      <c r="A67" s="110">
        <v>50</v>
      </c>
      <c r="B67" s="111">
        <v>20</v>
      </c>
      <c r="C67" s="111" t="s">
        <v>65</v>
      </c>
      <c r="D67" s="115">
        <v>43271</v>
      </c>
      <c r="E67" s="111">
        <v>4141</v>
      </c>
      <c r="F67" s="111">
        <v>89</v>
      </c>
      <c r="G67" s="111">
        <v>7</v>
      </c>
      <c r="H67" s="111">
        <v>17</v>
      </c>
      <c r="I67" s="111">
        <v>3</v>
      </c>
      <c r="J67" s="111">
        <v>805</v>
      </c>
      <c r="K67" s="111">
        <v>105</v>
      </c>
      <c r="L67" s="111">
        <v>35</v>
      </c>
      <c r="M67" s="111">
        <v>14</v>
      </c>
      <c r="N67" s="111">
        <v>14</v>
      </c>
      <c r="O67" s="111">
        <v>0</v>
      </c>
      <c r="P67" s="111">
        <v>0</v>
      </c>
      <c r="Q67" s="111">
        <v>1</v>
      </c>
      <c r="R67" s="111">
        <v>1</v>
      </c>
      <c r="S67" s="111">
        <v>95</v>
      </c>
      <c r="T67">
        <f>VLOOKUP(C67,Team2018!$E$2:$R$33,4,FALSE)</f>
        <v>1214.3999999999999</v>
      </c>
      <c r="U67">
        <f>VLOOKUP(C67,Team2018!$E$2:$R$33,5,FALSE)</f>
        <v>10</v>
      </c>
      <c r="V67">
        <f>VLOOKUP(C67,Team2018!$E$2:$R$33,10,FALSE)</f>
        <v>1</v>
      </c>
      <c r="W67">
        <f>VLOOKUP(C67,Team2018!$E$2:$R$33,11,FALSE)</f>
        <v>2</v>
      </c>
      <c r="X67">
        <f>VLOOKUP(C67,Team2018!$E$2:$R$33,12,FALSE)</f>
        <v>1.5</v>
      </c>
      <c r="Y67">
        <f>VLOOKUP(C67,Team2018!$E$2:$R$33,13,FALSE)</f>
        <v>1</v>
      </c>
      <c r="Z67" s="104">
        <f t="shared" si="12"/>
        <v>4.8440126183843642E-2</v>
      </c>
      <c r="AA67">
        <f t="shared" si="13"/>
        <v>4.8440126183843642E-2</v>
      </c>
      <c r="AB67">
        <f t="shared" si="14"/>
        <v>0.26666666666666666</v>
      </c>
      <c r="AC67">
        <f t="shared" ref="AC67:AC97" si="17">W67*(J67*G67/100)*(F67/100)</f>
        <v>100.303</v>
      </c>
      <c r="AD67">
        <f t="shared" si="15"/>
        <v>4.8586899766180682</v>
      </c>
      <c r="AE67">
        <f t="shared" si="16"/>
        <v>1.2956506604314848</v>
      </c>
    </row>
    <row r="68" spans="1:31" x14ac:dyDescent="0.25">
      <c r="A68" s="108">
        <v>51</v>
      </c>
      <c r="B68" s="109">
        <v>21</v>
      </c>
      <c r="C68" s="109" t="s">
        <v>70</v>
      </c>
      <c r="D68" s="114">
        <v>43272</v>
      </c>
      <c r="E68" s="109">
        <v>4231</v>
      </c>
      <c r="F68" s="109">
        <v>81</v>
      </c>
      <c r="G68" s="109">
        <v>56</v>
      </c>
      <c r="H68" s="109">
        <v>10</v>
      </c>
      <c r="I68" s="109">
        <v>2</v>
      </c>
      <c r="J68" s="109">
        <v>532</v>
      </c>
      <c r="K68" s="109">
        <v>102</v>
      </c>
      <c r="L68" s="109">
        <v>44</v>
      </c>
      <c r="M68" s="109">
        <v>17</v>
      </c>
      <c r="N68" s="109">
        <v>15</v>
      </c>
      <c r="O68" s="109">
        <v>2</v>
      </c>
      <c r="P68" s="109">
        <v>0</v>
      </c>
      <c r="Q68" s="109">
        <v>0</v>
      </c>
      <c r="R68" s="109">
        <v>-1</v>
      </c>
      <c r="S68" s="109">
        <v>94</v>
      </c>
      <c r="T68">
        <f>VLOOKUP(C68,Team2018!$E$2:$R$33,4,FALSE)</f>
        <v>43.466666666666669</v>
      </c>
      <c r="U68">
        <f>VLOOKUP(C68,Team2018!$E$2:$R$33,5,FALSE)</f>
        <v>11</v>
      </c>
      <c r="V68">
        <f>VLOOKUP(C68,Team2018!$E$2:$R$33,10,FALSE)</f>
        <v>1.75</v>
      </c>
      <c r="W68">
        <f>VLOOKUP(C68,Team2018!$E$2:$R$33,11,FALSE)</f>
        <v>1</v>
      </c>
      <c r="X68">
        <f>VLOOKUP(C68,Team2018!$E$2:$R$33,12,FALSE)</f>
        <v>1.5</v>
      </c>
      <c r="Y68">
        <f>VLOOKUP(C68,Team2018!$E$2:$R$33,13,FALSE)</f>
        <v>0.5</v>
      </c>
      <c r="Z68" s="104">
        <f t="shared" si="12"/>
        <v>0</v>
      </c>
      <c r="AA68">
        <f t="shared" si="13"/>
        <v>0</v>
      </c>
      <c r="AB68">
        <f t="shared" si="14"/>
        <v>0.31372549019607843</v>
      </c>
      <c r="AC68">
        <f t="shared" si="17"/>
        <v>241.31520000000003</v>
      </c>
      <c r="AD68">
        <f t="shared" si="15"/>
        <v>0</v>
      </c>
      <c r="AE68">
        <f t="shared" si="16"/>
        <v>0</v>
      </c>
    </row>
    <row r="69" spans="1:31" x14ac:dyDescent="0.25">
      <c r="A69" s="110">
        <v>52</v>
      </c>
      <c r="B69" s="111">
        <v>22</v>
      </c>
      <c r="C69" s="111" t="s">
        <v>69</v>
      </c>
      <c r="D69" s="115">
        <v>43272</v>
      </c>
      <c r="E69" s="111">
        <v>4411</v>
      </c>
      <c r="F69" s="111">
        <v>85</v>
      </c>
      <c r="G69" s="111">
        <v>51</v>
      </c>
      <c r="H69" s="111">
        <v>14</v>
      </c>
      <c r="I69" s="111">
        <v>5</v>
      </c>
      <c r="J69" s="111">
        <v>520</v>
      </c>
      <c r="K69" s="111">
        <v>114</v>
      </c>
      <c r="L69" s="111">
        <v>42</v>
      </c>
      <c r="M69" s="111">
        <v>26</v>
      </c>
      <c r="N69" s="111">
        <v>5</v>
      </c>
      <c r="O69" s="111">
        <v>0</v>
      </c>
      <c r="P69" s="111">
        <v>0</v>
      </c>
      <c r="Q69" s="111">
        <v>1</v>
      </c>
      <c r="R69" s="111">
        <v>0</v>
      </c>
      <c r="S69" s="111">
        <v>94</v>
      </c>
      <c r="T69">
        <f>VLOOKUP(C69,Team2018!$E$2:$R$33,4,FALSE)</f>
        <v>58.133333333333333</v>
      </c>
      <c r="U69">
        <f>VLOOKUP(C69,Team2018!$E$2:$R$33,5,FALSE)</f>
        <v>36</v>
      </c>
      <c r="V69">
        <f>VLOOKUP(C69,Team2018!$E$2:$R$33,10,FALSE)</f>
        <v>1.75</v>
      </c>
      <c r="W69">
        <f>VLOOKUP(C69,Team2018!$E$2:$R$33,11,FALSE)</f>
        <v>2</v>
      </c>
      <c r="X69">
        <f>VLOOKUP(C69,Team2018!$E$2:$R$33,12,FALSE)</f>
        <v>1.5</v>
      </c>
      <c r="Y69">
        <f>VLOOKUP(C69,Team2018!$E$2:$R$33,13,FALSE)</f>
        <v>0.1</v>
      </c>
      <c r="Z69" s="104">
        <f t="shared" si="12"/>
        <v>3.2816506165694682E-2</v>
      </c>
      <c r="AA69">
        <f t="shared" si="13"/>
        <v>5.7428885789965696E-2</v>
      </c>
      <c r="AB69">
        <f t="shared" si="14"/>
        <v>0.27192982456140352</v>
      </c>
      <c r="AC69">
        <f t="shared" si="17"/>
        <v>450.84</v>
      </c>
      <c r="AD69">
        <f t="shared" si="15"/>
        <v>25.891238869548133</v>
      </c>
      <c r="AE69">
        <f t="shared" si="16"/>
        <v>7.0406000434736153</v>
      </c>
    </row>
    <row r="70" spans="1:31" x14ac:dyDescent="0.25">
      <c r="A70" s="108">
        <v>53</v>
      </c>
      <c r="B70" s="109">
        <v>23</v>
      </c>
      <c r="C70" s="109" t="s">
        <v>74</v>
      </c>
      <c r="D70" s="114">
        <v>43272</v>
      </c>
      <c r="E70" s="109">
        <v>4141</v>
      </c>
      <c r="F70" s="109">
        <v>8</v>
      </c>
      <c r="G70" s="109">
        <v>42</v>
      </c>
      <c r="H70" s="109">
        <v>15</v>
      </c>
      <c r="I70" s="109">
        <v>5</v>
      </c>
      <c r="J70" s="109">
        <v>372</v>
      </c>
      <c r="K70" s="109">
        <v>104</v>
      </c>
      <c r="L70" s="109">
        <v>34</v>
      </c>
      <c r="M70" s="109">
        <v>19</v>
      </c>
      <c r="N70" s="109">
        <v>23</v>
      </c>
      <c r="O70" s="109">
        <v>4</v>
      </c>
      <c r="P70" s="109">
        <v>0</v>
      </c>
      <c r="Q70" s="109">
        <v>3</v>
      </c>
      <c r="R70" s="109">
        <v>1</v>
      </c>
      <c r="S70" s="109">
        <v>95</v>
      </c>
      <c r="T70">
        <f>VLOOKUP(C70,Team2018!$E$2:$R$33,4,FALSE)</f>
        <v>403.33333333333331</v>
      </c>
      <c r="U70">
        <f>VLOOKUP(C70,Team2018!$E$2:$R$33,5,FALSE)</f>
        <v>20</v>
      </c>
      <c r="V70">
        <f>VLOOKUP(C70,Team2018!$E$2:$R$33,10,FALSE)</f>
        <v>1.5</v>
      </c>
      <c r="W70">
        <f>VLOOKUP(C70,Team2018!$E$2:$R$33,11,FALSE)</f>
        <v>2.25</v>
      </c>
      <c r="X70">
        <f>VLOOKUP(C70,Team2018!$E$2:$R$33,12,FALSE)</f>
        <v>2</v>
      </c>
      <c r="Y70">
        <f>VLOOKUP(C70,Team2018!$E$2:$R$33,13,FALSE)</f>
        <v>0.1</v>
      </c>
      <c r="Z70" s="104">
        <f t="shared" si="12"/>
        <v>0.12048289933537483</v>
      </c>
      <c r="AA70">
        <f t="shared" si="13"/>
        <v>0.18072434900306225</v>
      </c>
      <c r="AB70">
        <f t="shared" si="14"/>
        <v>0.40384615384615385</v>
      </c>
      <c r="AC70">
        <f t="shared" si="17"/>
        <v>28.123200000000001</v>
      </c>
      <c r="AD70">
        <f t="shared" si="15"/>
        <v>5.0825470118829204</v>
      </c>
      <c r="AE70">
        <f t="shared" si="16"/>
        <v>2.0525670624911796</v>
      </c>
    </row>
    <row r="71" spans="1:31" x14ac:dyDescent="0.25">
      <c r="A71" s="110">
        <v>54</v>
      </c>
      <c r="B71" s="111">
        <v>24</v>
      </c>
      <c r="C71" s="111" t="s">
        <v>78</v>
      </c>
      <c r="D71" s="115">
        <v>43273</v>
      </c>
      <c r="E71" s="111">
        <v>3421</v>
      </c>
      <c r="F71" s="111">
        <v>72</v>
      </c>
      <c r="G71" s="111">
        <v>34</v>
      </c>
      <c r="H71" s="111">
        <v>4</v>
      </c>
      <c r="I71" s="111">
        <v>0</v>
      </c>
      <c r="J71" s="111">
        <v>274</v>
      </c>
      <c r="K71" s="111">
        <v>109</v>
      </c>
      <c r="L71" s="111">
        <v>38</v>
      </c>
      <c r="M71" s="111">
        <v>41</v>
      </c>
      <c r="N71" s="111">
        <v>11</v>
      </c>
      <c r="O71" s="111">
        <v>1</v>
      </c>
      <c r="P71" s="111">
        <v>0</v>
      </c>
      <c r="Q71" s="111">
        <v>0</v>
      </c>
      <c r="R71" s="111">
        <v>-1</v>
      </c>
      <c r="S71" s="111">
        <v>97</v>
      </c>
      <c r="T71">
        <f>VLOOKUP(C71,Team2018!$E$2:$R$33,4,FALSE)</f>
        <v>49.360000000000007</v>
      </c>
      <c r="U71">
        <f>VLOOKUP(C71,Team2018!$E$2:$R$33,5,FALSE)</f>
        <v>23</v>
      </c>
      <c r="V71">
        <f>VLOOKUP(C71,Team2018!$E$2:$R$33,10,FALSE)</f>
        <v>0.5</v>
      </c>
      <c r="W71">
        <f>VLOOKUP(C71,Team2018!$E$2:$R$33,11,FALSE)</f>
        <v>0.75</v>
      </c>
      <c r="X71">
        <f>VLOOKUP(C71,Team2018!$E$2:$R$33,12,FALSE)</f>
        <v>0.75</v>
      </c>
      <c r="Y71">
        <f>VLOOKUP(C71,Team2018!$E$2:$R$33,13,FALSE)</f>
        <v>0.1</v>
      </c>
      <c r="Z71" s="104">
        <f t="shared" si="12"/>
        <v>0</v>
      </c>
      <c r="AA71">
        <f t="shared" si="13"/>
        <v>0</v>
      </c>
      <c r="AB71">
        <f t="shared" si="14"/>
        <v>0.47706422018348627</v>
      </c>
      <c r="AC71">
        <f t="shared" si="17"/>
        <v>50.306400000000004</v>
      </c>
      <c r="AD71">
        <f t="shared" si="15"/>
        <v>0</v>
      </c>
      <c r="AE71">
        <f t="shared" si="16"/>
        <v>0</v>
      </c>
    </row>
    <row r="72" spans="1:31" x14ac:dyDescent="0.25">
      <c r="A72" s="108">
        <v>55</v>
      </c>
      <c r="B72" s="109">
        <v>25</v>
      </c>
      <c r="C72" s="109" t="s">
        <v>73</v>
      </c>
      <c r="D72" s="114">
        <v>43273</v>
      </c>
      <c r="E72" s="109">
        <v>442</v>
      </c>
      <c r="F72" s="109">
        <v>75</v>
      </c>
      <c r="G72" s="109">
        <v>42</v>
      </c>
      <c r="H72" s="109">
        <v>10</v>
      </c>
      <c r="I72" s="109">
        <v>3</v>
      </c>
      <c r="J72" s="109">
        <v>291</v>
      </c>
      <c r="K72" s="109">
        <v>106</v>
      </c>
      <c r="L72" s="109">
        <v>46</v>
      </c>
      <c r="M72" s="109">
        <v>28</v>
      </c>
      <c r="N72" s="109">
        <v>10</v>
      </c>
      <c r="O72" s="109">
        <v>0</v>
      </c>
      <c r="P72" s="109">
        <v>0</v>
      </c>
      <c r="Q72" s="109">
        <v>0</v>
      </c>
      <c r="R72" s="109">
        <v>-1</v>
      </c>
      <c r="S72" s="109">
        <v>97</v>
      </c>
      <c r="T72">
        <f>VLOOKUP(C72,Team2018!$E$2:$R$33,4,FALSE)</f>
        <v>86.8</v>
      </c>
      <c r="U72">
        <f>VLOOKUP(C72,Team2018!$E$2:$R$33,5,FALSE)</f>
        <v>22</v>
      </c>
      <c r="V72">
        <f>VLOOKUP(C72,Team2018!$E$2:$R$33,10,FALSE)</f>
        <v>0.75</v>
      </c>
      <c r="W72">
        <f>VLOOKUP(C72,Team2018!$E$2:$R$33,11,FALSE)</f>
        <v>1</v>
      </c>
      <c r="X72">
        <f>VLOOKUP(C72,Team2018!$E$2:$R$33,12,FALSE)</f>
        <v>2.25</v>
      </c>
      <c r="Y72">
        <f>VLOOKUP(C72,Team2018!$E$2:$R$33,13,FALSE)</f>
        <v>0.1</v>
      </c>
      <c r="Z72" s="104">
        <f t="shared" si="12"/>
        <v>0</v>
      </c>
      <c r="AA72">
        <f t="shared" si="13"/>
        <v>0</v>
      </c>
      <c r="AB72">
        <f t="shared" si="14"/>
        <v>0.35849056603773582</v>
      </c>
      <c r="AC72">
        <f t="shared" si="17"/>
        <v>91.664999999999992</v>
      </c>
      <c r="AD72">
        <f t="shared" si="15"/>
        <v>0</v>
      </c>
      <c r="AE72">
        <f t="shared" si="16"/>
        <v>0</v>
      </c>
    </row>
    <row r="73" spans="1:31" x14ac:dyDescent="0.25">
      <c r="A73" s="110">
        <v>56</v>
      </c>
      <c r="B73" s="111">
        <v>26</v>
      </c>
      <c r="C73" s="111" t="s">
        <v>77</v>
      </c>
      <c r="D73" s="115">
        <v>43273</v>
      </c>
      <c r="E73" s="111">
        <v>4231</v>
      </c>
      <c r="F73" s="111">
        <v>87</v>
      </c>
      <c r="G73" s="111">
        <v>58</v>
      </c>
      <c r="H73" s="111">
        <v>20</v>
      </c>
      <c r="I73" s="111">
        <v>5</v>
      </c>
      <c r="J73" s="111">
        <v>547</v>
      </c>
      <c r="K73" s="111">
        <v>112</v>
      </c>
      <c r="L73" s="111">
        <v>40</v>
      </c>
      <c r="M73" s="111">
        <v>17</v>
      </c>
      <c r="N73" s="111">
        <v>12</v>
      </c>
      <c r="O73" s="111">
        <v>1</v>
      </c>
      <c r="P73" s="111">
        <v>0</v>
      </c>
      <c r="Q73" s="111">
        <v>2</v>
      </c>
      <c r="R73" s="111">
        <v>1</v>
      </c>
      <c r="S73" s="111">
        <v>96</v>
      </c>
      <c r="T73">
        <f>VLOOKUP(C73,Team2018!$E$2:$R$33,4,FALSE)</f>
        <v>249.46666666666667</v>
      </c>
      <c r="U73">
        <f>VLOOKUP(C73,Team2018!$E$2:$R$33,5,FALSE)</f>
        <v>6</v>
      </c>
      <c r="V73">
        <f>VLOOKUP(C73,Team2018!$E$2:$R$33,10,FALSE)</f>
        <v>1.25</v>
      </c>
      <c r="W73">
        <f>VLOOKUP(C73,Team2018!$E$2:$R$33,11,FALSE)</f>
        <v>1.5</v>
      </c>
      <c r="X73">
        <f>VLOOKUP(C73,Team2018!$E$2:$R$33,12,FALSE)</f>
        <v>1.75</v>
      </c>
      <c r="Y73">
        <f>VLOOKUP(C73,Team2018!$E$2:$R$33,13,FALSE)</f>
        <v>0.1</v>
      </c>
      <c r="Z73" s="104">
        <f t="shared" si="12"/>
        <v>7.6485890252243546E-2</v>
      </c>
      <c r="AA73">
        <f t="shared" si="13"/>
        <v>9.5607362815304436E-2</v>
      </c>
      <c r="AB73">
        <f t="shared" si="14"/>
        <v>0.25892857142857145</v>
      </c>
      <c r="AC73">
        <f t="shared" si="17"/>
        <v>414.02429999999998</v>
      </c>
      <c r="AD73">
        <f t="shared" si="15"/>
        <v>39.583771464452447</v>
      </c>
      <c r="AE73">
        <f t="shared" si="16"/>
        <v>10.249369397045724</v>
      </c>
    </row>
    <row r="74" spans="1:31" x14ac:dyDescent="0.25">
      <c r="A74" s="108">
        <v>57</v>
      </c>
      <c r="B74" s="109">
        <v>27</v>
      </c>
      <c r="C74" s="109" t="s">
        <v>86</v>
      </c>
      <c r="D74" s="114">
        <v>43274</v>
      </c>
      <c r="E74" s="109">
        <v>433</v>
      </c>
      <c r="F74" s="109">
        <v>82</v>
      </c>
      <c r="G74" s="109">
        <v>48</v>
      </c>
      <c r="H74" s="109">
        <v>15</v>
      </c>
      <c r="I74" s="109">
        <v>5</v>
      </c>
      <c r="J74" s="109">
        <v>481</v>
      </c>
      <c r="K74" s="109">
        <v>102</v>
      </c>
      <c r="L74" s="109">
        <v>37</v>
      </c>
      <c r="M74" s="109">
        <v>17</v>
      </c>
      <c r="N74" s="109">
        <v>13</v>
      </c>
      <c r="O74" s="109">
        <v>1</v>
      </c>
      <c r="P74" s="109">
        <v>0</v>
      </c>
      <c r="Q74" s="109">
        <v>2</v>
      </c>
      <c r="R74" s="109">
        <v>-1</v>
      </c>
      <c r="S74" s="109">
        <v>94</v>
      </c>
      <c r="T74">
        <f>VLOOKUP(C74,Team2018!$E$2:$R$33,4,FALSE)</f>
        <v>61.6</v>
      </c>
      <c r="U74">
        <f>VLOOKUP(C74,Team2018!$E$2:$R$33,5,FALSE)</f>
        <v>21</v>
      </c>
      <c r="V74">
        <f>VLOOKUP(C74,Team2018!$E$2:$R$33,10,FALSE)</f>
        <v>0.1</v>
      </c>
      <c r="W74">
        <f>VLOOKUP(C74,Team2018!$E$2:$R$33,11,FALSE)</f>
        <v>0.1</v>
      </c>
      <c r="X74">
        <f>VLOOKUP(C74,Team2018!$E$2:$R$33,12,FALSE)</f>
        <v>0.1</v>
      </c>
      <c r="Y74">
        <f>VLOOKUP(C74,Team2018!$E$2:$R$33,13,FALSE)</f>
        <v>0.1</v>
      </c>
      <c r="Z74" s="104">
        <f t="shared" si="12"/>
        <v>7.0637136051831764E-2</v>
      </c>
      <c r="AA74">
        <f t="shared" si="13"/>
        <v>7.0637136051831771E-3</v>
      </c>
      <c r="AB74">
        <f t="shared" si="14"/>
        <v>0.29411764705882354</v>
      </c>
      <c r="AC74">
        <f t="shared" si="17"/>
        <v>18.93216</v>
      </c>
      <c r="AD74">
        <f t="shared" si="15"/>
        <v>0.13373135616750473</v>
      </c>
      <c r="AE74">
        <f t="shared" si="16"/>
        <v>3.9332751813971979E-2</v>
      </c>
    </row>
    <row r="75" spans="1:31" x14ac:dyDescent="0.25">
      <c r="A75" s="110">
        <v>58</v>
      </c>
      <c r="B75" s="111">
        <v>29</v>
      </c>
      <c r="C75" s="111" t="s">
        <v>82</v>
      </c>
      <c r="D75" s="115">
        <v>43274</v>
      </c>
      <c r="E75" s="111">
        <v>442</v>
      </c>
      <c r="F75" s="111">
        <v>72</v>
      </c>
      <c r="G75" s="111">
        <v>29</v>
      </c>
      <c r="H75" s="111">
        <v>8</v>
      </c>
      <c r="I75" s="111">
        <v>6</v>
      </c>
      <c r="J75" s="111">
        <v>236</v>
      </c>
      <c r="K75" s="111">
        <v>110</v>
      </c>
      <c r="L75" s="111">
        <v>44</v>
      </c>
      <c r="M75" s="111">
        <v>46</v>
      </c>
      <c r="N75" s="111">
        <v>13</v>
      </c>
      <c r="O75" s="111">
        <v>2</v>
      </c>
      <c r="P75" s="111">
        <v>0</v>
      </c>
      <c r="Q75" s="111">
        <v>1</v>
      </c>
      <c r="R75" s="111">
        <v>-1</v>
      </c>
      <c r="S75" s="111">
        <v>96</v>
      </c>
      <c r="T75">
        <f>VLOOKUP(C75,Team2018!$E$2:$R$33,4,FALSE)</f>
        <v>137.86666666666667</v>
      </c>
      <c r="U75">
        <f>VLOOKUP(C75,Team2018!$E$2:$R$33,5,FALSE)</f>
        <v>24</v>
      </c>
      <c r="V75">
        <f>VLOOKUP(C75,Team2018!$E$2:$R$33,10,FALSE)</f>
        <v>0.1</v>
      </c>
      <c r="W75">
        <f>VLOOKUP(C75,Team2018!$E$2:$R$33,11,FALSE)</f>
        <v>0.1</v>
      </c>
      <c r="X75">
        <f>VLOOKUP(C75,Team2018!$E$2:$R$33,12,FALSE)</f>
        <v>0.1</v>
      </c>
      <c r="Y75">
        <f>VLOOKUP(C75,Team2018!$E$2:$R$33,13,FALSE)</f>
        <v>0.1</v>
      </c>
      <c r="Z75" s="104">
        <f t="shared" si="12"/>
        <v>3.0685820596610781E-2</v>
      </c>
      <c r="AA75">
        <f t="shared" si="13"/>
        <v>3.0685820596610784E-3</v>
      </c>
      <c r="AB75">
        <f t="shared" si="14"/>
        <v>0.53636363636363638</v>
      </c>
      <c r="AC75">
        <f t="shared" si="17"/>
        <v>4.9276799999999996</v>
      </c>
      <c r="AD75">
        <f t="shared" si="15"/>
        <v>1.5120990443750702E-2</v>
      </c>
      <c r="AE75">
        <f t="shared" si="16"/>
        <v>8.1103494198299219E-3</v>
      </c>
    </row>
    <row r="76" spans="1:31" x14ac:dyDescent="0.25">
      <c r="A76" s="108">
        <v>59</v>
      </c>
      <c r="B76" s="109">
        <v>28</v>
      </c>
      <c r="C76" s="109" t="s">
        <v>81</v>
      </c>
      <c r="D76" s="114">
        <v>43274</v>
      </c>
      <c r="E76" s="109">
        <v>4231</v>
      </c>
      <c r="F76" s="109">
        <v>89</v>
      </c>
      <c r="G76" s="109">
        <v>59</v>
      </c>
      <c r="H76" s="109">
        <v>13</v>
      </c>
      <c r="I76" s="109">
        <v>5</v>
      </c>
      <c r="J76" s="109">
        <v>485</v>
      </c>
      <c r="K76" s="109">
        <v>97</v>
      </c>
      <c r="L76" s="109">
        <v>40</v>
      </c>
      <c r="M76" s="109">
        <v>18</v>
      </c>
      <c r="N76" s="109">
        <v>7</v>
      </c>
      <c r="O76" s="109">
        <v>0</v>
      </c>
      <c r="P76" s="109">
        <v>0</v>
      </c>
      <c r="Q76" s="109">
        <v>2</v>
      </c>
      <c r="R76" s="109">
        <v>1</v>
      </c>
      <c r="S76" s="109">
        <v>96</v>
      </c>
      <c r="T76">
        <f>VLOOKUP(C76,Team2018!$E$2:$R$33,4,FALSE)</f>
        <v>172.53333333333333</v>
      </c>
      <c r="U76">
        <f>VLOOKUP(C76,Team2018!$E$2:$R$33,5,FALSE)</f>
        <v>15</v>
      </c>
      <c r="V76">
        <f>VLOOKUP(C76,Team2018!$E$2:$R$33,10,FALSE)</f>
        <v>1.5</v>
      </c>
      <c r="W76">
        <f>VLOOKUP(C76,Team2018!$E$2:$R$33,11,FALSE)</f>
        <v>1.75</v>
      </c>
      <c r="X76">
        <f>VLOOKUP(C76,Team2018!$E$2:$R$33,12,FALSE)</f>
        <v>2.25</v>
      </c>
      <c r="Y76">
        <f>VLOOKUP(C76,Team2018!$E$2:$R$33,13,FALSE)</f>
        <v>2</v>
      </c>
      <c r="Z76" s="104">
        <f t="shared" si="12"/>
        <v>6.5487859896429912E-2</v>
      </c>
      <c r="AA76">
        <f t="shared" si="13"/>
        <v>9.8231789844644868E-2</v>
      </c>
      <c r="AB76">
        <f t="shared" si="14"/>
        <v>0.25773195876288657</v>
      </c>
      <c r="AC76">
        <f t="shared" si="17"/>
        <v>445.67862499999995</v>
      </c>
      <c r="AD76">
        <f t="shared" si="15"/>
        <v>43.779809029250281</v>
      </c>
      <c r="AE76">
        <f t="shared" si="16"/>
        <v>11.283455935373782</v>
      </c>
    </row>
    <row r="77" spans="1:31" x14ac:dyDescent="0.25">
      <c r="A77" s="110">
        <v>60</v>
      </c>
      <c r="B77" s="111">
        <v>30</v>
      </c>
      <c r="C77" s="111" t="s">
        <v>85</v>
      </c>
      <c r="D77" s="115">
        <v>43275</v>
      </c>
      <c r="E77" s="111">
        <v>4141</v>
      </c>
      <c r="F77" s="111">
        <v>89</v>
      </c>
      <c r="G77" s="111">
        <v>42</v>
      </c>
      <c r="H77" s="111">
        <v>8</v>
      </c>
      <c r="I77" s="111">
        <v>2</v>
      </c>
      <c r="J77" s="111">
        <v>403</v>
      </c>
      <c r="K77" s="111">
        <v>89</v>
      </c>
      <c r="L77" s="111">
        <v>25</v>
      </c>
      <c r="M77" s="111">
        <v>10</v>
      </c>
      <c r="N77" s="111">
        <v>13</v>
      </c>
      <c r="O77" s="111">
        <v>3</v>
      </c>
      <c r="P77" s="111">
        <v>0</v>
      </c>
      <c r="Q77" s="111">
        <v>1</v>
      </c>
      <c r="R77" s="111">
        <v>-1</v>
      </c>
      <c r="S77" s="111">
        <v>95</v>
      </c>
      <c r="T77">
        <f>VLOOKUP(C77,Team2018!$E$2:$R$33,4,FALSE)</f>
        <v>11.6</v>
      </c>
      <c r="U77">
        <f>VLOOKUP(C77,Team2018!$E$2:$R$33,5,FALSE)</f>
        <v>55</v>
      </c>
      <c r="V77">
        <f>VLOOKUP(C77,Team2018!$E$2:$R$33,10,FALSE)</f>
        <v>0.1</v>
      </c>
      <c r="W77">
        <f>VLOOKUP(C77,Team2018!$E$2:$R$33,11,FALSE)</f>
        <v>0.1</v>
      </c>
      <c r="X77">
        <f>VLOOKUP(C77,Team2018!$E$2:$R$33,12,FALSE)</f>
        <v>0.1</v>
      </c>
      <c r="Y77">
        <f>VLOOKUP(C77,Team2018!$E$2:$R$33,13,FALSE)</f>
        <v>0.1</v>
      </c>
      <c r="Z77" s="104">
        <f t="shared" si="12"/>
        <v>7.0446995367634685E-2</v>
      </c>
      <c r="AA77">
        <f t="shared" si="13"/>
        <v>7.0446995367634685E-3</v>
      </c>
      <c r="AB77">
        <f t="shared" si="14"/>
        <v>0.25842696629213485</v>
      </c>
      <c r="AC77">
        <f t="shared" si="17"/>
        <v>15.064139999999998</v>
      </c>
      <c r="AD77">
        <f t="shared" si="15"/>
        <v>0.10612234007974003</v>
      </c>
      <c r="AE77">
        <f t="shared" si="16"/>
        <v>2.7424874402629449E-2</v>
      </c>
    </row>
    <row r="78" spans="1:31" x14ac:dyDescent="0.25">
      <c r="A78" s="108">
        <v>61</v>
      </c>
      <c r="B78" s="109">
        <v>31</v>
      </c>
      <c r="C78" s="109" t="s">
        <v>91</v>
      </c>
      <c r="D78" s="114">
        <v>43275</v>
      </c>
      <c r="E78" s="109">
        <v>4231</v>
      </c>
      <c r="F78" s="109">
        <v>83</v>
      </c>
      <c r="G78" s="109">
        <v>54</v>
      </c>
      <c r="H78" s="109">
        <v>7</v>
      </c>
      <c r="I78" s="109">
        <v>3</v>
      </c>
      <c r="J78" s="109">
        <v>451</v>
      </c>
      <c r="K78" s="109">
        <v>105</v>
      </c>
      <c r="L78" s="109">
        <v>38</v>
      </c>
      <c r="M78" s="109">
        <v>33</v>
      </c>
      <c r="N78" s="109">
        <v>8</v>
      </c>
      <c r="O78" s="109">
        <v>2</v>
      </c>
      <c r="P78" s="109">
        <v>0</v>
      </c>
      <c r="Q78" s="109">
        <v>2</v>
      </c>
      <c r="R78" s="109">
        <v>0</v>
      </c>
      <c r="S78" s="109">
        <v>95</v>
      </c>
      <c r="T78">
        <f>VLOOKUP(C78,Team2018!$E$2:$R$33,4,FALSE)</f>
        <v>82</v>
      </c>
      <c r="U78">
        <f>VLOOKUP(C78,Team2018!$E$2:$R$33,5,FALSE)</f>
        <v>61</v>
      </c>
      <c r="V78">
        <f>VLOOKUP(C78,Team2018!$E$2:$R$33,10,FALSE)</f>
        <v>1</v>
      </c>
      <c r="W78">
        <f>VLOOKUP(C78,Team2018!$E$2:$R$33,11,FALSE)</f>
        <v>1</v>
      </c>
      <c r="X78">
        <f>VLOOKUP(C78,Team2018!$E$2:$R$33,12,FALSE)</f>
        <v>1</v>
      </c>
      <c r="Y78">
        <f>VLOOKUP(C78,Team2018!$E$2:$R$33,13,FALSE)</f>
        <v>1</v>
      </c>
      <c r="Z78" s="104">
        <f t="shared" si="12"/>
        <v>8.3055709019246984E-2</v>
      </c>
      <c r="AA78">
        <f t="shared" si="13"/>
        <v>8.3055709019246984E-2</v>
      </c>
      <c r="AB78">
        <f t="shared" si="14"/>
        <v>0.39047619047619048</v>
      </c>
      <c r="AC78">
        <f t="shared" si="17"/>
        <v>202.13819999999998</v>
      </c>
      <c r="AD78">
        <f t="shared" si="15"/>
        <v>16.78873152087435</v>
      </c>
      <c r="AE78">
        <f t="shared" si="16"/>
        <v>6.5555999271985561</v>
      </c>
    </row>
    <row r="79" spans="1:31" x14ac:dyDescent="0.25">
      <c r="A79" s="110">
        <v>62</v>
      </c>
      <c r="B79" s="111">
        <v>32</v>
      </c>
      <c r="C79" s="111" t="s">
        <v>88</v>
      </c>
      <c r="D79" s="115">
        <v>43275</v>
      </c>
      <c r="E79" s="111">
        <v>343</v>
      </c>
      <c r="F79" s="111">
        <v>79</v>
      </c>
      <c r="G79" s="111">
        <v>45</v>
      </c>
      <c r="H79" s="111">
        <v>9</v>
      </c>
      <c r="I79" s="111">
        <v>2</v>
      </c>
      <c r="J79" s="111">
        <v>424</v>
      </c>
      <c r="K79" s="111">
        <v>107</v>
      </c>
      <c r="L79" s="111">
        <v>57</v>
      </c>
      <c r="M79" s="111">
        <v>33</v>
      </c>
      <c r="N79" s="111">
        <v>15</v>
      </c>
      <c r="O79" s="111">
        <v>2</v>
      </c>
      <c r="P79" s="111">
        <v>0</v>
      </c>
      <c r="Q79" s="111">
        <v>0</v>
      </c>
      <c r="R79" s="111">
        <v>-1</v>
      </c>
      <c r="S79" s="111">
        <v>95</v>
      </c>
      <c r="T79">
        <f>VLOOKUP(C79,Team2018!$E$2:$R$33,4,FALSE)</f>
        <v>307.06666666666666</v>
      </c>
      <c r="U79">
        <f>VLOOKUP(C79,Team2018!$E$2:$R$33,5,FALSE)</f>
        <v>8</v>
      </c>
      <c r="V79">
        <f>VLOOKUP(C79,Team2018!$E$2:$R$33,10,FALSE)</f>
        <v>0.1</v>
      </c>
      <c r="W79">
        <f>VLOOKUP(C79,Team2018!$E$2:$R$33,11,FALSE)</f>
        <v>0.1</v>
      </c>
      <c r="X79">
        <f>VLOOKUP(C79,Team2018!$E$2:$R$33,12,FALSE)</f>
        <v>0.1</v>
      </c>
      <c r="Y79">
        <f>VLOOKUP(C79,Team2018!$E$2:$R$33,13,FALSE)</f>
        <v>0.1</v>
      </c>
      <c r="Z79" s="104">
        <f t="shared" si="12"/>
        <v>0</v>
      </c>
      <c r="AA79">
        <f t="shared" si="13"/>
        <v>0</v>
      </c>
      <c r="AB79">
        <f t="shared" si="14"/>
        <v>0.44859813084112149</v>
      </c>
      <c r="AC79">
        <f t="shared" si="17"/>
        <v>15.073200000000002</v>
      </c>
      <c r="AD79">
        <f t="shared" si="15"/>
        <v>0</v>
      </c>
      <c r="AE79">
        <f t="shared" si="16"/>
        <v>0</v>
      </c>
    </row>
    <row r="80" spans="1:31" x14ac:dyDescent="0.25">
      <c r="A80" s="108">
        <v>64</v>
      </c>
      <c r="B80" s="109">
        <v>32</v>
      </c>
      <c r="C80" s="109" t="s">
        <v>90</v>
      </c>
      <c r="D80" s="114">
        <v>43275</v>
      </c>
      <c r="E80" s="109">
        <v>4231</v>
      </c>
      <c r="F80" s="109">
        <v>82</v>
      </c>
      <c r="G80" s="109">
        <v>55</v>
      </c>
      <c r="H80" s="109">
        <v>13</v>
      </c>
      <c r="I80" s="109">
        <v>3</v>
      </c>
      <c r="J80" s="109">
        <v>514</v>
      </c>
      <c r="K80" s="109">
        <v>108</v>
      </c>
      <c r="L80" s="109">
        <v>53</v>
      </c>
      <c r="M80" s="109">
        <v>26</v>
      </c>
      <c r="N80" s="109">
        <v>10</v>
      </c>
      <c r="O80" s="109">
        <v>0</v>
      </c>
      <c r="P80" s="109">
        <v>0</v>
      </c>
      <c r="Q80" s="109">
        <v>3</v>
      </c>
      <c r="R80" s="109">
        <v>1</v>
      </c>
      <c r="S80" s="109">
        <v>95</v>
      </c>
      <c r="T80">
        <f>VLOOKUP(C80,Team2018!$E$2:$R$33,4,FALSE)</f>
        <v>298.40000000000003</v>
      </c>
      <c r="U80">
        <f>VLOOKUP(C80,Team2018!$E$2:$R$33,5,FALSE)</f>
        <v>16</v>
      </c>
      <c r="V80">
        <f>VLOOKUP(C80,Team2018!$E$2:$R$33,10,FALSE)</f>
        <v>0.1</v>
      </c>
      <c r="W80">
        <f>VLOOKUP(C80,Team2018!$E$2:$R$33,11,FALSE)</f>
        <v>0.1</v>
      </c>
      <c r="X80">
        <f>VLOOKUP(C80,Team2018!$E$2:$R$33,12,FALSE)</f>
        <v>0.1</v>
      </c>
      <c r="Y80">
        <f>VLOOKUP(C80,Team2018!$E$2:$R$33,13,FALSE)</f>
        <v>0.1</v>
      </c>
      <c r="Z80" s="104">
        <f t="shared" si="12"/>
        <v>0.15903404916487007</v>
      </c>
      <c r="AA80">
        <f t="shared" si="13"/>
        <v>1.5903404916487007E-2</v>
      </c>
      <c r="AB80">
        <f t="shared" si="14"/>
        <v>0.33333333333333331</v>
      </c>
      <c r="AC80">
        <f t="shared" si="17"/>
        <v>23.1814</v>
      </c>
      <c r="AD80">
        <f t="shared" si="15"/>
        <v>0.36866319073105192</v>
      </c>
      <c r="AE80">
        <f t="shared" si="16"/>
        <v>0.12288773024368396</v>
      </c>
    </row>
    <row r="81" spans="1:31" x14ac:dyDescent="0.25">
      <c r="A81" s="110">
        <v>65</v>
      </c>
      <c r="B81" s="111">
        <v>31</v>
      </c>
      <c r="C81" s="111" t="s">
        <v>416</v>
      </c>
      <c r="D81" s="115">
        <v>43275</v>
      </c>
      <c r="E81" s="111">
        <v>4141</v>
      </c>
      <c r="F81" s="111">
        <v>79</v>
      </c>
      <c r="G81" s="111">
        <v>46</v>
      </c>
      <c r="H81" s="111">
        <v>14</v>
      </c>
      <c r="I81" s="111">
        <v>7</v>
      </c>
      <c r="J81" s="111">
        <v>339</v>
      </c>
      <c r="K81" s="111">
        <v>102</v>
      </c>
      <c r="L81" s="111">
        <v>44</v>
      </c>
      <c r="M81" s="111">
        <v>29</v>
      </c>
      <c r="N81" s="111">
        <v>14</v>
      </c>
      <c r="O81" s="111">
        <v>3</v>
      </c>
      <c r="P81" s="111">
        <v>0</v>
      </c>
      <c r="Q81" s="111">
        <v>2</v>
      </c>
      <c r="R81" s="111">
        <v>0</v>
      </c>
      <c r="S81" s="111">
        <v>95</v>
      </c>
      <c r="T81">
        <f>VLOOKUP(C81,Team2018!$E$2:$R$33,4,FALSE)</f>
        <v>330.40000000000003</v>
      </c>
      <c r="U81">
        <f>VLOOKUP(C81,Team2018!$E$2:$R$33,5,FALSE)</f>
        <v>27</v>
      </c>
      <c r="V81">
        <f>VLOOKUP(C81,Team2018!$E$2:$R$33,10,FALSE)</f>
        <v>0.1</v>
      </c>
      <c r="W81">
        <f>VLOOKUP(C81,Team2018!$E$2:$R$33,11,FALSE)</f>
        <v>0.1</v>
      </c>
      <c r="X81">
        <f>VLOOKUP(C81,Team2018!$E$2:$R$33,12,FALSE)</f>
        <v>0.1</v>
      </c>
      <c r="Y81">
        <f>VLOOKUP(C81,Team2018!$E$2:$R$33,13,FALSE)</f>
        <v>0.1</v>
      </c>
      <c r="Z81" s="104">
        <f t="shared" si="12"/>
        <v>5.8062552548334888E-2</v>
      </c>
      <c r="AA81">
        <f t="shared" si="13"/>
        <v>5.8062552548334891E-3</v>
      </c>
      <c r="AB81">
        <f t="shared" si="14"/>
        <v>0.42156862745098039</v>
      </c>
      <c r="AC81">
        <f t="shared" si="17"/>
        <v>12.319260000000002</v>
      </c>
      <c r="AD81">
        <f t="shared" si="15"/>
        <v>7.1528768110660015E-2</v>
      </c>
      <c r="AE81">
        <f t="shared" si="16"/>
        <v>3.0154284595670398E-2</v>
      </c>
    </row>
    <row r="82" spans="1:31" x14ac:dyDescent="0.25">
      <c r="A82" s="108">
        <v>101</v>
      </c>
      <c r="B82" s="109">
        <v>41</v>
      </c>
      <c r="C82" s="109" t="s">
        <v>83</v>
      </c>
      <c r="D82" s="114">
        <v>43278</v>
      </c>
      <c r="E82" s="109">
        <v>442</v>
      </c>
      <c r="F82" s="109">
        <v>74</v>
      </c>
      <c r="G82" s="109">
        <v>3</v>
      </c>
      <c r="H82" s="109">
        <v>11</v>
      </c>
      <c r="I82" s="109">
        <v>5</v>
      </c>
      <c r="J82" s="109">
        <v>719</v>
      </c>
      <c r="K82" s="109">
        <v>118</v>
      </c>
      <c r="L82" s="109">
        <v>43</v>
      </c>
      <c r="M82" s="109">
        <v>42</v>
      </c>
      <c r="N82" s="109">
        <v>16</v>
      </c>
      <c r="O82" s="109">
        <v>4</v>
      </c>
      <c r="P82" s="109">
        <v>0</v>
      </c>
      <c r="Q82" s="109">
        <v>2</v>
      </c>
      <c r="R82" s="109">
        <v>1</v>
      </c>
      <c r="S82" s="109">
        <v>104</v>
      </c>
      <c r="T82">
        <f>VLOOKUP(C82,Team2018!$E$2:$R$33,4,FALSE)</f>
        <v>98.933333333333337</v>
      </c>
      <c r="U82">
        <f>VLOOKUP(C82,Team2018!$E$2:$R$33,5,FALSE)</f>
        <v>57</v>
      </c>
      <c r="V82">
        <f>VLOOKUP(C82,Team2018!$E$2:$R$33,10,FALSE)</f>
        <v>0.1</v>
      </c>
      <c r="W82">
        <f>VLOOKUP(C82,Team2018!$E$2:$R$33,11,FALSE)</f>
        <v>0.1</v>
      </c>
      <c r="X82">
        <f>VLOOKUP(C82,Team2018!$E$2:$R$33,12,FALSE)</f>
        <v>0.1</v>
      </c>
      <c r="Y82">
        <f>VLOOKUP(C82,Team2018!$E$2:$R$33,13,FALSE)</f>
        <v>0.1</v>
      </c>
      <c r="Z82" s="104">
        <f t="shared" si="12"/>
        <v>4.9475693305850457E-2</v>
      </c>
      <c r="AA82">
        <f t="shared" si="13"/>
        <v>4.9475693305850461E-3</v>
      </c>
      <c r="AB82">
        <f t="shared" si="14"/>
        <v>0.49152542372881358</v>
      </c>
      <c r="AC82">
        <f t="shared" si="17"/>
        <v>1.5961799999999999</v>
      </c>
      <c r="AD82">
        <f t="shared" si="15"/>
        <v>7.8972112140932391E-3</v>
      </c>
      <c r="AE82">
        <f t="shared" si="16"/>
        <v>3.8816800882831176E-3</v>
      </c>
    </row>
    <row r="83" spans="1:31" x14ac:dyDescent="0.25">
      <c r="A83" s="110">
        <v>102</v>
      </c>
      <c r="B83" s="111">
        <v>42</v>
      </c>
      <c r="C83" s="111" t="s">
        <v>81</v>
      </c>
      <c r="D83" s="115">
        <v>43278</v>
      </c>
      <c r="E83" s="111">
        <v>4231</v>
      </c>
      <c r="F83" s="111">
        <v>83</v>
      </c>
      <c r="G83" s="111">
        <v>65</v>
      </c>
      <c r="H83" s="111">
        <v>19</v>
      </c>
      <c r="I83" s="111">
        <v>3</v>
      </c>
      <c r="J83" s="111">
        <v>487</v>
      </c>
      <c r="K83" s="111">
        <v>95</v>
      </c>
      <c r="L83" s="111">
        <v>33</v>
      </c>
      <c r="M83" s="111">
        <v>12</v>
      </c>
      <c r="N83" s="111">
        <v>14</v>
      </c>
      <c r="O83" s="111">
        <v>3</v>
      </c>
      <c r="P83" s="111">
        <v>0</v>
      </c>
      <c r="Q83" s="111">
        <v>0</v>
      </c>
      <c r="R83" s="111">
        <v>-1</v>
      </c>
      <c r="S83" s="111">
        <v>98</v>
      </c>
      <c r="T83">
        <f>VLOOKUP(C83,Team2018!$E$2:$R$33,4,FALSE)</f>
        <v>172.53333333333333</v>
      </c>
      <c r="U83">
        <f>VLOOKUP(C83,Team2018!$E$2:$R$33,5,FALSE)</f>
        <v>15</v>
      </c>
      <c r="V83">
        <f>VLOOKUP(C83,Team2018!$E$2:$R$33,10,FALSE)</f>
        <v>1.5</v>
      </c>
      <c r="W83">
        <f>VLOOKUP(C83,Team2018!$E$2:$R$33,11,FALSE)</f>
        <v>1.75</v>
      </c>
      <c r="X83">
        <f>VLOOKUP(C83,Team2018!$E$2:$R$33,12,FALSE)</f>
        <v>2.25</v>
      </c>
      <c r="Y83">
        <f>VLOOKUP(C83,Team2018!$E$2:$R$33,13,FALSE)</f>
        <v>2</v>
      </c>
      <c r="Z83" s="104">
        <f t="shared" si="12"/>
        <v>0</v>
      </c>
      <c r="AA83">
        <f t="shared" si="13"/>
        <v>0</v>
      </c>
      <c r="AB83">
        <f t="shared" si="14"/>
        <v>0.27368421052631581</v>
      </c>
      <c r="AC83">
        <f t="shared" si="17"/>
        <v>459.78887499999996</v>
      </c>
      <c r="AD83">
        <f t="shared" si="15"/>
        <v>0</v>
      </c>
      <c r="AE83">
        <f t="shared" si="16"/>
        <v>0</v>
      </c>
    </row>
    <row r="84" spans="1:31" x14ac:dyDescent="0.25">
      <c r="A84" s="108">
        <v>103</v>
      </c>
      <c r="B84" s="109">
        <v>43</v>
      </c>
      <c r="C84" s="109" t="s">
        <v>79</v>
      </c>
      <c r="D84" s="114">
        <v>43278</v>
      </c>
      <c r="E84" s="109">
        <v>4231</v>
      </c>
      <c r="F84" s="109">
        <v>78</v>
      </c>
      <c r="G84" s="109">
        <v>44</v>
      </c>
      <c r="H84" s="109">
        <v>10</v>
      </c>
      <c r="I84" s="109">
        <v>1</v>
      </c>
      <c r="J84" s="109">
        <v>631</v>
      </c>
      <c r="K84" s="109">
        <v>114</v>
      </c>
      <c r="L84" s="109">
        <v>55</v>
      </c>
      <c r="M84" s="109">
        <v>15</v>
      </c>
      <c r="N84" s="109">
        <v>13</v>
      </c>
      <c r="O84" s="109">
        <v>3</v>
      </c>
      <c r="P84" s="109">
        <v>0</v>
      </c>
      <c r="Q84" s="109">
        <v>0</v>
      </c>
      <c r="R84" s="109">
        <v>-1</v>
      </c>
      <c r="S84" s="109">
        <v>96</v>
      </c>
      <c r="T84">
        <f>VLOOKUP(C84,Team2018!$E$2:$R$33,4,FALSE)</f>
        <v>281.59999999999997</v>
      </c>
      <c r="U84">
        <f>VLOOKUP(C84,Team2018!$E$2:$R$33,5,FALSE)</f>
        <v>34</v>
      </c>
      <c r="V84">
        <f>VLOOKUP(C84,Team2018!$E$2:$R$33,10,FALSE)</f>
        <v>1</v>
      </c>
      <c r="W84">
        <f>VLOOKUP(C84,Team2018!$E$2:$R$33,11,FALSE)</f>
        <v>1</v>
      </c>
      <c r="X84">
        <f>VLOOKUP(C84,Team2018!$E$2:$R$33,12,FALSE)</f>
        <v>1.5</v>
      </c>
      <c r="Y84">
        <f>VLOOKUP(C84,Team2018!$E$2:$R$33,13,FALSE)</f>
        <v>1</v>
      </c>
      <c r="Z84" s="104">
        <f t="shared" si="12"/>
        <v>0</v>
      </c>
      <c r="AA84">
        <f t="shared" si="13"/>
        <v>0</v>
      </c>
      <c r="AB84">
        <f t="shared" si="14"/>
        <v>0.24561403508771928</v>
      </c>
      <c r="AC84">
        <f t="shared" si="17"/>
        <v>216.5592</v>
      </c>
      <c r="AD84">
        <f t="shared" si="15"/>
        <v>0</v>
      </c>
      <c r="AE84">
        <f t="shared" si="16"/>
        <v>0</v>
      </c>
    </row>
    <row r="85" spans="1:31" x14ac:dyDescent="0.25">
      <c r="A85" s="110">
        <v>104</v>
      </c>
      <c r="B85" s="111">
        <v>44</v>
      </c>
      <c r="C85" s="111" t="s">
        <v>77</v>
      </c>
      <c r="D85" s="115">
        <v>43278</v>
      </c>
      <c r="E85" s="111">
        <v>4231</v>
      </c>
      <c r="F85" s="111">
        <v>87</v>
      </c>
      <c r="G85" s="111">
        <v>6</v>
      </c>
      <c r="H85" s="111">
        <v>12</v>
      </c>
      <c r="I85" s="111">
        <v>3</v>
      </c>
      <c r="J85" s="111">
        <v>594</v>
      </c>
      <c r="K85" s="111">
        <v>103</v>
      </c>
      <c r="L85" s="111">
        <v>30</v>
      </c>
      <c r="M85" s="111">
        <v>13</v>
      </c>
      <c r="N85" s="111">
        <v>9</v>
      </c>
      <c r="O85" s="111">
        <v>3</v>
      </c>
      <c r="P85" s="111">
        <v>0</v>
      </c>
      <c r="Q85" s="111">
        <v>2</v>
      </c>
      <c r="R85" s="111">
        <v>0</v>
      </c>
      <c r="S85" s="111">
        <v>98</v>
      </c>
      <c r="T85">
        <f>VLOOKUP(C85,Team2018!$E$2:$R$33,4,FALSE)</f>
        <v>249.46666666666667</v>
      </c>
      <c r="U85">
        <f>VLOOKUP(C85,Team2018!$E$2:$R$33,5,FALSE)</f>
        <v>6</v>
      </c>
      <c r="V85">
        <f>VLOOKUP(C85,Team2018!$E$2:$R$33,10,FALSE)</f>
        <v>1.25</v>
      </c>
      <c r="W85">
        <f>VLOOKUP(C85,Team2018!$E$2:$R$33,11,FALSE)</f>
        <v>1.5</v>
      </c>
      <c r="X85">
        <f>VLOOKUP(C85,Team2018!$E$2:$R$33,12,FALSE)</f>
        <v>1.75</v>
      </c>
      <c r="Y85">
        <f>VLOOKUP(C85,Team2018!$E$2:$R$33,13,FALSE)</f>
        <v>0.1</v>
      </c>
      <c r="Z85" s="104">
        <f t="shared" si="12"/>
        <v>9.4755873935826851E-2</v>
      </c>
      <c r="AA85">
        <f t="shared" si="13"/>
        <v>0.11844484241978356</v>
      </c>
      <c r="AB85">
        <f t="shared" si="14"/>
        <v>0.21359223300970873</v>
      </c>
      <c r="AC85">
        <f t="shared" si="17"/>
        <v>46.510199999999998</v>
      </c>
      <c r="AD85">
        <f t="shared" si="15"/>
        <v>5.5088933099126169</v>
      </c>
      <c r="AE85">
        <f t="shared" si="16"/>
        <v>1.1766568234764812</v>
      </c>
    </row>
    <row r="86" spans="1:31" x14ac:dyDescent="0.25">
      <c r="A86" s="108">
        <v>105</v>
      </c>
      <c r="B86" s="109">
        <v>41</v>
      </c>
      <c r="C86" s="109" t="s">
        <v>80</v>
      </c>
      <c r="D86" s="114">
        <v>43278</v>
      </c>
      <c r="E86" s="109">
        <v>4231</v>
      </c>
      <c r="F86" s="109">
        <v>88</v>
      </c>
      <c r="G86" s="109">
        <v>7</v>
      </c>
      <c r="H86" s="109">
        <v>26</v>
      </c>
      <c r="I86" s="109">
        <v>6</v>
      </c>
      <c r="J86" s="109">
        <v>237</v>
      </c>
      <c r="K86" s="109">
        <v>115</v>
      </c>
      <c r="L86" s="109">
        <v>39</v>
      </c>
      <c r="M86" s="109">
        <v>10</v>
      </c>
      <c r="N86" s="109">
        <v>7</v>
      </c>
      <c r="O86" s="109">
        <v>0</v>
      </c>
      <c r="P86" s="109">
        <v>0</v>
      </c>
      <c r="Q86" s="109">
        <v>0</v>
      </c>
      <c r="R86" s="109">
        <v>-1</v>
      </c>
      <c r="S86" s="109">
        <v>104</v>
      </c>
      <c r="T86">
        <f>VLOOKUP(C86,Team2018!$E$2:$R$33,4,FALSE)</f>
        <v>1029.0666666666666</v>
      </c>
      <c r="U86">
        <f>VLOOKUP(C86,Team2018!$E$2:$R$33,5,FALSE)</f>
        <v>1</v>
      </c>
      <c r="V86">
        <f>VLOOKUP(C86,Team2018!$E$2:$R$33,10,FALSE)</f>
        <v>1.5</v>
      </c>
      <c r="W86">
        <f>VLOOKUP(C86,Team2018!$E$2:$R$33,11,FALSE)</f>
        <v>1.5</v>
      </c>
      <c r="X86">
        <f>VLOOKUP(C86,Team2018!$E$2:$R$33,12,FALSE)</f>
        <v>1.25</v>
      </c>
      <c r="Y86">
        <f>VLOOKUP(C86,Team2018!$E$2:$R$33,13,FALSE)</f>
        <v>3</v>
      </c>
      <c r="Z86" s="104">
        <f t="shared" si="12"/>
        <v>0</v>
      </c>
      <c r="AA86">
        <f t="shared" si="13"/>
        <v>0</v>
      </c>
      <c r="AB86">
        <f t="shared" si="14"/>
        <v>0.14782608695652175</v>
      </c>
      <c r="AC86">
        <f t="shared" si="17"/>
        <v>21.898799999999998</v>
      </c>
      <c r="AD86">
        <f t="shared" si="15"/>
        <v>0</v>
      </c>
      <c r="AE86">
        <f t="shared" si="16"/>
        <v>0</v>
      </c>
    </row>
    <row r="87" spans="1:31" x14ac:dyDescent="0.25">
      <c r="A87" s="110">
        <v>106</v>
      </c>
      <c r="B87" s="111">
        <v>42</v>
      </c>
      <c r="C87" s="111" t="s">
        <v>82</v>
      </c>
      <c r="D87" s="115">
        <v>43278</v>
      </c>
      <c r="E87" s="111">
        <v>442</v>
      </c>
      <c r="F87" s="111">
        <v>67</v>
      </c>
      <c r="G87" s="111">
        <v>35</v>
      </c>
      <c r="H87" s="111">
        <v>13</v>
      </c>
      <c r="I87" s="111">
        <v>5</v>
      </c>
      <c r="J87" s="111">
        <v>212</v>
      </c>
      <c r="K87" s="111">
        <v>102</v>
      </c>
      <c r="L87" s="111">
        <v>45</v>
      </c>
      <c r="M87" s="111">
        <v>31</v>
      </c>
      <c r="N87" s="111">
        <v>11</v>
      </c>
      <c r="O87" s="111">
        <v>2</v>
      </c>
      <c r="P87" s="111">
        <v>0</v>
      </c>
      <c r="Q87" s="111">
        <v>3</v>
      </c>
      <c r="R87" s="111">
        <v>1</v>
      </c>
      <c r="S87" s="111">
        <v>98</v>
      </c>
      <c r="T87">
        <f>VLOOKUP(C87,Team2018!$E$2:$R$33,4,FALSE)</f>
        <v>137.86666666666667</v>
      </c>
      <c r="U87">
        <f>VLOOKUP(C87,Team2018!$E$2:$R$33,5,FALSE)</f>
        <v>24</v>
      </c>
      <c r="V87">
        <f>VLOOKUP(C87,Team2018!$E$2:$R$33,10,FALSE)</f>
        <v>0.1</v>
      </c>
      <c r="W87">
        <f>VLOOKUP(C87,Team2018!$E$2:$R$33,11,FALSE)</f>
        <v>0.1</v>
      </c>
      <c r="X87">
        <f>VLOOKUP(C87,Team2018!$E$2:$R$33,12,FALSE)</f>
        <v>0.1</v>
      </c>
      <c r="Y87">
        <f>VLOOKUP(C87,Team2018!$E$2:$R$33,13,FALSE)</f>
        <v>0.1</v>
      </c>
      <c r="Z87" s="104">
        <f t="shared" si="12"/>
        <v>0.14857816696309459</v>
      </c>
      <c r="AA87">
        <f t="shared" si="13"/>
        <v>1.4857816696309459E-2</v>
      </c>
      <c r="AB87">
        <f t="shared" si="14"/>
        <v>0.41176470588235292</v>
      </c>
      <c r="AC87">
        <f t="shared" si="17"/>
        <v>4.9714000000000009</v>
      </c>
      <c r="AD87">
        <f t="shared" si="15"/>
        <v>7.3864149924032854E-2</v>
      </c>
      <c r="AE87">
        <f t="shared" si="16"/>
        <v>3.0414649968719409E-2</v>
      </c>
    </row>
    <row r="88" spans="1:31" x14ac:dyDescent="0.25">
      <c r="A88" s="108">
        <v>107</v>
      </c>
      <c r="B88" s="109">
        <v>43</v>
      </c>
      <c r="C88" s="109" t="s">
        <v>76</v>
      </c>
      <c r="D88" s="114">
        <v>43278</v>
      </c>
      <c r="E88" s="109">
        <v>433</v>
      </c>
      <c r="F88" s="109">
        <v>88</v>
      </c>
      <c r="G88" s="109">
        <v>56</v>
      </c>
      <c r="H88" s="109">
        <v>13</v>
      </c>
      <c r="I88" s="109">
        <v>6</v>
      </c>
      <c r="J88" s="109">
        <v>467</v>
      </c>
      <c r="K88" s="109">
        <v>105</v>
      </c>
      <c r="L88" s="109">
        <v>51</v>
      </c>
      <c r="M88" s="109">
        <v>37</v>
      </c>
      <c r="N88" s="109">
        <v>7</v>
      </c>
      <c r="O88" s="109">
        <v>0</v>
      </c>
      <c r="P88" s="109">
        <v>0</v>
      </c>
      <c r="Q88" s="109">
        <v>2</v>
      </c>
      <c r="R88" s="109">
        <v>1</v>
      </c>
      <c r="S88" s="109">
        <v>96</v>
      </c>
      <c r="T88">
        <f>VLOOKUP(C88,Team2018!$E$2:$R$33,4,FALSE)</f>
        <v>1077.3466666666666</v>
      </c>
      <c r="U88">
        <f>VLOOKUP(C88,Team2018!$E$2:$R$33,5,FALSE)</f>
        <v>2</v>
      </c>
      <c r="V88">
        <f>VLOOKUP(C88,Team2018!$E$2:$R$33,10,FALSE)</f>
        <v>1.75</v>
      </c>
      <c r="W88">
        <f>VLOOKUP(C88,Team2018!$E$2:$R$33,11,FALSE)</f>
        <v>2</v>
      </c>
      <c r="X88">
        <f>VLOOKUP(C88,Team2018!$E$2:$R$33,12,FALSE)</f>
        <v>2.5</v>
      </c>
      <c r="Y88">
        <f>VLOOKUP(C88,Team2018!$E$2:$R$33,13,FALSE)</f>
        <v>3</v>
      </c>
      <c r="Z88" s="104">
        <f t="shared" si="12"/>
        <v>5.5615005070217029E-2</v>
      </c>
      <c r="AA88">
        <f t="shared" si="13"/>
        <v>9.7326258872879795E-2</v>
      </c>
      <c r="AB88">
        <f t="shared" si="14"/>
        <v>0.41904761904761906</v>
      </c>
      <c r="AC88">
        <f t="shared" si="17"/>
        <v>460.27519999999998</v>
      </c>
      <c r="AD88">
        <f t="shared" si="15"/>
        <v>44.796863267966522</v>
      </c>
      <c r="AE88">
        <f t="shared" si="16"/>
        <v>18.772018893243114</v>
      </c>
    </row>
    <row r="89" spans="1:31" x14ac:dyDescent="0.25">
      <c r="A89" s="110">
        <v>108</v>
      </c>
      <c r="B89" s="111">
        <v>44</v>
      </c>
      <c r="C89" s="111" t="s">
        <v>78</v>
      </c>
      <c r="D89" s="115">
        <v>43278</v>
      </c>
      <c r="E89" s="111">
        <v>3421</v>
      </c>
      <c r="F89" s="111">
        <v>82</v>
      </c>
      <c r="G89" s="111">
        <v>4</v>
      </c>
      <c r="H89" s="111">
        <v>14</v>
      </c>
      <c r="I89" s="111">
        <v>6</v>
      </c>
      <c r="J89" s="111">
        <v>348</v>
      </c>
      <c r="K89" s="111">
        <v>103</v>
      </c>
      <c r="L89" s="111">
        <v>42</v>
      </c>
      <c r="M89" s="111">
        <v>27</v>
      </c>
      <c r="N89" s="111">
        <v>14</v>
      </c>
      <c r="O89" s="111">
        <v>3</v>
      </c>
      <c r="P89" s="111">
        <v>0</v>
      </c>
      <c r="Q89" s="111">
        <v>2</v>
      </c>
      <c r="R89" s="111">
        <v>0</v>
      </c>
      <c r="S89" s="111">
        <v>98</v>
      </c>
      <c r="T89">
        <f>VLOOKUP(C89,Team2018!$E$2:$R$33,4,FALSE)</f>
        <v>49.360000000000007</v>
      </c>
      <c r="U89">
        <f>VLOOKUP(C89,Team2018!$E$2:$R$33,5,FALSE)</f>
        <v>23</v>
      </c>
      <c r="V89">
        <f>VLOOKUP(C89,Team2018!$E$2:$R$33,10,FALSE)</f>
        <v>0.5</v>
      </c>
      <c r="W89">
        <f>VLOOKUP(C89,Team2018!$E$2:$R$33,11,FALSE)</f>
        <v>0.75</v>
      </c>
      <c r="X89">
        <f>VLOOKUP(C89,Team2018!$E$2:$R$33,12,FALSE)</f>
        <v>0.75</v>
      </c>
      <c r="Y89">
        <f>VLOOKUP(C89,Team2018!$E$2:$R$33,13,FALSE)</f>
        <v>0.1</v>
      </c>
      <c r="Z89" s="104">
        <f t="shared" si="12"/>
        <v>6.6857963090479491E-2</v>
      </c>
      <c r="AA89">
        <f t="shared" si="13"/>
        <v>3.3428981545239746E-2</v>
      </c>
      <c r="AB89">
        <f t="shared" si="14"/>
        <v>0.39805825242718446</v>
      </c>
      <c r="AC89">
        <f t="shared" si="17"/>
        <v>8.5607999999999986</v>
      </c>
      <c r="AD89">
        <f t="shared" si="15"/>
        <v>0.28617882521248839</v>
      </c>
      <c r="AE89">
        <f t="shared" si="16"/>
        <v>0.1139158430457478</v>
      </c>
    </row>
    <row r="90" spans="1:31" x14ac:dyDescent="0.25">
      <c r="A90" s="108">
        <v>109</v>
      </c>
      <c r="B90" s="109">
        <v>45</v>
      </c>
      <c r="C90" s="109" t="s">
        <v>91</v>
      </c>
      <c r="D90" s="114">
        <v>43279</v>
      </c>
      <c r="E90" s="109">
        <v>442</v>
      </c>
      <c r="F90" s="109">
        <v>86</v>
      </c>
      <c r="G90" s="109">
        <v>54</v>
      </c>
      <c r="H90" s="109">
        <v>10</v>
      </c>
      <c r="I90" s="109">
        <v>3</v>
      </c>
      <c r="J90" s="109">
        <v>557</v>
      </c>
      <c r="K90" s="109">
        <v>83</v>
      </c>
      <c r="L90" s="109">
        <v>41</v>
      </c>
      <c r="M90" s="109">
        <v>26</v>
      </c>
      <c r="N90" s="109">
        <v>11</v>
      </c>
      <c r="O90" s="109">
        <v>1</v>
      </c>
      <c r="P90" s="109">
        <v>0</v>
      </c>
      <c r="Q90" s="109">
        <v>0</v>
      </c>
      <c r="R90" s="109">
        <v>-1</v>
      </c>
      <c r="S90" s="109">
        <v>94</v>
      </c>
      <c r="T90">
        <f>VLOOKUP(C90,Team2018!$E$2:$R$33,4,FALSE)</f>
        <v>82</v>
      </c>
      <c r="U90">
        <f>VLOOKUP(C90,Team2018!$E$2:$R$33,5,FALSE)</f>
        <v>61</v>
      </c>
      <c r="V90">
        <f>VLOOKUP(C90,Team2018!$E$2:$R$33,10,FALSE)</f>
        <v>1</v>
      </c>
      <c r="W90">
        <f>VLOOKUP(C90,Team2018!$E$2:$R$33,11,FALSE)</f>
        <v>1</v>
      </c>
      <c r="X90">
        <f>VLOOKUP(C90,Team2018!$E$2:$R$33,12,FALSE)</f>
        <v>1</v>
      </c>
      <c r="Y90">
        <f>VLOOKUP(C90,Team2018!$E$2:$R$33,13,FALSE)</f>
        <v>1</v>
      </c>
      <c r="Z90" s="104">
        <f t="shared" si="12"/>
        <v>0</v>
      </c>
      <c r="AA90">
        <f t="shared" si="13"/>
        <v>0</v>
      </c>
      <c r="AB90">
        <f t="shared" si="14"/>
        <v>0.44578313253012047</v>
      </c>
      <c r="AC90">
        <f t="shared" si="17"/>
        <v>258.67079999999999</v>
      </c>
      <c r="AD90">
        <f t="shared" si="15"/>
        <v>0</v>
      </c>
      <c r="AE90">
        <f t="shared" si="16"/>
        <v>0</v>
      </c>
    </row>
    <row r="91" spans="1:31" x14ac:dyDescent="0.25">
      <c r="A91" s="110">
        <v>110</v>
      </c>
      <c r="B91" s="111">
        <v>46</v>
      </c>
      <c r="C91" s="111" t="s">
        <v>416</v>
      </c>
      <c r="D91" s="115">
        <v>43279</v>
      </c>
      <c r="E91" s="111">
        <v>442</v>
      </c>
      <c r="F91" s="111">
        <v>78</v>
      </c>
      <c r="G91" s="111">
        <v>43</v>
      </c>
      <c r="H91" s="111">
        <v>8</v>
      </c>
      <c r="I91" s="111">
        <v>3</v>
      </c>
      <c r="J91" s="111">
        <v>281</v>
      </c>
      <c r="K91" s="111">
        <v>97</v>
      </c>
      <c r="L91" s="111">
        <v>55</v>
      </c>
      <c r="M91" s="111">
        <v>26</v>
      </c>
      <c r="N91" s="111">
        <v>15</v>
      </c>
      <c r="O91" s="111">
        <v>1</v>
      </c>
      <c r="P91" s="111">
        <v>0</v>
      </c>
      <c r="Q91" s="111">
        <v>0</v>
      </c>
      <c r="R91" s="111">
        <v>-1</v>
      </c>
      <c r="S91" s="111">
        <v>99</v>
      </c>
      <c r="T91">
        <f>VLOOKUP(C91,Team2018!$E$2:$R$33,4,FALSE)</f>
        <v>330.40000000000003</v>
      </c>
      <c r="U91">
        <f>VLOOKUP(C91,Team2018!$E$2:$R$33,5,FALSE)</f>
        <v>27</v>
      </c>
      <c r="V91">
        <f>VLOOKUP(C91,Team2018!$E$2:$R$33,10,FALSE)</f>
        <v>0.1</v>
      </c>
      <c r="W91">
        <f>VLOOKUP(C91,Team2018!$E$2:$R$33,11,FALSE)</f>
        <v>0.1</v>
      </c>
      <c r="X91">
        <f>VLOOKUP(C91,Team2018!$E$2:$R$33,12,FALSE)</f>
        <v>0.1</v>
      </c>
      <c r="Y91">
        <f>VLOOKUP(C91,Team2018!$E$2:$R$33,13,FALSE)</f>
        <v>0.1</v>
      </c>
      <c r="Z91" s="104">
        <f t="shared" si="12"/>
        <v>0</v>
      </c>
      <c r="AA91">
        <f t="shared" si="13"/>
        <v>0</v>
      </c>
      <c r="AB91">
        <f t="shared" si="14"/>
        <v>0.42268041237113402</v>
      </c>
      <c r="AC91">
        <f t="shared" si="17"/>
        <v>9.4247399999999999</v>
      </c>
      <c r="AD91">
        <f t="shared" si="15"/>
        <v>0</v>
      </c>
      <c r="AE91">
        <f t="shared" si="16"/>
        <v>0</v>
      </c>
    </row>
    <row r="92" spans="1:31" x14ac:dyDescent="0.25">
      <c r="A92" s="108">
        <v>111</v>
      </c>
      <c r="B92" s="109">
        <v>47</v>
      </c>
      <c r="C92" s="109" t="s">
        <v>85</v>
      </c>
      <c r="D92" s="114">
        <v>43279</v>
      </c>
      <c r="E92" s="109">
        <v>4141</v>
      </c>
      <c r="F92" s="109">
        <v>77</v>
      </c>
      <c r="G92" s="109">
        <v>36</v>
      </c>
      <c r="H92" s="109">
        <v>9</v>
      </c>
      <c r="I92" s="109">
        <v>4</v>
      </c>
      <c r="J92" s="109">
        <v>284</v>
      </c>
      <c r="K92" s="109">
        <v>102</v>
      </c>
      <c r="L92" s="109">
        <v>36</v>
      </c>
      <c r="M92" s="109">
        <v>33</v>
      </c>
      <c r="N92" s="109">
        <v>18</v>
      </c>
      <c r="O92" s="109">
        <v>3</v>
      </c>
      <c r="P92" s="109">
        <v>0</v>
      </c>
      <c r="Q92" s="109">
        <v>1</v>
      </c>
      <c r="R92" s="109">
        <v>-1</v>
      </c>
      <c r="S92" s="109">
        <v>101</v>
      </c>
      <c r="T92">
        <f>VLOOKUP(C92,Team2018!$E$2:$R$33,4,FALSE)</f>
        <v>11.6</v>
      </c>
      <c r="U92">
        <f>VLOOKUP(C92,Team2018!$E$2:$R$33,5,FALSE)</f>
        <v>55</v>
      </c>
      <c r="V92">
        <f>VLOOKUP(C92,Team2018!$E$2:$R$33,10,FALSE)</f>
        <v>0.1</v>
      </c>
      <c r="W92">
        <f>VLOOKUP(C92,Team2018!$E$2:$R$33,11,FALSE)</f>
        <v>0.1</v>
      </c>
      <c r="X92">
        <f>VLOOKUP(C92,Team2018!$E$2:$R$33,12,FALSE)</f>
        <v>0.1</v>
      </c>
      <c r="Y92">
        <f>VLOOKUP(C92,Team2018!$E$2:$R$33,13,FALSE)</f>
        <v>0.1</v>
      </c>
      <c r="Z92" s="104">
        <f t="shared" si="12"/>
        <v>4.4504312182269495E-2</v>
      </c>
      <c r="AA92">
        <f t="shared" si="13"/>
        <v>4.4504312182269499E-3</v>
      </c>
      <c r="AB92">
        <f t="shared" si="14"/>
        <v>0.5</v>
      </c>
      <c r="AC92">
        <f t="shared" si="17"/>
        <v>7.8724800000000004</v>
      </c>
      <c r="AD92">
        <f t="shared" si="15"/>
        <v>3.5035930756867298E-2</v>
      </c>
      <c r="AE92">
        <f t="shared" si="16"/>
        <v>1.7517965378433649E-2</v>
      </c>
    </row>
    <row r="93" spans="1:31" x14ac:dyDescent="0.25">
      <c r="A93" s="110">
        <v>112</v>
      </c>
      <c r="B93" s="111">
        <v>48</v>
      </c>
      <c r="C93" s="111" t="s">
        <v>87</v>
      </c>
      <c r="D93" s="115">
        <v>43279</v>
      </c>
      <c r="E93" s="111">
        <v>3142</v>
      </c>
      <c r="F93" s="111">
        <v>88</v>
      </c>
      <c r="G93" s="111">
        <v>48</v>
      </c>
      <c r="H93" s="111">
        <v>13</v>
      </c>
      <c r="I93" s="111">
        <v>1</v>
      </c>
      <c r="J93" s="111">
        <v>484</v>
      </c>
      <c r="K93" s="111">
        <v>109</v>
      </c>
      <c r="L93" s="111">
        <v>32</v>
      </c>
      <c r="M93" s="111">
        <v>10</v>
      </c>
      <c r="N93" s="111">
        <v>11</v>
      </c>
      <c r="O93" s="111">
        <v>0</v>
      </c>
      <c r="P93" s="111">
        <v>0</v>
      </c>
      <c r="Q93" s="111">
        <v>0</v>
      </c>
      <c r="R93" s="111">
        <v>-1</v>
      </c>
      <c r="S93" s="111">
        <v>95</v>
      </c>
      <c r="T93">
        <f>VLOOKUP(C93,Team2018!$E$2:$R$33,4,FALSE)</f>
        <v>1025.4666666666667</v>
      </c>
      <c r="U93">
        <f>VLOOKUP(C93,Team2018!$E$2:$R$33,5,FALSE)</f>
        <v>12</v>
      </c>
      <c r="V93">
        <f>VLOOKUP(C93,Team2018!$E$2:$R$33,10,FALSE)</f>
        <v>1</v>
      </c>
      <c r="W93">
        <f>VLOOKUP(C93,Team2018!$E$2:$R$33,11,FALSE)</f>
        <v>0.1</v>
      </c>
      <c r="X93">
        <f>VLOOKUP(C93,Team2018!$E$2:$R$33,12,FALSE)</f>
        <v>0.1</v>
      </c>
      <c r="Y93">
        <f>VLOOKUP(C93,Team2018!$E$2:$R$33,13,FALSE)</f>
        <v>1</v>
      </c>
      <c r="Z93" s="104">
        <f t="shared" si="12"/>
        <v>0</v>
      </c>
      <c r="AA93">
        <f t="shared" si="13"/>
        <v>0</v>
      </c>
      <c r="AB93">
        <f t="shared" si="14"/>
        <v>0.19266055045871561</v>
      </c>
      <c r="AC93">
        <f t="shared" si="17"/>
        <v>20.44416</v>
      </c>
      <c r="AD93">
        <f t="shared" si="15"/>
        <v>0</v>
      </c>
      <c r="AE93">
        <f t="shared" si="16"/>
        <v>0</v>
      </c>
    </row>
    <row r="94" spans="1:31" x14ac:dyDescent="0.25">
      <c r="A94" s="108">
        <v>113</v>
      </c>
      <c r="B94" s="109">
        <v>45</v>
      </c>
      <c r="C94" s="109" t="s">
        <v>88</v>
      </c>
      <c r="D94" s="114">
        <v>43279</v>
      </c>
      <c r="E94" s="109">
        <v>4231</v>
      </c>
      <c r="F94" s="109">
        <v>83</v>
      </c>
      <c r="G94" s="109">
        <v>46</v>
      </c>
      <c r="H94" s="109">
        <v>11</v>
      </c>
      <c r="I94" s="109">
        <v>2</v>
      </c>
      <c r="J94" s="109">
        <v>462</v>
      </c>
      <c r="K94" s="109">
        <v>80</v>
      </c>
      <c r="L94" s="109">
        <v>36</v>
      </c>
      <c r="M94" s="109">
        <v>18</v>
      </c>
      <c r="N94" s="109">
        <v>8</v>
      </c>
      <c r="O94" s="109">
        <v>0</v>
      </c>
      <c r="P94" s="109">
        <v>0</v>
      </c>
      <c r="Q94" s="109">
        <v>1</v>
      </c>
      <c r="R94" s="109">
        <v>1</v>
      </c>
      <c r="S94" s="109">
        <v>94</v>
      </c>
      <c r="T94">
        <f>VLOOKUP(C94,Team2018!$E$2:$R$33,4,FALSE)</f>
        <v>307.06666666666666</v>
      </c>
      <c r="U94">
        <f>VLOOKUP(C94,Team2018!$E$2:$R$33,5,FALSE)</f>
        <v>8</v>
      </c>
      <c r="V94">
        <f>VLOOKUP(C94,Team2018!$E$2:$R$33,10,FALSE)</f>
        <v>0.1</v>
      </c>
      <c r="W94">
        <f>VLOOKUP(C94,Team2018!$E$2:$R$33,11,FALSE)</f>
        <v>0.1</v>
      </c>
      <c r="X94">
        <f>VLOOKUP(C94,Team2018!$E$2:$R$33,12,FALSE)</f>
        <v>0.1</v>
      </c>
      <c r="Y94">
        <f>VLOOKUP(C94,Team2018!$E$2:$R$33,13,FALSE)</f>
        <v>0.1</v>
      </c>
      <c r="Z94" s="104">
        <f t="shared" si="12"/>
        <v>7.7151674981045956E-2</v>
      </c>
      <c r="AA94">
        <f t="shared" si="13"/>
        <v>7.715167498104596E-3</v>
      </c>
      <c r="AB94">
        <f t="shared" si="14"/>
        <v>0.32500000000000001</v>
      </c>
      <c r="AC94">
        <f t="shared" si="17"/>
        <v>17.63916</v>
      </c>
      <c r="AD94">
        <f t="shared" si="15"/>
        <v>0.13608907392586667</v>
      </c>
      <c r="AE94">
        <f t="shared" si="16"/>
        <v>4.4228949025906669E-2</v>
      </c>
    </row>
    <row r="95" spans="1:31" x14ac:dyDescent="0.25">
      <c r="A95" s="110">
        <v>114</v>
      </c>
      <c r="B95" s="111">
        <v>46</v>
      </c>
      <c r="C95" s="111" t="s">
        <v>90</v>
      </c>
      <c r="D95" s="115">
        <v>43279</v>
      </c>
      <c r="E95" s="111">
        <v>4231</v>
      </c>
      <c r="F95" s="111">
        <v>83</v>
      </c>
      <c r="G95" s="111">
        <v>57</v>
      </c>
      <c r="H95" s="111">
        <v>4</v>
      </c>
      <c r="I95" s="111">
        <v>2</v>
      </c>
      <c r="J95" s="111">
        <v>431</v>
      </c>
      <c r="K95" s="111">
        <v>100</v>
      </c>
      <c r="L95" s="111">
        <v>34</v>
      </c>
      <c r="M95" s="111">
        <v>16</v>
      </c>
      <c r="N95" s="111">
        <v>15</v>
      </c>
      <c r="O95" s="111">
        <v>1</v>
      </c>
      <c r="P95" s="111">
        <v>0</v>
      </c>
      <c r="Q95" s="111">
        <v>1</v>
      </c>
      <c r="R95" s="111">
        <v>1</v>
      </c>
      <c r="S95" s="111">
        <v>99</v>
      </c>
      <c r="T95">
        <f>VLOOKUP(C95,Team2018!$E$2:$R$33,4,FALSE)</f>
        <v>298.40000000000003</v>
      </c>
      <c r="U95">
        <f>VLOOKUP(C95,Team2018!$E$2:$R$33,5,FALSE)</f>
        <v>16</v>
      </c>
      <c r="V95">
        <f>VLOOKUP(C95,Team2018!$E$2:$R$33,10,FALSE)</f>
        <v>0.1</v>
      </c>
      <c r="W95">
        <f>VLOOKUP(C95,Team2018!$E$2:$R$33,11,FALSE)</f>
        <v>0.1</v>
      </c>
      <c r="X95">
        <f>VLOOKUP(C95,Team2018!$E$2:$R$33,12,FALSE)</f>
        <v>0.1</v>
      </c>
      <c r="Y95">
        <f>VLOOKUP(C95,Team2018!$E$2:$R$33,13,FALSE)</f>
        <v>0.1</v>
      </c>
      <c r="Z95" s="104">
        <f t="shared" si="12"/>
        <v>4.8168305085908802E-2</v>
      </c>
      <c r="AA95">
        <f t="shared" si="13"/>
        <v>4.8168305085908806E-3</v>
      </c>
      <c r="AB95">
        <f t="shared" si="14"/>
        <v>0.31</v>
      </c>
      <c r="AC95">
        <f t="shared" si="17"/>
        <v>20.390609999999999</v>
      </c>
      <c r="AD95">
        <f t="shared" si="15"/>
        <v>9.8218112336778296E-2</v>
      </c>
      <c r="AE95">
        <f t="shared" si="16"/>
        <v>3.0447614824401271E-2</v>
      </c>
    </row>
    <row r="96" spans="1:31" x14ac:dyDescent="0.25">
      <c r="A96" s="108">
        <v>115</v>
      </c>
      <c r="B96" s="109">
        <v>47</v>
      </c>
      <c r="C96" s="109" t="s">
        <v>86</v>
      </c>
      <c r="D96" s="114">
        <v>43279</v>
      </c>
      <c r="E96" s="109">
        <v>4141</v>
      </c>
      <c r="F96" s="109">
        <v>87</v>
      </c>
      <c r="G96" s="109">
        <v>64</v>
      </c>
      <c r="H96" s="109">
        <v>15</v>
      </c>
      <c r="I96" s="109">
        <v>7</v>
      </c>
      <c r="J96" s="109">
        <v>626</v>
      </c>
      <c r="K96" s="109">
        <v>107</v>
      </c>
      <c r="L96" s="109">
        <v>43</v>
      </c>
      <c r="M96" s="109">
        <v>15</v>
      </c>
      <c r="N96" s="109">
        <v>19</v>
      </c>
      <c r="O96" s="109">
        <v>3</v>
      </c>
      <c r="P96" s="109">
        <v>0</v>
      </c>
      <c r="Q96" s="109">
        <v>2</v>
      </c>
      <c r="R96" s="109">
        <v>1</v>
      </c>
      <c r="S96" s="109">
        <v>101</v>
      </c>
      <c r="T96">
        <f>VLOOKUP(C96,Team2018!$E$2:$R$33,4,FALSE)</f>
        <v>61.6</v>
      </c>
      <c r="U96">
        <f>VLOOKUP(C96,Team2018!$E$2:$R$33,5,FALSE)</f>
        <v>21</v>
      </c>
      <c r="V96">
        <f>VLOOKUP(C96,Team2018!$E$2:$R$33,10,FALSE)</f>
        <v>0.1</v>
      </c>
      <c r="W96">
        <f>VLOOKUP(C96,Team2018!$E$2:$R$33,11,FALSE)</f>
        <v>0.1</v>
      </c>
      <c r="X96">
        <f>VLOOKUP(C96,Team2018!$E$2:$R$33,12,FALSE)</f>
        <v>0.1</v>
      </c>
      <c r="Y96">
        <f>VLOOKUP(C96,Team2018!$E$2:$R$33,13,FALSE)</f>
        <v>0.1</v>
      </c>
      <c r="Z96" s="104">
        <f t="shared" si="12"/>
        <v>4.4227299115931144E-2</v>
      </c>
      <c r="AA96">
        <f t="shared" si="13"/>
        <v>4.4227299115931146E-3</v>
      </c>
      <c r="AB96">
        <f t="shared" si="14"/>
        <v>0.31775700934579437</v>
      </c>
      <c r="AC96">
        <f t="shared" si="17"/>
        <v>34.85568</v>
      </c>
      <c r="AD96">
        <f t="shared" si="15"/>
        <v>0.15415725852491788</v>
      </c>
      <c r="AE96">
        <f t="shared" si="16"/>
        <v>4.8984549437824369E-2</v>
      </c>
    </row>
    <row r="97" spans="1:31" x14ac:dyDescent="0.25">
      <c r="A97" s="110">
        <v>116</v>
      </c>
      <c r="B97" s="111">
        <v>48</v>
      </c>
      <c r="C97" s="111" t="s">
        <v>84</v>
      </c>
      <c r="D97" s="115">
        <v>43279</v>
      </c>
      <c r="E97" s="111">
        <v>3421</v>
      </c>
      <c r="F97" s="111">
        <v>88</v>
      </c>
      <c r="G97" s="111">
        <v>52</v>
      </c>
      <c r="H97" s="111">
        <v>15</v>
      </c>
      <c r="I97" s="111">
        <v>4</v>
      </c>
      <c r="J97" s="111">
        <v>556</v>
      </c>
      <c r="K97" s="111">
        <v>106</v>
      </c>
      <c r="L97" s="111">
        <v>32</v>
      </c>
      <c r="M97" s="111">
        <v>24</v>
      </c>
      <c r="N97" s="111">
        <v>14</v>
      </c>
      <c r="O97" s="111">
        <v>2</v>
      </c>
      <c r="P97" s="111">
        <v>0</v>
      </c>
      <c r="Q97" s="111">
        <v>1</v>
      </c>
      <c r="R97" s="111">
        <v>1</v>
      </c>
      <c r="S97" s="111">
        <v>95</v>
      </c>
      <c r="T97">
        <f>VLOOKUP(C97,Team2018!$E$2:$R$33,4,FALSE)</f>
        <v>881.19999999999993</v>
      </c>
      <c r="U97">
        <f>VLOOKUP(C97,Team2018!$E$2:$R$33,5,FALSE)</f>
        <v>3</v>
      </c>
      <c r="V97">
        <f>VLOOKUP(C97,Team2018!$E$2:$R$33,10,FALSE)</f>
        <v>0.1</v>
      </c>
      <c r="W97">
        <f>VLOOKUP(C97,Team2018!$E$2:$R$33,11,FALSE)</f>
        <v>0.1</v>
      </c>
      <c r="X97">
        <f>VLOOKUP(C97,Team2018!$E$2:$R$33,12,FALSE)</f>
        <v>0.1</v>
      </c>
      <c r="Y97">
        <f>VLOOKUP(C97,Team2018!$E$2:$R$33,13,FALSE)</f>
        <v>0.1</v>
      </c>
      <c r="Z97" s="104">
        <f t="shared" si="12"/>
        <v>4.106276998860027E-2</v>
      </c>
      <c r="AA97">
        <f t="shared" si="13"/>
        <v>4.1062769988600275E-3</v>
      </c>
      <c r="AB97">
        <f t="shared" si="14"/>
        <v>0.35849056603773582</v>
      </c>
      <c r="AC97">
        <f t="shared" si="17"/>
        <v>25.442560000000004</v>
      </c>
      <c r="AD97">
        <f t="shared" si="15"/>
        <v>0.1044741989201162</v>
      </c>
      <c r="AE97">
        <f t="shared" si="16"/>
        <v>3.7453014707211463E-2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c E A A B Q S w M E F A A C A A g A S F L i T E X x t Y 6 m A A A A + A A A A B I A H A B D b 2 5 m a W c v U G F j a 2 F n Z S 5 4 b W w g o h g A K K A U A A A A A A A A A A A A A A A A A A A A A A A A A A A A h Y / N C o J A G E V f R W b v / I l Q 8 j l C b R O i I N o O 0 6 R D O o q O j e / W o k f q F R L K a t f y H s 7 i 3 M f t D t l Y V 8 F V d 7 1 p b I o Y p i j Q V j U n Y 4 s U D e 4 c L l A m Y C v V R R Y 6 m G T b J 2 N / S l H p X J s Q 4 r 3 H P s J N V x B O K S P H f L N X p a 4 l + s j m v x w a 2 z t p l U Y C D q 8 Y w X G 8 x D G L Y s w 4 A z J j y I 3 9 K n w q x h T I D 4 T 1 U L m h 0 6 J 1 4 W o H Z J 5 A 3 i / E E 1 B L A w Q U A A I A C A B I U u J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F L i T L J y O N 7 P A Q A A x Q M A A B M A H A B G b 3 J t d W x h c y 9 T Z W N 0 a W 9 u M S 5 t I K I Y A C i g F A A A A A A A A A A A A A A A A A A A A A A A A A A A A H W S 3 Y 7 a M B C F 7 5 F 4 B y t 7 A 1 K K A P U f 5 c J y D E 0 V k m x i i t B S R Y a 4 S y r H R r a D u k L 7 P H 2 Q v l i T 0 O 1 W X e O b W O e b M 3 M m i W Z 7 U 0 o B s s t z M u v 3 + j 1 9 o I o V 4 M b 5 L u + l z o 9 M f Z O q o m L P X k 3 H k / f j d + O J A z z A m e n 3 Q H P m U h j W C E i f R r 7 c 1 x U T Z j A v O R u h l g i j B w 7 6 u F 1 p p v T 2 c N w + 1 e h t v p a K F 6 g + t n 2 3 1 8 e N C n 1 y h u 6 d z 3 h Z l Y Y p z 5 k 5 L k C S 1 5 X Q 3 u S D C 7 D Y y 6 I U 9 9 5 k + m b q g t t a G p a Z B 8 6 8 5 + s o k o J 9 H b q X 2 D c O o j v 2 6 y f l B 6 l B o m Q l T 2 U h d b s b o b u m v N M M + 8 R o 0 U Q f d H u 6 4 O 6 P D D n P 9 p R T p T 2 j 6 n / 7 k v I o A e R N T l r I 5 3 Z E U a H b 3 S 6 5 y c O R 6 c H V F O 7 5 7 A R + T o I l z h O c z u N 0 C S O E m 7 U D Y d 6 + H r X 2 R x e c n W i V f 4 4 X 8 U u Q L T p 3 A 0 w j A c N + m E 7 3 y Z O h 0 w t q L v V + l n d T E P z L R F 3 t m O p o g n K I 0 C q F a G O n S Z x l O M u C O L L w W 5 J D g p c J e R m z Q Q S m C 2 x H C W y 7 W p E f Z M T + S h q Y Y h R / w e n G C l G I Y X r V O o 9 X o R V s c B j G 6 y v j f K u + i G F o S T 8 P 8 3 U Q W b / l M o h W J P 7 P 8 z j s 9 0 p h / 7 9 m v w F Q S w E C L Q A U A A I A C A B I U u J M R f G 1 j q Y A A A D 4 A A A A E g A A A A A A A A A A A A A A A A A A A A A A Q 2 9 u Z m l n L 1 B h Y 2 t h Z 2 U u e G 1 s U E s B A i 0 A F A A C A A g A S F L i T A / K 6 a u k A A A A 6 Q A A A B M A A A A A A A A A A A A A A A A A 8 g A A A F t D b 2 5 0 Z W 5 0 X 1 R 5 c G V z X S 5 4 b W x Q S w E C L Q A U A A I A C A B I U u J M s n I 4 3 s 8 B A A D F A w A A E w A A A A A A A A A A A A A A A A D j A Q A A R m 9 y b X V s Y X M v U 2 V j d G l v b j E u b V B L B Q Y A A A A A A w A D A M I A A A D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g F Q A A A A A A A P 4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n b 3 N f c G V y Z m 9 y b W F u Y 2 U t M j A x O D A 3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y 0 w M l Q w O D o w O T o y O C 4 0 O T k 0 N z A 4 W i I g L z 4 8 R W 5 0 c n k g V H l w Z T 0 i R m l s b E N v b H V t b l R 5 c G V z I i B W Y W x 1 Z T 0 i c 0 F 3 T U d D U V V G Q l F N R E F 3 T U R B d 0 1 E Q X d N R E F 3 P T 0 i I C 8 + P E V u d H J 5 I F R 5 c G U 9 I k Z p b G x D b 2 x 1 b W 5 O Y W 1 l c y I g V m F s d W U 9 I n N b J n F 1 b 3 Q 7 S U R f V E l N R V 9 Q R V J G T 1 J N Q U 5 D R S Z x d W 9 0 O y w m c X V v d D t O V V 9 K T 0 d P J n F 1 b 3 Q 7 L C Z x d W 9 0 O 1 N H X 1 R J T U U m c X V v d D s s J n F 1 b 3 Q 7 R F R f S k 9 H T y Z x d W 9 0 O y w m c X V v d D t E U 1 9 G T 1 J N Q U N B T y Z x d W 9 0 O y w m c X V v d D t Q Q 1 9 B Q 0 N V U k F D W S Z x d W 9 0 O y w m c X V v d D t Q Q 1 9 Q T 1 N T R V N T S U 9 O J n F 1 b 3 Q 7 L C Z x d W 9 0 O 1 F U X 0 F U R U 1 Q V C Z x d W 9 0 O y w m c X V v d D t R V F 9 U Q V J H R V Q m c X V v d D s s J n F 1 b 3 Q 7 U V R f U E F T U 0 V T J n F 1 b 3 Q 7 L C Z x d W 9 0 O 1 F U X 0 R J U 1 R B T k N F J n F 1 b 3 Q 7 L C Z x d W 9 0 O 1 F U X 1 J F Q 0 9 W R V J Z J n F 1 b 3 Q 7 L C Z x d W 9 0 O 1 F U X 0 N M R U F S Q U 5 D R S Z x d W 9 0 O y w m c X V v d D t R V F 9 G T 1 V M J n F 1 b 3 Q 7 L C Z x d W 9 0 O 1 F U X 1 l F T E x P V y Z x d W 9 0 O y w m c X V v d D t R V F 9 S R U Q m c X V v d D s s J n F 1 b 3 Q 7 U V R f R 0 9 B T F M m c X V v d D s s J n F 1 b 3 Q 7 R k x f V 0 l O J n F 1 b 3 Q 7 L C Z x d W 9 0 O 0 5 V X 0 1 J T l V U T 1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9 n b 3 N f c G V y Z m 9 y b W F u Y 2 U t M j A x O D A 3 M D E v V G l w b y B B b H R l c m F k b y 5 7 S U R f V E l N R V 9 Q R V J G T 1 J N Q U 5 D R S w w f S Z x d W 9 0 O y w m c X V v d D t T Z W N 0 a W 9 u M S 9 q b 2 d v c 1 9 w Z X J m b 3 J t Y W 5 j Z S 0 y M D E 4 M D c w M S 9 U a X B v I E F s d G V y Y W R v L n t O V V 9 K T 0 d P L D F 9 J n F 1 b 3 Q 7 L C Z x d W 9 0 O 1 N l Y 3 R p b 2 4 x L 2 p v Z 2 9 z X 3 B l c m Z v c m 1 h b m N l L T I w M T g w N z A x L 1 R p c G 8 g Q W x 0 Z X J h Z G 8 u e 1 N H X 1 R J T U U s M n 0 m c X V v d D s s J n F 1 b 3 Q 7 U 2 V j d G l v b j E v a m 9 n b 3 N f c G V y Z m 9 y b W F u Y 2 U t M j A x O D A 3 M D E v V G l w b y B B b H R l c m F k b y 5 7 R F R f S k 9 H T y w z f S Z x d W 9 0 O y w m c X V v d D t T Z W N 0 a W 9 u M S 9 q b 2 d v c 1 9 w Z X J m b 3 J t Y W 5 j Z S 0 y M D E 4 M D c w M S 9 U a X B v I E F s d G V y Y W R v L n t E U 1 9 G T 1 J N Q U N B T y w 0 f S Z x d W 9 0 O y w m c X V v d D t T Z W N 0 a W 9 u M S 9 q b 2 d v c 1 9 w Z X J m b 3 J t Y W 5 j Z S 0 y M D E 4 M D c w M S 9 U a X B v I E F s d G V y Y W R v L n t Q Q 1 9 B Q 0 N V U k F D W S w 1 f S Z x d W 9 0 O y w m c X V v d D t T Z W N 0 a W 9 u M S 9 q b 2 d v c 1 9 w Z X J m b 3 J t Y W 5 j Z S 0 y M D E 4 M D c w M S 9 U a X B v I E F s d G V y Y W R v L n t Q Q 1 9 Q T 1 N T R V N T S U 9 O L D Z 9 J n F 1 b 3 Q 7 L C Z x d W 9 0 O 1 N l Y 3 R p b 2 4 x L 2 p v Z 2 9 z X 3 B l c m Z v c m 1 h b m N l L T I w M T g w N z A x L 1 R p c G 8 g Q W x 0 Z X J h Z G 8 u e 1 F U X 0 F U R U 1 Q V C w 3 f S Z x d W 9 0 O y w m c X V v d D t T Z W N 0 a W 9 u M S 9 q b 2 d v c 1 9 w Z X J m b 3 J t Y W 5 j Z S 0 y M D E 4 M D c w M S 9 U a X B v I E F s d G V y Y W R v L n t R V F 9 U Q V J H R V Q s O H 0 m c X V v d D s s J n F 1 b 3 Q 7 U 2 V j d G l v b j E v a m 9 n b 3 N f c G V y Z m 9 y b W F u Y 2 U t M j A x O D A 3 M D E v V G l w b y B B b H R l c m F k b y 5 7 U V R f U E F T U 0 V T L D l 9 J n F 1 b 3 Q 7 L C Z x d W 9 0 O 1 N l Y 3 R p b 2 4 x L 2 p v Z 2 9 z X 3 B l c m Z v c m 1 h b m N l L T I w M T g w N z A x L 1 R p c G 8 g Q W x 0 Z X J h Z G 8 u e 1 F U X 0 R J U 1 R B T k N F L D E w f S Z x d W 9 0 O y w m c X V v d D t T Z W N 0 a W 9 u M S 9 q b 2 d v c 1 9 w Z X J m b 3 J t Y W 5 j Z S 0 y M D E 4 M D c w M S 9 U a X B v I E F s d G V y Y W R v L n t R V F 9 S R U N P V k V S W S w x M X 0 m c X V v d D s s J n F 1 b 3 Q 7 U 2 V j d G l v b j E v a m 9 n b 3 N f c G V y Z m 9 y b W F u Y 2 U t M j A x O D A 3 M D E v V G l w b y B B b H R l c m F k b y 5 7 U V R f Q 0 x F Q V J B T k N F L D E y f S Z x d W 9 0 O y w m c X V v d D t T Z W N 0 a W 9 u M S 9 q b 2 d v c 1 9 w Z X J m b 3 J t Y W 5 j Z S 0 y M D E 4 M D c w M S 9 U a X B v I E F s d G V y Y W R v L n t R V F 9 G T 1 V M L D E z f S Z x d W 9 0 O y w m c X V v d D t T Z W N 0 a W 9 u M S 9 q b 2 d v c 1 9 w Z X J m b 3 J t Y W 5 j Z S 0 y M D E 4 M D c w M S 9 U a X B v I E F s d G V y Y W R v L n t R V F 9 Z R U x M T 1 c s M T R 9 J n F 1 b 3 Q 7 L C Z x d W 9 0 O 1 N l Y 3 R p b 2 4 x L 2 p v Z 2 9 z X 3 B l c m Z v c m 1 h b m N l L T I w M T g w N z A x L 1 R p c G 8 g Q W x 0 Z X J h Z G 8 u e 1 F U X 1 J F R C w x N X 0 m c X V v d D s s J n F 1 b 3 Q 7 U 2 V j d G l v b j E v a m 9 n b 3 N f c G V y Z m 9 y b W F u Y 2 U t M j A x O D A 3 M D E v V G l w b y B B b H R l c m F k b y 5 7 U V R f R 0 9 B T F M s M T Z 9 J n F 1 b 3 Q 7 L C Z x d W 9 0 O 1 N l Y 3 R p b 2 4 x L 2 p v Z 2 9 z X 3 B l c m Z v c m 1 h b m N l L T I w M T g w N z A x L 1 R p c G 8 g Q W x 0 Z X J h Z G 8 u e 0 Z M X 1 d J T i w x N 3 0 m c X V v d D s s J n F 1 b 3 Q 7 U 2 V j d G l v b j E v a m 9 n b 3 N f c G V y Z m 9 y b W F u Y 2 U t M j A x O D A 3 M D E v V G l w b y B B b H R l c m F k b y 5 7 T l V f T U l O V V R P U y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2 p v Z 2 9 z X 3 B l c m Z v c m 1 h b m N l L T I w M T g w N z A x L 1 R p c G 8 g Q W x 0 Z X J h Z G 8 u e 0 l E X 1 R J T U V f U E V S R k 9 S T U F O Q 0 U s M H 0 m c X V v d D s s J n F 1 b 3 Q 7 U 2 V j d G l v b j E v a m 9 n b 3 N f c G V y Z m 9 y b W F u Y 2 U t M j A x O D A 3 M D E v V G l w b y B B b H R l c m F k b y 5 7 T l V f S k 9 H T y w x f S Z x d W 9 0 O y w m c X V v d D t T Z W N 0 a W 9 u M S 9 q b 2 d v c 1 9 w Z X J m b 3 J t Y W 5 j Z S 0 y M D E 4 M D c w M S 9 U a X B v I E F s d G V y Y W R v L n t T R 1 9 U S U 1 F L D J 9 J n F 1 b 3 Q 7 L C Z x d W 9 0 O 1 N l Y 3 R p b 2 4 x L 2 p v Z 2 9 z X 3 B l c m Z v c m 1 h b m N l L T I w M T g w N z A x L 1 R p c G 8 g Q W x 0 Z X J h Z G 8 u e 0 R U X 0 p P R 0 8 s M 3 0 m c X V v d D s s J n F 1 b 3 Q 7 U 2 V j d G l v b j E v a m 9 n b 3 N f c G V y Z m 9 y b W F u Y 2 U t M j A x O D A 3 M D E v V G l w b y B B b H R l c m F k b y 5 7 R F N f R k 9 S T U F D Q U 8 s N H 0 m c X V v d D s s J n F 1 b 3 Q 7 U 2 V j d G l v b j E v a m 9 n b 3 N f c G V y Z m 9 y b W F u Y 2 U t M j A x O D A 3 M D E v V G l w b y B B b H R l c m F k b y 5 7 U E N f Q U N D V V J B Q 1 k s N X 0 m c X V v d D s s J n F 1 b 3 Q 7 U 2 V j d G l v b j E v a m 9 n b 3 N f c G V y Z m 9 y b W F u Y 2 U t M j A x O D A 3 M D E v V G l w b y B B b H R l c m F k b y 5 7 U E N f U E 9 T U 0 V T U 0 l P T i w 2 f S Z x d W 9 0 O y w m c X V v d D t T Z W N 0 a W 9 u M S 9 q b 2 d v c 1 9 w Z X J m b 3 J t Y W 5 j Z S 0 y M D E 4 M D c w M S 9 U a X B v I E F s d G V y Y W R v L n t R V F 9 B V E V N U F Q s N 3 0 m c X V v d D s s J n F 1 b 3 Q 7 U 2 V j d G l v b j E v a m 9 n b 3 N f c G V y Z m 9 y b W F u Y 2 U t M j A x O D A 3 M D E v V G l w b y B B b H R l c m F k b y 5 7 U V R f V E F S R 0 V U L D h 9 J n F 1 b 3 Q 7 L C Z x d W 9 0 O 1 N l Y 3 R p b 2 4 x L 2 p v Z 2 9 z X 3 B l c m Z v c m 1 h b m N l L T I w M T g w N z A x L 1 R p c G 8 g Q W x 0 Z X J h Z G 8 u e 1 F U X 1 B B U 1 N F U y w 5 f S Z x d W 9 0 O y w m c X V v d D t T Z W N 0 a W 9 u M S 9 q b 2 d v c 1 9 w Z X J m b 3 J t Y W 5 j Z S 0 y M D E 4 M D c w M S 9 U a X B v I E F s d G V y Y W R v L n t R V F 9 E S V N U Q U 5 D R S w x M H 0 m c X V v d D s s J n F 1 b 3 Q 7 U 2 V j d G l v b j E v a m 9 n b 3 N f c G V y Z m 9 y b W F u Y 2 U t M j A x O D A 3 M D E v V G l w b y B B b H R l c m F k b y 5 7 U V R f U k V D T 1 Z F U l k s M T F 9 J n F 1 b 3 Q 7 L C Z x d W 9 0 O 1 N l Y 3 R p b 2 4 x L 2 p v Z 2 9 z X 3 B l c m Z v c m 1 h b m N l L T I w M T g w N z A x L 1 R p c G 8 g Q W x 0 Z X J h Z G 8 u e 1 F U X 0 N M R U F S Q U 5 D R S w x M n 0 m c X V v d D s s J n F 1 b 3 Q 7 U 2 V j d G l v b j E v a m 9 n b 3 N f c G V y Z m 9 y b W F u Y 2 U t M j A x O D A 3 M D E v V G l w b y B B b H R l c m F k b y 5 7 U V R f R k 9 V T C w x M 3 0 m c X V v d D s s J n F 1 b 3 Q 7 U 2 V j d G l v b j E v a m 9 n b 3 N f c G V y Z m 9 y b W F u Y 2 U t M j A x O D A 3 M D E v V G l w b y B B b H R l c m F k b y 5 7 U V R f W U V M T E 9 X L D E 0 f S Z x d W 9 0 O y w m c X V v d D t T Z W N 0 a W 9 u M S 9 q b 2 d v c 1 9 w Z X J m b 3 J t Y W 5 j Z S 0 y M D E 4 M D c w M S 9 U a X B v I E F s d G V y Y W R v L n t R V F 9 S R U Q s M T V 9 J n F 1 b 3 Q 7 L C Z x d W 9 0 O 1 N l Y 3 R p b 2 4 x L 2 p v Z 2 9 z X 3 B l c m Z v c m 1 h b m N l L T I w M T g w N z A x L 1 R p c G 8 g Q W x 0 Z X J h Z G 8 u e 1 F U X 0 d P Q U x T L D E 2 f S Z x d W 9 0 O y w m c X V v d D t T Z W N 0 a W 9 u M S 9 q b 2 d v c 1 9 w Z X J m b 3 J t Y W 5 j Z S 0 y M D E 4 M D c w M S 9 U a X B v I E F s d G V y Y W R v L n t G T F 9 X S U 4 s M T d 9 J n F 1 b 3 Q 7 L C Z x d W 9 0 O 1 N l Y 3 R p b 2 4 x L 2 p v Z 2 9 z X 3 B l c m Z v c m 1 h b m N l L T I w M T g w N z A x L 1 R p c G 8 g Q W x 0 Z X J h Z G 8 u e 0 5 V X 0 1 J T l V U T 1 M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2 d v c 1 9 w Z X J m b 3 J t Y W 5 j Z S 0 y M D E 4 M D c w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Z 2 9 z X 3 B l c m Z v c m 1 h b m N l L T I w M T g w N z A x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d v c 1 9 w Z X J m b 3 J t Y W 5 j Z S 0 y M D E 4 M D c w M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z K O u M c K x k C i B 0 F U Q i k u x g A A A A A C A A A A A A A Q Z g A A A A E A A C A A A A D R j I 5 P 9 h C Q v 8 V / F b 9 f 1 q h q 2 h F t 7 S A Y E c 8 J w 9 q b A c Y 0 j g A A A A A O g A A A A A I A A C A A A A C p k 0 N c C C Z 1 q S A J e 0 3 u 5 t 8 r b I W j S 9 h a P I 7 8 s X 4 v f v e G d l A A A A B z j j N I Q q x K Q A 7 5 I 1 x Y U F 2 S u 0 c y s A Y c R E + h s W I l w U 1 F f T I 1 g F 5 O H + C C 7 l 0 c b / J N B G P 6 n 6 J 9 e a Q D s v 8 7 2 m k j t G i k r c G G f H i H p O b C g P l m I g O d r E A A A A A 4 V L U Y o R k i 8 n Y c 9 5 b X e h a p f l c p C M g Q + 2 K 2 X S C e w D d h k 5 g q + t k T M C r p q D + Y O 6 e X C j k x a V E A Q k 3 G s g w R Q U Z c T G X 3 < / D a t a M a s h u p > 
</file>

<file path=customXml/itemProps1.xml><?xml version="1.0" encoding="utf-8"?>
<ds:datastoreItem xmlns:ds="http://schemas.openxmlformats.org/officeDocument/2006/customXml" ds:itemID="{ABFED762-7A4C-49AF-A6A4-0ED73B16F8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Teams</vt:lpstr>
      <vt:lpstr>Team2018</vt:lpstr>
      <vt:lpstr>Jogos</vt:lpstr>
      <vt:lpstr>Bolao</vt:lpstr>
      <vt:lpstr>TabelaGeral</vt:lpstr>
      <vt:lpstr>Planilha1</vt:lpstr>
      <vt:lpstr>Combate</vt:lpstr>
      <vt:lpstr>RUSSIA_WORLDCUP_2018-ANALISE_MA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Antonio Filgueiras Guimarães</dc:creator>
  <cp:lastModifiedBy>Marco Antonio Filgueiras Guimarães</cp:lastModifiedBy>
  <dcterms:created xsi:type="dcterms:W3CDTF">2018-06-15T22:22:15Z</dcterms:created>
  <dcterms:modified xsi:type="dcterms:W3CDTF">2022-11-13T22:15:42Z</dcterms:modified>
</cp:coreProperties>
</file>