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828bba478b1d2893/Documents/DTU_kandidat/Twig_energy_project/"/>
    </mc:Choice>
  </mc:AlternateContent>
  <xr:revisionPtr revIDLastSave="259" documentId="8_{443D2D2B-035E-4AF9-B400-7428E9F254CA}" xr6:coauthVersionLast="47" xr6:coauthVersionMax="47" xr10:uidLastSave="{0BD0E3EF-BA7A-4635-A112-FC63033C0E36}"/>
  <bookViews>
    <workbookView xWindow="-120" yWindow="-120" windowWidth="29040" windowHeight="15720" xr2:uid="{37CCAFF6-5D29-428E-B55B-AD76E06D319B}"/>
  </bookViews>
  <sheets>
    <sheet name="Costs &amp; parameters" sheetId="1" r:id="rId1"/>
    <sheet name="Ark2" sheetId="2" r:id="rId2"/>
    <sheet name="Inflation &amp; exchange rates" sheetId="3" r:id="rId3"/>
    <sheet name="Electricity tariffs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3" i="5" l="1"/>
  <c r="B32" i="5"/>
  <c r="C15" i="5"/>
  <c r="B15" i="5"/>
  <c r="C6" i="5"/>
  <c r="C8" i="5"/>
  <c r="C9" i="5"/>
  <c r="C10" i="5"/>
  <c r="B10" i="5"/>
  <c r="B29" i="5"/>
  <c r="C29" i="5" s="1"/>
  <c r="C21" i="5"/>
  <c r="C22" i="5"/>
  <c r="C23" i="5"/>
  <c r="C27" i="5"/>
  <c r="C28" i="5"/>
  <c r="C20" i="5"/>
  <c r="B23" i="5"/>
  <c r="B28" i="5"/>
  <c r="C13" i="5"/>
  <c r="C14" i="5"/>
  <c r="C26" i="3"/>
  <c r="C22" i="3"/>
  <c r="B9" i="5"/>
  <c r="B8" i="5"/>
  <c r="P13" i="3"/>
  <c r="Q13" i="3"/>
  <c r="O13" i="3"/>
  <c r="O12" i="3"/>
  <c r="M38" i="1"/>
  <c r="K38" i="1"/>
  <c r="I38" i="1"/>
  <c r="Q15" i="3"/>
  <c r="Q14" i="3"/>
  <c r="M37" i="1"/>
  <c r="K37" i="1"/>
  <c r="I37" i="1"/>
  <c r="K35" i="1"/>
  <c r="M35" i="1" s="1"/>
  <c r="M34" i="1"/>
  <c r="E34" i="1"/>
  <c r="D34" i="1"/>
  <c r="D23" i="1"/>
  <c r="R34" i="1"/>
  <c r="I35" i="1"/>
  <c r="I28" i="1"/>
  <c r="P14" i="3"/>
  <c r="P12" i="3"/>
  <c r="K34" i="1"/>
  <c r="I34" i="1"/>
  <c r="E23" i="1"/>
  <c r="D27" i="1"/>
  <c r="O28" i="1"/>
  <c r="E11" i="1"/>
  <c r="D11" i="1"/>
  <c r="D7" i="1"/>
  <c r="E7" i="1"/>
  <c r="E6" i="1"/>
  <c r="D6" i="1"/>
  <c r="E27" i="1"/>
  <c r="D47" i="1"/>
  <c r="D44" i="1"/>
  <c r="M27" i="1"/>
  <c r="M28" i="1" s="1"/>
  <c r="K27" i="1"/>
  <c r="K28" i="1" s="1"/>
  <c r="I27" i="1"/>
  <c r="O24" i="1"/>
  <c r="M24" i="1"/>
  <c r="Q12" i="3"/>
  <c r="N12" i="3"/>
  <c r="M23" i="1"/>
  <c r="I23" i="1"/>
  <c r="I24" i="1" s="1"/>
  <c r="K23" i="1"/>
  <c r="K24" i="1" s="1"/>
  <c r="D12" i="2"/>
  <c r="D13" i="2"/>
  <c r="D14" i="2"/>
  <c r="D15" i="2"/>
  <c r="D11" i="2"/>
  <c r="K11" i="1"/>
  <c r="I6" i="1"/>
  <c r="I11" i="1"/>
  <c r="M11" i="1"/>
  <c r="I10" i="1"/>
  <c r="M9" i="1"/>
  <c r="K9" i="1"/>
  <c r="I14" i="1"/>
  <c r="I13" i="1"/>
  <c r="I12" i="1"/>
  <c r="I9" i="1"/>
  <c r="I8" i="1"/>
  <c r="K8" i="1"/>
  <c r="R7" i="1"/>
  <c r="K7" i="1"/>
  <c r="I7" i="1"/>
  <c r="O6" i="1"/>
  <c r="M6" i="1"/>
  <c r="K6" i="1"/>
</calcChain>
</file>

<file path=xl/sharedStrings.xml><?xml version="1.0" encoding="utf-8"?>
<sst xmlns="http://schemas.openxmlformats.org/spreadsheetml/2006/main" count="125" uniqueCount="103">
  <si>
    <t>Technology scenarios</t>
  </si>
  <si>
    <t>Technology</t>
  </si>
  <si>
    <t>Heat</t>
  </si>
  <si>
    <t>Hydrogen</t>
  </si>
  <si>
    <t>Electrolyzer</t>
  </si>
  <si>
    <t>Heat storage</t>
  </si>
  <si>
    <t>Response time</t>
  </si>
  <si>
    <t>Source</t>
  </si>
  <si>
    <t>year</t>
  </si>
  <si>
    <t>https://www.energy.gov/sites/prod/files/2019/07/f65/Storage%20Cost%20and%20Performance%20Characterization%20Report_Final.pdf</t>
  </si>
  <si>
    <t>Total cost E</t>
  </si>
  <si>
    <t>Total cost P</t>
  </si>
  <si>
    <t>$/MW</t>
  </si>
  <si>
    <t>$/MWh</t>
  </si>
  <si>
    <t>O&amp;M fix.</t>
  </si>
  <si>
    <t>O&amp;M var.</t>
  </si>
  <si>
    <t>$/MWyr</t>
  </si>
  <si>
    <t>s</t>
  </si>
  <si>
    <t>lifetime</t>
  </si>
  <si>
    <t>cyclelife</t>
  </si>
  <si>
    <t>eff_up</t>
  </si>
  <si>
    <t>eff_down</t>
  </si>
  <si>
    <t>https://atb.nrel.gov/electricity/2023/utility-scale_battery_storage</t>
  </si>
  <si>
    <t>-</t>
  </si>
  <si>
    <t>cycles</t>
  </si>
  <si>
    <t>(*) assumed one cycle pr day in 15 years</t>
  </si>
  <si>
    <t>%capex [$/MW] also covers deg</t>
  </si>
  <si>
    <t>https://www.sciencedirect.com/science/article/pii/S266654682300054X#sec0015</t>
  </si>
  <si>
    <t>supplementary gives an analysis of different sources</t>
  </si>
  <si>
    <t>Cost Projections for Utility-Scale Battery Storage: 2023 Update (nrel.gov)</t>
  </si>
  <si>
    <t>https://pdf.sciencedirectassets.com/276826/1-s2.0-S1002007109X00031/1-s2.0-S100200710800381X/main.pdf?X-Amz-Security-Token=IQoJb3JpZ2luX2VjEDwaCXVzLWVhc3QtMSJHMEUCIQCtG4ix%2Bm6ySetD0%2B3nF7LWbQ37StZHKNx9FTJTf77x9AIgH17F6j5gjtPKtAJvNyPHUS7fvfYKMBRLPtTJuPHR51AqvAUIpf%2F%2F%2F%2F%2F%2F%2F%2F%2F%2FARAFGgwwNTkwMDM1NDY4NjUiDNeOHsOLqUb2cHNczyqQBV0N4XhbKYfB%2FxLDeC8DfjckKyBcAZGp%2FtCNcvrgsV6nCbGLqJ9U8O2xj8dS1yIrH6ZpK85bnaAjMkSZpJuaia%2F8gC7NQGdvgzYoH1GxR4VGr5ky8yM0UtWCvsCBSPUNos9T%2Fa%2B%2B5yKw7quQAJfPQU8mhins1U5AjzfPxsN%2B%2FEw6%2FjuvEh5WI622cGVBqk9slV3BI9mAGiHlrV8vAZOEj8kmRfCKnklsCPJDNAaKXWE4yLR5jM%2Fl9KlWoUUWSX0uo351T1yS7vdo6vIuzDwUJWrAQ%2B3ukME14sAZvTCMP0J6KqpyiFwRJu58bXfRF0STqZR25bspPUnBH2%2FH58JPVHm2%2FqnnKbtjZ04Xkgdhi3j9VUWv7hdIfhjqzK7c00TdlwtXHoQT%2FeKFAJfid6ioZ3o%2BN72Aq9KttHRaqaL3jrTrr4X%2FrjoxIVcUxKPa%2Bn6OQhllMLk%2Fufu13kSAHcVpZyMSlJ3wAnMXVQGPSIubxHHDUtr2b13hRyIf%2FS4Xq2hVglaSLvYQPuzHYwFdDPHUb52xWTMQ4UvYJwDDx5FB%2B60XU6rz0D70YKbOnq0pHROvNP3qgBjWbUcktqEHdwDQvrK1M7dRWWuZIoLEqMSwHs40pE%2BnUJgF6u%2BTgOJxGQ0TQzfUekqt0diocjuJ29NjNLQPExRJwPtegr8PfxhLGKz6O3tnh7c%2FrzMIlyNdF%2BhfSS%2FGEzb083%2FPvn069NdPzZYANTA0s0Ea6yY82WFpww07NyMrfY5JIiYhIf3NRtarB04cj1MMMpco88RbwGZbxvkYIujoRptD%2BHUuxMm0A03cTcZusdyasNt%2FPtBA1mHs6YZ7QaWnctPQLrWHkzWO%2FcJj0ZUwtNRgTQl%2Bg4wTYasQMP%2B5krIGOrEBOpcuKSqfX0%2BYg1YekrexrO2MFN7bRaoG6NSRkbZ326XarSQu2RSWqU0hoVqEM%2F2R%2BWFeK7qXhVC%2ByMf6a9r1TS9fakDWG0EQeyfDF6xN4rW0l6z8lMR0YZ%2FmZ3%2BgEtazbZlwwxquV9dVT3KI9PezVdUWBS2b4Yb%2B3y1ITNiRPsBUepC%2FKSvUSUwxIxjhMhJOuZjjAEjRoFPM3cAP0N130DRUKKx2%2FwC0kN6DBMFM9U7p&amp;X-Amz-Algorithm=AWS4-HMAC-SHA256&amp;X-Amz-Date=20240515T123851Z&amp;X-Amz-SignedHeaders=host&amp;X-Amz-Expires=300&amp;X-Amz-Credential=ASIAQ3PHCVTYZEZNZTG4%2F20240515%2Fus-east-1%2Fs3%2Faws4_request&amp;X-Amz-Signature=4d5863222db9385a12de9d9aa4a926502ec8eb4f146532a8802609d6283416a3&amp;hash=76b5bd7180d4618574dfb215f26eda7c1d8e09fb62ec25ad0e3bbda698c1ebc2&amp;host=68042c943591013ac2b2430a89b270f6af2c76d8dfd086a07176afe7c76c2c61&amp;pii=S100200710800381X&amp;tid=spdf-d87fb32f-a279-46ea-ad61-c331cc6347c7&amp;sid=c0bebb3e7e1451439d1ba2e8e5eb680c2d59gxrqb&amp;type=client&amp;tsoh=d3d3LnNjaWVuY2VkaXJlY3QuY29t&amp;ua=0a0c5d565a5d5207&amp;rr=88432ff87cc8abdb&amp;cc=dk</t>
  </si>
  <si>
    <t>https://www.sciencedirect.com/science/article/pii/S0306261914010290#b0910</t>
  </si>
  <si>
    <t>Li-ion Battery</t>
  </si>
  <si>
    <t>https://www.pnnl.gov/sites/default/files/media/file/Final%20-%20ESGC%20Cost%20Performance%20Report%2012-11-2020.pdf</t>
  </si>
  <si>
    <t>really good breakdown</t>
  </si>
  <si>
    <t>Power cost</t>
  </si>
  <si>
    <t>c-rate</t>
  </si>
  <si>
    <t>Hour b</t>
  </si>
  <si>
    <t>Energy cost</t>
  </si>
  <si>
    <t>1MW</t>
  </si>
  <si>
    <t>10MW</t>
  </si>
  <si>
    <t>100MW</t>
  </si>
  <si>
    <t>https://www.statbank.dk/pris8</t>
  </si>
  <si>
    <t xml:space="preserve">
Consumer price index, annual rate of change (1900=100) by type and time</t>
  </si>
  <si>
    <t>Annual rate of change</t>
  </si>
  <si>
    <t>(LFP 10MW 2h)</t>
  </si>
  <si>
    <t>Conversion to €2024</t>
  </si>
  <si>
    <t>2020 index (to start of yr)</t>
  </si>
  <si>
    <t>USD to EUR exchange rate</t>
  </si>
  <si>
    <t>(20-05-2024)</t>
  </si>
  <si>
    <t>https://www.ecb.europa.eu/stats/policy_and_exchange_rates/euro_reference_exchange_rates/html/eurofxref-graph-usd.en.html</t>
  </si>
  <si>
    <t>USD/EUR</t>
  </si>
  <si>
    <t>EUR/USD</t>
  </si>
  <si>
    <t>€/MWh</t>
  </si>
  <si>
    <t>€/MW</t>
  </si>
  <si>
    <t>€/MWyr</t>
  </si>
  <si>
    <t>(VRF 10MW 10h)</t>
  </si>
  <si>
    <t>https://www.nrel.gov/docs/fy23osti/85332.pdf</t>
  </si>
  <si>
    <t>Li-ion (4h)</t>
  </si>
  <si>
    <t>(very close to the word doc avg price)</t>
  </si>
  <si>
    <t>VRF</t>
  </si>
  <si>
    <t>word</t>
  </si>
  <si>
    <t>https://avessenergy.com.au/our-technology/#:~:text=Lifespan,lifespan%20%E2%80%93%20with%20minimal%20performance%20degradation.</t>
  </si>
  <si>
    <t>lifetime 20+ yr</t>
  </si>
  <si>
    <t>2022 index</t>
  </si>
  <si>
    <t>2023 index</t>
  </si>
  <si>
    <t>2021 index</t>
  </si>
  <si>
    <t>CPI DK</t>
  </si>
  <si>
    <t>DSO tariffs</t>
  </si>
  <si>
    <t>DSO tariffs are collected from radius. All technologies in the paper is considered an A-low customer (connected to 10-20kV grid at station)</t>
  </si>
  <si>
    <t>https://radiuselnet.dk/elnetkunder/tariffer-og-netabonnement/</t>
  </si>
  <si>
    <t>Electricity tax</t>
  </si>
  <si>
    <t>Weighed avg. winter tariff (computed for a normal week)</t>
  </si>
  <si>
    <t>Weighed avg. summer tariff (computed for a normal week)</t>
  </si>
  <si>
    <t>Availability tariff</t>
  </si>
  <si>
    <t>Total</t>
  </si>
  <si>
    <t>feed in tariff</t>
  </si>
  <si>
    <t>TSO tariffs</t>
  </si>
  <si>
    <t>DKK to EUR exchange rate</t>
  </si>
  <si>
    <t>EUR/DKK</t>
  </si>
  <si>
    <t>(10-06-2024)</t>
  </si>
  <si>
    <t>https://www.ecb.europa.eu/stats/policy_and_exchange_rates/euro_reference_exchange_rates/html/eurofxref-graph-dkk.en.html</t>
  </si>
  <si>
    <t>DKK/EUR</t>
  </si>
  <si>
    <t>Electricity consumer tariffs</t>
  </si>
  <si>
    <t>Electricity producer tariffs</t>
  </si>
  <si>
    <t>Price [EUR/MWh]</t>
  </si>
  <si>
    <t>Price [DKK/MWh]</t>
  </si>
  <si>
    <t>https://energinet.dk/el/elmarkedet/tariffer/aktuelle-tariffer/</t>
  </si>
  <si>
    <t>Net tariff</t>
  </si>
  <si>
    <t>System tariff</t>
  </si>
  <si>
    <t>balance market tariff</t>
  </si>
  <si>
    <t xml:space="preserve">Balance </t>
  </si>
  <si>
    <t>Avg. Feed-in tariff</t>
  </si>
  <si>
    <t>Total (on avg.)</t>
  </si>
  <si>
    <t>Total for production</t>
  </si>
  <si>
    <t>Total for consumption</t>
  </si>
  <si>
    <t>total</t>
  </si>
  <si>
    <t>Electricity consumption (and balance) tariff</t>
  </si>
  <si>
    <t>Electricity producer tariff</t>
  </si>
  <si>
    <t>30 EUR/Week</t>
  </si>
  <si>
    <t>(+weekly payment)</t>
  </si>
  <si>
    <t>TSO tariffs are from Energinet in 2023</t>
  </si>
  <si>
    <t>EUR/MW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</si>
</sst>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0" fillId="0" borderId="0"/>
    <xf numFmtId="0" fontId="1" fillId="2" borderId="1" applyNumberFormat="0" applyFont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0" fontId="3" fillId="0" borderId="0" xfId="2"/>
    <xf numFmtId="0" fontId="0" fillId="0" borderId="0" xfId="0" quotePrefix="1"/>
    <xf numFmtId="0" fontId="0" fillId="2" borderId="1" xfId="1" applyFont="1"/>
    <xf numFmtId="0" fontId="4" fillId="0" borderId="0" xfId="0" applyFont="1"/>
    <xf numFmtId="14" fontId="0" fillId="0" borderId="0" xfId="0" applyNumberFormat="1"/>
    <xf numFmtId="0" fontId="5" fillId="0" borderId="0" xfId="0" applyFont="1"/>
    <xf numFmtId="0" fontId="0" fillId="0" borderId="0" xfId="0" applyAlignment="1">
      <alignment horizontal="center"/>
    </xf>
  </cellXfs>
  <cellStyles count="3">
    <cellStyle name="Bemærk!" xfId="1" builtinId="10"/>
    <cellStyle name="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Power (1MW)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'Ark2'!$C$11:$C$15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xVal>
          <c:yVal>
            <c:numRef>
              <c:f>'Ark2'!$F$11:$F$15</c:f>
              <c:numCache>
                <c:formatCode>General</c:formatCode>
                <c:ptCount val="5"/>
                <c:pt idx="0">
                  <c:v>757</c:v>
                </c:pt>
                <c:pt idx="1">
                  <c:v>1266</c:v>
                </c:pt>
                <c:pt idx="2">
                  <c:v>1780</c:v>
                </c:pt>
                <c:pt idx="3">
                  <c:v>2290</c:v>
                </c:pt>
                <c:pt idx="4">
                  <c:v>2797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58-4BC5-9421-57CBD1060424}"/>
            </c:ext>
          </c:extLst>
        </c:ser>
        <c:ser>
          <c:idx val="1"/>
          <c:order val="1"/>
          <c:tx>
            <c:v>Energy (1MW)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'Ark2'!$C$11:$C$15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xVal>
          <c:yVal>
            <c:numRef>
              <c:f>'Ark2'!$G$11:$G$15</c:f>
              <c:numCache>
                <c:formatCode>General</c:formatCode>
                <c:ptCount val="5"/>
                <c:pt idx="0">
                  <c:v>378</c:v>
                </c:pt>
                <c:pt idx="1">
                  <c:v>317</c:v>
                </c:pt>
                <c:pt idx="2">
                  <c:v>297</c:v>
                </c:pt>
                <c:pt idx="3">
                  <c:v>286</c:v>
                </c:pt>
                <c:pt idx="4">
                  <c:v>280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358-4BC5-9421-57CBD1060424}"/>
            </c:ext>
          </c:extLst>
        </c:ser>
        <c:ser>
          <c:idx val="2"/>
          <c:order val="2"/>
          <c:tx>
            <c:v>Power (10MW)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'Ark2'!$C$11:$C$15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xVal>
          <c:yVal>
            <c:numRef>
              <c:f>'Ark2'!$H$11:$H$15</c:f>
              <c:numCache>
                <c:formatCode>General</c:formatCode>
                <c:ptCount val="5"/>
                <c:pt idx="0">
                  <c:v>661</c:v>
                </c:pt>
                <c:pt idx="1">
                  <c:v>1156</c:v>
                </c:pt>
                <c:pt idx="2">
                  <c:v>1645</c:v>
                </c:pt>
                <c:pt idx="3">
                  <c:v>2131</c:v>
                </c:pt>
                <c:pt idx="4">
                  <c:v>2614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358-4BC5-9421-57CBD1060424}"/>
            </c:ext>
          </c:extLst>
        </c:ser>
        <c:ser>
          <c:idx val="3"/>
          <c:order val="3"/>
          <c:tx>
            <c:v>Energy (10MW)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'Ark2'!$C$11:$C$15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xVal>
          <c:yVal>
            <c:numRef>
              <c:f>'Ark2'!$I$11:$I$15</c:f>
              <c:numCache>
                <c:formatCode>General</c:formatCode>
                <c:ptCount val="5"/>
                <c:pt idx="0">
                  <c:v>330</c:v>
                </c:pt>
                <c:pt idx="1">
                  <c:v>289</c:v>
                </c:pt>
                <c:pt idx="2">
                  <c:v>274</c:v>
                </c:pt>
                <c:pt idx="3">
                  <c:v>266</c:v>
                </c:pt>
                <c:pt idx="4">
                  <c:v>261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358-4BC5-9421-57CBD1060424}"/>
            </c:ext>
          </c:extLst>
        </c:ser>
        <c:ser>
          <c:idx val="4"/>
          <c:order val="4"/>
          <c:tx>
            <c:v>Power (100MW)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'Ark2'!$C$11:$C$15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xVal>
          <c:yVal>
            <c:numRef>
              <c:f>'Ark2'!$J$11:$J$15</c:f>
              <c:numCache>
                <c:formatCode>General</c:formatCode>
                <c:ptCount val="5"/>
                <c:pt idx="0">
                  <c:v>610</c:v>
                </c:pt>
                <c:pt idx="1">
                  <c:v>1081</c:v>
                </c:pt>
                <c:pt idx="2">
                  <c:v>1547</c:v>
                </c:pt>
                <c:pt idx="3">
                  <c:v>2010</c:v>
                </c:pt>
                <c:pt idx="4">
                  <c:v>2471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C358-4BC5-9421-57CBD1060424}"/>
            </c:ext>
          </c:extLst>
        </c:ser>
        <c:ser>
          <c:idx val="5"/>
          <c:order val="5"/>
          <c:tx>
            <c:v>Energy (100MW)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'Ark2'!$C$11:$C$15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xVal>
          <c:yVal>
            <c:numRef>
              <c:f>'Ark2'!$K$11:$K$15</c:f>
              <c:numCache>
                <c:formatCode>General</c:formatCode>
                <c:ptCount val="5"/>
                <c:pt idx="0">
                  <c:v>305</c:v>
                </c:pt>
                <c:pt idx="1">
                  <c:v>270</c:v>
                </c:pt>
                <c:pt idx="2">
                  <c:v>258</c:v>
                </c:pt>
                <c:pt idx="3">
                  <c:v>251</c:v>
                </c:pt>
                <c:pt idx="4">
                  <c:v>247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C358-4BC5-9421-57CBD10604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6025824"/>
        <c:axId val="854384032"/>
      </c:scatterChart>
      <c:valAx>
        <c:axId val="566025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54384032"/>
        <c:crosses val="autoZero"/>
        <c:crossBetween val="midCat"/>
      </c:valAx>
      <c:valAx>
        <c:axId val="85438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66025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466725</xdr:colOff>
      <xdr:row>5</xdr:row>
      <xdr:rowOff>42862</xdr:rowOff>
    </xdr:from>
    <xdr:to>
      <xdr:col>21</xdr:col>
      <xdr:colOff>200025</xdr:colOff>
      <xdr:row>24</xdr:row>
      <xdr:rowOff>114300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BDB03B2C-3FC2-38FB-7FFC-66511485A2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nrel.gov/docs/fy23osti/85332.pdf" TargetMode="External"/><Relationship Id="rId2" Type="http://schemas.openxmlformats.org/officeDocument/2006/relationships/hyperlink" Target="https://atb.nrel.gov/electricity/2023/utility-scale_battery_storage" TargetMode="External"/><Relationship Id="rId1" Type="http://schemas.openxmlformats.org/officeDocument/2006/relationships/hyperlink" Target="https://www.energy.gov/sites/prod/files/2019/07/f65/Storage%20Cost%20and%20Performance%20Characterization%20Report_Final.pdf" TargetMode="External"/><Relationship Id="rId5" Type="http://schemas.openxmlformats.org/officeDocument/2006/relationships/hyperlink" Target="https://www.pnnl.gov/sites/default/files/media/file/Final%20-%20ESGC%20Cost%20Performance%20Report%2012-11-2020.pdf" TargetMode="External"/><Relationship Id="rId4" Type="http://schemas.openxmlformats.org/officeDocument/2006/relationships/hyperlink" Target="https://www.sciencedirect.com/science/article/pii/S266654682300054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387DB-8CFC-44B1-955D-D0EC331B6D74}">
  <dimension ref="A1:S50"/>
  <sheetViews>
    <sheetView tabSelected="1" topLeftCell="A7" zoomScale="101" workbookViewId="0">
      <selection activeCell="A28" sqref="A28"/>
    </sheetView>
  </sheetViews>
  <sheetFormatPr defaultRowHeight="15" x14ac:dyDescent="0.25"/>
  <cols>
    <col min="1" max="1" width="40.7109375" customWidth="1"/>
    <col min="2" max="2" width="20.85546875" customWidth="1"/>
    <col min="3" max="3" width="12.28515625" customWidth="1"/>
    <col min="4" max="4" width="11" customWidth="1"/>
    <col min="7" max="7" width="17.7109375" customWidth="1"/>
    <col min="8" max="8" width="10.28515625" customWidth="1"/>
    <col min="9" max="9" width="20.140625" customWidth="1"/>
    <col min="10" max="10" width="12.140625" customWidth="1"/>
    <col min="11" max="12" width="22.28515625" customWidth="1"/>
    <col min="13" max="14" width="21.28515625" customWidth="1"/>
  </cols>
  <sheetData>
    <row r="1" spans="1:19" x14ac:dyDescent="0.25">
      <c r="A1" t="s">
        <v>0</v>
      </c>
    </row>
    <row r="2" spans="1:19" x14ac:dyDescent="0.25">
      <c r="B2" t="s">
        <v>1</v>
      </c>
    </row>
    <row r="3" spans="1:19" x14ac:dyDescent="0.25">
      <c r="B3" s="1" t="s">
        <v>32</v>
      </c>
    </row>
    <row r="5" spans="1:19" x14ac:dyDescent="0.25">
      <c r="A5" t="s">
        <v>7</v>
      </c>
      <c r="B5" t="s">
        <v>8</v>
      </c>
      <c r="D5" t="s">
        <v>21</v>
      </c>
      <c r="E5" t="s">
        <v>20</v>
      </c>
      <c r="G5" t="s">
        <v>6</v>
      </c>
      <c r="I5" t="s">
        <v>10</v>
      </c>
      <c r="K5" t="s">
        <v>11</v>
      </c>
      <c r="M5" t="s">
        <v>14</v>
      </c>
      <c r="O5" t="s">
        <v>15</v>
      </c>
      <c r="Q5" t="s">
        <v>18</v>
      </c>
      <c r="R5" t="s">
        <v>19</v>
      </c>
    </row>
    <row r="6" spans="1:19" x14ac:dyDescent="0.25">
      <c r="A6" s="2" t="s">
        <v>9</v>
      </c>
      <c r="B6">
        <v>2018</v>
      </c>
      <c r="D6">
        <f>SQRT(0.86)</f>
        <v>0.92736184954957035</v>
      </c>
      <c r="E6">
        <f>SQRT(0.86)</f>
        <v>0.92736184954957035</v>
      </c>
      <c r="G6">
        <v>1</v>
      </c>
      <c r="H6" t="s">
        <v>17</v>
      </c>
      <c r="I6">
        <f>469*1000</f>
        <v>469000</v>
      </c>
      <c r="J6" t="s">
        <v>13</v>
      </c>
      <c r="K6">
        <f>1876*1000</f>
        <v>1876000</v>
      </c>
      <c r="L6" t="s">
        <v>12</v>
      </c>
      <c r="M6">
        <f>10*1000</f>
        <v>10000</v>
      </c>
      <c r="N6" t="s">
        <v>16</v>
      </c>
      <c r="O6">
        <f>0.01/100*1000</f>
        <v>0.1</v>
      </c>
      <c r="P6" t="s">
        <v>13</v>
      </c>
      <c r="Q6">
        <v>10</v>
      </c>
      <c r="R6">
        <v>3500</v>
      </c>
      <c r="S6" t="s">
        <v>24</v>
      </c>
    </row>
    <row r="7" spans="1:19" x14ac:dyDescent="0.25">
      <c r="A7" s="2" t="s">
        <v>22</v>
      </c>
      <c r="B7">
        <v>2022</v>
      </c>
      <c r="D7">
        <f>SQRT(0.85)</f>
        <v>0.92195444572928875</v>
      </c>
      <c r="E7">
        <f>SQRT(0.85)</f>
        <v>0.92195444572928875</v>
      </c>
      <c r="G7" t="s">
        <v>23</v>
      </c>
      <c r="I7">
        <f>446.27*1000</f>
        <v>446270</v>
      </c>
      <c r="J7" t="s">
        <v>13</v>
      </c>
      <c r="K7">
        <f>1785.08*1000</f>
        <v>1785080</v>
      </c>
      <c r="L7" t="s">
        <v>12</v>
      </c>
      <c r="M7">
        <v>2.5</v>
      </c>
      <c r="N7" t="s">
        <v>26</v>
      </c>
      <c r="O7" s="3">
        <v>0</v>
      </c>
      <c r="Q7">
        <v>15</v>
      </c>
      <c r="R7">
        <f>15*365</f>
        <v>5475</v>
      </c>
      <c r="S7" t="s">
        <v>25</v>
      </c>
    </row>
    <row r="8" spans="1:19" x14ac:dyDescent="0.25">
      <c r="A8" s="2" t="s">
        <v>27</v>
      </c>
      <c r="B8">
        <v>2023</v>
      </c>
      <c r="C8" t="s">
        <v>28</v>
      </c>
      <c r="I8">
        <f>431*1000</f>
        <v>431000</v>
      </c>
      <c r="K8">
        <f>(473.55+108.34)*1000</f>
        <v>581890</v>
      </c>
    </row>
    <row r="9" spans="1:19" x14ac:dyDescent="0.25">
      <c r="I9">
        <f>261.27*1000</f>
        <v>261269.99999999997</v>
      </c>
      <c r="K9">
        <f>(206.81+106.75)*1000</f>
        <v>313560</v>
      </c>
      <c r="L9" t="s">
        <v>12</v>
      </c>
      <c r="M9">
        <f>10.35*1000</f>
        <v>10350</v>
      </c>
      <c r="N9" t="s">
        <v>16</v>
      </c>
    </row>
    <row r="10" spans="1:19" x14ac:dyDescent="0.25">
      <c r="I10" s="4">
        <f>(600+2500)/2*1000</f>
        <v>1550000</v>
      </c>
    </row>
    <row r="11" spans="1:19" x14ac:dyDescent="0.25">
      <c r="D11">
        <f>SQRT(0.9)</f>
        <v>0.94868329805051377</v>
      </c>
      <c r="E11">
        <f>SQRT(0.9)</f>
        <v>0.94868329805051377</v>
      </c>
      <c r="I11">
        <f>899.62*1000</f>
        <v>899620</v>
      </c>
      <c r="K11" s="4">
        <f>((452+602)/2+(82+125)/2)*1000</f>
        <v>630500</v>
      </c>
      <c r="L11" t="s">
        <v>12</v>
      </c>
      <c r="M11" s="4">
        <f>(2.3+15.6)/2*1000</f>
        <v>8950</v>
      </c>
      <c r="N11" t="s">
        <v>16</v>
      </c>
      <c r="Q11">
        <v>10</v>
      </c>
    </row>
    <row r="12" spans="1:19" x14ac:dyDescent="0.25">
      <c r="I12">
        <f>496*1000</f>
        <v>496000</v>
      </c>
    </row>
    <row r="13" spans="1:19" x14ac:dyDescent="0.25">
      <c r="I13">
        <f>406.22*1000</f>
        <v>406220</v>
      </c>
    </row>
    <row r="14" spans="1:19" x14ac:dyDescent="0.25">
      <c r="I14">
        <f>230.8*1000</f>
        <v>230800</v>
      </c>
    </row>
    <row r="18" spans="1:18" x14ac:dyDescent="0.25">
      <c r="A18" t="s">
        <v>30</v>
      </c>
      <c r="B18">
        <v>2009</v>
      </c>
    </row>
    <row r="19" spans="1:18" x14ac:dyDescent="0.25">
      <c r="A19" t="s">
        <v>31</v>
      </c>
      <c r="B19">
        <v>2015</v>
      </c>
    </row>
    <row r="20" spans="1:18" x14ac:dyDescent="0.25">
      <c r="A20" s="2" t="s">
        <v>29</v>
      </c>
    </row>
    <row r="22" spans="1:18" x14ac:dyDescent="0.25">
      <c r="A22" s="1" t="s">
        <v>45</v>
      </c>
      <c r="B22" t="s">
        <v>34</v>
      </c>
    </row>
    <row r="23" spans="1:18" x14ac:dyDescent="0.25">
      <c r="A23" t="s">
        <v>33</v>
      </c>
      <c r="B23">
        <v>2020</v>
      </c>
      <c r="D23">
        <f>SQRT(0.86)</f>
        <v>0.92736184954957035</v>
      </c>
      <c r="E23">
        <f>SQRT(0.86)</f>
        <v>0.92736184954957035</v>
      </c>
      <c r="I23">
        <f>461*1000</f>
        <v>461000</v>
      </c>
      <c r="J23" t="s">
        <v>13</v>
      </c>
      <c r="K23">
        <f>922*1000</f>
        <v>922000</v>
      </c>
      <c r="L23" t="s">
        <v>12</v>
      </c>
      <c r="M23">
        <f>2.24*1000</f>
        <v>2240</v>
      </c>
      <c r="N23" t="s">
        <v>16</v>
      </c>
      <c r="O23">
        <v>0.51249999999999996</v>
      </c>
      <c r="P23" t="s">
        <v>13</v>
      </c>
      <c r="Q23">
        <v>10</v>
      </c>
      <c r="R23">
        <v>2000</v>
      </c>
    </row>
    <row r="24" spans="1:18" x14ac:dyDescent="0.25">
      <c r="A24" t="s">
        <v>46</v>
      </c>
      <c r="B24">
        <v>2024</v>
      </c>
      <c r="I24">
        <f>I23*'Inflation &amp; exchange rates'!Q12*'Inflation &amp; exchange rates'!C22</f>
        <v>483120.01860738039</v>
      </c>
      <c r="J24" t="s">
        <v>53</v>
      </c>
      <c r="K24">
        <f>K23*'Inflation &amp; exchange rates'!Q12*'Inflation &amp; exchange rates'!C22</f>
        <v>966240.03721476078</v>
      </c>
      <c r="L24" t="s">
        <v>54</v>
      </c>
      <c r="M24">
        <f>M23*'Inflation &amp; exchange rates'!Q12*'Inflation &amp; exchange rates'!C22</f>
        <v>2347.481218395948</v>
      </c>
      <c r="N24" t="s">
        <v>55</v>
      </c>
      <c r="O24">
        <f>O23*'Inflation &amp; exchange rates'!Q12*'Inflation &amp; exchange rates'!C22</f>
        <v>0.53709112697675143</v>
      </c>
      <c r="P24" t="s">
        <v>53</v>
      </c>
    </row>
    <row r="26" spans="1:18" x14ac:dyDescent="0.25">
      <c r="A26" s="1" t="s">
        <v>56</v>
      </c>
    </row>
    <row r="27" spans="1:18" x14ac:dyDescent="0.25">
      <c r="A27" s="2" t="s">
        <v>33</v>
      </c>
      <c r="B27">
        <v>2020</v>
      </c>
      <c r="D27">
        <f>SQRT(0.68)</f>
        <v>0.82462112512353214</v>
      </c>
      <c r="E27">
        <f>SQRT(0.68)</f>
        <v>0.82462112512353214</v>
      </c>
      <c r="I27">
        <f>426*1000</f>
        <v>426000</v>
      </c>
      <c r="K27">
        <f>4258*1000</f>
        <v>4258000</v>
      </c>
      <c r="M27">
        <f>11.97*1000</f>
        <v>11970</v>
      </c>
      <c r="Q27">
        <v>15</v>
      </c>
      <c r="R27">
        <v>5201</v>
      </c>
    </row>
    <row r="28" spans="1:18" x14ac:dyDescent="0.25">
      <c r="B28">
        <v>2024</v>
      </c>
      <c r="I28">
        <f>I27*'Inflation &amp; exchange rates'!Q12*'Inflation &amp; exchange rates'!C22</f>
        <v>446440.6245699437</v>
      </c>
      <c r="K28">
        <f>'Costs &amp; parameters'!K27*'Inflation &amp; exchange rates'!Q12*'Inflation &amp; exchange rates'!C22</f>
        <v>4462310.2803258682</v>
      </c>
      <c r="M28">
        <f>M27*'Inflation &amp; exchange rates'!Q12*'Inflation &amp; exchange rates'!C22</f>
        <v>12544.352760803347</v>
      </c>
      <c r="O28">
        <f>0.5125*'Inflation &amp; exchange rates'!Q12*'Inflation &amp; exchange rates'!C22</f>
        <v>0.53709112697675143</v>
      </c>
    </row>
    <row r="30" spans="1:18" x14ac:dyDescent="0.25">
      <c r="A30" t="s">
        <v>62</v>
      </c>
      <c r="B30" t="s">
        <v>63</v>
      </c>
    </row>
    <row r="33" spans="1:18" x14ac:dyDescent="0.25">
      <c r="A33" t="s">
        <v>58</v>
      </c>
    </row>
    <row r="34" spans="1:18" x14ac:dyDescent="0.25">
      <c r="A34" t="s">
        <v>57</v>
      </c>
      <c r="B34">
        <v>2022</v>
      </c>
      <c r="D34">
        <f>SQRT(0.85)</f>
        <v>0.92195444572928875</v>
      </c>
      <c r="E34">
        <f>SQRT(0.85)</f>
        <v>0.92195444572928875</v>
      </c>
      <c r="I34">
        <f>385*1000</f>
        <v>385000</v>
      </c>
      <c r="K34">
        <f>360*1000</f>
        <v>360000</v>
      </c>
      <c r="M34">
        <f>0.025*K34</f>
        <v>9000</v>
      </c>
      <c r="Q34">
        <v>15</v>
      </c>
      <c r="R34">
        <f>Q34*365</f>
        <v>5475</v>
      </c>
    </row>
    <row r="35" spans="1:18" x14ac:dyDescent="0.25">
      <c r="A35" t="s">
        <v>59</v>
      </c>
      <c r="B35">
        <v>2024</v>
      </c>
      <c r="I35">
        <f>I34*'Inflation &amp; exchange rates'!Q14*'Inflation &amp; exchange rates'!C22</f>
        <v>394372.78795690998</v>
      </c>
      <c r="K35">
        <f>K34*'Inflation &amp; exchange rates'!Q14*'Inflation &amp; exchange rates'!C22</f>
        <v>368764.16536230536</v>
      </c>
      <c r="M35">
        <f>0.025*K35</f>
        <v>9219.1041340576339</v>
      </c>
    </row>
    <row r="37" spans="1:18" x14ac:dyDescent="0.25">
      <c r="A37" t="s">
        <v>60</v>
      </c>
      <c r="B37">
        <v>2023</v>
      </c>
      <c r="I37">
        <f>432*1000</f>
        <v>432000</v>
      </c>
      <c r="K37">
        <f>(415+21)*1000</f>
        <v>436000</v>
      </c>
      <c r="M37">
        <f>13*1000</f>
        <v>13000</v>
      </c>
    </row>
    <row r="38" spans="1:18" x14ac:dyDescent="0.25">
      <c r="A38" t="s">
        <v>61</v>
      </c>
      <c r="B38">
        <v>2024</v>
      </c>
      <c r="I38">
        <f>I37*'Inflation &amp; exchange rates'!Q15*'Inflation &amp; exchange rates'!C22</f>
        <v>410879.29288279155</v>
      </c>
      <c r="K38">
        <f>K37*'Inflation &amp; exchange rates'!Q15*'Inflation &amp; exchange rates'!C22</f>
        <v>414683.73077985446</v>
      </c>
      <c r="M38">
        <f>M37*'Inflation &amp; exchange rates'!Q15*'Inflation &amp; exchange rates'!C22</f>
        <v>12364.423165454376</v>
      </c>
    </row>
    <row r="44" spans="1:18" x14ac:dyDescent="0.25">
      <c r="D44">
        <f>1*0.84*0.84</f>
        <v>0.70559999999999989</v>
      </c>
    </row>
    <row r="45" spans="1:18" x14ac:dyDescent="0.25">
      <c r="A45" s="1" t="s">
        <v>2</v>
      </c>
    </row>
    <row r="46" spans="1:18" x14ac:dyDescent="0.25">
      <c r="A46" t="s">
        <v>5</v>
      </c>
    </row>
    <row r="47" spans="1:18" x14ac:dyDescent="0.25">
      <c r="D47">
        <f>1*D46*D46</f>
        <v>0</v>
      </c>
    </row>
    <row r="49" spans="1:1" x14ac:dyDescent="0.25">
      <c r="A49" s="1" t="s">
        <v>3</v>
      </c>
    </row>
    <row r="50" spans="1:1" x14ac:dyDescent="0.25">
      <c r="A50" t="s">
        <v>4</v>
      </c>
    </row>
  </sheetData>
  <hyperlinks>
    <hyperlink ref="A6" r:id="rId1" xr:uid="{5017CB0F-4AF2-402C-9026-0977CB1957F6}"/>
    <hyperlink ref="A7" r:id="rId2" xr:uid="{6AED8884-8AC8-4FA3-8295-EBCA353756D7}"/>
    <hyperlink ref="A20" r:id="rId3" display="https://www.nrel.gov/docs/fy23osti/85332.pdf" xr:uid="{20D8A501-CEE1-4FDB-845C-EB9D53A1EDB7}"/>
    <hyperlink ref="A8" r:id="rId4" location="sec0015" xr:uid="{3A673F0C-6301-401B-9A0A-2466A3DF1131}"/>
    <hyperlink ref="A27" r:id="rId5" xr:uid="{6E8EB2BF-9D76-4B7E-8A96-8D7366E3642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68704-6DA0-4349-873D-61A6A25EAC21}">
  <dimension ref="C9:K15"/>
  <sheetViews>
    <sheetView workbookViewId="0">
      <selection activeCell="E24" sqref="D24:E24"/>
    </sheetView>
  </sheetViews>
  <sheetFormatPr defaultRowHeight="15" x14ac:dyDescent="0.25"/>
  <cols>
    <col min="4" max="4" width="12.42578125" customWidth="1"/>
    <col min="6" max="6" width="10.5703125" customWidth="1"/>
    <col min="7" max="7" width="10.85546875" customWidth="1"/>
  </cols>
  <sheetData>
    <row r="9" spans="3:11" x14ac:dyDescent="0.25">
      <c r="F9" s="8" t="s">
        <v>39</v>
      </c>
      <c r="G9" s="8"/>
      <c r="H9" s="8" t="s">
        <v>40</v>
      </c>
      <c r="I9" s="8"/>
      <c r="J9" s="8" t="s">
        <v>41</v>
      </c>
      <c r="K9" s="8"/>
    </row>
    <row r="10" spans="3:11" x14ac:dyDescent="0.25">
      <c r="C10" t="s">
        <v>37</v>
      </c>
      <c r="D10" t="s">
        <v>36</v>
      </c>
      <c r="F10" t="s">
        <v>35</v>
      </c>
      <c r="G10" t="s">
        <v>38</v>
      </c>
      <c r="H10" t="s">
        <v>35</v>
      </c>
      <c r="I10" t="s">
        <v>38</v>
      </c>
      <c r="J10" t="s">
        <v>35</v>
      </c>
      <c r="K10" t="s">
        <v>38</v>
      </c>
    </row>
    <row r="11" spans="3:11" x14ac:dyDescent="0.25">
      <c r="C11">
        <v>2</v>
      </c>
      <c r="D11">
        <f>1/C11</f>
        <v>0.5</v>
      </c>
      <c r="F11">
        <v>757</v>
      </c>
      <c r="G11">
        <v>378</v>
      </c>
      <c r="H11">
        <v>661</v>
      </c>
      <c r="I11">
        <v>330</v>
      </c>
      <c r="J11">
        <v>610</v>
      </c>
      <c r="K11">
        <v>305</v>
      </c>
    </row>
    <row r="12" spans="3:11" x14ac:dyDescent="0.25">
      <c r="C12">
        <v>4</v>
      </c>
      <c r="D12">
        <f>1/C12</f>
        <v>0.25</v>
      </c>
      <c r="F12">
        <v>1266</v>
      </c>
      <c r="G12">
        <v>317</v>
      </c>
      <c r="H12">
        <v>1156</v>
      </c>
      <c r="I12">
        <v>289</v>
      </c>
      <c r="J12">
        <v>1081</v>
      </c>
      <c r="K12">
        <v>270</v>
      </c>
    </row>
    <row r="13" spans="3:11" x14ac:dyDescent="0.25">
      <c r="C13">
        <v>6</v>
      </c>
      <c r="D13">
        <f>1/C13</f>
        <v>0.16666666666666666</v>
      </c>
      <c r="F13">
        <v>1780</v>
      </c>
      <c r="G13">
        <v>297</v>
      </c>
      <c r="H13">
        <v>1645</v>
      </c>
      <c r="I13">
        <v>274</v>
      </c>
      <c r="J13">
        <v>1547</v>
      </c>
      <c r="K13">
        <v>258</v>
      </c>
    </row>
    <row r="14" spans="3:11" x14ac:dyDescent="0.25">
      <c r="C14">
        <v>8</v>
      </c>
      <c r="D14">
        <f>1/C14</f>
        <v>0.125</v>
      </c>
      <c r="F14">
        <v>2290</v>
      </c>
      <c r="G14">
        <v>286</v>
      </c>
      <c r="H14">
        <v>2131</v>
      </c>
      <c r="I14">
        <v>266</v>
      </c>
      <c r="J14">
        <v>2010</v>
      </c>
      <c r="K14">
        <v>251</v>
      </c>
    </row>
    <row r="15" spans="3:11" x14ac:dyDescent="0.25">
      <c r="C15">
        <v>10</v>
      </c>
      <c r="D15">
        <f>1/C15</f>
        <v>0.1</v>
      </c>
      <c r="F15">
        <v>2797</v>
      </c>
      <c r="G15">
        <v>280</v>
      </c>
      <c r="H15">
        <v>2614</v>
      </c>
      <c r="I15">
        <v>261</v>
      </c>
      <c r="J15">
        <v>2471</v>
      </c>
      <c r="K15">
        <v>247</v>
      </c>
    </row>
  </sheetData>
  <mergeCells count="3">
    <mergeCell ref="F9:G9"/>
    <mergeCell ref="H9:I9"/>
    <mergeCell ref="J9:K9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F8F4C-7D0C-4E0E-AC31-595A0F8D1F60}">
  <dimension ref="A1:Q27"/>
  <sheetViews>
    <sheetView workbookViewId="0">
      <selection activeCell="I29" sqref="I29"/>
    </sheetView>
  </sheetViews>
  <sheetFormatPr defaultRowHeight="15" x14ac:dyDescent="0.25"/>
  <cols>
    <col min="2" max="2" width="28.42578125" customWidth="1"/>
  </cols>
  <sheetData>
    <row r="1" spans="1:17" x14ac:dyDescent="0.25">
      <c r="A1" t="s">
        <v>67</v>
      </c>
    </row>
    <row r="2" spans="1:17" x14ac:dyDescent="0.25">
      <c r="A2" t="s">
        <v>42</v>
      </c>
    </row>
    <row r="3" spans="1:17" x14ac:dyDescent="0.25">
      <c r="A3" t="s">
        <v>43</v>
      </c>
    </row>
    <row r="7" spans="1:17" x14ac:dyDescent="0.25">
      <c r="B7" t="s">
        <v>8</v>
      </c>
      <c r="C7">
        <v>2010</v>
      </c>
      <c r="D7">
        <v>2011</v>
      </c>
      <c r="E7">
        <v>2012</v>
      </c>
      <c r="F7">
        <v>2013</v>
      </c>
      <c r="G7">
        <v>2014</v>
      </c>
      <c r="H7">
        <v>2015</v>
      </c>
      <c r="I7">
        <v>2016</v>
      </c>
      <c r="J7">
        <v>2017</v>
      </c>
      <c r="K7">
        <v>2018</v>
      </c>
      <c r="L7">
        <v>2019</v>
      </c>
      <c r="M7">
        <v>2020</v>
      </c>
      <c r="N7">
        <v>2021</v>
      </c>
      <c r="O7">
        <v>2022</v>
      </c>
      <c r="P7">
        <v>2023</v>
      </c>
      <c r="Q7">
        <v>2024</v>
      </c>
    </row>
    <row r="8" spans="1:17" x14ac:dyDescent="0.25">
      <c r="B8" t="s">
        <v>44</v>
      </c>
      <c r="C8">
        <v>2.2999999999999998</v>
      </c>
      <c r="D8">
        <v>2.8</v>
      </c>
      <c r="E8">
        <v>2.4</v>
      </c>
      <c r="F8">
        <v>0.8</v>
      </c>
      <c r="G8">
        <v>0.6</v>
      </c>
      <c r="H8">
        <v>0.5</v>
      </c>
      <c r="I8">
        <v>0.3</v>
      </c>
      <c r="J8">
        <v>1.1000000000000001</v>
      </c>
      <c r="K8">
        <v>0.8</v>
      </c>
      <c r="L8">
        <v>0.8</v>
      </c>
      <c r="M8">
        <v>0.4</v>
      </c>
      <c r="N8">
        <v>1.9</v>
      </c>
      <c r="O8">
        <v>7.7</v>
      </c>
      <c r="P8">
        <v>3.3</v>
      </c>
    </row>
    <row r="12" spans="1:17" x14ac:dyDescent="0.25">
      <c r="B12" t="s">
        <v>47</v>
      </c>
      <c r="M12">
        <v>1</v>
      </c>
      <c r="N12">
        <f>M12*(1+M8/100)</f>
        <v>1.004</v>
      </c>
      <c r="O12">
        <f>N12*(1+N8/100)</f>
        <v>1.0230759999999999</v>
      </c>
      <c r="P12">
        <f>O12*(1+O8/100)</f>
        <v>1.1018528519999997</v>
      </c>
      <c r="Q12">
        <f>P12*(1+P8/100)</f>
        <v>1.1382139961159996</v>
      </c>
    </row>
    <row r="13" spans="1:17" x14ac:dyDescent="0.25">
      <c r="B13" t="s">
        <v>66</v>
      </c>
      <c r="N13">
        <v>1</v>
      </c>
      <c r="O13">
        <f>N13*(1+N8/100)</f>
        <v>1.0189999999999999</v>
      </c>
      <c r="P13">
        <f t="shared" ref="P13:Q13" si="0">O13*(1+O8/100)</f>
        <v>1.0974629999999999</v>
      </c>
      <c r="Q13">
        <f t="shared" si="0"/>
        <v>1.1336792789999997</v>
      </c>
    </row>
    <row r="14" spans="1:17" x14ac:dyDescent="0.25">
      <c r="B14" t="s">
        <v>64</v>
      </c>
      <c r="O14">
        <v>1</v>
      </c>
      <c r="P14">
        <f>O14*(1+O8/100)</f>
        <v>1.077</v>
      </c>
      <c r="Q14">
        <f>P14*(1+P8/100)</f>
        <v>1.1125409999999998</v>
      </c>
    </row>
    <row r="15" spans="1:17" x14ac:dyDescent="0.25">
      <c r="B15" t="s">
        <v>65</v>
      </c>
      <c r="P15">
        <v>1</v>
      </c>
      <c r="Q15">
        <f>P15*(1+P8/100)</f>
        <v>1.0329999999999999</v>
      </c>
    </row>
    <row r="21" spans="2:4" x14ac:dyDescent="0.25">
      <c r="B21" t="s">
        <v>48</v>
      </c>
      <c r="C21">
        <v>1.0861000000000001</v>
      </c>
      <c r="D21" t="s">
        <v>51</v>
      </c>
    </row>
    <row r="22" spans="2:4" x14ac:dyDescent="0.25">
      <c r="B22" t="s">
        <v>49</v>
      </c>
      <c r="C22">
        <f>1/C21</f>
        <v>0.92072553171899452</v>
      </c>
      <c r="D22" t="s">
        <v>52</v>
      </c>
    </row>
    <row r="23" spans="2:4" x14ac:dyDescent="0.25">
      <c r="B23" t="s">
        <v>50</v>
      </c>
    </row>
    <row r="25" spans="2:4" x14ac:dyDescent="0.25">
      <c r="B25" t="s">
        <v>78</v>
      </c>
      <c r="C25">
        <v>7.4592000000000001</v>
      </c>
      <c r="D25" t="s">
        <v>82</v>
      </c>
    </row>
    <row r="26" spans="2:4" x14ac:dyDescent="0.25">
      <c r="B26" s="6" t="s">
        <v>80</v>
      </c>
      <c r="C26">
        <f>1/C25</f>
        <v>0.13406263406263405</v>
      </c>
      <c r="D26" t="s">
        <v>79</v>
      </c>
    </row>
    <row r="27" spans="2:4" x14ac:dyDescent="0.25">
      <c r="B27" t="s">
        <v>81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80294-7B27-41D1-8FAC-3D3DF857D5BB}">
  <dimension ref="A3:E33"/>
  <sheetViews>
    <sheetView topLeftCell="A3" workbookViewId="0">
      <selection activeCell="G23" sqref="G23"/>
    </sheetView>
  </sheetViews>
  <sheetFormatPr defaultRowHeight="15" x14ac:dyDescent="0.25"/>
  <cols>
    <col min="1" max="1" width="52.42578125" customWidth="1"/>
    <col min="2" max="2" width="16.5703125" customWidth="1"/>
  </cols>
  <sheetData>
    <row r="3" spans="1:3" ht="21" x14ac:dyDescent="0.35">
      <c r="A3" s="5" t="s">
        <v>68</v>
      </c>
      <c r="B3" t="s">
        <v>69</v>
      </c>
    </row>
    <row r="4" spans="1:3" x14ac:dyDescent="0.25">
      <c r="B4" t="s">
        <v>70</v>
      </c>
    </row>
    <row r="5" spans="1:3" x14ac:dyDescent="0.25">
      <c r="A5" s="1" t="s">
        <v>83</v>
      </c>
      <c r="B5" s="1" t="s">
        <v>86</v>
      </c>
      <c r="C5" s="1" t="s">
        <v>85</v>
      </c>
    </row>
    <row r="6" spans="1:3" x14ac:dyDescent="0.25">
      <c r="A6" t="s">
        <v>71</v>
      </c>
      <c r="B6">
        <v>951.3</v>
      </c>
      <c r="C6">
        <f>B6*'Inflation &amp; exchange rates'!$C$26</f>
        <v>127.53378378378376</v>
      </c>
    </row>
    <row r="8" spans="1:3" x14ac:dyDescent="0.25">
      <c r="A8" t="s">
        <v>72</v>
      </c>
      <c r="B8">
        <f>((18*8.44 + 6*2.81)*2+ (6*2.81 + 15*16.89 +3*8.44 )*5)/(24*7)</f>
        <v>10.804821428571429</v>
      </c>
      <c r="C8">
        <f>B8*'Inflation &amp; exchange rates'!$C$26</f>
        <v>1.4485228212906784</v>
      </c>
    </row>
    <row r="9" spans="1:3" x14ac:dyDescent="0.25">
      <c r="A9" t="s">
        <v>73</v>
      </c>
      <c r="B9">
        <f>( (2.81*24)*2 + (2.81*6 + 8.44*18)*5 )/(24*7) * 10</f>
        <v>58.260714285714279</v>
      </c>
      <c r="C9">
        <f>B9*'Inflation &amp; exchange rates'!$C$26</f>
        <v>7.8105848195133891</v>
      </c>
    </row>
    <row r="10" spans="1:3" x14ac:dyDescent="0.25">
      <c r="A10" s="1" t="s">
        <v>93</v>
      </c>
      <c r="B10" s="1">
        <f>B6+(B8+B9)/2</f>
        <v>985.83276785714281</v>
      </c>
      <c r="C10" s="1">
        <f>B10*'Inflation &amp; exchange rates'!$C$26</f>
        <v>132.16333760418581</v>
      </c>
    </row>
    <row r="12" spans="1:3" x14ac:dyDescent="0.25">
      <c r="A12" s="1" t="s">
        <v>84</v>
      </c>
    </row>
    <row r="13" spans="1:3" x14ac:dyDescent="0.25">
      <c r="A13" t="s">
        <v>76</v>
      </c>
      <c r="B13">
        <v>2.9</v>
      </c>
      <c r="C13">
        <f>B13*'Inflation &amp; exchange rates'!$C$26</f>
        <v>0.38878163878163874</v>
      </c>
    </row>
    <row r="14" spans="1:3" x14ac:dyDescent="0.25">
      <c r="A14" t="s">
        <v>74</v>
      </c>
      <c r="B14">
        <v>79.5</v>
      </c>
      <c r="C14">
        <f>B14*'Inflation &amp; exchange rates'!$C$26</f>
        <v>10.657979407979408</v>
      </c>
    </row>
    <row r="15" spans="1:3" x14ac:dyDescent="0.25">
      <c r="A15" s="1" t="s">
        <v>93</v>
      </c>
      <c r="B15" s="1">
        <f>SUM(B13:B14)</f>
        <v>82.4</v>
      </c>
      <c r="C15" s="1">
        <f>B15*'Inflation &amp; exchange rates'!$C$26</f>
        <v>11.046761046761047</v>
      </c>
    </row>
    <row r="17" spans="1:5" ht="21" x14ac:dyDescent="0.35">
      <c r="A17" s="5" t="s">
        <v>77</v>
      </c>
      <c r="B17" t="s">
        <v>101</v>
      </c>
    </row>
    <row r="18" spans="1:5" x14ac:dyDescent="0.25">
      <c r="B18" t="s">
        <v>87</v>
      </c>
    </row>
    <row r="19" spans="1:5" x14ac:dyDescent="0.25">
      <c r="A19" s="1" t="s">
        <v>97</v>
      </c>
      <c r="B19" s="1" t="s">
        <v>86</v>
      </c>
      <c r="C19" s="1" t="s">
        <v>85</v>
      </c>
    </row>
    <row r="20" spans="1:5" x14ac:dyDescent="0.25">
      <c r="A20" t="s">
        <v>88</v>
      </c>
      <c r="B20">
        <v>58</v>
      </c>
      <c r="C20">
        <f>B20*'Inflation &amp; exchange rates'!$C$26</f>
        <v>7.7756327756327748</v>
      </c>
    </row>
    <row r="21" spans="1:5" x14ac:dyDescent="0.25">
      <c r="A21" t="s">
        <v>89</v>
      </c>
      <c r="B21">
        <v>54</v>
      </c>
      <c r="C21">
        <f>B21*'Inflation &amp; exchange rates'!$C$26</f>
        <v>7.2393822393822385</v>
      </c>
    </row>
    <row r="22" spans="1:5" x14ac:dyDescent="0.25">
      <c r="A22" t="s">
        <v>90</v>
      </c>
      <c r="B22">
        <v>1</v>
      </c>
      <c r="C22">
        <f>B22*'Inflation &amp; exchange rates'!$C$26</f>
        <v>0.13406263406263405</v>
      </c>
    </row>
    <row r="23" spans="1:5" x14ac:dyDescent="0.25">
      <c r="A23" s="1" t="s">
        <v>75</v>
      </c>
      <c r="B23" s="1">
        <f>SUM(B20:B22)</f>
        <v>113</v>
      </c>
      <c r="C23" s="1">
        <f>B23*'Inflation &amp; exchange rates'!$C$26</f>
        <v>15.149077649077647</v>
      </c>
    </row>
    <row r="24" spans="1:5" x14ac:dyDescent="0.25">
      <c r="A24" t="s">
        <v>100</v>
      </c>
      <c r="E24" t="s">
        <v>99</v>
      </c>
    </row>
    <row r="26" spans="1:5" x14ac:dyDescent="0.25">
      <c r="A26" s="1" t="s">
        <v>98</v>
      </c>
    </row>
    <row r="27" spans="1:5" x14ac:dyDescent="0.25">
      <c r="A27" t="s">
        <v>91</v>
      </c>
      <c r="B27">
        <v>1.6</v>
      </c>
      <c r="C27">
        <f>B27*'Inflation &amp; exchange rates'!$C$26</f>
        <v>0.2145002145002145</v>
      </c>
    </row>
    <row r="28" spans="1:5" x14ac:dyDescent="0.25">
      <c r="A28" t="s">
        <v>92</v>
      </c>
      <c r="B28">
        <f>(3+9)/2</f>
        <v>6</v>
      </c>
      <c r="C28">
        <f>B28*'Inflation &amp; exchange rates'!$C$26</f>
        <v>0.80437580437580425</v>
      </c>
    </row>
    <row r="29" spans="1:5" x14ac:dyDescent="0.25">
      <c r="A29" s="1" t="s">
        <v>96</v>
      </c>
      <c r="B29" s="1">
        <f>SUM(B27:B28)</f>
        <v>7.6</v>
      </c>
      <c r="C29" s="1">
        <f>B29*'Inflation &amp; exchange rates'!$C$26</f>
        <v>1.0188760188760186</v>
      </c>
    </row>
    <row r="32" spans="1:5" ht="21" x14ac:dyDescent="0.35">
      <c r="A32" s="5" t="s">
        <v>95</v>
      </c>
      <c r="B32" s="5">
        <f>C10+C23</f>
        <v>147.31241525326345</v>
      </c>
      <c r="C32" s="7" t="s">
        <v>102</v>
      </c>
    </row>
    <row r="33" spans="1:3" ht="21" x14ac:dyDescent="0.35">
      <c r="A33" s="5" t="s">
        <v>94</v>
      </c>
      <c r="B33" s="5">
        <f>C15+C29</f>
        <v>12.065637065637066</v>
      </c>
      <c r="C33" s="7" t="s">
        <v>102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4</vt:i4>
      </vt:variant>
    </vt:vector>
  </HeadingPairs>
  <TitlesOfParts>
    <vt:vector size="4" baseType="lpstr">
      <vt:lpstr>Costs &amp; parameters</vt:lpstr>
      <vt:lpstr>Ark2</vt:lpstr>
      <vt:lpstr>Inflation &amp; exchange rates</vt:lpstr>
      <vt:lpstr>Electricity tariffs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 Petersen</dc:creator>
  <cp:lastModifiedBy>Filip Petersen</cp:lastModifiedBy>
  <dcterms:created xsi:type="dcterms:W3CDTF">2024-04-30T14:29:42Z</dcterms:created>
  <dcterms:modified xsi:type="dcterms:W3CDTF">2024-06-21T10:04:33Z</dcterms:modified>
</cp:coreProperties>
</file>