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gorc\Desktop\ekonometria i inne\ocena konducji\"/>
    </mc:Choice>
  </mc:AlternateContent>
  <xr:revisionPtr revIDLastSave="0" documentId="8_{288BBE5E-70BB-4B35-96F7-DB3A350E1C46}" xr6:coauthVersionLast="47" xr6:coauthVersionMax="47" xr10:uidLastSave="{00000000-0000-0000-0000-000000000000}"/>
  <bookViews>
    <workbookView xWindow="-108" yWindow="-108" windowWidth="23256" windowHeight="12456" tabRatio="1000" firstSheet="1" activeTab="4" xr2:uid="{00000000-000D-0000-FFFF-FFFF00000000}"/>
  </bookViews>
  <sheets>
    <sheet name="bilans" sheetId="3" r:id="rId1"/>
    <sheet name="rpp" sheetId="9" r:id="rId2"/>
    <sheet name="zzwkw" sheetId="10" r:id="rId3"/>
    <sheet name="rzis" sheetId="8" r:id="rId4"/>
    <sheet name="analiza pionowa i pozioma" sheetId="12" r:id="rId5"/>
    <sheet name="dodatkowe" sheetId="11" r:id="rId6"/>
    <sheet name="Wskaźnik rentowności" sheetId="13" r:id="rId7"/>
    <sheet name="Wskaźnik płynności" sheetId="14" r:id="rId8"/>
    <sheet name="Wskaźniki obrotowości" sheetId="16" r:id="rId9"/>
    <sheet name="Wskaźniki zadłużenia" sheetId="17" r:id="rId10"/>
    <sheet name="Wskaźniki rynku kapitałowego" sheetId="18" r:id="rId11"/>
    <sheet name="model du ponta" sheetId="19" r:id="rId12"/>
    <sheet name="Model Artmana, analiza dyskrymi" sheetId="20" r:id="rId13"/>
    <sheet name="SWOT" sheetId="23" r:id="rId14"/>
  </sheets>
  <definedNames>
    <definedName name="_xlnm.Print_Area" localSheetId="4">'analiza pionowa i pozioma'!$A$1:$S$44</definedName>
    <definedName name="_xlnm.Print_Area" localSheetId="0">bilans!$A$1:$H$74</definedName>
    <definedName name="_xlnm.Print_Area" localSheetId="5">dodatkowe!$A$1:$D$38</definedName>
    <definedName name="_xlnm.Print_Area" localSheetId="11">'model du ponta'!$A$1:$G$75</definedName>
    <definedName name="_xlnm.Print_Area" localSheetId="1">rpp!$A$1:$D$49</definedName>
    <definedName name="_xlnm.Print_Area" localSheetId="3">rzis!$A$1:$D$42</definedName>
    <definedName name="_xlnm.Print_Area" localSheetId="7">'Wskaźnik płynności'!$A$1:$M$40</definedName>
    <definedName name="_xlnm.Print_Area" localSheetId="6">'Wskaźnik rentowności'!$A$1:$Q$84</definedName>
    <definedName name="_xlnm.Print_Area" localSheetId="9">'Wskaźniki zadłużenia'!$A$1:$N$83</definedName>
    <definedName name="_xlnm.Print_Area" localSheetId="2">zzwkw!$A$1:$D$29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3  Page 1-2   2_b53f61ad-73a7-4b8c-9d1c-cfb7d27788cc" name="Table003  Page 1-2   2" connection="Zapytanie — Table003 (Page 1-2) (2)"/>
          <x15:modelTable id="Table010  Page 3_5b8d3859-072e-4adb-920b-d13f058f0d5d" name="Table010  Page 3" connection="Zapytanie — Table010 (Page 3)"/>
          <x15:modelTable id="Table011  Page 3_ab6ee719-cb80-4c88-a134-8ae34b4efd4d" name="Table011  Page 3" connection="Zapytanie — Table011 (Page 3)"/>
          <x15:modelTable id="Table013  Page 4_b00eb36e-14f4-4695-b10c-b27e3888cca8" name="Table013  Page 4" connection="Zapytanie — Table013 (Page 4)"/>
          <x15:modelTable id="Table014  Page 4_d09cd972-72e7-492b-9f37-468c0dba8e2f" name="Table014  Page 4" connection="Zapytanie — Table014 (Page 4)"/>
          <x15:modelTable id="Table015  Page 5_ea260416-1e0a-4361-8dd6-c5f2b99678b1" name="Table015  Page 5" connection="Zapytanie — Table015 (Page 5)"/>
          <x15:modelTable id="Table016  Page 5-6_7fac93e7-262e-4155-8c8a-2db5a98b7c93" name="Table016  Page 5-6" connection="Zapytanie — Table016 (Page 5-6)"/>
          <x15:modelTable id="Table017  Page 6_6db4b47d-ab89-4cff-9a8c-5c3d930046d8" name="Table017  Page 6" connection="Zapytanie — Table017 (Page 6)"/>
          <x15:modelTable id="Table018  Page 7_cd9278b9-fdd4-4d35-b06f-debc465fbc7e" name="Table018  Page 7" connection="Zapytanie — Table018 (Page 7)"/>
          <x15:modelTable id="Table019  Page 8_7ad83093-0691-4c38-888f-54c2d3883368" name="Table019  Page 8" connection="Zapytanie — Table019 (Page 8)"/>
          <x15:modelTable id="Table020  Page 8_906e63b2-84db-44f1-b7d1-5713451d715d" name="Table020  Page 8" connection="Zapytanie — Table020 (Page 8)"/>
          <x15:modelTable id="Table021  Page 9_3073c8eb-bdf8-48ef-bcf5-d04ac1591c0e" name="Table021  Page 9" connection="Zapytanie — Table021 (Page 9)"/>
          <x15:modelTable id="Table022  Page 10_f38ea48c-3393-4a3f-900b-eae27edad319" name="Table022  Page 10" connection="Zapytanie — Table022 (Page 10)"/>
          <x15:modelTable id="Table023  Page 10_18515025-7b94-4731-85a3-3fc0a6f8866c" name="Table023  Page 10" connection="Zapytanie — Table023 (Page 10)"/>
          <x15:modelTable id="Table024  Page 10_1288a807-fb94-4418-9624-d34337592e80" name="Table024  Page 10" connection="Zapytanie — Table024 (Page 10)"/>
          <x15:modelTable id="Table025  Page 10_06542310-56cf-4b52-8c22-b4cbcff0177d" name="Table025  Page 10" connection="Zapytanie — Table025 (Page 10)"/>
          <x15:modelTable id="Table026  Page 10_5f836500-b863-4ae7-b4ea-f6132525956e" name="Table026  Page 10" connection="Zapytanie — Table026 (Page 10)"/>
          <x15:modelTable id="Table029  Page 11_c008de27-9f6c-42f8-8f18-380e5c6b6211" name="Table029  Page 11" connection="Zapytanie — Table029 (Page 11)"/>
          <x15:modelTable id="Table036  Page 12_fc439234-7031-4b71-a824-8532f5a26dcc" name="Table036  Page 12" connection="Zapytanie — Table036 (Page 12)"/>
          <x15:modelTable id="Table037  Page 13_4dff82fa-55ab-414c-8c28-cc82bd6bd729" name="Table037  Page 13" connection="Zapytanie — Table037 (Page 1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3" l="1"/>
  <c r="E62" i="3"/>
  <c r="C67" i="3"/>
  <c r="D67" i="3"/>
  <c r="E67" i="3"/>
  <c r="Q18" i="12"/>
  <c r="P18" i="12"/>
  <c r="D27" i="20"/>
  <c r="C27" i="20"/>
  <c r="D28" i="20"/>
  <c r="C28" i="20"/>
  <c r="D26" i="20" l="1"/>
  <c r="C26" i="20"/>
  <c r="D29" i="20"/>
  <c r="C29" i="20"/>
  <c r="D25" i="20"/>
  <c r="C25" i="20"/>
  <c r="B5" i="17" l="1"/>
  <c r="J11" i="18"/>
  <c r="I11" i="18"/>
  <c r="C42" i="18" s="1"/>
  <c r="H11" i="18"/>
  <c r="J7" i="18"/>
  <c r="C8" i="18" s="1"/>
  <c r="I7" i="18"/>
  <c r="C6" i="18" s="1"/>
  <c r="H7" i="18"/>
  <c r="I8" i="18"/>
  <c r="C24" i="18" s="1"/>
  <c r="J8" i="18"/>
  <c r="C26" i="18" s="1"/>
  <c r="H8" i="18"/>
  <c r="C22" i="18" s="1"/>
  <c r="B31" i="14"/>
  <c r="C35" i="18" l="1"/>
  <c r="C31" i="18"/>
  <c r="C33" i="18"/>
  <c r="C40" i="18"/>
  <c r="C4" i="18"/>
  <c r="C44" i="18"/>
  <c r="B23" i="13" l="1"/>
  <c r="B21" i="13"/>
  <c r="B19" i="13"/>
  <c r="I10" i="18"/>
  <c r="C15" i="18" s="1"/>
  <c r="J10" i="18"/>
  <c r="C17" i="18" s="1"/>
  <c r="H10" i="18"/>
  <c r="C13" i="18" s="1"/>
  <c r="B7" i="17" l="1"/>
  <c r="B9" i="17"/>
  <c r="B21" i="17"/>
  <c r="B23" i="17"/>
  <c r="B19" i="17"/>
  <c r="D8" i="20" l="1"/>
  <c r="E8" i="20"/>
  <c r="C8" i="20"/>
  <c r="D7" i="20"/>
  <c r="E7" i="20"/>
  <c r="C7" i="20"/>
  <c r="D6" i="20"/>
  <c r="E6" i="20"/>
  <c r="C6" i="20"/>
  <c r="D5" i="20"/>
  <c r="E5" i="20"/>
  <c r="C5" i="20"/>
  <c r="D4" i="20"/>
  <c r="D9" i="20" s="1"/>
  <c r="E4" i="20"/>
  <c r="C4" i="20"/>
  <c r="B13" i="19"/>
  <c r="C13" i="19"/>
  <c r="D13" i="19"/>
  <c r="C12" i="19"/>
  <c r="D12" i="19"/>
  <c r="B12" i="19"/>
  <c r="C11" i="19"/>
  <c r="D11" i="19"/>
  <c r="B11" i="19"/>
  <c r="C10" i="19"/>
  <c r="D10" i="19"/>
  <c r="B10" i="19"/>
  <c r="C9" i="19"/>
  <c r="D9" i="19"/>
  <c r="B9" i="19"/>
  <c r="C7" i="19"/>
  <c r="D7" i="19"/>
  <c r="B7" i="19"/>
  <c r="C9" i="20" l="1"/>
  <c r="E9" i="20"/>
  <c r="B79" i="17"/>
  <c r="B77" i="17"/>
  <c r="B75" i="17"/>
  <c r="B65" i="17"/>
  <c r="B63" i="17"/>
  <c r="B61" i="17"/>
  <c r="B49" i="17"/>
  <c r="B51" i="17"/>
  <c r="B47" i="17"/>
  <c r="B35" i="17"/>
  <c r="D16" i="20" s="1"/>
  <c r="B37" i="17"/>
  <c r="E16" i="20" s="1"/>
  <c r="B33" i="17"/>
  <c r="C16" i="20" s="1"/>
  <c r="B13" i="17"/>
  <c r="B12" i="17"/>
  <c r="B92" i="16"/>
  <c r="B90" i="16"/>
  <c r="B88" i="16"/>
  <c r="B65" i="16"/>
  <c r="E19" i="20" s="1"/>
  <c r="B63" i="16"/>
  <c r="D19" i="20" s="1"/>
  <c r="B61" i="16"/>
  <c r="C19" i="20" s="1"/>
  <c r="B37" i="16"/>
  <c r="B51" i="16" s="1"/>
  <c r="B35" i="16"/>
  <c r="B33" i="16"/>
  <c r="B47" i="16" s="1"/>
  <c r="B9" i="16"/>
  <c r="B23" i="16" s="1"/>
  <c r="B7" i="16"/>
  <c r="B21" i="16" s="1"/>
  <c r="B5" i="16"/>
  <c r="B19" i="16" s="1"/>
  <c r="B35" i="14"/>
  <c r="B33" i="14"/>
  <c r="B20" i="14"/>
  <c r="B22" i="14"/>
  <c r="B18" i="14"/>
  <c r="B7" i="14"/>
  <c r="D15" i="20" s="1"/>
  <c r="B9" i="14"/>
  <c r="E15" i="20" s="1"/>
  <c r="B5" i="14"/>
  <c r="C15" i="20" s="1"/>
  <c r="B75" i="16" l="1"/>
  <c r="B69" i="17"/>
  <c r="B40" i="16"/>
  <c r="C39" i="14"/>
  <c r="C13" i="14"/>
  <c r="C14" i="14"/>
  <c r="D17" i="20"/>
  <c r="C8" i="19"/>
  <c r="D8" i="19"/>
  <c r="E17" i="20"/>
  <c r="B49" i="16"/>
  <c r="B54" i="16" s="1"/>
  <c r="C17" i="20"/>
  <c r="B8" i="19"/>
  <c r="B79" i="16"/>
  <c r="B55" i="16"/>
  <c r="B77" i="16"/>
  <c r="B83" i="16" s="1"/>
  <c r="B27" i="16"/>
  <c r="B68" i="17"/>
  <c r="B27" i="17"/>
  <c r="B55" i="17"/>
  <c r="B54" i="17"/>
  <c r="B40" i="17"/>
  <c r="B26" i="17"/>
  <c r="B41" i="17"/>
  <c r="B96" i="16"/>
  <c r="B95" i="16"/>
  <c r="B41" i="16"/>
  <c r="B26" i="16"/>
  <c r="B13" i="16"/>
  <c r="B12" i="16"/>
  <c r="B69" i="16"/>
  <c r="B68" i="16"/>
  <c r="C40" i="14"/>
  <c r="C26" i="14"/>
  <c r="C27" i="14"/>
  <c r="B82" i="16" l="1"/>
  <c r="B83" i="17"/>
  <c r="B82" i="17"/>
  <c r="C76" i="13" l="1"/>
  <c r="D76" i="13"/>
  <c r="B76" i="13"/>
  <c r="B65" i="13"/>
  <c r="D14" i="19" s="1"/>
  <c r="B63" i="13"/>
  <c r="C14" i="19" s="1"/>
  <c r="B61" i="13"/>
  <c r="B14" i="19" s="1"/>
  <c r="B37" i="13"/>
  <c r="B35" i="13"/>
  <c r="B51" i="13"/>
  <c r="E18" i="20" s="1"/>
  <c r="E20" i="20" s="1"/>
  <c r="B49" i="13"/>
  <c r="D18" i="20" s="1"/>
  <c r="D20" i="20" s="1"/>
  <c r="B47" i="13"/>
  <c r="C18" i="20" s="1"/>
  <c r="C20" i="20" s="1"/>
  <c r="B33" i="13"/>
  <c r="B27" i="13"/>
  <c r="B7" i="13"/>
  <c r="B9" i="13"/>
  <c r="B5" i="13"/>
  <c r="J27" i="12"/>
  <c r="J26" i="12"/>
  <c r="J25" i="12"/>
  <c r="J32" i="12"/>
  <c r="J31" i="12"/>
  <c r="J30" i="12"/>
  <c r="J34" i="12"/>
  <c r="J35" i="12"/>
  <c r="J36" i="12"/>
  <c r="J40" i="12"/>
  <c r="J41" i="12"/>
  <c r="J39" i="12"/>
  <c r="J21" i="12"/>
  <c r="J20" i="12"/>
  <c r="J19" i="12"/>
  <c r="J16" i="12"/>
  <c r="J15" i="12"/>
  <c r="J14" i="12"/>
  <c r="J12" i="12"/>
  <c r="J11" i="12"/>
  <c r="J10" i="12"/>
  <c r="J7" i="12"/>
  <c r="J6" i="12"/>
  <c r="J5" i="12"/>
  <c r="C41" i="12"/>
  <c r="C40" i="12"/>
  <c r="C39" i="12"/>
  <c r="C36" i="12"/>
  <c r="C35" i="12"/>
  <c r="C34" i="12"/>
  <c r="C32" i="12"/>
  <c r="C31" i="12"/>
  <c r="C30" i="12"/>
  <c r="C27" i="12"/>
  <c r="C25" i="12"/>
  <c r="C26" i="12"/>
  <c r="C19" i="12"/>
  <c r="C21" i="12"/>
  <c r="C20" i="12"/>
  <c r="C12" i="12"/>
  <c r="C16" i="12"/>
  <c r="C15" i="12"/>
  <c r="C14" i="12"/>
  <c r="C11" i="12"/>
  <c r="C10" i="12"/>
  <c r="C5" i="12"/>
  <c r="C7" i="12"/>
  <c r="C6" i="12"/>
  <c r="B12" i="13" l="1"/>
  <c r="B13" i="13"/>
  <c r="B69" i="13"/>
  <c r="B68" i="13"/>
  <c r="B55" i="13"/>
  <c r="B80" i="13"/>
  <c r="B84" i="13"/>
  <c r="B82" i="13"/>
  <c r="B41" i="13"/>
  <c r="B40" i="13"/>
  <c r="B26" i="13"/>
  <c r="B54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1C5A50-50EA-4759-9B3F-75F6F4507EBB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036F836-C611-4CBF-9DB2-6E087497C5E0}" keepAlive="1" name="Zapytanie — Table001 (Page 2)" description="Połączenie z zapytaniem „Table001 (Page 2)” w skoroszycie." type="5" refreshedVersion="0" background="1" saveData="1">
    <dbPr connection="Provider=Microsoft.Mashup.OleDb.1;Data Source=$Workbook$;Location=&quot;Table001 (Page 2)&quot;;Extended Properties=&quot;&quot;" command="SELECT * FROM [Table001 (Page 2)]"/>
  </connection>
  <connection id="3" xr16:uid="{C3FFD076-B3F7-451F-83A9-0C8FCEC2D8B0}" keepAlive="1" name="Zapytanie — Table002 (Page 3)" description="Połączenie z zapytaniem „Table002 (Page 3)” w skoroszycie." type="5" refreshedVersion="0" background="1" saveData="1">
    <dbPr connection="Provider=Microsoft.Mashup.OleDb.1;Data Source=$Workbook$;Location=&quot;Table002 (Page 3)&quot;;Extended Properties=&quot;&quot;" command="SELECT * FROM [Table002 (Page 3)]"/>
  </connection>
  <connection id="4" xr16:uid="{DA176028-0674-4CEB-9D6F-16F6CC395937}" keepAlive="1" name="Zapytanie — Table002 (Page 3) (2)" description="Połączenie z zapytaniem „Table002 (Page 3) (2)” w skoroszycie." type="5" refreshedVersion="8" background="1" saveData="1">
    <dbPr connection="Provider=Microsoft.Mashup.OleDb.1;Data Source=$Workbook$;Location=&quot;Table002 (Page 3) (2)&quot;;Extended Properties=&quot;&quot;" command="SELECT * FROM [Table002 (Page 3) (2)]"/>
  </connection>
  <connection id="5" xr16:uid="{A2C11A89-6CAD-4158-9FEC-CA309F62C763}" keepAlive="1" name="Zapytanie — Table003 (Page 1-2)" description="Połączenie z zapytaniem „Table003 (Page 1-2)” w skoroszycie." type="5" refreshedVersion="0" background="1" saveData="1">
    <dbPr connection="Provider=Microsoft.Mashup.OleDb.1;Data Source=$Workbook$;Location=&quot;Table003 (Page 1-2)&quot;;Extended Properties=&quot;&quot;" command="SELECT * FROM [Table003 (Page 1-2)]"/>
  </connection>
  <connection id="6" xr16:uid="{BC97839F-869B-430B-9AE5-D9DADC8FD431}" name="Zapytanie — Table003 (Page 1-2) (2)" description="Połączenie z zapytaniem „Table003 (Page 1-2) (2)” w skoroszycie." type="100" refreshedVersion="8" minRefreshableVersion="5">
    <extLst>
      <ext xmlns:x15="http://schemas.microsoft.com/office/spreadsheetml/2010/11/main" uri="{DE250136-89BD-433C-8126-D09CA5730AF9}">
        <x15:connection id="35ae8623-cf34-481e-92d8-2c371b4c695f"/>
      </ext>
    </extLst>
  </connection>
  <connection id="7" xr16:uid="{8D1FBDF6-2BF2-4702-AC2B-FB6528E2D258}" keepAlive="1" name="Zapytanie — Table003 (Page 1-2) (3)" description="Połączenie z zapytaniem „Table003 (Page 1-2) (3)” w skoroszycie." type="5" refreshedVersion="0" background="1" saveData="1">
    <dbPr connection="Provider=Microsoft.Mashup.OleDb.1;Data Source=$Workbook$;Location=&quot;Table003 (Page 1-2) (3)&quot;;Extended Properties=&quot;&quot;" command="SELECT * FROM [Table003 (Page 1-2) (3)]"/>
  </connection>
  <connection id="8" xr16:uid="{E0C53956-A2A5-4781-A5CE-88721270A1F8}" name="Zapytanie — Table010 (Page 3)" description="Połączenie z zapytaniem „Table010 (Page 3)” w skoroszycie." type="100" refreshedVersion="8" minRefreshableVersion="5">
    <extLst>
      <ext xmlns:x15="http://schemas.microsoft.com/office/spreadsheetml/2010/11/main" uri="{DE250136-89BD-433C-8126-D09CA5730AF9}">
        <x15:connection id="8e405341-4048-4de3-ae0e-602af8e2e537"/>
      </ext>
    </extLst>
  </connection>
  <connection id="9" xr16:uid="{E39A52C4-3839-4570-8E04-EF373512F832}" keepAlive="1" name="Zapytanie — Table010 (Page 3) (2)" description="Połączenie z zapytaniem „Table010 (Page 3) (2)” w skoroszycie." type="5" refreshedVersion="8" background="1" saveData="1">
    <dbPr connection="Provider=Microsoft.Mashup.OleDb.1;Data Source=$Workbook$;Location=&quot;Table010 (Page 3) (2)&quot;;Extended Properties=&quot;&quot;" command="SELECT * FROM [Table010 (Page 3) (2)]"/>
  </connection>
  <connection id="10" xr16:uid="{7EB38D29-6A8B-4234-9DF3-055292266A55}" name="Zapytanie — Table011 (Page 3)" description="Połączenie z zapytaniem „Table011 (Page 3)” w skoroszycie." type="100" refreshedVersion="8" minRefreshableVersion="5">
    <extLst>
      <ext xmlns:x15="http://schemas.microsoft.com/office/spreadsheetml/2010/11/main" uri="{DE250136-89BD-433C-8126-D09CA5730AF9}">
        <x15:connection id="f3d35129-1828-4189-b8d3-a7130915cc13"/>
      </ext>
    </extLst>
  </connection>
  <connection id="11" xr16:uid="{8E89E79F-6568-44B7-AAE5-73897F667C14}" name="Zapytanie — Table013 (Page 4)" description="Połączenie z zapytaniem „Table013 (Page 4)” w skoroszycie." type="100" refreshedVersion="8" minRefreshableVersion="5">
    <extLst>
      <ext xmlns:x15="http://schemas.microsoft.com/office/spreadsheetml/2010/11/main" uri="{DE250136-89BD-433C-8126-D09CA5730AF9}">
        <x15:connection id="c47fa2b5-2650-4d27-801a-f60a82e95cec"/>
      </ext>
    </extLst>
  </connection>
  <connection id="12" xr16:uid="{270D9DFF-F22C-44AD-BCF4-BE65000E071D}" name="Zapytanie — Table014 (Page 4)" description="Połączenie z zapytaniem „Table014 (Page 4)” w skoroszycie." type="100" refreshedVersion="8" minRefreshableVersion="5">
    <extLst>
      <ext xmlns:x15="http://schemas.microsoft.com/office/spreadsheetml/2010/11/main" uri="{DE250136-89BD-433C-8126-D09CA5730AF9}">
        <x15:connection id="a7251c6f-ad57-4090-b0c1-3c66dda02772"/>
      </ext>
    </extLst>
  </connection>
  <connection id="13" xr16:uid="{FA03FAA4-F7F5-4782-B86C-43E4A8340316}" name="Zapytanie — Table015 (Page 5)" description="Połączenie z zapytaniem „Table015 (Page 5)” w skoroszycie." type="100" refreshedVersion="8" minRefreshableVersion="5">
    <extLst>
      <ext xmlns:x15="http://schemas.microsoft.com/office/spreadsheetml/2010/11/main" uri="{DE250136-89BD-433C-8126-D09CA5730AF9}">
        <x15:connection id="3225e086-d520-49bb-b531-44bcad17a1d5"/>
      </ext>
    </extLst>
  </connection>
  <connection id="14" xr16:uid="{A424EDF6-3F24-4D19-BBF0-22E206637ED1}" name="Zapytanie — Table016 (Page 5-6)" description="Połączenie z zapytaniem „Table016 (Page 5-6)” w skoroszycie." type="100" refreshedVersion="8" minRefreshableVersion="5">
    <extLst>
      <ext xmlns:x15="http://schemas.microsoft.com/office/spreadsheetml/2010/11/main" uri="{DE250136-89BD-433C-8126-D09CA5730AF9}">
        <x15:connection id="98429e83-ccb4-4622-bff4-d2e877f36a24"/>
      </ext>
    </extLst>
  </connection>
  <connection id="15" xr16:uid="{5C4824AB-F61C-4EFF-9F4F-073CC696754A}" name="Zapytanie — Table017 (Page 6)" description="Połączenie z zapytaniem „Table017 (Page 6)” w skoroszycie." type="100" refreshedVersion="8" minRefreshableVersion="5">
    <extLst>
      <ext xmlns:x15="http://schemas.microsoft.com/office/spreadsheetml/2010/11/main" uri="{DE250136-89BD-433C-8126-D09CA5730AF9}">
        <x15:connection id="fa389263-c3d8-4835-87e0-c60b021a7578"/>
      </ext>
    </extLst>
  </connection>
  <connection id="16" xr16:uid="{CDF53428-8BCB-45C0-A89E-70ED767FECDD}" name="Zapytanie — Table018 (Page 7)" description="Połączenie z zapytaniem „Table018 (Page 7)” w skoroszycie." type="100" refreshedVersion="8" minRefreshableVersion="5">
    <extLst>
      <ext xmlns:x15="http://schemas.microsoft.com/office/spreadsheetml/2010/11/main" uri="{DE250136-89BD-433C-8126-D09CA5730AF9}">
        <x15:connection id="cb54f0a7-99a6-497d-844b-35090b8c3cb3"/>
      </ext>
    </extLst>
  </connection>
  <connection id="17" xr16:uid="{E917D78C-48E9-4FB5-8D8E-F0151BD5F408}" name="Zapytanie — Table019 (Page 8)" description="Połączenie z zapytaniem „Table019 (Page 8)” w skoroszycie." type="100" refreshedVersion="8" minRefreshableVersion="5">
    <extLst>
      <ext xmlns:x15="http://schemas.microsoft.com/office/spreadsheetml/2010/11/main" uri="{DE250136-89BD-433C-8126-D09CA5730AF9}">
        <x15:connection id="79a9612a-b28c-4065-a772-6e162fe42fc5"/>
      </ext>
    </extLst>
  </connection>
  <connection id="18" xr16:uid="{D1DC3364-765E-4040-B81E-0253D0DAD9E6}" name="Zapytanie — Table020 (Page 8)" description="Połączenie z zapytaniem „Table020 (Page 8)” w skoroszycie." type="100" refreshedVersion="8" minRefreshableVersion="5">
    <extLst>
      <ext xmlns:x15="http://schemas.microsoft.com/office/spreadsheetml/2010/11/main" uri="{DE250136-89BD-433C-8126-D09CA5730AF9}">
        <x15:connection id="7145f057-b6d0-44b2-96fa-f5646d8b0fec"/>
      </ext>
    </extLst>
  </connection>
  <connection id="19" xr16:uid="{E52556CF-8C2F-4D44-8C65-C2E668D3532F}" name="Zapytanie — Table021 (Page 9)" description="Połączenie z zapytaniem „Table021 (Page 9)” w skoroszycie." type="100" refreshedVersion="8" minRefreshableVersion="5">
    <extLst>
      <ext xmlns:x15="http://schemas.microsoft.com/office/spreadsheetml/2010/11/main" uri="{DE250136-89BD-433C-8126-D09CA5730AF9}">
        <x15:connection id="45325e05-cc16-4f8a-b666-a29db46a00b4"/>
      </ext>
    </extLst>
  </connection>
  <connection id="20" xr16:uid="{93CBD3D0-72A1-422A-AE61-54BFFD5B5E6A}" name="Zapytanie — Table022 (Page 10)" description="Połączenie z zapytaniem „Table022 (Page 10)” w skoroszycie." type="100" refreshedVersion="8" minRefreshableVersion="5">
    <extLst>
      <ext xmlns:x15="http://schemas.microsoft.com/office/spreadsheetml/2010/11/main" uri="{DE250136-89BD-433C-8126-D09CA5730AF9}">
        <x15:connection id="37f0e74c-e7ea-4a85-bcf7-910a26afb3d2"/>
      </ext>
    </extLst>
  </connection>
  <connection id="21" xr16:uid="{31146711-4326-4682-8A06-BB430505422A}" name="Zapytanie — Table023 (Page 10)" description="Połączenie z zapytaniem „Table023 (Page 10)” w skoroszycie." type="100" refreshedVersion="8" minRefreshableVersion="5">
    <extLst>
      <ext xmlns:x15="http://schemas.microsoft.com/office/spreadsheetml/2010/11/main" uri="{DE250136-89BD-433C-8126-D09CA5730AF9}">
        <x15:connection id="12522e75-3ab5-4c92-8d2b-d3457a2cc7e8"/>
      </ext>
    </extLst>
  </connection>
  <connection id="22" xr16:uid="{13AB0FAC-49BF-43D8-A07B-49E807AAE15A}" name="Zapytanie — Table024 (Page 10)" description="Połączenie z zapytaniem „Table024 (Page 10)” w skoroszycie." type="100" refreshedVersion="8" minRefreshableVersion="5">
    <extLst>
      <ext xmlns:x15="http://schemas.microsoft.com/office/spreadsheetml/2010/11/main" uri="{DE250136-89BD-433C-8126-D09CA5730AF9}">
        <x15:connection id="9710a879-3007-4f87-9781-71797aef89b7"/>
      </ext>
    </extLst>
  </connection>
  <connection id="23" xr16:uid="{D1354CF3-3DA8-42CB-B14B-C94B9522A843}" name="Zapytanie — Table025 (Page 10)" description="Połączenie z zapytaniem „Table025 (Page 10)” w skoroszycie." type="100" refreshedVersion="8" minRefreshableVersion="5">
    <extLst>
      <ext xmlns:x15="http://schemas.microsoft.com/office/spreadsheetml/2010/11/main" uri="{DE250136-89BD-433C-8126-D09CA5730AF9}">
        <x15:connection id="a148f83b-25c1-43e5-b82f-a285dbeca42d"/>
      </ext>
    </extLst>
  </connection>
  <connection id="24" xr16:uid="{E1F348E2-3CF5-46EA-9820-E9796D4CDF76}" name="Zapytanie — Table026 (Page 10)" description="Połączenie z zapytaniem „Table026 (Page 10)” w skoroszycie." type="100" refreshedVersion="8" minRefreshableVersion="5">
    <extLst>
      <ext xmlns:x15="http://schemas.microsoft.com/office/spreadsheetml/2010/11/main" uri="{DE250136-89BD-433C-8126-D09CA5730AF9}">
        <x15:connection id="1aa9b096-b6c9-4d2c-8458-8dd74d78f6af"/>
      </ext>
    </extLst>
  </connection>
  <connection id="25" xr16:uid="{C3B1D269-CCAC-486E-AB58-E0CF801F7982}" name="Zapytanie — Table029 (Page 11)" description="Połączenie z zapytaniem „Table029 (Page 11)” w skoroszycie." type="100" refreshedVersion="8" minRefreshableVersion="5">
    <extLst>
      <ext xmlns:x15="http://schemas.microsoft.com/office/spreadsheetml/2010/11/main" uri="{DE250136-89BD-433C-8126-D09CA5730AF9}">
        <x15:connection id="49abea33-47a5-4659-9c97-9bf7aeed5635"/>
      </ext>
    </extLst>
  </connection>
  <connection id="26" xr16:uid="{02D18151-59D8-4148-BD41-8151710E927F}" name="Zapytanie — Table036 (Page 12)" description="Połączenie z zapytaniem „Table036 (Page 12)” w skoroszycie." type="100" refreshedVersion="8" minRefreshableVersion="5">
    <extLst>
      <ext xmlns:x15="http://schemas.microsoft.com/office/spreadsheetml/2010/11/main" uri="{DE250136-89BD-433C-8126-D09CA5730AF9}">
        <x15:connection id="dd3b66ae-e244-412e-9735-7334ac5870c2"/>
      </ext>
    </extLst>
  </connection>
  <connection id="27" xr16:uid="{375DC108-70C9-48BC-96E7-052800A0C166}" name="Zapytanie — Table037 (Page 13)" description="Połączenie z zapytaniem „Table037 (Page 13)” w skoroszycie." type="100" refreshedVersion="8" minRefreshableVersion="5">
    <extLst>
      <ext xmlns:x15="http://schemas.microsoft.com/office/spreadsheetml/2010/11/main" uri="{DE250136-89BD-433C-8126-D09CA5730AF9}">
        <x15:connection id="118eb498-fa3d-4028-9f84-ad0edf1a09a6"/>
      </ext>
    </extLst>
  </connection>
</connections>
</file>

<file path=xl/sharedStrings.xml><?xml version="1.0" encoding="utf-8"?>
<sst xmlns="http://schemas.openxmlformats.org/spreadsheetml/2006/main" count="1105" uniqueCount="839">
  <si>
    <t>AKTYWA</t>
  </si>
  <si>
    <t>I. Aktywa trwałe</t>
  </si>
  <si>
    <t>1. Wartości niematerialne i prawne, w tym:</t>
  </si>
  <si>
    <t>- wartość firmy</t>
  </si>
  <si>
    <t>2. Rzeczowe aktywa trwałe</t>
  </si>
  <si>
    <t>3. Należności długoterminowe</t>
  </si>
  <si>
    <t>4. Inwestycje długoterminowe</t>
  </si>
  <si>
    <t>4.1. Długoterminowe aktywa finansowe</t>
  </si>
  <si>
    <t>a) w jednostkach powiązanych, w tym:</t>
  </si>
  <si>
    <t>- udziały lub akcje w jednostkach zależnych wyceniane metodą praw własności</t>
  </si>
  <si>
    <t>5. Długoterminowe rozliczenia międzyokresowe</t>
  </si>
  <si>
    <t>5.1. Aktywa z tytułu odroczonego podatku dochodowego</t>
  </si>
  <si>
    <t>5.2. Inne rozliczenia międzyokresowe</t>
  </si>
  <si>
    <t>II. Aktywa obrotowe</t>
  </si>
  <si>
    <t>1. Zapasy</t>
  </si>
  <si>
    <t>2. Należności krótkoterminowe</t>
  </si>
  <si>
    <t>2.1. Od jednostek powiązanych</t>
  </si>
  <si>
    <t>2.2. Od pozostałych jednostek</t>
  </si>
  <si>
    <t>3. Inwestycje krótkoterminowe</t>
  </si>
  <si>
    <t>3.1. Krótkoterminowe aktywa finansowe</t>
  </si>
  <si>
    <t>a) środki pieniężne i inne aktywa pieniężne</t>
  </si>
  <si>
    <t>4. Krótkoterminowe rozliczenia międzyokresowe</t>
  </si>
  <si>
    <t>PASYWA</t>
  </si>
  <si>
    <t>I. Kapitał własny</t>
  </si>
  <si>
    <t>1. Kapitał zakładowy</t>
  </si>
  <si>
    <t>2. Kapitał zapasowy</t>
  </si>
  <si>
    <t>3. Zysk (strata) netto</t>
  </si>
  <si>
    <t>II. Zobowiązania i rezerwy na zobowiązania</t>
  </si>
  <si>
    <t>1. Rezerwy na zobowiązania</t>
  </si>
  <si>
    <t>1.1. Rezerwa z tytułu odroczonego podatku dochodowego</t>
  </si>
  <si>
    <t>1.2. Rezerwa na świadczenia emerytalne i podobne</t>
  </si>
  <si>
    <t>a) długoterminowa</t>
  </si>
  <si>
    <t>b) krótkoterminowa</t>
  </si>
  <si>
    <t>1.3. Pozostałe rezerwy</t>
  </si>
  <si>
    <t>a) krótkoterminowe</t>
  </si>
  <si>
    <t>2. Zobowiązania długoterminowe</t>
  </si>
  <si>
    <t>2.1. Wobec pozostałych jednostek</t>
  </si>
  <si>
    <t>3. Zobowiązania krótkoterminowe</t>
  </si>
  <si>
    <t>3.1. Wobec jednostek powiązanych</t>
  </si>
  <si>
    <t>3.2. Wobec pozostałych jednostek</t>
  </si>
  <si>
    <t>3.3. Fundusze specjalne</t>
  </si>
  <si>
    <t>4. Rozliczenia międzyokresowe</t>
  </si>
  <si>
    <t>4.1. Inne rozliczenia międzyokresowe</t>
  </si>
  <si>
    <t>a) długoterminowe</t>
  </si>
  <si>
    <t>b) krótkoterminowe</t>
  </si>
  <si>
    <t>w tys.  zł</t>
  </si>
  <si>
    <t>101 585</t>
  </si>
  <si>
    <t>89 906</t>
  </si>
  <si>
    <t>5 769</t>
  </si>
  <si>
    <t>5 426</t>
  </si>
  <si>
    <t>92 037</t>
  </si>
  <si>
    <t>79 759</t>
  </si>
  <si>
    <t>1 450</t>
  </si>
  <si>
    <t>1 354</t>
  </si>
  <si>
    <t>2 329</t>
  </si>
  <si>
    <t>3 367</t>
  </si>
  <si>
    <t>1 635</t>
  </si>
  <si>
    <t>2 411</t>
  </si>
  <si>
    <t>73 183</t>
  </si>
  <si>
    <t>76 527</t>
  </si>
  <si>
    <t>50 778</t>
  </si>
  <si>
    <t>50 624</t>
  </si>
  <si>
    <t>15 777</t>
  </si>
  <si>
    <t>18 003</t>
  </si>
  <si>
    <t>4 018</t>
  </si>
  <si>
    <t>3 498</t>
  </si>
  <si>
    <t>11 759</t>
  </si>
  <si>
    <t>14 505</t>
  </si>
  <si>
    <t>2 354</t>
  </si>
  <si>
    <t>4 714</t>
  </si>
  <si>
    <t>4 274</t>
  </si>
  <si>
    <t>3 186</t>
  </si>
  <si>
    <t>A k t y w a  r a z e m</t>
  </si>
  <si>
    <t>174 768</t>
  </si>
  <si>
    <t>166 433</t>
  </si>
  <si>
    <t>114 691</t>
  </si>
  <si>
    <t>111 812</t>
  </si>
  <si>
    <t>2 470</t>
  </si>
  <si>
    <t>2 449</t>
  </si>
  <si>
    <t>74 038</t>
  </si>
  <si>
    <t>70 354</t>
  </si>
  <si>
    <t>38 183</t>
  </si>
  <si>
    <t>39 009</t>
  </si>
  <si>
    <t>60 077</t>
  </si>
  <si>
    <t>54 621</t>
  </si>
  <si>
    <t>9 852</t>
  </si>
  <si>
    <t>13 186</t>
  </si>
  <si>
    <t>3 208</t>
  </si>
  <si>
    <t>3 106</t>
  </si>
  <si>
    <t>4 331</t>
  </si>
  <si>
    <t>6 321</t>
  </si>
  <si>
    <t>3 888</t>
  </si>
  <si>
    <t>6 103</t>
  </si>
  <si>
    <t>2 313</t>
  </si>
  <si>
    <t>3 759</t>
  </si>
  <si>
    <t>40 892</t>
  </si>
  <si>
    <t>31 047</t>
  </si>
  <si>
    <t>40 589</t>
  </si>
  <si>
    <t>30 507</t>
  </si>
  <si>
    <t>9 333</t>
  </si>
  <si>
    <t>10 337</t>
  </si>
  <si>
    <t>7 882</t>
  </si>
  <si>
    <t>8 657</t>
  </si>
  <si>
    <t>1 451</t>
  </si>
  <si>
    <t>1 680</t>
  </si>
  <si>
    <t>P a s y w a  r a z e m</t>
  </si>
  <si>
    <t>Wyszczególnienie</t>
  </si>
  <si>
    <t>4 348</t>
  </si>
  <si>
    <t>100 255</t>
  </si>
  <si>
    <t>2 008</t>
  </si>
  <si>
    <t>1 645</t>
  </si>
  <si>
    <t>88 876</t>
  </si>
  <si>
    <t>61 244</t>
  </si>
  <si>
    <t>19 352</t>
  </si>
  <si>
    <t>2 988</t>
  </si>
  <si>
    <t>16 364</t>
  </si>
  <si>
    <t>2 377</t>
  </si>
  <si>
    <t>5 903</t>
  </si>
  <si>
    <t>196 937</t>
  </si>
  <si>
    <t>132 445</t>
  </si>
  <si>
    <t>2 518</t>
  </si>
  <si>
    <t>99 029</t>
  </si>
  <si>
    <t>30 898</t>
  </si>
  <si>
    <t>64 492</t>
  </si>
  <si>
    <t>6 414</t>
  </si>
  <si>
    <t>3 612</t>
  </si>
  <si>
    <t>1 237</t>
  </si>
  <si>
    <t>1 565</t>
  </si>
  <si>
    <t>48 295</t>
  </si>
  <si>
    <t>48 205</t>
  </si>
  <si>
    <t>9 783</t>
  </si>
  <si>
    <t>8 683</t>
  </si>
  <si>
    <t>1 100</t>
  </si>
  <si>
    <t>I. Przychody netto ze sprzedaży produktów, towarów i materiałów, w tym:</t>
  </si>
  <si>
    <t>222 682</t>
  </si>
  <si>
    <t>237 426</t>
  </si>
  <si>
    <t>- od jednostek powiązanych</t>
  </si>
  <si>
    <t>5 129</t>
  </si>
  <si>
    <t>3 170</t>
  </si>
  <si>
    <t>1. Przychody netto ze sprzedaży produktów</t>
  </si>
  <si>
    <t>210 218</t>
  </si>
  <si>
    <t>224 247</t>
  </si>
  <si>
    <t>2. Przychody netto ze sprzedaży towarów i materiałów</t>
  </si>
  <si>
    <t>12 464</t>
  </si>
  <si>
    <t>13 179</t>
  </si>
  <si>
    <t>II. Koszty sprzedanych produktów, towarów i materiałów, w tym:</t>
  </si>
  <si>
    <t>141 990</t>
  </si>
  <si>
    <t>149 478</t>
  </si>
  <si>
    <t>- jednostkom powiązanym</t>
  </si>
  <si>
    <t>3 839</t>
  </si>
  <si>
    <t>2 352</t>
  </si>
  <si>
    <t>1. Koszt wytworzenia sprzedanych produktów</t>
  </si>
  <si>
    <t>131 782</t>
  </si>
  <si>
    <t>138 327</t>
  </si>
  <si>
    <t>2. Wartość sprzedanych towarów i materiałów</t>
  </si>
  <si>
    <t>10 208</t>
  </si>
  <si>
    <t>11 151</t>
  </si>
  <si>
    <t>III. Zysk (strata) brutto ze sprzedaży</t>
  </si>
  <si>
    <t>80 692</t>
  </si>
  <si>
    <t>87 948</t>
  </si>
  <si>
    <t>IV. Koszty sprzedaży</t>
  </si>
  <si>
    <t>20 151</t>
  </si>
  <si>
    <t>22 717</t>
  </si>
  <si>
    <t>V. Koszty ogólnego zarządu</t>
  </si>
  <si>
    <t>16 409</t>
  </si>
  <si>
    <t>15 738</t>
  </si>
  <si>
    <t>VI. Zysk (strata) ze sprzedaży</t>
  </si>
  <si>
    <t>44 132</t>
  </si>
  <si>
    <t>49 493</t>
  </si>
  <si>
    <t>VII. Pozostałe przychody operacyjne</t>
  </si>
  <si>
    <t>3 550</t>
  </si>
  <si>
    <t>2 183</t>
  </si>
  <si>
    <t>1. Zysk z tytułu rozchodu niefinansowych aktywów trwałych</t>
  </si>
  <si>
    <t>2. Dotacje</t>
  </si>
  <si>
    <t>2 187</t>
  </si>
  <si>
    <t>2 014</t>
  </si>
  <si>
    <t>3. Aktualizacja wartości aktywów niefinansowych</t>
  </si>
  <si>
    <t>1 145</t>
  </si>
  <si>
    <t>4. Inne przychody operacyjne</t>
  </si>
  <si>
    <t>VIII. Pozostałe koszty operacyjne</t>
  </si>
  <si>
    <t>1 399</t>
  </si>
  <si>
    <t>2 114</t>
  </si>
  <si>
    <t>1. Strata z tytułu rozchodu niefinansowych aktywów trwałych</t>
  </si>
  <si>
    <t>2. Aktualizacja wartości aktywów niefinansowych</t>
  </si>
  <si>
    <t>1 298</t>
  </si>
  <si>
    <t>3. Inne koszty operacyjne</t>
  </si>
  <si>
    <t>IX. Zysk (strata) z działalności operacyjnej</t>
  </si>
  <si>
    <t>46 283</t>
  </si>
  <si>
    <t>49 562</t>
  </si>
  <si>
    <t>X. Przychody finansowe</t>
  </si>
  <si>
    <t>1 102</t>
  </si>
  <si>
    <t>1. Odsetki, w tym:</t>
  </si>
  <si>
    <t>2. Aktualizacja wartości aktywów finansowych</t>
  </si>
  <si>
    <t>3. Inne</t>
  </si>
  <si>
    <t>XI. Koszty finansowe</t>
  </si>
  <si>
    <t>1 708</t>
  </si>
  <si>
    <t>1. Odsetki w tym:</t>
  </si>
  <si>
    <t>- dla jednostek powiązanych</t>
  </si>
  <si>
    <t>2. Strata z tytułu rozchodu aktywów finansowych, w tym:</t>
  </si>
  <si>
    <t>- w jednostkach powiązanych</t>
  </si>
  <si>
    <t>3. Aktualizacja wartości aktywów finansowych</t>
  </si>
  <si>
    <t>1 359</t>
  </si>
  <si>
    <t>4. Inne</t>
  </si>
  <si>
    <t>XII. Zysk (strata) brutto</t>
  </si>
  <si>
    <t>46 454</t>
  </si>
  <si>
    <t>48 430</t>
  </si>
  <si>
    <t>XIII. Podatek dochodowy</t>
  </si>
  <si>
    <t>8 271</t>
  </si>
  <si>
    <t>9 421</t>
  </si>
  <si>
    <t>a) część bieżąca</t>
  </si>
  <si>
    <t>7 393</t>
  </si>
  <si>
    <t>9 480</t>
  </si>
  <si>
    <t>b) część odroczona</t>
  </si>
  <si>
    <t>XIV. Zysk (strata) netto</t>
  </si>
  <si>
    <t>3,87</t>
  </si>
  <si>
    <t>3,99</t>
  </si>
  <si>
    <t>3,80</t>
  </si>
  <si>
    <t>3,92</t>
  </si>
  <si>
    <t>185 222</t>
  </si>
  <si>
    <t>2 251</t>
  </si>
  <si>
    <t>176 246</t>
  </si>
  <si>
    <t>8 976</t>
  </si>
  <si>
    <t>117 696</t>
  </si>
  <si>
    <t>1 663</t>
  </si>
  <si>
    <t>110 312</t>
  </si>
  <si>
    <t>7 384</t>
  </si>
  <si>
    <t>67 526</t>
  </si>
  <si>
    <t>18 628</t>
  </si>
  <si>
    <t>16 652</t>
  </si>
  <si>
    <t>32 246</t>
  </si>
  <si>
    <t>6 275</t>
  </si>
  <si>
    <t>5 450</t>
  </si>
  <si>
    <t>1 754</t>
  </si>
  <si>
    <t>36 767</t>
  </si>
  <si>
    <t>37 080</t>
  </si>
  <si>
    <t>6 182</t>
  </si>
  <si>
    <t>5 787</t>
  </si>
  <si>
    <t>A. Przepływy środków pieniężnych z działalności operacyjnej</t>
  </si>
  <si>
    <t>I. Zysk (strata) netto</t>
  </si>
  <si>
    <t>II. Korekty razem</t>
  </si>
  <si>
    <t>3 418</t>
  </si>
  <si>
    <t>11 681</t>
  </si>
  <si>
    <t>1. Amortyzacja</t>
  </si>
  <si>
    <t>11 463</t>
  </si>
  <si>
    <t>9 299</t>
  </si>
  <si>
    <t>2. (Zyski) straty z tytułu różnic kursowych</t>
  </si>
  <si>
    <t>3. Odsetki i udziały w zyskach (dywidendy)</t>
  </si>
  <si>
    <t>4. (Zysk) strata z działalności inwestycyjnej</t>
  </si>
  <si>
    <t>-1 548</t>
  </si>
  <si>
    <t>2 336</t>
  </si>
  <si>
    <t>5. Zmiana stanu rezerw</t>
  </si>
  <si>
    <t>-3 334</t>
  </si>
  <si>
    <t>7 514</t>
  </si>
  <si>
    <t>6. Zmiana stanu zapasów</t>
  </si>
  <si>
    <t>-15 750</t>
  </si>
  <si>
    <t>7. Zmiana stanu należności</t>
  </si>
  <si>
    <t>2 078</t>
  </si>
  <si>
    <t>1 445</t>
  </si>
  <si>
    <t>8. Zmiana stanu zobowiązań krótkoterminowych, z wyjątkiem pożyczek i  kredytów</t>
  </si>
  <si>
    <t>-5 702</t>
  </si>
  <si>
    <t>11 019</t>
  </si>
  <si>
    <t>9. Zmiana stanu rozliczeń międzyokresowych</t>
  </si>
  <si>
    <t>-2 584</t>
  </si>
  <si>
    <t>-4 205</t>
  </si>
  <si>
    <t>10. Inne korekty</t>
  </si>
  <si>
    <t>2 558</t>
  </si>
  <si>
    <t>III. Przepływy pieniężne netto z działalności operacyjnej (I+/-II) - metoda pośrednia</t>
  </si>
  <si>
    <t>41 601</t>
  </si>
  <si>
    <t>50 690</t>
  </si>
  <si>
    <t>B. Przepływy środków pieniężnych z działalności inwestycyjnej</t>
  </si>
  <si>
    <t>I. Wpływy</t>
  </si>
  <si>
    <t>1. Zbycie wartości niematerialnych i prawnych oraz rzeczowych aktywów trwałych</t>
  </si>
  <si>
    <t>2. Z aktywów finansowych, w tym:</t>
  </si>
  <si>
    <t>a) w jednostkach powiązanych</t>
  </si>
  <si>
    <t>- zbycie aktywów finansowych</t>
  </si>
  <si>
    <t>3. Inne wpływy inwestycyjne</t>
  </si>
  <si>
    <t>II. Wydatki</t>
  </si>
  <si>
    <t>24 490</t>
  </si>
  <si>
    <t>22 283</t>
  </si>
  <si>
    <t>1. Nabycie wartości niematerialnych i prawnych oraz rzeczowych aktywów trwałych</t>
  </si>
  <si>
    <t>23 694</t>
  </si>
  <si>
    <t>21 625</t>
  </si>
  <si>
    <t>2. Inne wydatki inwestycyjne</t>
  </si>
  <si>
    <t>III. Przepływy pieniężne netto z działalności inwestycyjnej (I-II)</t>
  </si>
  <si>
    <t>-23 527</t>
  </si>
  <si>
    <t>-21 554</t>
  </si>
  <si>
    <t>C. Przepływy środków pieniężnych z działalności finansowej</t>
  </si>
  <si>
    <t>19 236</t>
  </si>
  <si>
    <t>2 320</t>
  </si>
  <si>
    <t>Wpływy netto z emisji akcji (wydania udziałów) i innych instrumentów kapitałowych oraz dopłat do
1. kapitału</t>
  </si>
  <si>
    <t>2. Kredyty i pożyczki</t>
  </si>
  <si>
    <t>17 405</t>
  </si>
  <si>
    <t>3. Inne wpływy finansowe</t>
  </si>
  <si>
    <t>39 657</t>
  </si>
  <si>
    <t>44 760</t>
  </si>
  <si>
    <t>1. Dywidendy i inne wypłaty na rzecz właścicieli</t>
  </si>
  <si>
    <t>38 922</t>
  </si>
  <si>
    <t>2. Spłaty kredytów i pożyczek</t>
  </si>
  <si>
    <t>19 931</t>
  </si>
  <si>
    <t>3. Płatności zobowiązań z tytułu  umów leasingu finansowego</t>
  </si>
  <si>
    <t>4. Odsetki</t>
  </si>
  <si>
    <t>III. Przepływy pieniężne netto z działalności finansowej (I-II)</t>
  </si>
  <si>
    <t>-20 421</t>
  </si>
  <si>
    <t>-42 440</t>
  </si>
  <si>
    <t>D. Przepływy pieniężne netto, razem (A.III+/-B.III+/-C.III)</t>
  </si>
  <si>
    <t>-2 347</t>
  </si>
  <si>
    <t>-13 304</t>
  </si>
  <si>
    <t>E. Bilansowa zmiana stanu środków pieniężnych, w tym:</t>
  </si>
  <si>
    <t>-2 360</t>
  </si>
  <si>
    <t>-13 007</t>
  </si>
  <si>
    <t>- zmiana stanu środków pieniężnych z tytułu różnic kursowych</t>
  </si>
  <si>
    <t>F. Środki pieniężne na początek okresu</t>
  </si>
  <si>
    <t>4 709</t>
  </si>
  <si>
    <t>18 013</t>
  </si>
  <si>
    <t>G. Środki pieniężne na koniec okresu (F+/- D), w tym:</t>
  </si>
  <si>
    <t>2 362</t>
  </si>
  <si>
    <t>- o ograniczonej możliwości dysponowania</t>
  </si>
  <si>
    <t>-12 057</t>
  </si>
  <si>
    <t>10 893</t>
  </si>
  <si>
    <t>-3 438</t>
  </si>
  <si>
    <t>-10 466</t>
  </si>
  <si>
    <t>-3 111</t>
  </si>
  <si>
    <t>-5 935</t>
  </si>
  <si>
    <t>-2 806</t>
  </si>
  <si>
    <t>3 144</t>
  </si>
  <si>
    <t>18 841</t>
  </si>
  <si>
    <t>1 868</t>
  </si>
  <si>
    <t>1 651</t>
  </si>
  <si>
    <t>17 811</t>
  </si>
  <si>
    <t>14 272</t>
  </si>
  <si>
    <t>3 539</t>
  </si>
  <si>
    <t>-15 943</t>
  </si>
  <si>
    <t>15 863</t>
  </si>
  <si>
    <t>2 144</t>
  </si>
  <si>
    <t>12 079</t>
  </si>
  <si>
    <t>1 640</t>
  </si>
  <si>
    <t>18 794</t>
  </si>
  <si>
    <t>18 436</t>
  </si>
  <si>
    <t>-2 931</t>
  </si>
  <si>
    <t>I. Kapitał  własny na początek okresu (BO)</t>
  </si>
  <si>
    <t>96 411</t>
  </si>
  <si>
    <t>1. Kapitał zakładowy na początek okresu</t>
  </si>
  <si>
    <t>2 429</t>
  </si>
  <si>
    <t>1.1. Zmiany kapitału zakładowego</t>
  </si>
  <si>
    <t>a) zwiększenia (z tytułu)</t>
  </si>
  <si>
    <t>- emisji akcji (wydania udziałów)</t>
  </si>
  <si>
    <t>1.2. Kapitał zakładowy na koniec okresu</t>
  </si>
  <si>
    <t>2. Kapitał  zapasowy na początek okresu</t>
  </si>
  <si>
    <t>63 284</t>
  </si>
  <si>
    <t>2.1. Zmiany kapitału zapasowego</t>
  </si>
  <si>
    <t>3 684</t>
  </si>
  <si>
    <t>7 070</t>
  </si>
  <si>
    <t>3 709</t>
  </si>
  <si>
    <t>7 057</t>
  </si>
  <si>
    <t>- emisji akcji powyżej wartości nominalnej</t>
  </si>
  <si>
    <t>- z podziału zysku (ponad wymaganą ustawowo minimalną wartość)</t>
  </si>
  <si>
    <t>6 208</t>
  </si>
  <si>
    <t>- z wyceny programu motywacyjnego</t>
  </si>
  <si>
    <t>2 735</t>
  </si>
  <si>
    <t>b) zmniejszenia (z tytułu)</t>
  </si>
  <si>
    <t>2.2. Kapitał zapasowy na koniec okresu</t>
  </si>
  <si>
    <t>3. Zysk  (strata) z lat ubiegłych na początek okresu</t>
  </si>
  <si>
    <t>30 698</t>
  </si>
  <si>
    <t>3.1. Zysk z lat ubiegłych na początek okresu</t>
  </si>
  <si>
    <t>a) zmniejszenia (z tytułu)</t>
  </si>
  <si>
    <t>- dywidenda (wypłacona i zadeklarowana)</t>
  </si>
  <si>
    <t>38 923</t>
  </si>
  <si>
    <t>- przeznaczenie zysku na kapitał zapasowy</t>
  </si>
  <si>
    <t>3.2. Zysk z lat ubiegłych na koniec okresu</t>
  </si>
  <si>
    <t>4. Wynik netto</t>
  </si>
  <si>
    <t>a) zysk netto</t>
  </si>
  <si>
    <t>II. Kapitał  własny na koniec okresu (BZ )</t>
  </si>
  <si>
    <t>III. Kapitał  własny, po uwzględnieniu proponowanego podziału zysku (pokrycia straty)</t>
  </si>
  <si>
    <t>86 789</t>
  </si>
  <si>
    <t>82 175</t>
  </si>
  <si>
    <t>24 991</t>
  </si>
  <si>
    <t>2 096</t>
  </si>
  <si>
    <t>19 747</t>
  </si>
  <si>
    <t>3 148</t>
  </si>
  <si>
    <t>110 283</t>
  </si>
  <si>
    <t>Pracownicy bezpośrednio produkcyjni</t>
  </si>
  <si>
    <t>Pracownicy pośrednio produkcyjni</t>
  </si>
  <si>
    <t>Badania i rozwój, kontrola jakości, serwis</t>
  </si>
  <si>
    <t>Pracownicy nieprodukcyjni</t>
  </si>
  <si>
    <t>Razem</t>
  </si>
  <si>
    <t>-</t>
  </si>
  <si>
    <t>x</t>
  </si>
  <si>
    <t>1.1 materiały</t>
  </si>
  <si>
    <t>1.2 produkty gotowe</t>
  </si>
  <si>
    <t>1.3 towary</t>
  </si>
  <si>
    <t>1.4 zaliczki na dostawy i usługi</t>
  </si>
  <si>
    <t>Analiza pionowa i pozioma</t>
  </si>
  <si>
    <t>1. Produkty gotowe</t>
  </si>
  <si>
    <t>Pionowa</t>
  </si>
  <si>
    <t>Apion2018=</t>
  </si>
  <si>
    <t>Apion2019=</t>
  </si>
  <si>
    <t>%</t>
  </si>
  <si>
    <t>Pozioma</t>
  </si>
  <si>
    <t>∆Awzgl2018=</t>
  </si>
  <si>
    <t>∆Awzgl2019=</t>
  </si>
  <si>
    <t>∆Abez.wzgl2018=</t>
  </si>
  <si>
    <t>∆Abez.wzgl2019=</t>
  </si>
  <si>
    <t>Apion2020=</t>
  </si>
  <si>
    <t>∆Awzgl2020=</t>
  </si>
  <si>
    <t>∆Abez.wzgl2020=</t>
  </si>
  <si>
    <t>Dynamika ważona</t>
  </si>
  <si>
    <t>∆Aważ2018=</t>
  </si>
  <si>
    <t>∆Aważ2019=</t>
  </si>
  <si>
    <t>∆Aważ2020=</t>
  </si>
  <si>
    <t>pasywa razem 2017</t>
  </si>
  <si>
    <t>2. Materiały</t>
  </si>
  <si>
    <t>3. Towary</t>
  </si>
  <si>
    <t>4. Zaliczki na towary i usługi</t>
  </si>
  <si>
    <t>1) Rentowność brutto sprzedaży</t>
  </si>
  <si>
    <r>
      <t>RS</t>
    </r>
    <r>
      <rPr>
        <vertAlign val="subscript"/>
        <sz val="12"/>
        <color theme="1"/>
        <rFont val="Times New Roman"/>
        <family val="1"/>
        <charset val="238"/>
      </rPr>
      <t>2018</t>
    </r>
  </si>
  <si>
    <r>
      <t>RS</t>
    </r>
    <r>
      <rPr>
        <vertAlign val="subscript"/>
        <sz val="12"/>
        <color theme="1"/>
        <rFont val="Times New Roman"/>
        <family val="1"/>
        <charset val="238"/>
      </rPr>
      <t>2019</t>
    </r>
  </si>
  <si>
    <t>Zmiana RS:</t>
  </si>
  <si>
    <t>RS2019-RS2018=</t>
  </si>
  <si>
    <r>
      <t>RS</t>
    </r>
    <r>
      <rPr>
        <vertAlign val="subscript"/>
        <sz val="12"/>
        <color theme="1"/>
        <rFont val="Times New Roman"/>
        <family val="1"/>
        <charset val="238"/>
      </rPr>
      <t>2020</t>
    </r>
  </si>
  <si>
    <t>RS2020-RS2019=</t>
  </si>
  <si>
    <t>2) Zyskowność netto sprzedaży</t>
  </si>
  <si>
    <t>3) Rentowność pracy</t>
  </si>
  <si>
    <t>4) Zyskowność ogółu majątku</t>
  </si>
  <si>
    <t>5) Zyskowność kapitałów własnych</t>
  </si>
  <si>
    <t>6) Wskaźnik dźwigni finansowej</t>
  </si>
  <si>
    <t>ZD2018</t>
  </si>
  <si>
    <t>ZD2019</t>
  </si>
  <si>
    <t>ZD2020</t>
  </si>
  <si>
    <t>RP2018</t>
  </si>
  <si>
    <t>RP2019</t>
  </si>
  <si>
    <t>RP2020</t>
  </si>
  <si>
    <t>ZOM2018</t>
  </si>
  <si>
    <t>ZOM2019</t>
  </si>
  <si>
    <t>ZOM2020</t>
  </si>
  <si>
    <t>ZKW2019</t>
  </si>
  <si>
    <t>ZKW2020</t>
  </si>
  <si>
    <t>ZKW2018</t>
  </si>
  <si>
    <t>S. ZOM 2019</t>
  </si>
  <si>
    <t>S. ZOM 2020</t>
  </si>
  <si>
    <t>S. ZOM 2018</t>
  </si>
  <si>
    <t>WDF2019</t>
  </si>
  <si>
    <t>WDF2020</t>
  </si>
  <si>
    <t>WDF2018</t>
  </si>
  <si>
    <t>1) Wskaźnik płynności</t>
  </si>
  <si>
    <t>WPI2019</t>
  </si>
  <si>
    <t>WPI 2018</t>
  </si>
  <si>
    <t>WPI2020</t>
  </si>
  <si>
    <t>1) Wskaźnik płynności 1</t>
  </si>
  <si>
    <t>2) Wskaźnik płynności II</t>
  </si>
  <si>
    <t>3) Wskaźnik zdolności płatniczej</t>
  </si>
  <si>
    <t>WPII 2018</t>
  </si>
  <si>
    <t>WPII2019</t>
  </si>
  <si>
    <t>WPII2020</t>
  </si>
  <si>
    <t>WZP 2018</t>
  </si>
  <si>
    <t>WZP 2019</t>
  </si>
  <si>
    <t>WZP 2020</t>
  </si>
  <si>
    <t>1) Wskaźnik rotacji należności</t>
  </si>
  <si>
    <t>WRN2018</t>
  </si>
  <si>
    <t>WRN2019</t>
  </si>
  <si>
    <t>WRN2020</t>
  </si>
  <si>
    <t>2) Wskaźnik obrotu należnościami</t>
  </si>
  <si>
    <t>WON2018</t>
  </si>
  <si>
    <t>WON2019</t>
  </si>
  <si>
    <t>WON2020</t>
  </si>
  <si>
    <t>3) Wskaźnik rotacji zapasów</t>
  </si>
  <si>
    <t>4) Wskaźnik obrotu zapasami w dniach</t>
  </si>
  <si>
    <t>WRZ 2019</t>
  </si>
  <si>
    <t>WRZ 2018</t>
  </si>
  <si>
    <t>WRZ 2020</t>
  </si>
  <si>
    <t>5) Wskaźnik obrotu zobowiązaniami w dniach</t>
  </si>
  <si>
    <t>WOZ2018</t>
  </si>
  <si>
    <t>WOZ2019</t>
  </si>
  <si>
    <t>WOZ2020</t>
  </si>
  <si>
    <t>6) Cykl środków pieniężnych</t>
  </si>
  <si>
    <t>CSP2018</t>
  </si>
  <si>
    <t>CSP2019</t>
  </si>
  <si>
    <t>CSP2020</t>
  </si>
  <si>
    <t>WOZO2018</t>
  </si>
  <si>
    <t>WOZO2019</t>
  </si>
  <si>
    <t>WOZO2020</t>
  </si>
  <si>
    <t>Zmiana CSP</t>
  </si>
  <si>
    <t>CSP2020-CSP2019</t>
  </si>
  <si>
    <t>CSP2019-CSP2018</t>
  </si>
  <si>
    <t>7) Wskaźnik rotacji majątku</t>
  </si>
  <si>
    <t>RM2018</t>
  </si>
  <si>
    <t>RM2019</t>
  </si>
  <si>
    <t>RM2020</t>
  </si>
  <si>
    <t>1) Pokrycie odsetek zyskiem</t>
  </si>
  <si>
    <t>POZ2018</t>
  </si>
  <si>
    <t>POZ2019</t>
  </si>
  <si>
    <t>POZ2020</t>
  </si>
  <si>
    <t>2) Pokrycie obsługi długu</t>
  </si>
  <si>
    <t>POD2018</t>
  </si>
  <si>
    <t>POD2019</t>
  </si>
  <si>
    <t>POD2020</t>
  </si>
  <si>
    <t>3) Stopa zadłużenia</t>
  </si>
  <si>
    <t>4) Zadłużenie kapitałów własnych</t>
  </si>
  <si>
    <t>ZAKW2018</t>
  </si>
  <si>
    <t>ZAKW2019</t>
  </si>
  <si>
    <t>ZAKW2020</t>
  </si>
  <si>
    <t>5) Wskaźnik pokrycia zobowiązań nadwyżką finansową</t>
  </si>
  <si>
    <t>PZNF2018</t>
  </si>
  <si>
    <t>PZNF2019</t>
  </si>
  <si>
    <t>PZNF2020</t>
  </si>
  <si>
    <t>6) Trwałość struktury finansowej</t>
  </si>
  <si>
    <t>TSF2018</t>
  </si>
  <si>
    <t>TSF2019</t>
  </si>
  <si>
    <t>TSF2020</t>
  </si>
  <si>
    <t>Wskaźniki rynku kapitałowego</t>
  </si>
  <si>
    <t>P/E=</t>
  </si>
  <si>
    <t>1) Cena do zysku na jedną akcję</t>
  </si>
  <si>
    <t>WYBRANE DANE FINANSOWE</t>
  </si>
  <si>
    <t>I. Przychody netto ze sprzedaży produktów, towarów i materiałów</t>
  </si>
  <si>
    <t>II. Zysk (strata) z działalności operacyjnej</t>
  </si>
  <si>
    <t>III. Zysk (strata) brutto</t>
  </si>
  <si>
    <t>IV. Zysk (strata) netto</t>
  </si>
  <si>
    <t>V. Przepływy pieniężne netto z działalności operacyjnej</t>
  </si>
  <si>
    <t>VI. Przepływy pieniężne netto z działalności inwestycyjnej</t>
  </si>
  <si>
    <t>VII. Przepływy pieniężne netto z działalności finansowej</t>
  </si>
  <si>
    <t>VIII. Przepływy pieniężne netto, razem</t>
  </si>
  <si>
    <t>IX. Aktywa, razem</t>
  </si>
  <si>
    <t>X. Zobowiązania i rezerwy na zobowiązania</t>
  </si>
  <si>
    <t>XI. Zobowiązania długoterminowe</t>
  </si>
  <si>
    <t>XII. Zobowiązania krótkoterminowe</t>
  </si>
  <si>
    <t>XIII. Kapitał własny</t>
  </si>
  <si>
    <t>XIV. Kapitał zakładowy</t>
  </si>
  <si>
    <t>XV. Liczba akcji (w szt.)</t>
  </si>
  <si>
    <t>9 878 783</t>
  </si>
  <si>
    <t>9 796 133</t>
  </si>
  <si>
    <t>XVI. Zysk (strata) na jedną akcję zwykłą (w zł/ EUR)</t>
  </si>
  <si>
    <t>XVII. Rozwodniony zysk (strata) na jedną akcję zwykłą (w zł/EUR)</t>
  </si>
  <si>
    <t>XVIII. Wartość księgowa na jedną akcję (w zł/EUR)</t>
  </si>
  <si>
    <t>11,61</t>
  </si>
  <si>
    <t>11,41</t>
  </si>
  <si>
    <t>XIX. Rozwodniona wartość księgowa na jedną akcję (w zł/EUR)</t>
  </si>
  <si>
    <t>11,40</t>
  </si>
  <si>
    <t>11,22</t>
  </si>
  <si>
    <t>Zadeklarowana lub wypłacona dywidenda na jedną akcję (w
XX.
zł/EUR)</t>
  </si>
  <si>
    <t>3,94</t>
  </si>
  <si>
    <t>2,50</t>
  </si>
  <si>
    <r>
      <rPr>
        <sz val="10"/>
        <rFont val="Times New Roman"/>
        <family val="1"/>
      </rPr>
      <t>36 767</t>
    </r>
  </si>
  <si>
    <r>
      <rPr>
        <sz val="10"/>
        <rFont val="Times New Roman"/>
        <family val="1"/>
      </rPr>
      <t>37 080</t>
    </r>
  </si>
  <si>
    <r>
      <rPr>
        <sz val="10"/>
        <rFont val="Times New Roman"/>
        <family val="1"/>
      </rPr>
      <t>30 898</t>
    </r>
  </si>
  <si>
    <r>
      <rPr>
        <sz val="10"/>
        <rFont val="Times New Roman"/>
        <family val="1"/>
      </rPr>
      <t>18 841</t>
    </r>
  </si>
  <si>
    <r>
      <rPr>
        <sz val="10"/>
        <rFont val="Times New Roman"/>
        <family val="1"/>
      </rPr>
      <t>-15 943</t>
    </r>
  </si>
  <si>
    <r>
      <rPr>
        <sz val="10"/>
        <rFont val="Times New Roman"/>
        <family val="1"/>
      </rPr>
      <t>-2 931</t>
    </r>
  </si>
  <si>
    <r>
      <rPr>
        <sz val="10"/>
        <rFont val="Times New Roman"/>
        <family val="1"/>
      </rPr>
      <t>196 937</t>
    </r>
  </si>
  <si>
    <r>
      <rPr>
        <sz val="10"/>
        <rFont val="Times New Roman"/>
        <family val="1"/>
      </rPr>
      <t>64 492</t>
    </r>
  </si>
  <si>
    <r>
      <rPr>
        <sz val="10"/>
        <rFont val="Times New Roman"/>
        <family val="1"/>
      </rPr>
      <t>48 295</t>
    </r>
  </si>
  <si>
    <r>
      <rPr>
        <sz val="10"/>
        <rFont val="Times New Roman"/>
        <family val="1"/>
      </rPr>
      <t>132 445</t>
    </r>
  </si>
  <si>
    <r>
      <rPr>
        <sz val="10"/>
        <rFont val="Times New Roman"/>
        <family val="1"/>
      </rPr>
      <t>2 518</t>
    </r>
  </si>
  <si>
    <r>
      <rPr>
        <sz val="10"/>
        <rFont val="Times New Roman"/>
        <family val="1"/>
      </rPr>
      <t>3,10</t>
    </r>
  </si>
  <si>
    <r>
      <rPr>
        <sz val="10"/>
        <rFont val="Times New Roman"/>
        <family val="1"/>
      </rPr>
      <t>13,15</t>
    </r>
  </si>
  <si>
    <r>
      <rPr>
        <sz val="10"/>
        <rFont val="Times New Roman"/>
        <family val="1"/>
      </rPr>
      <t>1,85</t>
    </r>
  </si>
  <si>
    <t>srednia cena akcji</t>
  </si>
  <si>
    <t>Zyskowność netto działalności (ZD)</t>
  </si>
  <si>
    <t>Rotacja majątu (RM)</t>
  </si>
  <si>
    <t>Struktura kapitałów własnych (SKW)</t>
  </si>
  <si>
    <t>Kapitał ogółem</t>
  </si>
  <si>
    <t>Kapitał własny</t>
  </si>
  <si>
    <t>Zysk netto</t>
  </si>
  <si>
    <t>Przychody</t>
  </si>
  <si>
    <t>Zyskownośc kapitałów własnych (ZKW)</t>
  </si>
  <si>
    <t>Δ Zyskowność kapitałów własnych (ΔZKW)</t>
  </si>
  <si>
    <t>rok 2018</t>
  </si>
  <si>
    <t>rok 2019</t>
  </si>
  <si>
    <t>rok 2020</t>
  </si>
  <si>
    <t>2019-2018 = -1,1728, 2020-2019 = -7,89143, 2020-2018 = -9,064230</t>
  </si>
  <si>
    <t>MODEL ARTMANA</t>
  </si>
  <si>
    <t>Wskaźniki</t>
  </si>
  <si>
    <t>WZÓR</t>
  </si>
  <si>
    <t>X_1</t>
  </si>
  <si>
    <t>Kapitał pracujący/Majątek ogółem</t>
  </si>
  <si>
    <t>X_2</t>
  </si>
  <si>
    <t>Zysk zatrzymany/Majątek ogółem</t>
  </si>
  <si>
    <t>X_3</t>
  </si>
  <si>
    <t>EBIT/Majątek ogółem</t>
  </si>
  <si>
    <t>X_4</t>
  </si>
  <si>
    <t>Wartość rynkowa kapitału akcyjnego/Wartość księgowa zadłużenia</t>
  </si>
  <si>
    <t>X_5</t>
  </si>
  <si>
    <t>Przychody ze sprzedaży/Majątek ogółem</t>
  </si>
  <si>
    <t>ANALIZA DYSKRYMINACYJNA</t>
  </si>
  <si>
    <t>Wzór</t>
  </si>
  <si>
    <t>WPI</t>
  </si>
  <si>
    <t>Majątek obrotowy/Zobowiązania krótkoterminowe</t>
  </si>
  <si>
    <t>SZ</t>
  </si>
  <si>
    <t>(Zobowiązania ogółem/Suma bilansowa)*100</t>
  </si>
  <si>
    <t>RM</t>
  </si>
  <si>
    <t>Przychody z ogółu działalności/Majątek ogółem</t>
  </si>
  <si>
    <t>ZOM</t>
  </si>
  <si>
    <t>(Zysk netto/Majątek ogółem)*100</t>
  </si>
  <si>
    <t>WOZO</t>
  </si>
  <si>
    <t>(Zobowiązania krótkoterminowe/Koszt sprzedanych produktów,towarów i materiałów)*360</t>
  </si>
  <si>
    <t>2) Mnożnik cenowy</t>
  </si>
  <si>
    <t>wartość majątku na jedną akcję</t>
  </si>
  <si>
    <t>ZD2019-ZD2018=</t>
  </si>
  <si>
    <t>ZD2020-ZD2019=</t>
  </si>
  <si>
    <t>RP2019-RP2018=</t>
  </si>
  <si>
    <t>RP2020-RP2019=</t>
  </si>
  <si>
    <t>ZOM2019-ZOM2018=</t>
  </si>
  <si>
    <t>ZOM2020-ZOM2019=</t>
  </si>
  <si>
    <t>ZKW2019-ZKW2018=</t>
  </si>
  <si>
    <t>ZKW2020-ZKW2019=</t>
  </si>
  <si>
    <t>POZ2019-POZ2018=</t>
  </si>
  <si>
    <t>POZ2020-POZ2019=</t>
  </si>
  <si>
    <t>POD2019-POD2018=</t>
  </si>
  <si>
    <t>POD2020-POD2019=</t>
  </si>
  <si>
    <t>WRZ2019-WRZ2018=</t>
  </si>
  <si>
    <t>WRZ2020-WRZ2019=</t>
  </si>
  <si>
    <t>WPI2020-WPI2019=</t>
  </si>
  <si>
    <t>WPI2019-WPI2018=</t>
  </si>
  <si>
    <t>WPII2020-WPII2019=</t>
  </si>
  <si>
    <t>WPII2019-WPII2018=</t>
  </si>
  <si>
    <t>WZP2020-WZP2019=</t>
  </si>
  <si>
    <t>WZP2019-WZP2018=</t>
  </si>
  <si>
    <t>Zmiana WRN:</t>
  </si>
  <si>
    <t>WRN2019-WRN2018=</t>
  </si>
  <si>
    <t>WRN2020-WRN2019=</t>
  </si>
  <si>
    <t>Zmiana WON:</t>
  </si>
  <si>
    <t>WON2019-WON2018=</t>
  </si>
  <si>
    <t>WON2020-WON2019=</t>
  </si>
  <si>
    <t>Zmiana WRZ:</t>
  </si>
  <si>
    <t>Zmiana WOZ:</t>
  </si>
  <si>
    <t>WOZ2019-WOZ2018=</t>
  </si>
  <si>
    <t>WOZ2020-WOZ2019=</t>
  </si>
  <si>
    <t>Zmiana WOZO:</t>
  </si>
  <si>
    <t>WOZO2019-WOZO2018=</t>
  </si>
  <si>
    <t>WOZO2020-WOZO2019=</t>
  </si>
  <si>
    <t>Zmiana RM:</t>
  </si>
  <si>
    <t>RM2019-RM2018=</t>
  </si>
  <si>
    <t>RM2020-RM2019=</t>
  </si>
  <si>
    <t>liczba akcji</t>
  </si>
  <si>
    <t>srednia cena w tys pln</t>
  </si>
  <si>
    <t>3) Zysk na jedną akcję</t>
  </si>
  <si>
    <t>4) Stopa dywidendy</t>
  </si>
  <si>
    <t>EPS2018</t>
  </si>
  <si>
    <t>EPS2019</t>
  </si>
  <si>
    <t>EPS2020</t>
  </si>
  <si>
    <t>DPS2018</t>
  </si>
  <si>
    <t>DPS2019</t>
  </si>
  <si>
    <t>DPS2020</t>
  </si>
  <si>
    <t>5) Udział dywidendy w zysku</t>
  </si>
  <si>
    <t>DP2018</t>
  </si>
  <si>
    <t>DP2019</t>
  </si>
  <si>
    <t>DP2020</t>
  </si>
  <si>
    <r>
      <t>RS=(Wynik ze sprzedaży)/(Przychody netto ze sprzedaży produktów i towarów)</t>
    </r>
    <r>
      <rPr>
        <sz val="11"/>
        <color rgb="FF000000"/>
        <rFont val="Calibri"/>
        <family val="2"/>
        <charset val="238"/>
        <scheme val="minor"/>
      </rPr>
      <t>*100</t>
    </r>
  </si>
  <si>
    <t>𝑍𝐷=(𝑊𝑦𝑛𝑖𝑘 𝑓𝑖𝑛𝑎𝑛𝑠𝑜𝑤𝑦 𝑛𝑒𝑡𝑡𝑜)/(𝑃𝑟𝑧𝑦𝑐ℎ𝑜𝑑𝑦 𝑧 𝑜𝑔ół𝑢 𝑑𝑧𝑖𝑎ł𝑎𝑙𝑛𝑜ś𝑐𝑖)*100</t>
  </si>
  <si>
    <t>𝑍𝑂𝑀=(𝑊𝑦𝑛𝑖𝑘 𝑓𝑖𝑛𝑎𝑛𝑠𝑜𝑤𝑦 𝑛𝑒𝑡𝑡𝑜)/(𝑀𝑎𝑗ą𝑡𝑒𝑘 𝑜𝑔ół𝑒𝑚 (ś𝑟))*100</t>
  </si>
  <si>
    <r>
      <t>ZKW=(Wynik finansowy netto)/(Kapitały własne (śr))</t>
    </r>
    <r>
      <rPr>
        <sz val="11"/>
        <color rgb="FF000000"/>
        <rFont val="Calibri"/>
        <family val="2"/>
        <charset val="238"/>
        <scheme val="minor"/>
      </rPr>
      <t>*100</t>
    </r>
  </si>
  <si>
    <t>WDF=ZKW-SkorygowanaZOM</t>
  </si>
  <si>
    <t>𝑃𝑂𝑍=(𝑧𝑦𝑠𝑘 𝑏𝑟𝑢𝑡𝑡𝑜+𝑜𝑑𝑠𝑒𝑡𝑘𝑖 𝑑𝑜 𝑧𝑎𝑝ł𝑎𝑐𝑒𝑛𝑖𝑎)/(𝑜𝑑𝑠𝑒𝑡𝑘𝑖 𝑑𝑜 𝑧𝑎𝑝ł𝑎𝑐𝑒𝑛𝑖𝑎)</t>
  </si>
  <si>
    <t>POD=(zysk brutto+odsetki do zapłacenia)/(raty kapitałowe+odsetki do zapłacenia)</t>
  </si>
  <si>
    <t>𝑆𝑍=(𝑧𝑜𝑏𝑜𝑤𝑖ą𝑧𝑎𝑛𝑖𝑎 𝑜𝑔ół𝑒𝑚)/(𝑚𝑎𝑗ą𝑡𝑒𝑘 𝑜𝑔ół𝑒𝑚)*100</t>
  </si>
  <si>
    <t>𝑍𝐴𝐾𝑊=(𝑧𝑜𝑏𝑜𝑤𝑖ą𝑧𝑎𝑛𝑖𝑎 𝑜𝑔ół𝑒𝑚)/(𝑘𝑎𝑝𝑖𝑡𝑎ł𝑦 𝑤ł𝑎𝑠𝑛𝑒)*100</t>
  </si>
  <si>
    <t>𝑃𝑍𝑁𝐹=(𝑧𝑦𝑠𝑘 𝑛𝑒𝑡𝑡𝑜+𝑎𝑚𝑜𝑟𝑡𝑦𝑧𝑎𝑐𝑗𝑎 𝑟𝑜𝑐𝑧𝑛𝑎)/(𝑧𝑜𝑏𝑜𝑤𝑖ą𝑧𝑎𝑛𝑖𝑎 𝑝𝑟𝑧𝑒𝑐𝑖ę𝑡𝑛𝑒 )</t>
  </si>
  <si>
    <t>𝑇𝑆𝐹=(𝑘𝑎𝑝𝑖𝑡𝑎ł𝑦 𝑠𝑡𝑎ł𝑒)/(𝑎𝑘𝑡𝑦𝑤𝑎 𝑡𝑟𝑤𝑎ł𝑒)*100</t>
  </si>
  <si>
    <r>
      <t>P / E=</t>
    </r>
    <r>
      <rPr>
        <sz val="11"/>
        <color theme="1"/>
        <rFont val="Cambria Math"/>
        <family val="1"/>
        <charset val="238"/>
      </rPr>
      <t>(cena rynkowa jednej akcji)/(zysk na jedną akcję)</t>
    </r>
  </si>
  <si>
    <t>C/WK=(𝑐𝑒𝑛𝑎 𝑟𝑦𝑛𝑘𝑜𝑤𝑎 𝑗𝑒𝑑𝑛𝑒𝑗 𝑎𝑘𝑐𝑗𝑖)/(𝑤𝑎𝑟𝑡𝑜ś𝑐 𝑚𝑎𝑗ą𝑡𝑘𝑢 𝑛𝑎 𝑗𝑒𝑑𝑛ą 𝑎𝑘𝑐𝑗ę)</t>
  </si>
  <si>
    <t>EPS=Zysk netto/Ilość akcji nieuprzywilejowanych</t>
  </si>
  <si>
    <t>DPS=Wartość dywidendy na jedną akcję/Cena rynkowa jednej akcji</t>
  </si>
  <si>
    <t xml:space="preserve">DP=(Wartość dywidendy na jedną akcję/Zysk netto na jedną akcję)∙100% </t>
  </si>
  <si>
    <t>WPI=(Aktywa obrotowe)/(Zobowiązania krótkoterminowe)</t>
  </si>
  <si>
    <t>WPII=(Aktywa obrotowe-Zapasy)/(Zobowiązania krótkoterminowe)</t>
  </si>
  <si>
    <t>WZP=(środki pieniężne+krótkoterminowe papiery wartościowe)/(zobowiązania krótkoterminowe)</t>
  </si>
  <si>
    <t>WRN=(Przychody netto ze sprzedaży produktów i towarów)/(Należności i roszczenia przeciętne)</t>
  </si>
  <si>
    <t>𝑊𝑂𝑁=360/𝑊𝑅𝑁</t>
  </si>
  <si>
    <t>WRZ=(koszt sprzedanych produktów i towarów)/(przeciętny stan zapasów)</t>
  </si>
  <si>
    <t>WOZ=360/WRZ</t>
  </si>
  <si>
    <t>WOZO=(zobowiązania krótkoterminowe przeciętne (śr))/(koszt sprzedanych towarów, produktów i materiałów)*360</t>
  </si>
  <si>
    <t>𝐶𝑆𝑃=𝑊𝑂𝑁+𝑊𝑂𝑍−𝑊𝑂𝑍𝑂</t>
  </si>
  <si>
    <t>RM=(przychody z ogółu działalności)/(majątek ogółem (śr))</t>
  </si>
  <si>
    <t>∆Awzgl=(A_I2-A_I1)/A_I1 ×100</t>
  </si>
  <si>
    <t>∆A_bezw=A_I2-A_I1</t>
  </si>
  <si>
    <t>Apion=(𝑝𝑟𝑜𝑑𝑢𝑘𝑡𝑦 𝑔𝑜𝑡𝑜𝑤𝑒)/𝑆𝐵 ×100</t>
  </si>
  <si>
    <t>towary/SB×100</t>
  </si>
  <si>
    <t>(materiały/SB ) *100</t>
  </si>
  <si>
    <t>(zaliczki na towary i usługi / SB) * 100</t>
  </si>
  <si>
    <t>Wskaźniki branżowe</t>
  </si>
  <si>
    <t>Rentowność pracy wynosiła 53,73 tyś zł</t>
  </si>
  <si>
    <t>Rentowność pracy wynosiła 48,64 tyś zł</t>
  </si>
  <si>
    <t>Rentowność pracy wynosiła 40,1 tyś zł</t>
  </si>
  <si>
    <t>Korzystny wpływ wykorzystania kapitałów obcych na zyskowność kapitałów własnych</t>
  </si>
  <si>
    <t>C/WK2018</t>
  </si>
  <si>
    <t>C/WK2019</t>
  </si>
  <si>
    <t>C/WK2020</t>
  </si>
  <si>
    <t>P/E 2018</t>
  </si>
  <si>
    <t>P/E 2019</t>
  </si>
  <si>
    <t>P/E 2020</t>
  </si>
  <si>
    <t>Określa jaką część przychodów ze sprzedaży firmy stanowi jej zysk(strata) czyli podaje on wielkość marży zysku (straty) w stosunku do przychodów ze sprzedaży produktów i towarów.</t>
  </si>
  <si>
    <t>Informuje o udziale zysku (straty) po opodatkowaniu w wartości przychodów z całokształtu działalności, czyli o marży zysku (straty) netto na przychodach.</t>
  </si>
  <si>
    <t>Określa relacje między wynikiem finansowym netto jednostki a przeciętnym stanem zatrudnienia.</t>
  </si>
  <si>
    <t>Wskaźnik ten charakteryzuje efektywność wykorzystania ogółu majątku tj. jego zdolność do tworzenia zysku.</t>
  </si>
  <si>
    <t>Określa efektywność wykorzystania kapitałów własnych jednostki tj. korzyści przypadających udziałowcom</t>
  </si>
  <si>
    <t>Wskaźnik malał, więc ocena negatywna</t>
  </si>
  <si>
    <t>Wskaźnik rósł, więc ocena pozytywna.</t>
  </si>
  <si>
    <t>Wielkość marży zysku (straty) w stosunku do przychodow ze sprzedaży produktów i towartów wynosi 20,85 i była wyższa od średniej w branży</t>
  </si>
  <si>
    <t xml:space="preserve">Wielkość marży zysku (straty) w stosunku do przychodow ze sprzedaży produktów i towartów wynosi 19,81 i była wyższa od średniej w branży </t>
  </si>
  <si>
    <t>Wielkość marży zysku (straty) w stosunku do przychodow ze sprzedaży produktów i towartów wynosi 17,40 i była wyższa od średniej w branży</t>
  </si>
  <si>
    <t xml:space="preserve"> udział zysku po opodatkowaniu w wartości przychodów z całokształtu działalności wynosił 16,24% i był wyższy od średniej w branży</t>
  </si>
  <si>
    <t xml:space="preserve"> udział zysku po opodatkowaniu w wartości przychodów z całokształtu działalności wynosił 16,80%  i był wyższy od średniej w branży</t>
  </si>
  <si>
    <t xml:space="preserve"> udział zysku po opodatkowaniu w wartości przychodów z całokształtu działalności wynosił 16,1%  i był wyższy od średniej w branży</t>
  </si>
  <si>
    <t>Wynik działaności jednostki przypadający na jednostke majątku wynosi 23,4%  i był wyższy od średniej w branży</t>
  </si>
  <si>
    <t>Wynik działaności jednostki przypadający na jednostke majątku wynosi 22,4 %  i był wyższy od średniej w branży</t>
  </si>
  <si>
    <t>Wynik działaności jednostki przypadający na jednostke majątku wynosi 17,2 %  i był wyższy od średniej w branży</t>
  </si>
  <si>
    <t>efektywność wykorzystania kapitałów własnych jednostki tj. korzyści przypadających udziałowcom wynosiła 34,9%  i był wyższy od średniej w branży</t>
  </si>
  <si>
    <t>efektywność wykorzystania kapitałów własnych jednostki tj. korzyści przypadających udziałowcom wynosiła 33,7%  i był wyższy od średniej w branży</t>
  </si>
  <si>
    <t>efektywność wykorzystania kapitałów własnych jednostki tj. korzyści przypadających udziałowcom wynosiła  25,8%  i był wyższy od średniej w branży</t>
  </si>
  <si>
    <t>Zadowalający poziom wynosi [4-5]</t>
  </si>
  <si>
    <t>Wskaźnik ten określa relacje pomiędzy zyskiem brutto a odsetkami płaconymi od kapitałów obcych.</t>
  </si>
  <si>
    <t>wszystkie wskaźniki przekraczają poziom pokrycia odesetek więc poziom jest bardzo zadowalający</t>
  </si>
  <si>
    <t>wskaźnik malał ocena negatywna</t>
  </si>
  <si>
    <t>wskaźnik wzrósł ocena pozytywna</t>
  </si>
  <si>
    <t>Wskaźnik ten określa w jakiej części kapitały własne pokrywają zobowiązania ogółem</t>
  </si>
  <si>
    <t>Wska`źnik WDF umożliwia poznanie relacji pomiędzy kosztami korzystania z kapitałów obcych a przychodami z tytułu posiadania i korzystania z nich.</t>
  </si>
  <si>
    <t>Bezpieczna wartość powinna być wyższa od 0,2.</t>
  </si>
  <si>
    <t>wskaźniki branżowe</t>
  </si>
  <si>
    <t>We wszystkich podanych latach WPI jest wyższe niż w przeciętnych wskaźnikach branżowych</t>
  </si>
  <si>
    <t>We wszystkich podanych latach WPII jest niższe niż w przeciętnych wskaźnikach branżowych</t>
  </si>
  <si>
    <t>We wszystkich latach WZP jest niższe od przeciętnych wartości w branży</t>
  </si>
  <si>
    <t>wskaźnik wzrósł ocena pozytywba</t>
  </si>
  <si>
    <t>Płynność tygodniowa</t>
  </si>
  <si>
    <t>Płynność dzienna</t>
  </si>
  <si>
    <t>Wskaźnik ten określa liczbę cykli inkasa przeciętnego stanu należności a podstawę stanowią przychody ze sprzedaży</t>
  </si>
  <si>
    <t>Określa długość cyklu obrotu zapasami w dniach. Obrazuje on zamrożenie kapitałów w finansowaniu zapasów.</t>
  </si>
  <si>
    <t>Pozwala na określenie czy możliwym będzie spłacenie przez firmę swoich zobowiązań gdy nadejdzie termin ich płatności.</t>
  </si>
  <si>
    <t>ZKW=ZD*RM*SKW</t>
  </si>
  <si>
    <t>Polityka marżowa:</t>
  </si>
  <si>
    <t>Efektywność wykorzystania majątku:</t>
  </si>
  <si>
    <t>Dźwignia finansowa</t>
  </si>
  <si>
    <t>Ocena zmiany:</t>
  </si>
  <si>
    <t>Wzrosła</t>
  </si>
  <si>
    <t xml:space="preserve"> zmalała</t>
  </si>
  <si>
    <t>wzrosła</t>
  </si>
  <si>
    <t>pozytywna</t>
  </si>
  <si>
    <r>
      <t>ZKW</t>
    </r>
    <r>
      <rPr>
        <vertAlign val="subscript"/>
        <sz val="12"/>
        <color theme="1"/>
        <rFont val="Times New Roman"/>
        <family val="1"/>
        <charset val="238"/>
      </rPr>
      <t>2018</t>
    </r>
    <r>
      <rPr>
        <sz val="12"/>
        <color theme="1"/>
        <rFont val="Times New Roman"/>
        <family val="1"/>
        <charset val="238"/>
      </rPr>
      <t>&lt;ZKW</t>
    </r>
    <r>
      <rPr>
        <vertAlign val="subscript"/>
        <sz val="12"/>
        <color theme="1"/>
        <rFont val="Times New Roman"/>
        <family val="1"/>
        <charset val="238"/>
      </rPr>
      <t>2019</t>
    </r>
  </si>
  <si>
    <t>zmalała</t>
  </si>
  <si>
    <r>
      <t>ZKW</t>
    </r>
    <r>
      <rPr>
        <vertAlign val="subscript"/>
        <sz val="12"/>
        <color theme="1"/>
        <rFont val="Times New Roman"/>
        <family val="1"/>
        <charset val="238"/>
      </rPr>
      <t>2019</t>
    </r>
    <r>
      <rPr>
        <sz val="12"/>
        <color theme="1"/>
        <rFont val="Times New Roman"/>
        <family val="1"/>
        <charset val="238"/>
      </rPr>
      <t>&lt;ZKW</t>
    </r>
    <r>
      <rPr>
        <vertAlign val="subscript"/>
        <sz val="12"/>
        <color theme="1"/>
        <rFont val="Times New Roman"/>
        <family val="1"/>
        <charset val="238"/>
      </rPr>
      <t>2020</t>
    </r>
  </si>
  <si>
    <t xml:space="preserve">Aktywa trwałe pokryte były kapitałami stałymi w 139,1% co było wynikiem lepszym od średniej branżowej </t>
  </si>
  <si>
    <t xml:space="preserve">Aktywa trwałe pokryte były kapitałami stałymi w 122,6%  co było wynikiem lepszym od średniej branżowej </t>
  </si>
  <si>
    <t xml:space="preserve">Aktywa trwałe pokryte były kapitałami stałymi w 128,5%  co było wynikiem gorszym od średniej branżowej </t>
  </si>
  <si>
    <t>Majątek tej firmy jest pokrywany ze zobowiązań w 48,9% co jest wynikiem lepszym niż średnia branżowa</t>
  </si>
  <si>
    <t>Majątek tej firmy jest pokrywany ze zobowiązań w 52,4% co jest wynikiem lepszym niż średnia branżowa</t>
  </si>
  <si>
    <t>Majątek tej firmy jest pokrywany ze zobowiązań w 48,7% co jest wynikiem lepszym niż średnia branżowa</t>
  </si>
  <si>
    <t>Długość cyklu obrotu zapasami w dniach w 2018 roku wynosiła 121,92 dni</t>
  </si>
  <si>
    <t>Długość cyklu obrotu zapasami w dniach w 2019 roku wynosiła 128,54 dni</t>
  </si>
  <si>
    <t>Długość cyklu obrotu zapasami w dniach w 2020 roku wynosiła 165,83 dni</t>
  </si>
  <si>
    <t>ac .sa otrzymywał należności w 2018 co 27,29 dni</t>
  </si>
  <si>
    <t>ac .sa otrzymywał należności w 2019 co 27,30  dni</t>
  </si>
  <si>
    <t>ac .sa otrzymywał należności w 2020 co 43,42 dni</t>
  </si>
  <si>
    <t>w 2018 roku wartość sprzedaży była 1,44 razy większa od majątku firmy  co jest wynikiem lepszym od średniej branżowej</t>
  </si>
  <si>
    <t>w 2019 roku wartość sprzedaży wynosiła 0,66 majątku firmy  co jest wynikiem gorszym od średniej branżowej</t>
  </si>
  <si>
    <t>w 2020 roku wartość sprzedaży wynosiła 0,35 majątku firmy  co jest wynikiem gorszym od średniej branżowej</t>
  </si>
  <si>
    <t>przeciętny czas uregulowań zobowiązań w 2019 roku wyniósł 50,5 dni i był gorszy od średniej w branży</t>
  </si>
  <si>
    <t>przeciętny czas uregulowań zobowiązań w 2018 roku wyniósł 74,7 dni i był gorszy od średniej w branży</t>
  </si>
  <si>
    <t>przeciętny czas uregulowań zobowiązań w 2020 roku wyniósł 49,49 dni i był gorszy od średniej w branży</t>
  </si>
  <si>
    <t>ANALIZA NIERÓWNOŚCI INDEKSÓW</t>
  </si>
  <si>
    <t>INDEKSY</t>
  </si>
  <si>
    <t>2018-2019</t>
  </si>
  <si>
    <r>
      <t>I</t>
    </r>
    <r>
      <rPr>
        <vertAlign val="subscript"/>
        <sz val="12"/>
        <color theme="1"/>
        <rFont val="Times New Roman"/>
        <family val="1"/>
        <charset val="238"/>
      </rPr>
      <t>R</t>
    </r>
  </si>
  <si>
    <t>Zatrudnienie (rok2)/Zatrudnienie (rok1)</t>
  </si>
  <si>
    <r>
      <t>I</t>
    </r>
    <r>
      <rPr>
        <vertAlign val="subscript"/>
        <sz val="12"/>
        <color theme="1"/>
        <rFont val="Times New Roman"/>
        <family val="1"/>
        <charset val="238"/>
      </rPr>
      <t>M</t>
    </r>
  </si>
  <si>
    <t>Majątek (rok2)/Majątek (rok1)</t>
  </si>
  <si>
    <r>
      <t>I</t>
    </r>
    <r>
      <rPr>
        <vertAlign val="subscript"/>
        <sz val="12"/>
        <color theme="1"/>
        <rFont val="Times New Roman"/>
        <family val="1"/>
        <charset val="238"/>
      </rPr>
      <t>K</t>
    </r>
  </si>
  <si>
    <t>Koszty (rok2)/Koszty (rok1)</t>
  </si>
  <si>
    <r>
      <t>I</t>
    </r>
    <r>
      <rPr>
        <vertAlign val="subscript"/>
        <sz val="12"/>
        <color theme="1"/>
        <rFont val="Times New Roman"/>
        <family val="1"/>
        <charset val="238"/>
      </rPr>
      <t>P</t>
    </r>
  </si>
  <si>
    <t>Przychody (rok2)/Przychody (rok1)</t>
  </si>
  <si>
    <r>
      <t>I</t>
    </r>
    <r>
      <rPr>
        <vertAlign val="subscript"/>
        <sz val="12"/>
        <color theme="1"/>
        <rFont val="Times New Roman"/>
        <family val="1"/>
        <charset val="238"/>
      </rPr>
      <t>Z</t>
    </r>
  </si>
  <si>
    <t>Zysk netto (rok2)/Zysk netto (rok1)</t>
  </si>
  <si>
    <t>Żadna z relacji nie jest zachowana</t>
  </si>
  <si>
    <t>Iz&lt;Ik&lt;Ip&lt;Ir&lt;Im</t>
  </si>
  <si>
    <t>Ik&lt;Ip&lt;Im&lt;Ir&lt;Iz</t>
  </si>
  <si>
    <t>2019-2020</t>
  </si>
  <si>
    <t>firma nie spełnia wzorca dynamiki, co oznacza, że wydatki, przychody czy zyski netto nie rosną w harmonijny sposób.</t>
  </si>
  <si>
    <t>W każdym z lat cykl konwersji środków pieniężnych jest dużo powyżej średniej branżowej co zwiększa ryzyko utraty płynności finansowej.</t>
  </si>
  <si>
    <t>w każdym z lat firma ma dużą zdolność do spłacenia swojego zadłużenia z wygenerowanych dochodów</t>
  </si>
  <si>
    <t>Wartości pochodzenia majątku firmy z zobowiązań w każdym roku są lepsze niż wartości branżowe</t>
  </si>
  <si>
    <t>bezpieczny poziom od 1,5</t>
  </si>
  <si>
    <t xml:space="preserve">Wartość wskaźnika jest wyższa we wszystkich latach </t>
  </si>
  <si>
    <t>od bezpiecznej wartości (0,2), zatem ocena pozytywna</t>
  </si>
  <si>
    <t>Wskaźnik ten określa w jakiej części majątek firmy jest</t>
  </si>
  <si>
    <t xml:space="preserve"> pokrywany z zobowiązań (krótkoterminowych i długoterminowych).</t>
  </si>
  <si>
    <t>nadwyżka finansowa powiększona o odsetki pokrywa płatności kredytowe.</t>
  </si>
  <si>
    <t>Wskaźnik ten informuje o możliwości obsługi kredytu, podając ile razy nieopodatkowana</t>
  </si>
  <si>
    <t>Płynnośc miesięczna- Pozwala na ocenę możliwośc</t>
  </si>
  <si>
    <t>i spłaty zobowiązań krótkoterminowych dzięki upłynnieniu środków obrotowych.</t>
  </si>
  <si>
    <t xml:space="preserve"> zarządzania zapasami lub problemów z popytem na produkty</t>
  </si>
  <si>
    <t xml:space="preserve">w każdym z lat wskaźnik jest zbyt mały co wskazuje na niską efektywność </t>
  </si>
  <si>
    <t>za którą nie otrzymano jeszcze należności (czas zamrożenia środków pieniężnych w należnościach).</t>
  </si>
  <si>
    <t>Wskaźnik ten określa długość cyklu inkasa należności w dniach czyli ilość  dni sprzedaży</t>
  </si>
  <si>
    <t>Wskaźnik ten świadczy o efektywności gospodarowania zapasami</t>
  </si>
  <si>
    <t xml:space="preserve"> i podaje ile razy w ciągu roku następuje “odnowienie “ stanu zapasów.</t>
  </si>
  <si>
    <t>W każdym z lat wskaźnik rotacji zapasów jest znacząco niższy</t>
  </si>
  <si>
    <t xml:space="preserve"> od średniej co pokazuje istotne problemy z efektywnością zarządzania zapasami</t>
  </si>
  <si>
    <t xml:space="preserve">Wskaźnik ten określa długość cyklu obrotu zobowiązaniami krótkoterminowymi zwykle bez uwzględnienia </t>
  </si>
  <si>
    <t>pożyczek bankowych liczoną w dniach czyli przeciętny czas regulowania zobowiązań .</t>
  </si>
  <si>
    <t xml:space="preserve">Wskaźnik ten określa efektywność wykorzystania majątku firmy podając </t>
  </si>
  <si>
    <t>ile razy wartość sprzedaży towarów i produktów jest większa od majątku firmy.</t>
  </si>
  <si>
    <t>zapasy potrzebne do porównan analizy pionowej</t>
  </si>
  <si>
    <t>zapasy razem</t>
  </si>
  <si>
    <t>d) zaliczaki na dostawy i usługi</t>
  </si>
  <si>
    <t>c) towary</t>
  </si>
  <si>
    <t>b) produkty gotowe</t>
  </si>
  <si>
    <t>a) materiały</t>
  </si>
  <si>
    <t>ZAPASY</t>
  </si>
  <si>
    <t>w tys</t>
  </si>
  <si>
    <t>pln</t>
  </si>
  <si>
    <t>Bilans</t>
  </si>
  <si>
    <t>Rachunek zysków i strat</t>
  </si>
  <si>
    <t>Zestawienie zmian w kapitale własnym</t>
  </si>
  <si>
    <t xml:space="preserve">Zadeklarowana lub </t>
  </si>
  <si>
    <t>wartksc majatku  akcje</t>
  </si>
  <si>
    <t xml:space="preserve">wypłacona dywidenda </t>
  </si>
  <si>
    <t>na jedną akcję w tys pln</t>
  </si>
  <si>
    <t>Rachunek przepływów pieniężnych</t>
  </si>
  <si>
    <t>Informacje dodatkowe</t>
  </si>
  <si>
    <t>Wskaźniki rentowności</t>
  </si>
  <si>
    <t>Wskaźniki płynności</t>
  </si>
  <si>
    <t>Wskaźniki obrotowości</t>
  </si>
  <si>
    <t>Wskaźniki zadłużenia</t>
  </si>
  <si>
    <t>Model du ponta</t>
  </si>
  <si>
    <t>Model artmana, analiza dyskryminacyjna, analiza nierówności indeksów</t>
  </si>
  <si>
    <t xml:space="preserve">ANALIZA SWOT DLA AC.SA </t>
  </si>
  <si>
    <t>MOCNE STRONY</t>
  </si>
  <si>
    <t>Stabilne przychody</t>
  </si>
  <si>
    <t>Wysoka rentowność</t>
  </si>
  <si>
    <t>Znacząca działalność eksportowa</t>
  </si>
  <si>
    <t>SŁABE STRONY</t>
  </si>
  <si>
    <t>Zależność od rynku motoryzacyjnego</t>
  </si>
  <si>
    <t>Niższa efektywność zarządzania zapasami</t>
  </si>
  <si>
    <t>Wysokie koszty stałe</t>
  </si>
  <si>
    <t>SZANSE</t>
  </si>
  <si>
    <t>Rozwój technolohii i innowacji</t>
  </si>
  <si>
    <t>Ekspansja na rynki zagraniczne</t>
  </si>
  <si>
    <t>Integracja rozwiązań z elektromobilnością</t>
  </si>
  <si>
    <t>ZAGROŻENIA</t>
  </si>
  <si>
    <t>Zmiany prawne/podatkowe</t>
  </si>
  <si>
    <t>Zmiany trendów motoryzacyjnych</t>
  </si>
  <si>
    <t xml:space="preserve">Ryzyko walutowe (ekspozycja na zmienność </t>
  </si>
  <si>
    <t>kursów walutowych przez spory eksport firmy)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</si>
</sst>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vertAlign val="subscript"/>
      <sz val="12"/>
      <color theme="1"/>
      <name val="Times New Roman"/>
      <family val="1"/>
      <charset val="238"/>
    </font>
    <font>
      <b/>
      <sz val="10"/>
      <name val="Times New Roman"/>
      <family val="1"/>
      <charset val="238"/>
    </font>
    <font>
      <sz val="10"/>
      <name val="Times New Roman"/>
      <family val="1"/>
    </font>
    <font>
      <sz val="10"/>
      <name val="Times New Roman"/>
      <family val="1"/>
      <charset val="238"/>
    </font>
    <font>
      <sz val="10"/>
      <color rgb="FF000000"/>
      <name val="Times New Roman"/>
      <family val="2"/>
    </font>
    <font>
      <sz val="9"/>
      <color rgb="FF333333"/>
      <name val="Arial"/>
      <family val="2"/>
      <charset val="238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b/>
      <sz val="14"/>
      <color rgb="FFFF0000"/>
      <name val="Times New Roman"/>
      <family val="1"/>
      <charset val="238"/>
    </font>
    <font>
      <sz val="14"/>
      <color rgb="FFFF0000"/>
      <name val="Times New Roman"/>
      <family val="1"/>
      <charset val="238"/>
    </font>
    <font>
      <sz val="11"/>
      <color theme="1"/>
      <name val="Cambria Math"/>
      <family val="1"/>
      <charset val="238"/>
    </font>
    <font>
      <sz val="11"/>
      <color rgb="FF000000"/>
      <name val="Calibri"/>
      <family val="2"/>
      <charset val="238"/>
      <scheme val="minor"/>
    </font>
    <font>
      <sz val="12"/>
      <color rgb="FFFF0000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8"/>
      <color theme="1"/>
      <name val="Calibri"/>
      <family val="2"/>
      <charset val="238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charset val="238"/>
      <scheme val="minor"/>
    </font>
    <font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/>
    <xf numFmtId="3" fontId="0" fillId="0" borderId="0" xfId="0" applyNumberFormat="1"/>
    <xf numFmtId="0" fontId="4" fillId="0" borderId="0" xfId="0" applyFont="1"/>
    <xf numFmtId="0" fontId="0" fillId="4" borderId="0" xfId="0" applyFill="1"/>
    <xf numFmtId="1" fontId="0" fillId="0" borderId="1" xfId="0" applyNumberFormat="1" applyBorder="1"/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3" fontId="8" fillId="0" borderId="1" xfId="0" applyNumberFormat="1" applyFont="1" applyBorder="1" applyAlignment="1">
      <alignment horizontal="right" vertical="top" wrapText="1"/>
    </xf>
    <xf numFmtId="0" fontId="8" fillId="0" borderId="1" xfId="0" applyFont="1" applyBorder="1" applyAlignment="1">
      <alignment horizontal="right" vertical="top" wrapText="1"/>
    </xf>
    <xf numFmtId="1" fontId="9" fillId="0" borderId="1" xfId="0" applyNumberFormat="1" applyFont="1" applyBorder="1" applyAlignment="1">
      <alignment horizontal="right" vertical="top" shrinkToFit="1"/>
    </xf>
    <xf numFmtId="0" fontId="8" fillId="0" borderId="1" xfId="0" applyFont="1" applyBorder="1" applyAlignment="1">
      <alignment horizontal="right" vertical="center" wrapText="1"/>
    </xf>
    <xf numFmtId="0" fontId="4" fillId="0" borderId="1" xfId="0" applyFont="1" applyBorder="1"/>
    <xf numFmtId="0" fontId="4" fillId="7" borderId="1" xfId="0" applyFont="1" applyFill="1" applyBorder="1"/>
    <xf numFmtId="0" fontId="12" fillId="7" borderId="1" xfId="0" applyFont="1" applyFill="1" applyBorder="1"/>
    <xf numFmtId="0" fontId="4" fillId="8" borderId="1" xfId="0" applyFont="1" applyFill="1" applyBorder="1"/>
    <xf numFmtId="2" fontId="11" fillId="0" borderId="1" xfId="0" applyNumberFormat="1" applyFont="1" applyBorder="1"/>
    <xf numFmtId="2" fontId="13" fillId="0" borderId="1" xfId="0" applyNumberFormat="1" applyFont="1" applyBorder="1"/>
    <xf numFmtId="0" fontId="4" fillId="10" borderId="1" xfId="0" applyFont="1" applyFill="1" applyBorder="1"/>
    <xf numFmtId="0" fontId="12" fillId="10" borderId="1" xfId="0" applyFont="1" applyFill="1" applyBorder="1"/>
    <xf numFmtId="0" fontId="4" fillId="11" borderId="1" xfId="0" applyFont="1" applyFill="1" applyBorder="1"/>
    <xf numFmtId="2" fontId="14" fillId="0" borderId="1" xfId="0" applyNumberFormat="1" applyFont="1" applyBorder="1"/>
    <xf numFmtId="3" fontId="1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/>
    <xf numFmtId="0" fontId="4" fillId="13" borderId="1" xfId="0" applyFont="1" applyFill="1" applyBorder="1"/>
    <xf numFmtId="0" fontId="12" fillId="13" borderId="1" xfId="0" applyFont="1" applyFill="1" applyBorder="1"/>
    <xf numFmtId="166" fontId="11" fillId="0" borderId="1" xfId="0" applyNumberFormat="1" applyFont="1" applyBorder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0" fontId="0" fillId="5" borderId="0" xfId="0" applyFill="1"/>
    <xf numFmtId="164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5" borderId="1" xfId="0" applyFont="1" applyFill="1" applyBorder="1" applyAlignment="1">
      <alignment horizontal="left" vertical="center" wrapText="1"/>
    </xf>
    <xf numFmtId="2" fontId="0" fillId="0" borderId="1" xfId="0" applyNumberFormat="1" applyBorder="1"/>
    <xf numFmtId="0" fontId="0" fillId="4" borderId="1" xfId="0" applyFill="1" applyBorder="1"/>
    <xf numFmtId="10" fontId="4" fillId="0" borderId="1" xfId="0" applyNumberFormat="1" applyFont="1" applyBorder="1"/>
    <xf numFmtId="10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2" fontId="10" fillId="0" borderId="1" xfId="0" applyNumberFormat="1" applyFont="1" applyBorder="1"/>
    <xf numFmtId="0" fontId="10" fillId="0" borderId="1" xfId="0" applyFont="1" applyBorder="1"/>
    <xf numFmtId="0" fontId="10" fillId="5" borderId="1" xfId="0" applyFont="1" applyFill="1" applyBorder="1" applyAlignment="1">
      <alignment horizontal="right" vertical="center" wrapText="1"/>
    </xf>
    <xf numFmtId="0" fontId="0" fillId="0" borderId="2" xfId="0" applyBorder="1"/>
    <xf numFmtId="0" fontId="0" fillId="4" borderId="1" xfId="0" applyFill="1" applyBorder="1" applyAlignment="1">
      <alignment horizontal="left"/>
    </xf>
    <xf numFmtId="0" fontId="0" fillId="14" borderId="0" xfId="0" applyFill="1"/>
    <xf numFmtId="0" fontId="0" fillId="14" borderId="0" xfId="0" applyFill="1" applyAlignment="1">
      <alignment horizontal="left"/>
    </xf>
    <xf numFmtId="0" fontId="0" fillId="4" borderId="0" xfId="0" applyFill="1" applyAlignment="1">
      <alignment horizontal="left"/>
    </xf>
    <xf numFmtId="16" fontId="0" fillId="4" borderId="0" xfId="0" applyNumberFormat="1" applyFill="1"/>
    <xf numFmtId="0" fontId="0" fillId="14" borderId="1" xfId="0" applyFill="1" applyBorder="1" applyAlignment="1">
      <alignment horizontal="left"/>
    </xf>
    <xf numFmtId="1" fontId="0" fillId="14" borderId="0" xfId="0" applyNumberFormat="1" applyFill="1" applyAlignment="1">
      <alignment horizontal="left"/>
    </xf>
    <xf numFmtId="0" fontId="3" fillId="14" borderId="0" xfId="0" applyFont="1" applyFill="1"/>
    <xf numFmtId="0" fontId="3" fillId="14" borderId="1" xfId="0" applyFont="1" applyFill="1" applyBorder="1"/>
    <xf numFmtId="0" fontId="0" fillId="14" borderId="1" xfId="0" applyFill="1" applyBorder="1"/>
    <xf numFmtId="0" fontId="15" fillId="14" borderId="1" xfId="0" applyFont="1" applyFill="1" applyBorder="1"/>
    <xf numFmtId="0" fontId="8" fillId="14" borderId="1" xfId="0" applyFont="1" applyFill="1" applyBorder="1" applyAlignment="1">
      <alignment horizontal="right" vertical="top" wrapText="1"/>
    </xf>
    <xf numFmtId="0" fontId="15" fillId="14" borderId="0" xfId="0" applyFont="1" applyFill="1"/>
    <xf numFmtId="0" fontId="3" fillId="14" borderId="0" xfId="0" applyFont="1" applyFill="1" applyAlignment="1">
      <alignment horizontal="left" vertical="top"/>
    </xf>
    <xf numFmtId="0" fontId="0" fillId="14" borderId="0" xfId="0" applyFill="1" applyAlignment="1">
      <alignment horizontal="left" vertical="top"/>
    </xf>
    <xf numFmtId="0" fontId="16" fillId="14" borderId="0" xfId="0" applyFont="1" applyFill="1"/>
    <xf numFmtId="0" fontId="4" fillId="15" borderId="1" xfId="0" applyFont="1" applyFill="1" applyBorder="1"/>
    <xf numFmtId="0" fontId="5" fillId="15" borderId="1" xfId="0" applyFont="1" applyFill="1" applyBorder="1"/>
    <xf numFmtId="0" fontId="0" fillId="15" borderId="1" xfId="0" applyFill="1" applyBorder="1"/>
    <xf numFmtId="49" fontId="5" fillId="15" borderId="1" xfId="0" applyNumberFormat="1" applyFont="1" applyFill="1" applyBorder="1"/>
    <xf numFmtId="49" fontId="0" fillId="15" borderId="1" xfId="0" applyNumberFormat="1" applyFill="1" applyBorder="1"/>
    <xf numFmtId="0" fontId="0" fillId="15" borderId="0" xfId="0" applyFill="1"/>
    <xf numFmtId="0" fontId="4" fillId="16" borderId="1" xfId="0" applyFont="1" applyFill="1" applyBorder="1"/>
    <xf numFmtId="0" fontId="4" fillId="17" borderId="1" xfId="0" applyFont="1" applyFill="1" applyBorder="1"/>
    <xf numFmtId="0" fontId="0" fillId="16" borderId="1" xfId="0" applyFill="1" applyBorder="1" applyAlignment="1">
      <alignment horizontal="left"/>
    </xf>
    <xf numFmtId="0" fontId="0" fillId="4" borderId="0" xfId="0" applyFill="1" applyAlignment="1">
      <alignment horizontal="center"/>
    </xf>
    <xf numFmtId="0" fontId="23" fillId="14" borderId="0" xfId="0" applyFont="1" applyFill="1"/>
    <xf numFmtId="0" fontId="0" fillId="0" borderId="3" xfId="0" applyBorder="1"/>
    <xf numFmtId="0" fontId="0" fillId="0" borderId="6" xfId="0" applyBorder="1"/>
    <xf numFmtId="0" fontId="3" fillId="14" borderId="3" xfId="0" applyFont="1" applyFill="1" applyBorder="1"/>
    <xf numFmtId="0" fontId="3" fillId="14" borderId="4" xfId="0" applyFont="1" applyFill="1" applyBorder="1"/>
    <xf numFmtId="0" fontId="3" fillId="14" borderId="2" xfId="0" applyFont="1" applyFill="1" applyBorder="1"/>
    <xf numFmtId="0" fontId="3" fillId="14" borderId="5" xfId="0" applyFont="1" applyFill="1" applyBorder="1"/>
    <xf numFmtId="0" fontId="23" fillId="14" borderId="0" xfId="0" applyFont="1" applyFill="1" applyAlignment="1">
      <alignment horizontal="center"/>
    </xf>
    <xf numFmtId="0" fontId="21" fillId="14" borderId="5" xfId="0" applyFont="1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23" fillId="14" borderId="5" xfId="0" applyFont="1" applyFill="1" applyBorder="1" applyAlignment="1">
      <alignment horizontal="center"/>
    </xf>
    <xf numFmtId="0" fontId="18" fillId="14" borderId="5" xfId="0" applyFont="1" applyFill="1" applyBorder="1" applyAlignment="1">
      <alignment horizontal="center"/>
    </xf>
    <xf numFmtId="0" fontId="2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23" fillId="14" borderId="5" xfId="0" applyFont="1" applyFill="1" applyBorder="1"/>
    <xf numFmtId="0" fontId="22" fillId="14" borderId="5" xfId="0" applyFont="1" applyFill="1" applyBorder="1"/>
    <xf numFmtId="0" fontId="17" fillId="0" borderId="1" xfId="0" applyFont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4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8</xdr:row>
      <xdr:rowOff>64770</xdr:rowOff>
    </xdr:from>
    <xdr:ext cx="37947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pole tekstowe 3">
              <a:extLst>
                <a:ext uri="{FF2B5EF4-FFF2-40B4-BE49-F238E27FC236}">
                  <a16:creationId xmlns:a16="http://schemas.microsoft.com/office/drawing/2014/main" id="{225BB824-AE9A-4D36-A028-E29AD6C72FD9}"/>
                </a:ext>
              </a:extLst>
            </xdr:cNvPr>
            <xdr:cNvSpPr txBox="1"/>
          </xdr:nvSpPr>
          <xdr:spPr>
            <a:xfrm>
              <a:off x="495300" y="1657350"/>
              <a:ext cx="37947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pl-PL" sz="1100" b="0" i="1">
                      <a:latin typeface="Cambria Math" panose="02040503050406030204" pitchFamily="18" charset="0"/>
                    </a:rPr>
                    <m:t>𝑍</m:t>
                  </m:r>
                  <m:r>
                    <a:rPr lang="pl-PL" sz="1100" b="0" i="1">
                      <a:latin typeface="Cambria Math" panose="02040503050406030204" pitchFamily="18" charset="0"/>
                    </a:rPr>
                    <m:t>=1,2×</m:t>
                  </m:r>
                  <m:sSub>
                    <m:sSubPr>
                      <m:ctrlP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pl-PL" sz="1100"/>
                <a:t>+</a:t>
              </a:r>
              <a14:m>
                <m:oMath xmlns:m="http://schemas.openxmlformats.org/officeDocument/2006/math">
                  <m:r>
                    <a:rPr lang="pl-PL" sz="1100" b="0" i="1">
                      <a:latin typeface="Cambria Math" panose="02040503050406030204" pitchFamily="18" charset="0"/>
                    </a:rPr>
                    <m:t>1,4</m:t>
                  </m:r>
                  <m:r>
                    <a:rPr lang="pl-PL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×</m:t>
                  </m:r>
                  <m:sSub>
                    <m:sSubPr>
                      <m:ctrlP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pl-PL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+3,3×</m:t>
                  </m:r>
                  <m:sSub>
                    <m:sSubPr>
                      <m:ctrlP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pl-PL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+0,6×</m:t>
                  </m:r>
                  <m:sSub>
                    <m:sSubPr>
                      <m:ctrlP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pl-PL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+1,0×</m:t>
                  </m:r>
                  <m:sSub>
                    <m:sSubPr>
                      <m:ctrlP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pl-PL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5</m:t>
                      </m:r>
                    </m:sub>
                  </m:sSub>
                </m:oMath>
              </a14:m>
              <a:endParaRPr lang="pl-PL" sz="1100"/>
            </a:p>
          </xdr:txBody>
        </xdr:sp>
      </mc:Choice>
      <mc:Fallback xmlns="">
        <xdr:sp macro="" textlink="">
          <xdr:nvSpPr>
            <xdr:cNvPr id="4" name="pole tekstowe 3">
              <a:extLst>
                <a:ext uri="{FF2B5EF4-FFF2-40B4-BE49-F238E27FC236}">
                  <a16:creationId xmlns:a16="http://schemas.microsoft.com/office/drawing/2014/main" id="{225BB824-AE9A-4D36-A028-E29AD6C72FD9}"/>
                </a:ext>
              </a:extLst>
            </xdr:cNvPr>
            <xdr:cNvSpPr txBox="1"/>
          </xdr:nvSpPr>
          <xdr:spPr>
            <a:xfrm>
              <a:off x="495300" y="1657350"/>
              <a:ext cx="37947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𝑍=1,2×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𝑋_1</a:t>
              </a:r>
              <a:r>
                <a:rPr lang="pl-PL" sz="1100"/>
                <a:t>+</a:t>
              </a:r>
              <a:r>
                <a:rPr lang="pl-PL" sz="1100" b="0" i="0">
                  <a:latin typeface="Cambria Math" panose="02040503050406030204" pitchFamily="18" charset="0"/>
                </a:rPr>
                <a:t>1,4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×𝑋_2+3,3×𝑋_3+0,6×𝑋_4+1,0×𝑋_5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373380</xdr:colOff>
      <xdr:row>19</xdr:row>
      <xdr:rowOff>26670</xdr:rowOff>
    </xdr:from>
    <xdr:ext cx="54025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BF5FB2D4-8941-40D6-874B-69F07F508A20}"/>
                </a:ext>
              </a:extLst>
            </xdr:cNvPr>
            <xdr:cNvSpPr txBox="1"/>
          </xdr:nvSpPr>
          <xdr:spPr>
            <a:xfrm>
              <a:off x="373380" y="5955030"/>
              <a:ext cx="54025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l-PL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pl-PL" sz="1100" b="0" i="1">
                          <a:latin typeface="Cambria Math" panose="02040503050406030204" pitchFamily="18" charset="0"/>
                        </a:rPr>
                        <m:t>𝑍</m:t>
                      </m:r>
                    </m:e>
                    <m:sub>
                      <m:r>
                        <a:rPr lang="pl-PL" sz="1100" b="0" i="1">
                          <a:latin typeface="Cambria Math" panose="02040503050406030204" pitchFamily="18" charset="0"/>
                        </a:rPr>
                        <m:t>𝐻</m:t>
                      </m:r>
                    </m:sub>
                  </m:sSub>
                  <m:r>
                    <a:rPr lang="pl-PL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pl-PL" sz="1100"/>
                <a:t>0,605+0,681*WPI-0,0196*SZ+0,157*RM+0,00969*ZOM+0,000672*WOZO</a:t>
              </a:r>
            </a:p>
          </xdr:txBody>
        </xdr:sp>
      </mc:Choice>
      <mc:Fallback xmlns="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BF5FB2D4-8941-40D6-874B-69F07F508A20}"/>
                </a:ext>
              </a:extLst>
            </xdr:cNvPr>
            <xdr:cNvSpPr txBox="1"/>
          </xdr:nvSpPr>
          <xdr:spPr>
            <a:xfrm>
              <a:off x="373380" y="5955030"/>
              <a:ext cx="54025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𝑍_𝐻=</a:t>
              </a:r>
              <a:r>
                <a:rPr lang="pl-PL" sz="1100"/>
                <a:t>0,605+0,681*WPI-0,0196*SZ+0,157*RM+0,00969*ZOM+0,000672*WOZO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41D6-8831-4CD9-B35A-08D5B0FCC5C3}">
  <dimension ref="C1:H67"/>
  <sheetViews>
    <sheetView view="pageBreakPreview" topLeftCell="A53" zoomScale="85" zoomScaleNormal="102" zoomScaleSheetLayoutView="85" workbookViewId="0">
      <selection activeCell="F55" sqref="F55"/>
    </sheetView>
  </sheetViews>
  <sheetFormatPr defaultRowHeight="14.4" x14ac:dyDescent="0.3"/>
  <cols>
    <col min="1" max="1" width="8.33203125" customWidth="1"/>
    <col min="3" max="3" width="59.5546875" customWidth="1"/>
    <col min="4" max="4" width="13.109375" customWidth="1"/>
    <col min="5" max="5" width="11.44140625" customWidth="1"/>
    <col min="7" max="7" width="8.88671875" customWidth="1"/>
  </cols>
  <sheetData>
    <row r="1" spans="3:8" s="32" customFormat="1" ht="30.6" customHeight="1" x14ac:dyDescent="0.7">
      <c r="C1" s="84" t="s">
        <v>806</v>
      </c>
      <c r="D1" s="84"/>
      <c r="E1" s="84"/>
      <c r="F1" s="84"/>
      <c r="G1" s="76"/>
      <c r="H1" s="76"/>
    </row>
    <row r="2" spans="3:8" ht="14.4" customHeight="1" x14ac:dyDescent="0.3">
      <c r="C2" s="7"/>
      <c r="E2" t="s">
        <v>45</v>
      </c>
    </row>
    <row r="3" spans="3:8" ht="14.4" customHeight="1" x14ac:dyDescent="0.3">
      <c r="D3" s="1">
        <v>2018</v>
      </c>
      <c r="E3" s="1">
        <v>2019</v>
      </c>
      <c r="F3">
        <v>2020</v>
      </c>
    </row>
    <row r="4" spans="3:8" ht="14.4" customHeight="1" x14ac:dyDescent="0.3">
      <c r="C4" t="s">
        <v>0</v>
      </c>
    </row>
    <row r="5" spans="3:8" ht="14.4" customHeight="1" x14ac:dyDescent="0.3">
      <c r="C5" s="52" t="s">
        <v>1</v>
      </c>
      <c r="D5" s="53" t="s">
        <v>47</v>
      </c>
      <c r="E5" s="53" t="s">
        <v>46</v>
      </c>
      <c r="F5" s="53">
        <v>108061</v>
      </c>
    </row>
    <row r="6" spans="3:8" ht="14.4" customHeight="1" x14ac:dyDescent="0.3">
      <c r="C6" t="s">
        <v>2</v>
      </c>
      <c r="D6" s="2" t="s">
        <v>49</v>
      </c>
      <c r="E6" s="2" t="s">
        <v>48</v>
      </c>
      <c r="F6" s="2" t="s">
        <v>107</v>
      </c>
    </row>
    <row r="7" spans="3:8" ht="14.4" customHeight="1" x14ac:dyDescent="0.3">
      <c r="C7" t="s">
        <v>3</v>
      </c>
      <c r="D7" s="3">
        <v>0</v>
      </c>
      <c r="E7" s="3">
        <v>0</v>
      </c>
      <c r="F7" s="3">
        <v>0</v>
      </c>
    </row>
    <row r="8" spans="3:8" ht="14.4" customHeight="1" x14ac:dyDescent="0.3">
      <c r="C8" t="s">
        <v>4</v>
      </c>
      <c r="D8" s="2" t="s">
        <v>51</v>
      </c>
      <c r="E8" s="2" t="s">
        <v>50</v>
      </c>
      <c r="F8" s="2" t="s">
        <v>108</v>
      </c>
    </row>
    <row r="9" spans="3:8" ht="14.4" customHeight="1" x14ac:dyDescent="0.3">
      <c r="C9" t="s">
        <v>5</v>
      </c>
      <c r="D9" s="3">
        <v>0</v>
      </c>
      <c r="E9" s="3">
        <v>0</v>
      </c>
      <c r="F9" s="3">
        <v>0</v>
      </c>
    </row>
    <row r="10" spans="3:8" ht="14.4" customHeight="1" x14ac:dyDescent="0.3">
      <c r="C10" t="s">
        <v>6</v>
      </c>
      <c r="D10" s="2" t="s">
        <v>53</v>
      </c>
      <c r="E10" s="2" t="s">
        <v>52</v>
      </c>
      <c r="F10" s="2" t="s">
        <v>52</v>
      </c>
    </row>
    <row r="11" spans="3:8" ht="14.4" customHeight="1" x14ac:dyDescent="0.3">
      <c r="C11" t="s">
        <v>7</v>
      </c>
      <c r="D11" s="2" t="s">
        <v>53</v>
      </c>
      <c r="E11" s="2" t="s">
        <v>52</v>
      </c>
      <c r="F11" s="2" t="s">
        <v>52</v>
      </c>
    </row>
    <row r="12" spans="3:8" ht="14.4" customHeight="1" x14ac:dyDescent="0.3">
      <c r="C12" t="s">
        <v>8</v>
      </c>
      <c r="D12" s="2" t="s">
        <v>53</v>
      </c>
      <c r="E12" s="2" t="s">
        <v>52</v>
      </c>
      <c r="F12" s="2" t="s">
        <v>52</v>
      </c>
    </row>
    <row r="13" spans="3:8" ht="14.4" customHeight="1" x14ac:dyDescent="0.3">
      <c r="C13" t="s">
        <v>9</v>
      </c>
      <c r="D13" s="3">
        <v>0</v>
      </c>
      <c r="E13" s="3">
        <v>0</v>
      </c>
      <c r="F13" s="3">
        <v>0</v>
      </c>
    </row>
    <row r="14" spans="3:8" ht="14.4" customHeight="1" x14ac:dyDescent="0.3">
      <c r="C14" t="s">
        <v>10</v>
      </c>
      <c r="D14" s="2" t="s">
        <v>55</v>
      </c>
      <c r="E14" s="2" t="s">
        <v>54</v>
      </c>
      <c r="F14" s="2" t="s">
        <v>109</v>
      </c>
    </row>
    <row r="15" spans="3:8" x14ac:dyDescent="0.3">
      <c r="C15" t="s">
        <v>11</v>
      </c>
      <c r="D15" s="2" t="s">
        <v>57</v>
      </c>
      <c r="E15" s="2" t="s">
        <v>56</v>
      </c>
      <c r="F15" s="2" t="s">
        <v>110</v>
      </c>
    </row>
    <row r="16" spans="3:8" ht="14.4" customHeight="1" x14ac:dyDescent="0.3">
      <c r="C16" t="s">
        <v>12</v>
      </c>
      <c r="D16" s="3">
        <v>956</v>
      </c>
      <c r="E16" s="3">
        <v>694</v>
      </c>
      <c r="F16" s="3">
        <v>363</v>
      </c>
    </row>
    <row r="17" spans="3:6" ht="14.4" customHeight="1" x14ac:dyDescent="0.3">
      <c r="C17" s="52" t="s">
        <v>13</v>
      </c>
      <c r="D17" s="53" t="s">
        <v>59</v>
      </c>
      <c r="E17" s="53" t="s">
        <v>58</v>
      </c>
      <c r="F17" s="53" t="s">
        <v>111</v>
      </c>
    </row>
    <row r="18" spans="3:6" x14ac:dyDescent="0.3">
      <c r="C18" s="7" t="s">
        <v>14</v>
      </c>
      <c r="D18" s="54" t="s">
        <v>61</v>
      </c>
      <c r="E18" s="54" t="s">
        <v>60</v>
      </c>
      <c r="F18" s="54" t="s">
        <v>112</v>
      </c>
    </row>
    <row r="19" spans="3:6" x14ac:dyDescent="0.3">
      <c r="C19" s="55" t="s">
        <v>387</v>
      </c>
      <c r="D19" s="54">
        <v>22329</v>
      </c>
      <c r="E19" s="54">
        <v>19038</v>
      </c>
      <c r="F19" s="54">
        <v>21586</v>
      </c>
    </row>
    <row r="20" spans="3:6" x14ac:dyDescent="0.3">
      <c r="C20" s="7" t="s">
        <v>388</v>
      </c>
      <c r="D20" s="54">
        <v>24806</v>
      </c>
      <c r="E20" s="54">
        <v>29273</v>
      </c>
      <c r="F20" s="54">
        <v>33348</v>
      </c>
    </row>
    <row r="21" spans="3:6" x14ac:dyDescent="0.3">
      <c r="C21" s="7" t="s">
        <v>389</v>
      </c>
      <c r="D21" s="54">
        <v>3245</v>
      </c>
      <c r="E21" s="54">
        <v>2347</v>
      </c>
      <c r="F21" s="54">
        <v>6009</v>
      </c>
    </row>
    <row r="22" spans="3:6" ht="14.4" customHeight="1" x14ac:dyDescent="0.3">
      <c r="C22" s="7" t="s">
        <v>390</v>
      </c>
      <c r="D22" s="54">
        <v>244</v>
      </c>
      <c r="E22" s="54">
        <v>120</v>
      </c>
      <c r="F22" s="54">
        <v>301</v>
      </c>
    </row>
    <row r="23" spans="3:6" ht="14.4" customHeight="1" x14ac:dyDescent="0.3">
      <c r="C23" t="s">
        <v>15</v>
      </c>
      <c r="D23" s="2" t="s">
        <v>63</v>
      </c>
      <c r="E23" s="2" t="s">
        <v>62</v>
      </c>
      <c r="F23" s="2" t="s">
        <v>113</v>
      </c>
    </row>
    <row r="24" spans="3:6" x14ac:dyDescent="0.3">
      <c r="C24" t="s">
        <v>16</v>
      </c>
      <c r="D24" s="2" t="s">
        <v>65</v>
      </c>
      <c r="E24" s="2" t="s">
        <v>64</v>
      </c>
      <c r="F24" s="2" t="s">
        <v>114</v>
      </c>
    </row>
    <row r="25" spans="3:6" ht="14.4" customHeight="1" x14ac:dyDescent="0.3">
      <c r="C25" t="s">
        <v>17</v>
      </c>
      <c r="D25" s="2" t="s">
        <v>67</v>
      </c>
      <c r="E25" s="2" t="s">
        <v>66</v>
      </c>
      <c r="F25" s="2" t="s">
        <v>115</v>
      </c>
    </row>
    <row r="26" spans="3:6" ht="14.4" customHeight="1" x14ac:dyDescent="0.3">
      <c r="C26" t="s">
        <v>18</v>
      </c>
      <c r="D26" s="2" t="s">
        <v>69</v>
      </c>
      <c r="E26" s="2" t="s">
        <v>68</v>
      </c>
      <c r="F26" s="2" t="s">
        <v>116</v>
      </c>
    </row>
    <row r="27" spans="3:6" ht="14.4" customHeight="1" x14ac:dyDescent="0.3">
      <c r="C27" t="s">
        <v>19</v>
      </c>
      <c r="D27" s="2" t="s">
        <v>69</v>
      </c>
      <c r="E27" s="2" t="s">
        <v>68</v>
      </c>
      <c r="F27" s="2" t="s">
        <v>116</v>
      </c>
    </row>
    <row r="28" spans="3:6" ht="14.4" customHeight="1" x14ac:dyDescent="0.3">
      <c r="C28" t="s">
        <v>20</v>
      </c>
      <c r="D28" s="2" t="s">
        <v>69</v>
      </c>
      <c r="E28" s="2" t="s">
        <v>68</v>
      </c>
      <c r="F28" s="2" t="s">
        <v>116</v>
      </c>
    </row>
    <row r="29" spans="3:6" ht="14.4" customHeight="1" x14ac:dyDescent="0.3">
      <c r="C29" t="s">
        <v>21</v>
      </c>
      <c r="D29" s="2" t="s">
        <v>71</v>
      </c>
      <c r="E29" s="2" t="s">
        <v>70</v>
      </c>
      <c r="F29" s="2" t="s">
        <v>117</v>
      </c>
    </row>
    <row r="30" spans="3:6" ht="14.4" customHeight="1" x14ac:dyDescent="0.3">
      <c r="C30" s="52" t="s">
        <v>72</v>
      </c>
      <c r="D30" s="53" t="s">
        <v>74</v>
      </c>
      <c r="E30" s="53" t="s">
        <v>73</v>
      </c>
      <c r="F30" s="53" t="s">
        <v>118</v>
      </c>
    </row>
    <row r="31" spans="3:6" ht="14.4" customHeight="1" x14ac:dyDescent="0.3">
      <c r="C31" t="s">
        <v>22</v>
      </c>
      <c r="D31" s="2"/>
      <c r="E31" s="2"/>
      <c r="F31" s="2"/>
    </row>
    <row r="32" spans="3:6" ht="14.4" customHeight="1" x14ac:dyDescent="0.3">
      <c r="C32" t="s">
        <v>23</v>
      </c>
      <c r="D32" s="2" t="s">
        <v>76</v>
      </c>
      <c r="E32" s="2" t="s">
        <v>75</v>
      </c>
      <c r="F32" s="2" t="s">
        <v>119</v>
      </c>
    </row>
    <row r="33" spans="3:7" ht="14.4" customHeight="1" x14ac:dyDescent="0.3">
      <c r="C33" t="s">
        <v>24</v>
      </c>
      <c r="D33" s="2" t="s">
        <v>78</v>
      </c>
      <c r="E33" s="2" t="s">
        <v>77</v>
      </c>
      <c r="F33" s="2" t="s">
        <v>120</v>
      </c>
    </row>
    <row r="34" spans="3:7" ht="14.4" customHeight="1" x14ac:dyDescent="0.3">
      <c r="C34" t="s">
        <v>25</v>
      </c>
      <c r="D34" s="2" t="s">
        <v>80</v>
      </c>
      <c r="E34" s="2" t="s">
        <v>79</v>
      </c>
      <c r="F34" s="2" t="s">
        <v>121</v>
      </c>
      <c r="G34" s="1"/>
    </row>
    <row r="35" spans="3:7" ht="14.4" customHeight="1" x14ac:dyDescent="0.3">
      <c r="C35" t="s">
        <v>26</v>
      </c>
      <c r="D35" s="2" t="s">
        <v>82</v>
      </c>
      <c r="E35" s="2" t="s">
        <v>81</v>
      </c>
      <c r="F35" s="2" t="s">
        <v>122</v>
      </c>
    </row>
    <row r="36" spans="3:7" ht="14.4" customHeight="1" x14ac:dyDescent="0.3">
      <c r="C36" t="s">
        <v>27</v>
      </c>
      <c r="D36" s="2" t="s">
        <v>84</v>
      </c>
      <c r="E36" s="2" t="s">
        <v>83</v>
      </c>
      <c r="F36" s="2" t="s">
        <v>123</v>
      </c>
    </row>
    <row r="37" spans="3:7" ht="14.4" customHeight="1" x14ac:dyDescent="0.3">
      <c r="C37" t="s">
        <v>28</v>
      </c>
      <c r="D37" s="2" t="s">
        <v>86</v>
      </c>
      <c r="E37" s="2" t="s">
        <v>85</v>
      </c>
      <c r="F37" s="2" t="s">
        <v>124</v>
      </c>
    </row>
    <row r="38" spans="3:7" ht="14.4" customHeight="1" x14ac:dyDescent="0.3">
      <c r="C38" t="s">
        <v>29</v>
      </c>
      <c r="D38" s="2" t="s">
        <v>88</v>
      </c>
      <c r="E38" s="2" t="s">
        <v>87</v>
      </c>
      <c r="F38" s="2" t="s">
        <v>125</v>
      </c>
      <c r="G38" s="1"/>
    </row>
    <row r="39" spans="3:7" ht="14.4" customHeight="1" x14ac:dyDescent="0.3">
      <c r="C39" t="s">
        <v>30</v>
      </c>
      <c r="D39" s="2" t="s">
        <v>90</v>
      </c>
      <c r="E39" s="2" t="s">
        <v>89</v>
      </c>
      <c r="F39" s="2" t="s">
        <v>126</v>
      </c>
    </row>
    <row r="40" spans="3:7" ht="14.4" customHeight="1" x14ac:dyDescent="0.3">
      <c r="C40" t="s">
        <v>31</v>
      </c>
      <c r="D40" s="3">
        <v>218</v>
      </c>
      <c r="E40" s="3">
        <v>443</v>
      </c>
      <c r="F40" s="3">
        <v>310</v>
      </c>
    </row>
    <row r="41" spans="3:7" ht="14.4" customHeight="1" x14ac:dyDescent="0.3">
      <c r="C41" t="s">
        <v>32</v>
      </c>
      <c r="D41" s="2" t="s">
        <v>92</v>
      </c>
      <c r="E41" s="2" t="s">
        <v>91</v>
      </c>
      <c r="F41" s="3">
        <v>927</v>
      </c>
      <c r="G41" s="1"/>
    </row>
    <row r="42" spans="3:7" ht="14.4" customHeight="1" x14ac:dyDescent="0.3">
      <c r="C42" t="s">
        <v>33</v>
      </c>
      <c r="D42" s="2" t="s">
        <v>94</v>
      </c>
      <c r="E42" s="2" t="s">
        <v>93</v>
      </c>
      <c r="F42" s="2" t="s">
        <v>127</v>
      </c>
    </row>
    <row r="43" spans="3:7" ht="14.4" customHeight="1" x14ac:dyDescent="0.3">
      <c r="C43" t="s">
        <v>34</v>
      </c>
      <c r="D43" s="2" t="s">
        <v>94</v>
      </c>
      <c r="E43" s="2" t="s">
        <v>93</v>
      </c>
      <c r="F43" s="2" t="s">
        <v>127</v>
      </c>
    </row>
    <row r="44" spans="3:7" ht="14.4" customHeight="1" x14ac:dyDescent="0.3">
      <c r="C44" t="s">
        <v>35</v>
      </c>
      <c r="D44" s="3">
        <v>51</v>
      </c>
      <c r="E44" s="3">
        <v>0</v>
      </c>
      <c r="F44" s="3">
        <v>0</v>
      </c>
    </row>
    <row r="45" spans="3:7" ht="14.4" customHeight="1" x14ac:dyDescent="0.3">
      <c r="C45" t="s">
        <v>36</v>
      </c>
      <c r="D45" s="3">
        <v>51</v>
      </c>
      <c r="E45" s="3">
        <v>0</v>
      </c>
      <c r="F45" s="3">
        <v>0</v>
      </c>
    </row>
    <row r="46" spans="3:7" ht="14.4" customHeight="1" x14ac:dyDescent="0.3">
      <c r="C46" t="s">
        <v>37</v>
      </c>
      <c r="D46" s="2" t="s">
        <v>96</v>
      </c>
      <c r="E46" s="2" t="s">
        <v>95</v>
      </c>
      <c r="F46" s="2" t="s">
        <v>128</v>
      </c>
    </row>
    <row r="47" spans="3:7" ht="14.4" customHeight="1" x14ac:dyDescent="0.3">
      <c r="C47" t="s">
        <v>38</v>
      </c>
      <c r="D47" s="3">
        <v>302</v>
      </c>
      <c r="E47" s="3">
        <v>0</v>
      </c>
      <c r="F47" s="2">
        <v>0</v>
      </c>
    </row>
    <row r="48" spans="3:7" x14ac:dyDescent="0.3">
      <c r="C48" t="s">
        <v>39</v>
      </c>
      <c r="D48" s="2" t="s">
        <v>98</v>
      </c>
      <c r="E48" s="2" t="s">
        <v>97</v>
      </c>
      <c r="F48" s="2" t="s">
        <v>129</v>
      </c>
    </row>
    <row r="49" spans="3:6" ht="14.4" customHeight="1" x14ac:dyDescent="0.3">
      <c r="C49" t="s">
        <v>40</v>
      </c>
      <c r="D49" s="3">
        <v>238</v>
      </c>
      <c r="E49" s="3">
        <v>303</v>
      </c>
      <c r="F49" s="3">
        <v>90</v>
      </c>
    </row>
    <row r="50" spans="3:6" ht="14.4" customHeight="1" x14ac:dyDescent="0.3">
      <c r="C50" t="s">
        <v>41</v>
      </c>
      <c r="D50" s="2" t="s">
        <v>100</v>
      </c>
      <c r="E50" s="2" t="s">
        <v>99</v>
      </c>
      <c r="F50" s="2" t="s">
        <v>130</v>
      </c>
    </row>
    <row r="51" spans="3:6" ht="14.4" customHeight="1" x14ac:dyDescent="0.3">
      <c r="C51" t="s">
        <v>42</v>
      </c>
      <c r="D51" s="2" t="s">
        <v>100</v>
      </c>
      <c r="E51" s="2" t="s">
        <v>99</v>
      </c>
      <c r="F51" s="2" t="s">
        <v>130</v>
      </c>
    </row>
    <row r="52" spans="3:6" ht="14.4" customHeight="1" x14ac:dyDescent="0.3">
      <c r="C52" t="s">
        <v>43</v>
      </c>
      <c r="D52" s="2" t="s">
        <v>102</v>
      </c>
      <c r="E52" s="2" t="s">
        <v>101</v>
      </c>
      <c r="F52" s="2" t="s">
        <v>131</v>
      </c>
    </row>
    <row r="53" spans="3:6" ht="14.4" customHeight="1" x14ac:dyDescent="0.3">
      <c r="C53" t="s">
        <v>44</v>
      </c>
      <c r="D53" s="2" t="s">
        <v>104</v>
      </c>
      <c r="E53" s="2" t="s">
        <v>103</v>
      </c>
      <c r="F53" s="2" t="s">
        <v>132</v>
      </c>
    </row>
    <row r="54" spans="3:6" x14ac:dyDescent="0.3">
      <c r="C54" s="52" t="s">
        <v>105</v>
      </c>
      <c r="D54" s="53" t="s">
        <v>74</v>
      </c>
      <c r="E54" s="53" t="s">
        <v>73</v>
      </c>
      <c r="F54" s="53" t="s">
        <v>118</v>
      </c>
    </row>
    <row r="55" spans="3:6" x14ac:dyDescent="0.3">
      <c r="F55" s="2" t="s">
        <v>386</v>
      </c>
    </row>
    <row r="56" spans="3:6" x14ac:dyDescent="0.3">
      <c r="C56" s="10"/>
      <c r="D56" s="10" t="s">
        <v>804</v>
      </c>
      <c r="E56" s="10" t="s">
        <v>805</v>
      </c>
    </row>
    <row r="57" spans="3:6" x14ac:dyDescent="0.3">
      <c r="C57" s="10" t="s">
        <v>803</v>
      </c>
      <c r="D57" s="10">
        <v>2017</v>
      </c>
      <c r="E57" s="10">
        <v>2016</v>
      </c>
    </row>
    <row r="58" spans="3:6" x14ac:dyDescent="0.3">
      <c r="C58" s="10" t="s">
        <v>802</v>
      </c>
      <c r="D58" s="10">
        <v>14569</v>
      </c>
      <c r="E58" s="10">
        <v>13645</v>
      </c>
    </row>
    <row r="59" spans="3:6" x14ac:dyDescent="0.3">
      <c r="C59" s="10" t="s">
        <v>801</v>
      </c>
      <c r="D59" s="10">
        <v>17312</v>
      </c>
      <c r="E59" s="10">
        <v>18362</v>
      </c>
    </row>
    <row r="60" spans="3:6" x14ac:dyDescent="0.3">
      <c r="C60" s="10" t="s">
        <v>800</v>
      </c>
      <c r="D60" s="10">
        <v>2901</v>
      </c>
      <c r="E60" s="10">
        <v>4641</v>
      </c>
    </row>
    <row r="61" spans="3:6" x14ac:dyDescent="0.3">
      <c r="C61" s="10" t="s">
        <v>799</v>
      </c>
      <c r="D61" s="10">
        <v>92</v>
      </c>
      <c r="E61" s="10">
        <v>141</v>
      </c>
    </row>
    <row r="62" spans="3:6" x14ac:dyDescent="0.3">
      <c r="C62" s="10" t="s">
        <v>798</v>
      </c>
      <c r="D62" s="10">
        <f>SUM(D58:D61)</f>
        <v>34874</v>
      </c>
      <c r="E62" s="10">
        <f>SUM(E58:E61)</f>
        <v>36789</v>
      </c>
    </row>
    <row r="65" spans="3:5" x14ac:dyDescent="0.3">
      <c r="C65" s="1"/>
      <c r="D65" s="1"/>
    </row>
    <row r="67" spans="3:5" x14ac:dyDescent="0.3">
      <c r="C67">
        <f>(D$20/D$30)*100</f>
        <v>14.904496103537159</v>
      </c>
      <c r="D67">
        <f>(E$20/E$30)*100</f>
        <v>16.74963380023803</v>
      </c>
      <c r="E67">
        <f>(F$20/F$30)*100</f>
        <v>16.933334010368796</v>
      </c>
    </row>
  </sheetData>
  <mergeCells count="1">
    <mergeCell ref="C1:F1"/>
  </mergeCells>
  <phoneticPr fontId="2" type="noConversion"/>
  <pageMargins left="0.7" right="0.7" top="0.75" bottom="0.75" header="0.3" footer="0.3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6886-32D2-4D69-820B-36565782F125}">
  <dimension ref="A1:I48"/>
  <sheetViews>
    <sheetView view="pageBreakPreview" topLeftCell="A11" zoomScale="55" zoomScaleNormal="65" zoomScaleSheetLayoutView="55" workbookViewId="0">
      <selection activeCell="F55" sqref="F55"/>
    </sheetView>
  </sheetViews>
  <sheetFormatPr defaultRowHeight="14.4" x14ac:dyDescent="0.3"/>
  <cols>
    <col min="1" max="1" width="45.44140625" customWidth="1"/>
    <col min="3" max="3" width="24.77734375" customWidth="1"/>
    <col min="6" max="6" width="24.77734375" customWidth="1"/>
  </cols>
  <sheetData>
    <row r="1" spans="1:9" ht="36.6" x14ac:dyDescent="0.7">
      <c r="A1" s="85" t="s">
        <v>813</v>
      </c>
      <c r="B1" s="86"/>
      <c r="C1" s="86"/>
      <c r="D1" s="86"/>
      <c r="F1" s="2"/>
    </row>
    <row r="2" spans="1:9" ht="14.4" customHeight="1" x14ac:dyDescent="0.3">
      <c r="A2" s="51"/>
      <c r="B2" s="34"/>
      <c r="C2" s="34" t="s">
        <v>45</v>
      </c>
      <c r="D2" s="34"/>
      <c r="F2" s="3"/>
    </row>
    <row r="3" spans="1:9" ht="14.4" customHeight="1" x14ac:dyDescent="0.3">
      <c r="A3" s="34"/>
      <c r="B3" s="36">
        <v>2018</v>
      </c>
      <c r="C3" s="36">
        <v>2019</v>
      </c>
      <c r="D3" s="34">
        <v>2020</v>
      </c>
      <c r="F3" s="2"/>
    </row>
    <row r="4" spans="1:9" ht="14.4" customHeight="1" x14ac:dyDescent="0.3">
      <c r="A4" s="56" t="s">
        <v>237</v>
      </c>
      <c r="B4" s="56"/>
      <c r="C4" s="56"/>
      <c r="D4" s="56"/>
      <c r="F4" s="2"/>
    </row>
    <row r="5" spans="1:9" ht="14.4" customHeight="1" x14ac:dyDescent="0.3">
      <c r="A5" s="34" t="s">
        <v>238</v>
      </c>
      <c r="B5" s="34" t="s">
        <v>82</v>
      </c>
      <c r="C5" s="34" t="s">
        <v>81</v>
      </c>
      <c r="D5" s="34" t="s">
        <v>122</v>
      </c>
      <c r="F5" s="2"/>
    </row>
    <row r="6" spans="1:9" ht="14.4" customHeight="1" x14ac:dyDescent="0.3">
      <c r="A6" s="34" t="s">
        <v>239</v>
      </c>
      <c r="B6" s="34" t="s">
        <v>241</v>
      </c>
      <c r="C6" s="34" t="s">
        <v>240</v>
      </c>
      <c r="D6" s="34" t="s">
        <v>317</v>
      </c>
      <c r="F6" s="2"/>
    </row>
    <row r="7" spans="1:9" ht="14.4" customHeight="1" x14ac:dyDescent="0.3">
      <c r="A7" s="34" t="s">
        <v>242</v>
      </c>
      <c r="B7" s="34" t="s">
        <v>244</v>
      </c>
      <c r="C7" s="34" t="s">
        <v>243</v>
      </c>
      <c r="D7" s="34" t="s">
        <v>318</v>
      </c>
      <c r="E7" s="1"/>
      <c r="F7" s="3"/>
      <c r="G7" s="1"/>
      <c r="H7" s="1"/>
      <c r="I7" s="1"/>
    </row>
    <row r="8" spans="1:9" ht="14.4" customHeight="1" x14ac:dyDescent="0.3">
      <c r="A8" s="34" t="s">
        <v>245</v>
      </c>
      <c r="B8" s="36">
        <v>-297</v>
      </c>
      <c r="C8" s="36">
        <v>12</v>
      </c>
      <c r="D8" s="36">
        <v>-56</v>
      </c>
      <c r="E8" s="1"/>
      <c r="F8" s="3"/>
      <c r="G8" s="1"/>
      <c r="H8" s="1"/>
      <c r="I8" s="1"/>
    </row>
    <row r="9" spans="1:9" ht="14.4" customHeight="1" x14ac:dyDescent="0.3">
      <c r="A9" s="34" t="s">
        <v>246</v>
      </c>
      <c r="B9" s="36">
        <v>347</v>
      </c>
      <c r="C9" s="36">
        <v>630</v>
      </c>
      <c r="D9" s="36">
        <v>340</v>
      </c>
      <c r="F9" s="2"/>
    </row>
    <row r="10" spans="1:9" ht="14.4" customHeight="1" x14ac:dyDescent="0.3">
      <c r="A10" s="34" t="s">
        <v>247</v>
      </c>
      <c r="B10" s="34" t="s">
        <v>249</v>
      </c>
      <c r="C10" s="34" t="s">
        <v>248</v>
      </c>
      <c r="D10" s="36">
        <v>-622</v>
      </c>
      <c r="F10" s="2"/>
    </row>
    <row r="11" spans="1:9" ht="14.4" customHeight="1" x14ac:dyDescent="0.3">
      <c r="A11" s="34" t="s">
        <v>250</v>
      </c>
      <c r="B11" s="34" t="s">
        <v>252</v>
      </c>
      <c r="C11" s="34" t="s">
        <v>251</v>
      </c>
      <c r="D11" s="34" t="s">
        <v>319</v>
      </c>
      <c r="E11" s="1"/>
      <c r="F11" s="3"/>
      <c r="G11" s="1"/>
      <c r="H11" s="1"/>
      <c r="I11" s="1"/>
    </row>
    <row r="12" spans="1:9" ht="14.4" customHeight="1" x14ac:dyDescent="0.3">
      <c r="A12" s="34" t="s">
        <v>253</v>
      </c>
      <c r="B12" s="34" t="s">
        <v>254</v>
      </c>
      <c r="C12" s="36">
        <v>-155</v>
      </c>
      <c r="D12" s="34" t="s">
        <v>320</v>
      </c>
      <c r="F12" s="2"/>
    </row>
    <row r="13" spans="1:9" ht="14.4" customHeight="1" x14ac:dyDescent="0.3">
      <c r="A13" s="34" t="s">
        <v>255</v>
      </c>
      <c r="B13" s="34" t="s">
        <v>257</v>
      </c>
      <c r="C13" s="34" t="s">
        <v>256</v>
      </c>
      <c r="D13" s="34" t="s">
        <v>321</v>
      </c>
      <c r="F13" s="2"/>
    </row>
    <row r="14" spans="1:9" ht="14.4" customHeight="1" x14ac:dyDescent="0.3">
      <c r="A14" s="34" t="s">
        <v>258</v>
      </c>
      <c r="B14" s="34" t="s">
        <v>260</v>
      </c>
      <c r="C14" s="34" t="s">
        <v>259</v>
      </c>
      <c r="D14" s="34" t="s">
        <v>322</v>
      </c>
      <c r="F14" s="2"/>
    </row>
    <row r="15" spans="1:9" ht="14.4" customHeight="1" x14ac:dyDescent="0.3">
      <c r="A15" s="34" t="s">
        <v>261</v>
      </c>
      <c r="B15" s="34" t="s">
        <v>263</v>
      </c>
      <c r="C15" s="34" t="s">
        <v>262</v>
      </c>
      <c r="D15" s="34" t="s">
        <v>323</v>
      </c>
      <c r="F15" s="2"/>
    </row>
    <row r="16" spans="1:9" ht="14.4" customHeight="1" x14ac:dyDescent="0.3">
      <c r="A16" s="34" t="s">
        <v>264</v>
      </c>
      <c r="B16" s="36">
        <v>-27</v>
      </c>
      <c r="C16" s="34" t="s">
        <v>265</v>
      </c>
      <c r="D16" s="34" t="s">
        <v>324</v>
      </c>
      <c r="F16" s="2"/>
    </row>
    <row r="17" spans="1:9" ht="14.4" customHeight="1" x14ac:dyDescent="0.3">
      <c r="A17" s="34" t="s">
        <v>266</v>
      </c>
      <c r="B17" s="34" t="s">
        <v>268</v>
      </c>
      <c r="C17" s="34" t="s">
        <v>267</v>
      </c>
      <c r="D17" s="34" t="s">
        <v>325</v>
      </c>
      <c r="F17" s="2"/>
    </row>
    <row r="18" spans="1:9" x14ac:dyDescent="0.3">
      <c r="A18" s="56" t="s">
        <v>269</v>
      </c>
      <c r="B18" s="56"/>
      <c r="C18" s="56"/>
      <c r="D18" s="56"/>
      <c r="E18" s="1"/>
      <c r="F18" s="3"/>
      <c r="G18" s="1"/>
      <c r="H18" s="1"/>
      <c r="I18" s="1"/>
    </row>
    <row r="19" spans="1:9" ht="14.4" customHeight="1" x14ac:dyDescent="0.3">
      <c r="A19" s="34" t="s">
        <v>270</v>
      </c>
      <c r="B19" s="36">
        <v>729</v>
      </c>
      <c r="C19" s="36">
        <v>963</v>
      </c>
      <c r="D19" s="34" t="s">
        <v>326</v>
      </c>
      <c r="E19" s="1"/>
      <c r="F19" s="3"/>
      <c r="G19" s="1"/>
      <c r="H19" s="1"/>
      <c r="I19" s="1"/>
    </row>
    <row r="20" spans="1:9" ht="14.4" customHeight="1" x14ac:dyDescent="0.3">
      <c r="A20" s="34" t="s">
        <v>271</v>
      </c>
      <c r="B20" s="36">
        <v>302</v>
      </c>
      <c r="C20" s="36">
        <v>412</v>
      </c>
      <c r="D20" s="34" t="s">
        <v>327</v>
      </c>
      <c r="E20" s="1"/>
      <c r="F20" s="3"/>
      <c r="G20" s="1"/>
      <c r="H20" s="1"/>
      <c r="I20" s="1"/>
    </row>
    <row r="21" spans="1:9" ht="14.4" customHeight="1" x14ac:dyDescent="0.3">
      <c r="A21" s="34" t="s">
        <v>272</v>
      </c>
      <c r="B21" s="36">
        <v>300</v>
      </c>
      <c r="C21" s="36">
        <v>551</v>
      </c>
      <c r="D21" s="36">
        <v>0</v>
      </c>
      <c r="E21" s="1"/>
      <c r="F21" s="3"/>
      <c r="G21" s="1"/>
      <c r="H21" s="1"/>
      <c r="I21" s="1"/>
    </row>
    <row r="22" spans="1:9" ht="14.4" customHeight="1" x14ac:dyDescent="0.3">
      <c r="A22" s="34" t="s">
        <v>273</v>
      </c>
      <c r="B22" s="36">
        <v>300</v>
      </c>
      <c r="C22" s="36">
        <v>551</v>
      </c>
      <c r="D22" s="36">
        <v>0</v>
      </c>
      <c r="E22" s="1"/>
      <c r="F22" s="3"/>
      <c r="G22" s="1"/>
      <c r="H22" s="1"/>
      <c r="I22" s="1"/>
    </row>
    <row r="23" spans="1:9" ht="14.4" customHeight="1" x14ac:dyDescent="0.3">
      <c r="A23" s="34" t="s">
        <v>274</v>
      </c>
      <c r="B23" s="36">
        <v>300</v>
      </c>
      <c r="C23" s="36">
        <v>551</v>
      </c>
      <c r="D23" s="36">
        <v>0</v>
      </c>
      <c r="E23" s="1"/>
      <c r="F23" s="3"/>
      <c r="G23" s="1"/>
      <c r="H23" s="1"/>
      <c r="I23" s="1"/>
    </row>
    <row r="24" spans="1:9" ht="14.4" customHeight="1" x14ac:dyDescent="0.3">
      <c r="A24" s="34" t="s">
        <v>275</v>
      </c>
      <c r="B24" s="36">
        <v>127</v>
      </c>
      <c r="C24" s="36">
        <v>0</v>
      </c>
      <c r="D24" s="36">
        <v>217</v>
      </c>
      <c r="F24" s="2"/>
    </row>
    <row r="25" spans="1:9" ht="14.4" customHeight="1" x14ac:dyDescent="0.3">
      <c r="A25" s="34" t="s">
        <v>276</v>
      </c>
      <c r="B25" s="34" t="s">
        <v>278</v>
      </c>
      <c r="C25" s="34" t="s">
        <v>277</v>
      </c>
      <c r="D25" s="34" t="s">
        <v>328</v>
      </c>
      <c r="F25" s="2"/>
    </row>
    <row r="26" spans="1:9" ht="14.4" customHeight="1" x14ac:dyDescent="0.3">
      <c r="A26" s="34" t="s">
        <v>279</v>
      </c>
      <c r="B26" s="34" t="s">
        <v>281</v>
      </c>
      <c r="C26" s="34" t="s">
        <v>280</v>
      </c>
      <c r="D26" s="34" t="s">
        <v>329</v>
      </c>
      <c r="E26" s="1"/>
      <c r="F26" s="3"/>
      <c r="G26" s="1"/>
      <c r="H26" s="1"/>
      <c r="I26" s="1"/>
    </row>
    <row r="27" spans="1:9" ht="14.4" customHeight="1" x14ac:dyDescent="0.3">
      <c r="A27" s="34" t="s">
        <v>282</v>
      </c>
      <c r="B27" s="36">
        <v>658</v>
      </c>
      <c r="C27" s="36">
        <v>796</v>
      </c>
      <c r="D27" s="34" t="s">
        <v>330</v>
      </c>
      <c r="F27" s="2"/>
    </row>
    <row r="28" spans="1:9" ht="14.4" customHeight="1" x14ac:dyDescent="0.3">
      <c r="A28" s="34" t="s">
        <v>283</v>
      </c>
      <c r="B28" s="34" t="s">
        <v>285</v>
      </c>
      <c r="C28" s="34" t="s">
        <v>284</v>
      </c>
      <c r="D28" s="34" t="s">
        <v>331</v>
      </c>
      <c r="F28" s="2"/>
    </row>
    <row r="29" spans="1:9" x14ac:dyDescent="0.3">
      <c r="A29" s="56" t="s">
        <v>286</v>
      </c>
      <c r="B29" s="56"/>
      <c r="C29" s="56"/>
      <c r="D29" s="56"/>
      <c r="F29" s="2"/>
    </row>
    <row r="30" spans="1:9" ht="14.4" customHeight="1" x14ac:dyDescent="0.3">
      <c r="A30" s="34" t="s">
        <v>270</v>
      </c>
      <c r="B30" s="34" t="s">
        <v>288</v>
      </c>
      <c r="C30" s="34" t="s">
        <v>287</v>
      </c>
      <c r="D30" s="34" t="s">
        <v>332</v>
      </c>
      <c r="E30" s="1"/>
      <c r="F30" s="3"/>
      <c r="G30" s="1"/>
      <c r="H30" s="1"/>
      <c r="I30" s="1"/>
    </row>
    <row r="31" spans="1:9" ht="14.4" customHeight="1" x14ac:dyDescent="0.3">
      <c r="A31" s="34" t="s">
        <v>289</v>
      </c>
      <c r="B31" s="36">
        <v>869</v>
      </c>
      <c r="C31" s="36">
        <v>909</v>
      </c>
      <c r="D31" s="34" t="s">
        <v>333</v>
      </c>
      <c r="F31" s="2"/>
    </row>
    <row r="32" spans="1:9" ht="14.4" customHeight="1" x14ac:dyDescent="0.3">
      <c r="A32" s="34" t="s">
        <v>290</v>
      </c>
      <c r="B32" s="36">
        <v>0</v>
      </c>
      <c r="C32" s="34" t="s">
        <v>291</v>
      </c>
      <c r="D32" s="34" t="s">
        <v>334</v>
      </c>
      <c r="E32" s="1"/>
      <c r="F32" s="2"/>
      <c r="G32" s="1"/>
      <c r="H32" s="1"/>
      <c r="I32" s="1"/>
    </row>
    <row r="33" spans="1:9" ht="14.4" customHeight="1" x14ac:dyDescent="0.3">
      <c r="A33" s="34"/>
      <c r="B33" s="34" t="s">
        <v>45</v>
      </c>
      <c r="C33" s="34" t="s">
        <v>45</v>
      </c>
      <c r="D33" s="34"/>
      <c r="F33" s="3"/>
    </row>
    <row r="34" spans="1:9" ht="14.4" customHeight="1" x14ac:dyDescent="0.3">
      <c r="A34" s="34"/>
      <c r="B34" s="36">
        <v>2018</v>
      </c>
      <c r="C34" s="36">
        <v>2019</v>
      </c>
      <c r="D34" s="34"/>
      <c r="F34" s="3"/>
    </row>
    <row r="35" spans="1:9" ht="14.4" customHeight="1" x14ac:dyDescent="0.3">
      <c r="A35" s="34" t="s">
        <v>292</v>
      </c>
      <c r="B35" s="34" t="s">
        <v>103</v>
      </c>
      <c r="C35" s="36">
        <v>922</v>
      </c>
      <c r="D35" s="34" t="s">
        <v>335</v>
      </c>
      <c r="E35" s="1"/>
      <c r="F35" s="2"/>
      <c r="G35" s="1"/>
      <c r="H35" s="1"/>
      <c r="I35" s="1"/>
    </row>
    <row r="36" spans="1:9" x14ac:dyDescent="0.3">
      <c r="A36" s="34" t="s">
        <v>276</v>
      </c>
      <c r="B36" s="34" t="s">
        <v>294</v>
      </c>
      <c r="C36" s="34" t="s">
        <v>293</v>
      </c>
      <c r="D36" s="34" t="s">
        <v>336</v>
      </c>
      <c r="E36" s="1"/>
      <c r="F36" s="2"/>
      <c r="G36" s="1"/>
      <c r="H36" s="1"/>
      <c r="I36" s="1"/>
    </row>
    <row r="37" spans="1:9" ht="14.4" customHeight="1" x14ac:dyDescent="0.3">
      <c r="A37" s="34" t="s">
        <v>295</v>
      </c>
      <c r="B37" s="34" t="s">
        <v>277</v>
      </c>
      <c r="C37" s="34" t="s">
        <v>296</v>
      </c>
      <c r="D37" s="34" t="s">
        <v>337</v>
      </c>
      <c r="F37" s="3"/>
    </row>
    <row r="38" spans="1:9" ht="14.4" customHeight="1" x14ac:dyDescent="0.3">
      <c r="A38" s="34" t="s">
        <v>297</v>
      </c>
      <c r="B38" s="34" t="s">
        <v>298</v>
      </c>
      <c r="C38" s="36">
        <v>0</v>
      </c>
      <c r="D38" s="36">
        <v>0</v>
      </c>
      <c r="F38" s="3"/>
    </row>
    <row r="39" spans="1:9" ht="14.4" customHeight="1" x14ac:dyDescent="0.3">
      <c r="A39" s="34" t="s">
        <v>299</v>
      </c>
      <c r="B39" s="36">
        <v>68</v>
      </c>
      <c r="C39" s="36">
        <v>101</v>
      </c>
      <c r="D39" s="36">
        <v>19</v>
      </c>
      <c r="F39" s="3"/>
    </row>
    <row r="40" spans="1:9" ht="14.4" customHeight="1" x14ac:dyDescent="0.3">
      <c r="A40" s="34" t="s">
        <v>300</v>
      </c>
      <c r="B40" s="36">
        <v>271</v>
      </c>
      <c r="C40" s="36">
        <v>634</v>
      </c>
      <c r="D40" s="36">
        <v>339</v>
      </c>
      <c r="E40" s="1"/>
      <c r="F40" s="2"/>
      <c r="G40" s="1"/>
      <c r="H40" s="1"/>
      <c r="I40" s="1"/>
    </row>
    <row r="41" spans="1:9" ht="14.4" customHeight="1" x14ac:dyDescent="0.3">
      <c r="A41" s="34" t="s">
        <v>301</v>
      </c>
      <c r="B41" s="34" t="s">
        <v>303</v>
      </c>
      <c r="C41" s="34" t="s">
        <v>302</v>
      </c>
      <c r="D41" s="34" t="s">
        <v>338</v>
      </c>
      <c r="F41" s="2"/>
    </row>
    <row r="42" spans="1:9" ht="14.4" customHeight="1" x14ac:dyDescent="0.3">
      <c r="A42" s="56" t="s">
        <v>304</v>
      </c>
      <c r="B42" s="34" t="s">
        <v>306</v>
      </c>
      <c r="C42" s="34" t="s">
        <v>305</v>
      </c>
      <c r="D42" s="36">
        <v>-33</v>
      </c>
      <c r="F42" s="2"/>
    </row>
    <row r="43" spans="1:9" ht="14.4" customHeight="1" x14ac:dyDescent="0.3">
      <c r="A43" s="56" t="s">
        <v>307</v>
      </c>
      <c r="B43" s="34" t="s">
        <v>309</v>
      </c>
      <c r="C43" s="34" t="s">
        <v>308</v>
      </c>
      <c r="D43" s="36">
        <v>23</v>
      </c>
      <c r="E43" s="1"/>
      <c r="F43" s="3"/>
      <c r="G43" s="1"/>
      <c r="H43" s="1"/>
      <c r="I43" s="1"/>
    </row>
    <row r="44" spans="1:9" x14ac:dyDescent="0.3">
      <c r="A44" s="34" t="s">
        <v>310</v>
      </c>
      <c r="B44" s="36">
        <v>297</v>
      </c>
      <c r="C44" s="36">
        <v>-13</v>
      </c>
      <c r="D44" s="36">
        <v>56</v>
      </c>
      <c r="F44" s="2"/>
    </row>
    <row r="45" spans="1:9" x14ac:dyDescent="0.3">
      <c r="A45" s="56" t="s">
        <v>311</v>
      </c>
      <c r="B45" s="34" t="s">
        <v>313</v>
      </c>
      <c r="C45" s="34" t="s">
        <v>312</v>
      </c>
      <c r="D45" s="34" t="s">
        <v>315</v>
      </c>
      <c r="F45" s="2"/>
    </row>
    <row r="46" spans="1:9" x14ac:dyDescent="0.3">
      <c r="A46" s="56" t="s">
        <v>314</v>
      </c>
      <c r="B46" s="34" t="s">
        <v>312</v>
      </c>
      <c r="C46" s="34" t="s">
        <v>315</v>
      </c>
      <c r="D46" s="34" t="s">
        <v>54</v>
      </c>
      <c r="F46" s="3"/>
    </row>
    <row r="47" spans="1:9" x14ac:dyDescent="0.3">
      <c r="A47" s="34" t="s">
        <v>316</v>
      </c>
      <c r="B47" s="36">
        <v>141</v>
      </c>
      <c r="C47" s="36">
        <v>453</v>
      </c>
      <c r="D47" s="36">
        <v>145</v>
      </c>
      <c r="F47" s="2"/>
    </row>
    <row r="48" spans="1:9" x14ac:dyDescent="0.3">
      <c r="A48" s="2"/>
      <c r="B48" s="2"/>
      <c r="C48" s="2"/>
      <c r="D48" s="2"/>
    </row>
  </sheetData>
  <mergeCells count="1">
    <mergeCell ref="A1:D1"/>
  </mergeCells>
  <phoneticPr fontId="2" type="noConversion"/>
  <pageMargins left="0.7" right="0.7" top="0.75" bottom="0.75" header="0.3" footer="0.3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9A4E-F214-49F3-8066-76564737223E}">
  <dimension ref="A1:J30"/>
  <sheetViews>
    <sheetView view="pageBreakPreview" topLeftCell="A12" zoomScale="70" zoomScaleNormal="100" zoomScaleSheetLayoutView="70" workbookViewId="0">
      <selection activeCell="F55" sqref="F55"/>
    </sheetView>
  </sheetViews>
  <sheetFormatPr defaultRowHeight="14.4" x14ac:dyDescent="0.3"/>
  <cols>
    <col min="1" max="1" width="51.6640625" customWidth="1"/>
    <col min="2" max="2" width="14.44140625" customWidth="1"/>
  </cols>
  <sheetData>
    <row r="1" spans="1:10" ht="36.6" x14ac:dyDescent="0.7">
      <c r="A1" s="87" t="s">
        <v>808</v>
      </c>
      <c r="B1" s="88"/>
      <c r="C1" s="88"/>
      <c r="D1" s="88"/>
      <c r="E1" s="2"/>
      <c r="F1" s="2"/>
    </row>
    <row r="2" spans="1:10" x14ac:dyDescent="0.3">
      <c r="A2" s="51"/>
      <c r="B2" s="34"/>
      <c r="C2" s="34" t="s">
        <v>45</v>
      </c>
      <c r="D2" s="34"/>
      <c r="E2" s="3"/>
      <c r="F2" s="3"/>
      <c r="G2" s="1"/>
      <c r="H2" s="1"/>
      <c r="I2" s="1"/>
      <c r="J2" s="1"/>
    </row>
    <row r="3" spans="1:10" ht="14.4" customHeight="1" x14ac:dyDescent="0.3">
      <c r="A3" s="34"/>
      <c r="B3" s="36">
        <v>2018</v>
      </c>
      <c r="C3" s="36">
        <v>2019</v>
      </c>
      <c r="D3" s="36">
        <v>2020</v>
      </c>
      <c r="E3" s="2"/>
      <c r="F3" s="2"/>
    </row>
    <row r="4" spans="1:10" ht="14.4" customHeight="1" x14ac:dyDescent="0.3">
      <c r="A4" s="56" t="s">
        <v>339</v>
      </c>
      <c r="B4" s="56" t="s">
        <v>340</v>
      </c>
      <c r="C4" s="56" t="s">
        <v>76</v>
      </c>
      <c r="D4" s="56" t="s">
        <v>75</v>
      </c>
      <c r="E4" s="2"/>
      <c r="F4" s="2"/>
    </row>
    <row r="5" spans="1:10" ht="14.4" customHeight="1" x14ac:dyDescent="0.3">
      <c r="A5" s="56" t="s">
        <v>341</v>
      </c>
      <c r="B5" s="56" t="s">
        <v>342</v>
      </c>
      <c r="C5" s="56" t="s">
        <v>78</v>
      </c>
      <c r="D5" s="56" t="s">
        <v>77</v>
      </c>
      <c r="E5" s="3"/>
      <c r="F5" s="3"/>
      <c r="G5" s="1"/>
      <c r="H5" s="1"/>
      <c r="I5" s="1"/>
      <c r="J5" s="1"/>
    </row>
    <row r="6" spans="1:10" ht="14.4" customHeight="1" x14ac:dyDescent="0.3">
      <c r="A6" s="34" t="s">
        <v>343</v>
      </c>
      <c r="B6" s="36">
        <v>20</v>
      </c>
      <c r="C6" s="36">
        <v>21</v>
      </c>
      <c r="D6" s="36">
        <v>48</v>
      </c>
      <c r="E6" s="3"/>
      <c r="F6" s="3"/>
      <c r="G6" s="1"/>
      <c r="H6" s="1"/>
      <c r="I6" s="1"/>
      <c r="J6" s="1"/>
    </row>
    <row r="7" spans="1:10" ht="14.4" customHeight="1" x14ac:dyDescent="0.3">
      <c r="A7" s="34" t="s">
        <v>344</v>
      </c>
      <c r="B7" s="36">
        <v>20</v>
      </c>
      <c r="C7" s="36">
        <v>21</v>
      </c>
      <c r="D7" s="36">
        <v>48</v>
      </c>
      <c r="E7" s="3"/>
      <c r="F7" s="3"/>
      <c r="G7" s="1"/>
      <c r="H7" s="1"/>
      <c r="I7" s="1"/>
      <c r="J7" s="1"/>
    </row>
    <row r="8" spans="1:10" ht="14.4" customHeight="1" x14ac:dyDescent="0.3">
      <c r="A8" s="34" t="s">
        <v>345</v>
      </c>
      <c r="B8" s="36">
        <v>20</v>
      </c>
      <c r="C8" s="36">
        <v>21</v>
      </c>
      <c r="D8" s="36">
        <v>48</v>
      </c>
      <c r="E8" s="3"/>
      <c r="F8" s="3"/>
      <c r="G8" s="1"/>
      <c r="H8" s="1"/>
      <c r="I8" s="1"/>
      <c r="J8" s="1"/>
    </row>
    <row r="9" spans="1:10" ht="14.4" customHeight="1" x14ac:dyDescent="0.3">
      <c r="A9" s="34"/>
      <c r="B9" s="36"/>
      <c r="C9" s="36"/>
      <c r="D9" s="36">
        <v>0</v>
      </c>
      <c r="E9" s="2"/>
      <c r="F9" s="2"/>
    </row>
    <row r="10" spans="1:10" ht="14.4" customHeight="1" x14ac:dyDescent="0.3">
      <c r="A10" s="34" t="s">
        <v>346</v>
      </c>
      <c r="B10" s="34" t="s">
        <v>78</v>
      </c>
      <c r="C10" s="34" t="s">
        <v>77</v>
      </c>
      <c r="D10" s="34" t="s">
        <v>120</v>
      </c>
      <c r="E10" s="2"/>
      <c r="F10" s="2"/>
    </row>
    <row r="11" spans="1:10" ht="14.4" customHeight="1" x14ac:dyDescent="0.3">
      <c r="A11" s="56" t="s">
        <v>347</v>
      </c>
      <c r="B11" s="56" t="s">
        <v>348</v>
      </c>
      <c r="C11" s="56" t="s">
        <v>80</v>
      </c>
      <c r="D11" s="56" t="s">
        <v>79</v>
      </c>
      <c r="E11" s="2"/>
      <c r="F11" s="2"/>
    </row>
    <row r="12" spans="1:10" ht="14.4" customHeight="1" x14ac:dyDescent="0.3">
      <c r="A12" s="34" t="s">
        <v>349</v>
      </c>
      <c r="B12" s="34" t="s">
        <v>351</v>
      </c>
      <c r="C12" s="34" t="s">
        <v>350</v>
      </c>
      <c r="D12" s="34" t="s">
        <v>375</v>
      </c>
      <c r="E12" s="2"/>
      <c r="F12" s="2"/>
    </row>
    <row r="13" spans="1:10" ht="14.4" customHeight="1" x14ac:dyDescent="0.3">
      <c r="A13" s="34" t="s">
        <v>344</v>
      </c>
      <c r="B13" s="34" t="s">
        <v>353</v>
      </c>
      <c r="C13" s="34" t="s">
        <v>352</v>
      </c>
      <c r="D13" s="34" t="s">
        <v>375</v>
      </c>
      <c r="E13" s="3"/>
      <c r="F13" s="3"/>
      <c r="G13" s="1"/>
      <c r="H13" s="1"/>
      <c r="I13" s="1"/>
      <c r="J13" s="1"/>
    </row>
    <row r="14" spans="1:10" ht="14.4" customHeight="1" x14ac:dyDescent="0.3">
      <c r="A14" s="34" t="s">
        <v>354</v>
      </c>
      <c r="B14" s="36">
        <v>849</v>
      </c>
      <c r="C14" s="36">
        <v>888</v>
      </c>
      <c r="D14" s="34" t="s">
        <v>376</v>
      </c>
      <c r="E14" s="3"/>
      <c r="F14" s="3"/>
      <c r="G14" s="1"/>
      <c r="H14" s="1"/>
      <c r="I14" s="1"/>
      <c r="J14" s="1"/>
    </row>
    <row r="15" spans="1:10" ht="14.4" customHeight="1" x14ac:dyDescent="0.3">
      <c r="A15" s="34" t="s">
        <v>355</v>
      </c>
      <c r="B15" s="34" t="s">
        <v>356</v>
      </c>
      <c r="C15" s="36">
        <v>86</v>
      </c>
      <c r="D15" s="34" t="s">
        <v>377</v>
      </c>
      <c r="E15" s="2"/>
      <c r="F15" s="2"/>
    </row>
    <row r="16" spans="1:10" ht="14.4" customHeight="1" x14ac:dyDescent="0.3">
      <c r="A16" s="34" t="s">
        <v>357</v>
      </c>
      <c r="B16" s="36">
        <v>0</v>
      </c>
      <c r="C16" s="34" t="s">
        <v>358</v>
      </c>
      <c r="D16" s="34" t="s">
        <v>378</v>
      </c>
      <c r="E16" s="3"/>
      <c r="F16" s="3"/>
      <c r="G16" s="1"/>
      <c r="H16" s="1"/>
      <c r="I16" s="1"/>
      <c r="J16" s="1"/>
    </row>
    <row r="17" spans="1:10" ht="14.4" customHeight="1" x14ac:dyDescent="0.3">
      <c r="A17" s="34" t="s">
        <v>359</v>
      </c>
      <c r="B17" s="36">
        <v>-13</v>
      </c>
      <c r="C17" s="36">
        <v>25</v>
      </c>
      <c r="D17" s="36">
        <v>0</v>
      </c>
      <c r="E17" s="3"/>
      <c r="F17" s="3"/>
      <c r="G17" s="1"/>
      <c r="H17" s="1"/>
      <c r="I17" s="1"/>
      <c r="J17" s="1"/>
    </row>
    <row r="18" spans="1:10" ht="14.4" customHeight="1" x14ac:dyDescent="0.3">
      <c r="A18" s="34" t="s">
        <v>357</v>
      </c>
      <c r="B18" s="36">
        <v>-13</v>
      </c>
      <c r="C18" s="36">
        <v>25</v>
      </c>
      <c r="D18" s="36">
        <v>0</v>
      </c>
      <c r="E18" s="2"/>
      <c r="F18" s="2"/>
    </row>
    <row r="19" spans="1:10" ht="14.4" customHeight="1" x14ac:dyDescent="0.3">
      <c r="A19" s="34" t="s">
        <v>360</v>
      </c>
      <c r="B19" s="34" t="s">
        <v>80</v>
      </c>
      <c r="C19" s="34" t="s">
        <v>79</v>
      </c>
      <c r="D19" s="34" t="s">
        <v>121</v>
      </c>
      <c r="E19" s="2"/>
      <c r="F19" s="2"/>
    </row>
    <row r="20" spans="1:10" ht="14.4" customHeight="1" x14ac:dyDescent="0.3">
      <c r="A20" s="56" t="s">
        <v>361</v>
      </c>
      <c r="B20" s="56" t="s">
        <v>362</v>
      </c>
      <c r="C20" s="56" t="s">
        <v>82</v>
      </c>
      <c r="D20" s="56" t="s">
        <v>81</v>
      </c>
      <c r="E20" s="2"/>
      <c r="F20" s="2"/>
    </row>
    <row r="21" spans="1:10" ht="14.4" customHeight="1" x14ac:dyDescent="0.3">
      <c r="A21" s="34" t="s">
        <v>363</v>
      </c>
      <c r="B21" s="34" t="s">
        <v>362</v>
      </c>
      <c r="C21" s="34" t="s">
        <v>82</v>
      </c>
      <c r="D21" s="34" t="s">
        <v>81</v>
      </c>
      <c r="E21" s="2"/>
      <c r="F21" s="2"/>
    </row>
    <row r="22" spans="1:10" ht="14.4" customHeight="1" x14ac:dyDescent="0.3">
      <c r="A22" s="34" t="s">
        <v>364</v>
      </c>
      <c r="B22" s="34" t="s">
        <v>362</v>
      </c>
      <c r="C22" s="34" t="s">
        <v>82</v>
      </c>
      <c r="D22" s="34" t="s">
        <v>81</v>
      </c>
      <c r="E22" s="2"/>
      <c r="F22" s="2"/>
    </row>
    <row r="23" spans="1:10" ht="14.4" customHeight="1" x14ac:dyDescent="0.3">
      <c r="A23" s="34" t="s">
        <v>365</v>
      </c>
      <c r="B23" s="34" t="s">
        <v>277</v>
      </c>
      <c r="C23" s="34" t="s">
        <v>366</v>
      </c>
      <c r="D23" s="34" t="s">
        <v>337</v>
      </c>
      <c r="E23" s="3"/>
      <c r="F23" s="3"/>
      <c r="G23" s="1"/>
      <c r="H23" s="1"/>
      <c r="I23" s="1"/>
      <c r="J23" s="1"/>
    </row>
    <row r="24" spans="1:10" ht="14.4" customHeight="1" x14ac:dyDescent="0.3">
      <c r="A24" s="34" t="s">
        <v>367</v>
      </c>
      <c r="B24" s="34" t="s">
        <v>356</v>
      </c>
      <c r="C24" s="36">
        <v>86</v>
      </c>
      <c r="D24" s="34" t="s">
        <v>377</v>
      </c>
      <c r="E24" s="3"/>
      <c r="F24" s="3"/>
      <c r="G24" s="1"/>
      <c r="H24" s="1"/>
      <c r="I24" s="1"/>
      <c r="J24" s="1"/>
    </row>
    <row r="25" spans="1:10" x14ac:dyDescent="0.3">
      <c r="A25" s="34" t="s">
        <v>368</v>
      </c>
      <c r="B25" s="36">
        <v>0</v>
      </c>
      <c r="C25" s="36">
        <v>0</v>
      </c>
      <c r="D25" s="36">
        <v>0</v>
      </c>
      <c r="E25" s="2"/>
      <c r="F25" s="2"/>
    </row>
    <row r="26" spans="1:10" x14ac:dyDescent="0.3">
      <c r="A26" s="56" t="s">
        <v>369</v>
      </c>
      <c r="B26" s="56" t="s">
        <v>82</v>
      </c>
      <c r="C26" s="56" t="s">
        <v>81</v>
      </c>
      <c r="D26" s="56" t="s">
        <v>122</v>
      </c>
      <c r="E26" s="2"/>
      <c r="F26" s="2"/>
    </row>
    <row r="27" spans="1:10" ht="14.4" customHeight="1" x14ac:dyDescent="0.3">
      <c r="A27" s="34" t="s">
        <v>370</v>
      </c>
      <c r="B27" s="34" t="s">
        <v>82</v>
      </c>
      <c r="C27" s="34" t="s">
        <v>81</v>
      </c>
      <c r="D27" s="34" t="s">
        <v>122</v>
      </c>
      <c r="E27" s="2"/>
      <c r="F27" s="2"/>
    </row>
    <row r="28" spans="1:10" x14ac:dyDescent="0.3">
      <c r="A28" s="34" t="s">
        <v>371</v>
      </c>
      <c r="B28" s="34" t="s">
        <v>76</v>
      </c>
      <c r="C28" s="34" t="s">
        <v>75</v>
      </c>
      <c r="D28" s="34" t="s">
        <v>119</v>
      </c>
      <c r="E28" s="2"/>
      <c r="F28" s="2"/>
    </row>
    <row r="29" spans="1:10" x14ac:dyDescent="0.3">
      <c r="A29" s="34" t="s">
        <v>372</v>
      </c>
      <c r="B29" s="34" t="s">
        <v>374</v>
      </c>
      <c r="C29" s="34" t="s">
        <v>373</v>
      </c>
      <c r="D29" s="34" t="s">
        <v>379</v>
      </c>
      <c r="E29" s="2"/>
      <c r="F29" s="2"/>
    </row>
    <row r="30" spans="1:10" x14ac:dyDescent="0.3">
      <c r="A30" s="2"/>
      <c r="B30" s="2"/>
      <c r="C30" s="2"/>
      <c r="D30" s="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2239-D27F-4984-A44B-4E0B46633871}">
  <dimension ref="A1:J48"/>
  <sheetViews>
    <sheetView view="pageBreakPreview" zoomScale="55" zoomScaleNormal="82" zoomScaleSheetLayoutView="55" workbookViewId="0">
      <selection activeCell="F55" sqref="F55"/>
    </sheetView>
  </sheetViews>
  <sheetFormatPr defaultRowHeight="14.4" x14ac:dyDescent="0.3"/>
  <cols>
    <col min="1" max="1" width="46.33203125" customWidth="1"/>
    <col min="2" max="2" width="14.88671875" customWidth="1"/>
    <col min="3" max="3" width="20" customWidth="1"/>
    <col min="7" max="7" width="14.88671875" customWidth="1"/>
  </cols>
  <sheetData>
    <row r="1" spans="1:10" ht="36.6" x14ac:dyDescent="0.7">
      <c r="A1" s="89" t="s">
        <v>807</v>
      </c>
      <c r="B1" s="90"/>
      <c r="C1" s="90"/>
      <c r="D1" s="90"/>
    </row>
    <row r="2" spans="1:10" ht="14.4" customHeight="1" x14ac:dyDescent="0.3">
      <c r="A2" s="42"/>
      <c r="B2" s="34"/>
      <c r="C2" s="34" t="s">
        <v>45</v>
      </c>
      <c r="D2" s="34"/>
      <c r="E2" s="1"/>
      <c r="G2" s="1"/>
    </row>
    <row r="3" spans="1:10" ht="14.4" customHeight="1" x14ac:dyDescent="0.3">
      <c r="A3" s="10"/>
      <c r="B3" s="36">
        <v>2018</v>
      </c>
      <c r="C3" s="36">
        <v>2019</v>
      </c>
      <c r="D3" s="34">
        <v>2020</v>
      </c>
      <c r="E3" s="2"/>
      <c r="G3" s="2"/>
    </row>
    <row r="4" spans="1:10" ht="14.4" customHeight="1" x14ac:dyDescent="0.3">
      <c r="A4" s="52" t="s">
        <v>133</v>
      </c>
      <c r="B4" s="53" t="s">
        <v>135</v>
      </c>
      <c r="C4" s="53" t="s">
        <v>134</v>
      </c>
      <c r="D4" s="53" t="s">
        <v>218</v>
      </c>
      <c r="E4" s="2"/>
      <c r="G4" s="2"/>
    </row>
    <row r="5" spans="1:10" ht="14.4" customHeight="1" x14ac:dyDescent="0.3">
      <c r="A5" t="s">
        <v>136</v>
      </c>
      <c r="B5" s="2" t="s">
        <v>138</v>
      </c>
      <c r="C5" s="2" t="s">
        <v>137</v>
      </c>
      <c r="D5" s="2" t="s">
        <v>219</v>
      </c>
      <c r="E5" s="2"/>
      <c r="G5" s="2"/>
    </row>
    <row r="6" spans="1:10" ht="14.4" customHeight="1" x14ac:dyDescent="0.3">
      <c r="A6" s="52" t="s">
        <v>139</v>
      </c>
      <c r="B6" s="2" t="s">
        <v>141</v>
      </c>
      <c r="C6" s="2" t="s">
        <v>140</v>
      </c>
      <c r="D6" s="2" t="s">
        <v>220</v>
      </c>
      <c r="E6" s="2"/>
      <c r="G6" s="2"/>
    </row>
    <row r="7" spans="1:10" ht="14.4" customHeight="1" x14ac:dyDescent="0.3">
      <c r="A7" s="52" t="s">
        <v>142</v>
      </c>
      <c r="B7" s="2" t="s">
        <v>144</v>
      </c>
      <c r="C7" s="2" t="s">
        <v>143</v>
      </c>
      <c r="D7" s="2" t="s">
        <v>221</v>
      </c>
      <c r="E7" s="2"/>
      <c r="G7" s="2"/>
    </row>
    <row r="8" spans="1:10" ht="14.4" customHeight="1" x14ac:dyDescent="0.3">
      <c r="A8" t="s">
        <v>145</v>
      </c>
      <c r="B8" s="2" t="s">
        <v>147</v>
      </c>
      <c r="C8" s="2" t="s">
        <v>146</v>
      </c>
      <c r="D8" s="2" t="s">
        <v>222</v>
      </c>
      <c r="E8" s="2"/>
      <c r="G8" s="2"/>
    </row>
    <row r="9" spans="1:10" ht="14.4" customHeight="1" x14ac:dyDescent="0.3">
      <c r="A9" t="s">
        <v>148</v>
      </c>
      <c r="B9" s="2" t="s">
        <v>150</v>
      </c>
      <c r="C9" s="2" t="s">
        <v>149</v>
      </c>
      <c r="D9" s="2" t="s">
        <v>223</v>
      </c>
      <c r="E9" s="2"/>
      <c r="G9" s="2"/>
    </row>
    <row r="10" spans="1:10" ht="14.4" customHeight="1" x14ac:dyDescent="0.3">
      <c r="A10" t="s">
        <v>151</v>
      </c>
      <c r="B10" s="2" t="s">
        <v>153</v>
      </c>
      <c r="C10" s="2" t="s">
        <v>152</v>
      </c>
      <c r="D10" s="2" t="s">
        <v>224</v>
      </c>
      <c r="E10" s="2"/>
      <c r="G10" s="2"/>
    </row>
    <row r="11" spans="1:10" ht="14.4" customHeight="1" x14ac:dyDescent="0.3">
      <c r="A11" t="s">
        <v>154</v>
      </c>
      <c r="B11" s="2" t="s">
        <v>156</v>
      </c>
      <c r="C11" s="2" t="s">
        <v>155</v>
      </c>
      <c r="D11" s="2" t="s">
        <v>225</v>
      </c>
      <c r="E11" s="2"/>
      <c r="G11" s="2"/>
    </row>
    <row r="12" spans="1:10" ht="14.4" customHeight="1" x14ac:dyDescent="0.3">
      <c r="A12" s="7" t="s">
        <v>157</v>
      </c>
      <c r="B12" s="2" t="s">
        <v>159</v>
      </c>
      <c r="C12" s="2" t="s">
        <v>158</v>
      </c>
      <c r="D12" s="2" t="s">
        <v>226</v>
      </c>
      <c r="E12" s="2"/>
      <c r="G12" s="2"/>
    </row>
    <row r="13" spans="1:10" ht="14.4" customHeight="1" x14ac:dyDescent="0.3">
      <c r="A13" t="s">
        <v>160</v>
      </c>
      <c r="B13" s="2" t="s">
        <v>162</v>
      </c>
      <c r="C13" s="2" t="s">
        <v>161</v>
      </c>
      <c r="D13" s="2" t="s">
        <v>227</v>
      </c>
      <c r="E13" s="2"/>
      <c r="G13" s="2"/>
    </row>
    <row r="14" spans="1:10" ht="14.4" customHeight="1" x14ac:dyDescent="0.3">
      <c r="A14" t="s">
        <v>163</v>
      </c>
      <c r="B14" s="2" t="s">
        <v>165</v>
      </c>
      <c r="C14" s="2" t="s">
        <v>164</v>
      </c>
      <c r="D14" s="2" t="s">
        <v>228</v>
      </c>
      <c r="E14" s="2"/>
      <c r="G14" s="2"/>
    </row>
    <row r="15" spans="1:10" ht="14.4" customHeight="1" x14ac:dyDescent="0.3">
      <c r="A15" s="52" t="s">
        <v>166</v>
      </c>
      <c r="B15" s="2" t="s">
        <v>168</v>
      </c>
      <c r="C15" s="2" t="s">
        <v>167</v>
      </c>
      <c r="D15" s="2" t="s">
        <v>229</v>
      </c>
      <c r="E15" s="2"/>
      <c r="G15" s="2"/>
    </row>
    <row r="16" spans="1:10" ht="14.4" customHeight="1" x14ac:dyDescent="0.3">
      <c r="A16" s="52" t="s">
        <v>169</v>
      </c>
      <c r="B16" s="53" t="s">
        <v>171</v>
      </c>
      <c r="C16" s="53" t="s">
        <v>170</v>
      </c>
      <c r="D16" s="53" t="s">
        <v>230</v>
      </c>
      <c r="E16" s="3"/>
      <c r="F16" s="1"/>
      <c r="G16" s="3"/>
      <c r="H16" s="1"/>
      <c r="I16" s="1"/>
      <c r="J16" s="1"/>
    </row>
    <row r="17" spans="1:10" ht="14.4" customHeight="1" x14ac:dyDescent="0.3">
      <c r="A17" t="s">
        <v>172</v>
      </c>
      <c r="B17" s="3">
        <v>0</v>
      </c>
      <c r="C17" s="3">
        <v>36</v>
      </c>
      <c r="D17" s="3">
        <v>706</v>
      </c>
      <c r="E17" s="2"/>
      <c r="G17" s="2"/>
    </row>
    <row r="18" spans="1:10" ht="14.4" customHeight="1" x14ac:dyDescent="0.3">
      <c r="A18" t="s">
        <v>173</v>
      </c>
      <c r="B18" s="2" t="s">
        <v>175</v>
      </c>
      <c r="C18" s="2" t="s">
        <v>174</v>
      </c>
      <c r="D18" s="2" t="s">
        <v>231</v>
      </c>
      <c r="E18" s="2"/>
      <c r="G18" s="3"/>
    </row>
    <row r="19" spans="1:10" ht="14.4" customHeight="1" x14ac:dyDescent="0.3">
      <c r="A19" t="s">
        <v>176</v>
      </c>
      <c r="B19" s="3">
        <v>7</v>
      </c>
      <c r="C19" s="2" t="s">
        <v>177</v>
      </c>
      <c r="D19" s="3">
        <v>5</v>
      </c>
      <c r="E19" s="3"/>
      <c r="F19" s="1"/>
      <c r="G19" s="3"/>
      <c r="H19" s="1"/>
      <c r="I19" s="1"/>
      <c r="J19" s="1"/>
    </row>
    <row r="20" spans="1:10" ht="14.4" customHeight="1" x14ac:dyDescent="0.3">
      <c r="A20" t="s">
        <v>178</v>
      </c>
      <c r="B20" s="3">
        <v>162</v>
      </c>
      <c r="C20" s="3">
        <v>182</v>
      </c>
      <c r="D20" s="3">
        <v>114</v>
      </c>
      <c r="E20" s="2"/>
      <c r="G20" s="2"/>
    </row>
    <row r="21" spans="1:10" ht="14.4" customHeight="1" x14ac:dyDescent="0.3">
      <c r="A21" t="s">
        <v>179</v>
      </c>
      <c r="B21" s="2" t="s">
        <v>181</v>
      </c>
      <c r="C21" s="2" t="s">
        <v>180</v>
      </c>
      <c r="D21" s="2" t="s">
        <v>232</v>
      </c>
      <c r="E21" s="3"/>
      <c r="F21" s="1"/>
      <c r="G21" s="3"/>
      <c r="H21" s="1"/>
      <c r="I21" s="1"/>
      <c r="J21" s="1"/>
    </row>
    <row r="22" spans="1:10" ht="14.4" customHeight="1" x14ac:dyDescent="0.3">
      <c r="A22" t="s">
        <v>182</v>
      </c>
      <c r="B22" s="3">
        <v>132</v>
      </c>
      <c r="C22" s="3">
        <v>0</v>
      </c>
      <c r="D22" s="3">
        <v>0</v>
      </c>
      <c r="E22" s="3"/>
      <c r="F22" s="1"/>
      <c r="G22" s="2"/>
      <c r="H22" s="1"/>
      <c r="I22" s="1"/>
      <c r="J22" s="1"/>
    </row>
    <row r="23" spans="1:10" ht="14.4" customHeight="1" x14ac:dyDescent="0.3">
      <c r="A23" t="s">
        <v>183</v>
      </c>
      <c r="B23" s="2" t="s">
        <v>184</v>
      </c>
      <c r="C23" s="3">
        <v>472</v>
      </c>
      <c r="D23" s="3">
        <v>901</v>
      </c>
      <c r="E23" s="3"/>
      <c r="F23" s="1"/>
      <c r="G23" s="3"/>
      <c r="H23" s="1"/>
      <c r="I23" s="1"/>
      <c r="J23" s="1"/>
    </row>
    <row r="24" spans="1:10" ht="14.4" customHeight="1" x14ac:dyDescent="0.3">
      <c r="A24" t="s">
        <v>185</v>
      </c>
      <c r="B24" s="3">
        <v>684</v>
      </c>
      <c r="C24" s="3">
        <v>927</v>
      </c>
      <c r="D24" s="3">
        <v>853</v>
      </c>
      <c r="E24" s="2"/>
      <c r="G24" s="2"/>
    </row>
    <row r="25" spans="1:10" ht="14.4" customHeight="1" x14ac:dyDescent="0.3">
      <c r="A25" t="s">
        <v>186</v>
      </c>
      <c r="B25" s="2" t="s">
        <v>188</v>
      </c>
      <c r="C25" s="2" t="s">
        <v>187</v>
      </c>
      <c r="D25" s="2" t="s">
        <v>233</v>
      </c>
      <c r="E25" s="2"/>
      <c r="G25" s="3"/>
    </row>
    <row r="26" spans="1:10" ht="14.4" customHeight="1" x14ac:dyDescent="0.3">
      <c r="A26" s="52" t="s">
        <v>189</v>
      </c>
      <c r="B26" s="57">
        <v>576</v>
      </c>
      <c r="C26" s="53" t="s">
        <v>190</v>
      </c>
      <c r="D26" s="57">
        <v>717</v>
      </c>
      <c r="E26" s="3"/>
      <c r="F26" s="1"/>
      <c r="G26" s="3"/>
      <c r="H26" s="1"/>
      <c r="I26" s="1"/>
      <c r="J26" s="1"/>
    </row>
    <row r="27" spans="1:10" ht="14.4" customHeight="1" x14ac:dyDescent="0.3">
      <c r="A27" t="s">
        <v>191</v>
      </c>
      <c r="B27" s="3">
        <v>9</v>
      </c>
      <c r="C27" s="3">
        <v>2</v>
      </c>
      <c r="D27" s="3">
        <v>1</v>
      </c>
      <c r="E27" s="3"/>
      <c r="F27" s="1"/>
      <c r="G27" s="3"/>
      <c r="H27" s="1"/>
      <c r="I27" s="1"/>
      <c r="J27" s="1"/>
    </row>
    <row r="28" spans="1:10" ht="14.4" customHeight="1" x14ac:dyDescent="0.3">
      <c r="A28" t="s">
        <v>136</v>
      </c>
      <c r="B28" s="3">
        <v>0</v>
      </c>
      <c r="C28" s="3">
        <v>0</v>
      </c>
      <c r="D28" s="3">
        <v>0</v>
      </c>
      <c r="E28" s="2"/>
      <c r="G28" s="3"/>
    </row>
    <row r="29" spans="1:10" x14ac:dyDescent="0.3">
      <c r="A29" t="s">
        <v>192</v>
      </c>
      <c r="B29" s="3">
        <v>0</v>
      </c>
      <c r="C29" s="2" t="s">
        <v>132</v>
      </c>
      <c r="D29" s="3">
        <v>0</v>
      </c>
      <c r="E29" s="3"/>
      <c r="F29" s="1"/>
      <c r="G29" s="3"/>
      <c r="H29" s="1"/>
      <c r="I29" s="1"/>
      <c r="J29" s="1"/>
    </row>
    <row r="30" spans="1:10" ht="14.4" customHeight="1" x14ac:dyDescent="0.3">
      <c r="A30" t="s">
        <v>193</v>
      </c>
      <c r="B30" s="3">
        <v>567</v>
      </c>
      <c r="C30" s="3">
        <v>0</v>
      </c>
      <c r="D30" s="3">
        <v>716</v>
      </c>
      <c r="E30" s="3"/>
      <c r="F30" s="1"/>
      <c r="G30" s="2"/>
      <c r="H30" s="1"/>
      <c r="I30" s="1"/>
      <c r="J30" s="1"/>
    </row>
    <row r="31" spans="1:10" ht="14.4" customHeight="1" x14ac:dyDescent="0.3">
      <c r="A31" t="s">
        <v>194</v>
      </c>
      <c r="B31" s="2" t="s">
        <v>195</v>
      </c>
      <c r="C31" s="3">
        <v>931</v>
      </c>
      <c r="D31" s="3">
        <v>404</v>
      </c>
      <c r="E31" s="3"/>
      <c r="F31" s="1"/>
      <c r="G31" s="3"/>
      <c r="H31" s="1"/>
      <c r="I31" s="1"/>
      <c r="J31" s="1"/>
    </row>
    <row r="32" spans="1:10" ht="14.4" customHeight="1" x14ac:dyDescent="0.3">
      <c r="A32" t="s">
        <v>196</v>
      </c>
      <c r="B32" s="3">
        <v>349</v>
      </c>
      <c r="C32" s="3">
        <v>632</v>
      </c>
      <c r="D32" s="3">
        <v>373</v>
      </c>
      <c r="E32" s="3"/>
      <c r="F32" s="1"/>
      <c r="G32" s="3"/>
      <c r="H32" s="1"/>
      <c r="I32" s="1"/>
      <c r="J32" s="1"/>
    </row>
    <row r="33" spans="1:10" ht="14.4" customHeight="1" x14ac:dyDescent="0.3">
      <c r="A33" t="s">
        <v>197</v>
      </c>
      <c r="B33" s="3">
        <v>0</v>
      </c>
      <c r="C33" s="3">
        <v>0</v>
      </c>
      <c r="D33" s="3">
        <v>0</v>
      </c>
      <c r="E33" s="3"/>
      <c r="F33" s="1"/>
      <c r="G33" s="3"/>
      <c r="H33" s="1"/>
      <c r="I33" s="1"/>
      <c r="J33" s="1"/>
    </row>
    <row r="34" spans="1:10" ht="14.4" customHeight="1" x14ac:dyDescent="0.3">
      <c r="A34" t="s">
        <v>198</v>
      </c>
      <c r="B34" s="3">
        <v>0</v>
      </c>
      <c r="C34" s="3">
        <v>151</v>
      </c>
      <c r="D34" s="3">
        <v>0</v>
      </c>
      <c r="E34" s="3"/>
      <c r="F34" s="1"/>
      <c r="G34" s="3"/>
      <c r="H34" s="1"/>
      <c r="I34" s="1"/>
      <c r="J34" s="1"/>
    </row>
    <row r="35" spans="1:10" ht="14.4" customHeight="1" x14ac:dyDescent="0.3">
      <c r="A35" t="s">
        <v>199</v>
      </c>
      <c r="B35" s="3">
        <v>0</v>
      </c>
      <c r="C35" s="3">
        <v>151</v>
      </c>
      <c r="D35" s="3">
        <v>0</v>
      </c>
      <c r="E35" s="3"/>
      <c r="F35" s="1"/>
      <c r="G35" s="2"/>
      <c r="H35" s="1"/>
      <c r="I35" s="1"/>
      <c r="J35" s="1"/>
    </row>
    <row r="36" spans="1:10" x14ac:dyDescent="0.3">
      <c r="A36" t="s">
        <v>200</v>
      </c>
      <c r="B36" s="2" t="s">
        <v>201</v>
      </c>
      <c r="C36" s="3">
        <v>3</v>
      </c>
      <c r="D36" s="3">
        <v>0</v>
      </c>
      <c r="E36" s="3"/>
      <c r="F36" s="1"/>
      <c r="G36" s="3"/>
      <c r="H36" s="1"/>
      <c r="I36" s="1"/>
      <c r="J36" s="1"/>
    </row>
    <row r="37" spans="1:10" ht="14.4" customHeight="1" x14ac:dyDescent="0.3">
      <c r="A37" t="s">
        <v>202</v>
      </c>
      <c r="B37" s="3">
        <v>0</v>
      </c>
      <c r="C37" s="3">
        <v>145</v>
      </c>
      <c r="D37" s="3">
        <v>31</v>
      </c>
      <c r="E37" s="2"/>
      <c r="G37" s="2"/>
    </row>
    <row r="38" spans="1:10" ht="14.4" customHeight="1" x14ac:dyDescent="0.3">
      <c r="A38" t="s">
        <v>203</v>
      </c>
      <c r="B38" s="2" t="s">
        <v>205</v>
      </c>
      <c r="C38" s="2" t="s">
        <v>204</v>
      </c>
      <c r="D38" s="2" t="s">
        <v>234</v>
      </c>
      <c r="E38" s="2"/>
      <c r="G38" s="2"/>
    </row>
    <row r="39" spans="1:10" ht="14.4" customHeight="1" x14ac:dyDescent="0.3">
      <c r="A39" t="s">
        <v>206</v>
      </c>
      <c r="B39" s="2" t="s">
        <v>208</v>
      </c>
      <c r="C39" s="2" t="s">
        <v>207</v>
      </c>
      <c r="D39" s="2" t="s">
        <v>235</v>
      </c>
      <c r="E39" s="2"/>
      <c r="G39" s="2"/>
    </row>
    <row r="40" spans="1:10" ht="14.4" customHeight="1" x14ac:dyDescent="0.3">
      <c r="A40" t="s">
        <v>209</v>
      </c>
      <c r="B40" s="2" t="s">
        <v>211</v>
      </c>
      <c r="C40" s="2" t="s">
        <v>210</v>
      </c>
      <c r="D40" s="2" t="s">
        <v>236</v>
      </c>
      <c r="E40" s="3"/>
      <c r="F40" s="1"/>
      <c r="G40" s="3"/>
      <c r="H40" s="1"/>
      <c r="I40" s="1"/>
      <c r="J40" s="1"/>
    </row>
    <row r="41" spans="1:10" ht="14.4" customHeight="1" x14ac:dyDescent="0.3">
      <c r="A41" t="s">
        <v>212</v>
      </c>
      <c r="B41" s="3">
        <v>-59</v>
      </c>
      <c r="C41" s="3">
        <v>878</v>
      </c>
      <c r="D41" s="3">
        <v>395</v>
      </c>
      <c r="E41" s="2"/>
      <c r="G41" s="2"/>
    </row>
    <row r="42" spans="1:10" x14ac:dyDescent="0.3">
      <c r="A42" s="52" t="s">
        <v>213</v>
      </c>
      <c r="B42" s="53" t="s">
        <v>82</v>
      </c>
      <c r="C42" s="53" t="s">
        <v>81</v>
      </c>
      <c r="D42" s="53" t="s">
        <v>122</v>
      </c>
      <c r="E42" s="2"/>
      <c r="G42" s="2"/>
    </row>
    <row r="43" spans="1:10" ht="14.4" customHeight="1" x14ac:dyDescent="0.3">
      <c r="B43" s="2"/>
      <c r="C43" s="2"/>
      <c r="D43" s="2"/>
      <c r="E43" s="2"/>
      <c r="G43" s="2"/>
    </row>
    <row r="44" spans="1:10" ht="14.4" customHeight="1" x14ac:dyDescent="0.3">
      <c r="B44" s="2"/>
      <c r="C44" s="2"/>
      <c r="D44" s="2"/>
      <c r="E44" s="2"/>
      <c r="G44" s="2"/>
    </row>
    <row r="45" spans="1:10" ht="14.4" customHeight="1" x14ac:dyDescent="0.3">
      <c r="B45" s="2"/>
      <c r="C45" s="2"/>
      <c r="D45" s="2"/>
      <c r="E45" s="2"/>
      <c r="G45" s="2"/>
    </row>
    <row r="46" spans="1:10" ht="14.4" customHeight="1" x14ac:dyDescent="0.3">
      <c r="B46" s="2"/>
      <c r="C46" s="2"/>
      <c r="D46" s="2"/>
      <c r="E46" s="2"/>
      <c r="G46" s="2"/>
    </row>
    <row r="47" spans="1:10" ht="14.4" customHeight="1" x14ac:dyDescent="0.3">
      <c r="B47" s="2"/>
      <c r="C47" s="2"/>
      <c r="D47" s="2"/>
      <c r="E47" s="2"/>
      <c r="G47" s="2"/>
    </row>
    <row r="48" spans="1:10" x14ac:dyDescent="0.3">
      <c r="B48" s="2"/>
      <c r="C48" s="2"/>
      <c r="D48" s="2"/>
    </row>
  </sheetData>
  <mergeCells count="1">
    <mergeCell ref="A1:D1"/>
  </mergeCells>
  <pageMargins left="0.7" right="0.7" top="0.75" bottom="0.75" header="0.3" footer="0.3"/>
  <pageSetup paperSize="9" scale="9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2113-4B21-4BCC-857A-FE6B59C569AF}">
  <sheetPr>
    <pageSetUpPr fitToPage="1"/>
  </sheetPr>
  <dimension ref="B1:Q44"/>
  <sheetViews>
    <sheetView tabSelected="1" view="pageBreakPreview" zoomScale="43" zoomScaleNormal="55" zoomScaleSheetLayoutView="43" zoomScalePageLayoutView="15" workbookViewId="0">
      <selection activeCell="R38" sqref="R38"/>
    </sheetView>
  </sheetViews>
  <sheetFormatPr defaultRowHeight="14.4" x14ac:dyDescent="0.3"/>
  <cols>
    <col min="1" max="1" width="8.77734375" customWidth="1"/>
    <col min="2" max="2" width="23.5546875" customWidth="1"/>
    <col min="3" max="3" width="8.5546875" customWidth="1"/>
    <col min="4" max="4" width="10.5546875" customWidth="1"/>
    <col min="5" max="5" width="11.33203125" hidden="1" customWidth="1"/>
    <col min="6" max="6" width="17.77734375" customWidth="1"/>
    <col min="7" max="7" width="10.109375" customWidth="1"/>
    <col min="8" max="8" width="9.5546875" customWidth="1"/>
    <col min="12" max="12" width="12.5546875" customWidth="1"/>
    <col min="14" max="14" width="8.88671875" customWidth="1"/>
    <col min="15" max="15" width="11.5546875" customWidth="1"/>
  </cols>
  <sheetData>
    <row r="1" spans="2:17" ht="36.6" x14ac:dyDescent="0.7">
      <c r="F1" s="77" t="s">
        <v>391</v>
      </c>
      <c r="G1" s="77"/>
      <c r="H1" s="77"/>
      <c r="I1" s="77"/>
      <c r="J1" s="77"/>
      <c r="K1" s="52"/>
    </row>
    <row r="3" spans="2:17" ht="83.4" x14ac:dyDescent="4.1500000000000004">
      <c r="B3" s="83" t="s">
        <v>392</v>
      </c>
      <c r="C3" s="83"/>
      <c r="D3" s="83"/>
      <c r="E3" s="83"/>
      <c r="F3" s="83"/>
      <c r="I3" s="59" t="s">
        <v>411</v>
      </c>
      <c r="J3" s="60"/>
      <c r="K3" s="60"/>
      <c r="L3" s="61" t="s">
        <v>674</v>
      </c>
      <c r="M3" s="60"/>
    </row>
    <row r="4" spans="2:17" x14ac:dyDescent="0.3">
      <c r="B4" s="10" t="s">
        <v>393</v>
      </c>
      <c r="C4" s="10" t="s">
        <v>673</v>
      </c>
      <c r="D4" s="10"/>
      <c r="E4" s="10"/>
      <c r="F4" s="10"/>
      <c r="I4" s="10"/>
      <c r="J4" s="10"/>
      <c r="K4" s="10"/>
      <c r="L4" s="10"/>
      <c r="M4" s="10"/>
    </row>
    <row r="5" spans="2:17" x14ac:dyDescent="0.3">
      <c r="B5" s="10" t="s">
        <v>394</v>
      </c>
      <c r="C5" s="10">
        <f>(bilans!D$20/bilans!D$30)*100</f>
        <v>14.904496103537159</v>
      </c>
      <c r="D5" s="10" t="s">
        <v>396</v>
      </c>
      <c r="E5" s="78"/>
      <c r="F5" s="10"/>
      <c r="I5" s="10" t="s">
        <v>394</v>
      </c>
      <c r="J5" s="10">
        <f>(bilans!D$21/bilans!D$30)*100</f>
        <v>1.9497335264040183</v>
      </c>
      <c r="K5" s="10" t="s">
        <v>396</v>
      </c>
      <c r="L5" s="10"/>
      <c r="M5" s="10"/>
    </row>
    <row r="6" spans="2:17" x14ac:dyDescent="0.3">
      <c r="B6" s="10" t="s">
        <v>395</v>
      </c>
      <c r="C6" s="10">
        <f>(bilans!E$20/bilans!E$30)*100</f>
        <v>16.74963380023803</v>
      </c>
      <c r="D6" s="10" t="s">
        <v>396</v>
      </c>
      <c r="E6" s="78"/>
      <c r="F6" s="10"/>
      <c r="I6" s="10" t="s">
        <v>395</v>
      </c>
      <c r="J6" s="10">
        <f>(bilans!E$21/bilans!E$30)*100</f>
        <v>1.3429231895999267</v>
      </c>
      <c r="K6" s="10" t="s">
        <v>396</v>
      </c>
      <c r="L6" s="10"/>
      <c r="M6" s="10"/>
    </row>
    <row r="7" spans="2:17" x14ac:dyDescent="0.3">
      <c r="B7" s="10" t="s">
        <v>402</v>
      </c>
      <c r="C7" s="10">
        <f>(bilans!F$20/bilans!F$30)*100</f>
        <v>16.933334010368796</v>
      </c>
      <c r="D7" s="10" t="s">
        <v>396</v>
      </c>
      <c r="E7" s="78"/>
      <c r="F7" s="10"/>
      <c r="I7" s="10" t="s">
        <v>402</v>
      </c>
      <c r="J7" s="10">
        <f>(bilans!F$21/bilans!F$30)*100</f>
        <v>3.0512295810335281</v>
      </c>
      <c r="K7" s="10" t="s">
        <v>396</v>
      </c>
      <c r="L7" s="10"/>
      <c r="M7" s="10"/>
    </row>
    <row r="8" spans="2:17" x14ac:dyDescent="0.3">
      <c r="B8" s="10"/>
      <c r="C8" s="10" t="s">
        <v>672</v>
      </c>
      <c r="D8" s="10"/>
      <c r="E8" s="78"/>
      <c r="F8" s="10"/>
      <c r="I8" s="10"/>
      <c r="J8" s="10"/>
      <c r="K8" s="10"/>
      <c r="L8" s="10"/>
      <c r="M8" s="10"/>
    </row>
    <row r="9" spans="2:17" x14ac:dyDescent="0.3">
      <c r="B9" s="10" t="s">
        <v>397</v>
      </c>
      <c r="C9" s="10" t="s">
        <v>671</v>
      </c>
      <c r="D9" s="10"/>
      <c r="E9" s="78"/>
      <c r="F9" s="10"/>
      <c r="I9" s="10" t="s">
        <v>397</v>
      </c>
      <c r="J9" s="10"/>
      <c r="K9" s="10"/>
      <c r="L9" s="10"/>
      <c r="M9" s="10"/>
    </row>
    <row r="10" spans="2:17" x14ac:dyDescent="0.3">
      <c r="B10" s="10" t="s">
        <v>398</v>
      </c>
      <c r="C10" s="10">
        <f>(bilans!D20-17312)/17312 *100</f>
        <v>43.28789279112754</v>
      </c>
      <c r="D10" s="10" t="s">
        <v>396</v>
      </c>
      <c r="E10" s="78"/>
      <c r="F10" s="10"/>
      <c r="I10" s="10" t="s">
        <v>398</v>
      </c>
      <c r="J10" s="10">
        <f>(bilans!D21-2901)/2901 *100</f>
        <v>11.857980006894174</v>
      </c>
      <c r="K10" s="10" t="s">
        <v>396</v>
      </c>
      <c r="L10" s="10"/>
      <c r="M10" s="10"/>
    </row>
    <row r="11" spans="2:17" x14ac:dyDescent="0.3">
      <c r="B11" s="10" t="s">
        <v>399</v>
      </c>
      <c r="C11" s="10">
        <f>(bilans!E20-bilans!D20)/bilans!D20 * 100</f>
        <v>18.007740062888011</v>
      </c>
      <c r="D11" s="10" t="s">
        <v>396</v>
      </c>
      <c r="E11" s="78"/>
      <c r="F11" s="10"/>
      <c r="I11" s="10" t="s">
        <v>399</v>
      </c>
      <c r="J11" s="10">
        <f>(bilans!E21-bilans!D21)/bilans!D21 *100</f>
        <v>-27.673343605546997</v>
      </c>
      <c r="K11" s="10" t="s">
        <v>396</v>
      </c>
      <c r="L11" s="10"/>
      <c r="M11" s="10"/>
    </row>
    <row r="12" spans="2:17" x14ac:dyDescent="0.3">
      <c r="B12" s="10" t="s">
        <v>403</v>
      </c>
      <c r="C12" s="10">
        <f>(bilans!F20-bilans!E20)/bilans!E20 * 100</f>
        <v>13.920677757660643</v>
      </c>
      <c r="D12" s="10" t="s">
        <v>396</v>
      </c>
      <c r="E12" s="10"/>
      <c r="F12" s="79"/>
      <c r="I12" s="10" t="s">
        <v>403</v>
      </c>
      <c r="J12" s="10">
        <f>(bilans!F21-bilans!E21)/bilans!E21 *100</f>
        <v>156.028973157222</v>
      </c>
      <c r="K12" s="10" t="s">
        <v>396</v>
      </c>
      <c r="L12" s="10"/>
      <c r="M12" s="10"/>
      <c r="O12" s="10"/>
      <c r="P12" s="10" t="s">
        <v>804</v>
      </c>
      <c r="Q12" s="10" t="s">
        <v>805</v>
      </c>
    </row>
    <row r="13" spans="2:17" x14ac:dyDescent="0.3">
      <c r="B13" s="10"/>
      <c r="C13" s="10"/>
      <c r="D13" s="10"/>
      <c r="E13" s="10"/>
      <c r="F13" s="10"/>
      <c r="I13" s="10"/>
      <c r="J13" s="10"/>
      <c r="K13" s="10"/>
      <c r="L13" s="10"/>
      <c r="M13" s="10"/>
      <c r="O13" s="10" t="s">
        <v>803</v>
      </c>
      <c r="P13" s="10">
        <v>2017</v>
      </c>
      <c r="Q13" s="10">
        <v>2016</v>
      </c>
    </row>
    <row r="14" spans="2:17" x14ac:dyDescent="0.3">
      <c r="B14" s="10" t="s">
        <v>400</v>
      </c>
      <c r="C14" s="10">
        <f>(bilans!D20-17312) *100</f>
        <v>749400</v>
      </c>
      <c r="D14" s="10"/>
      <c r="E14" s="10"/>
      <c r="F14" s="10"/>
      <c r="I14" s="10" t="s">
        <v>400</v>
      </c>
      <c r="J14" s="10">
        <f>(bilans!D21-2901) *100</f>
        <v>34400</v>
      </c>
      <c r="K14" s="10"/>
      <c r="L14" s="10"/>
      <c r="M14" s="10"/>
      <c r="O14" s="50" t="s">
        <v>802</v>
      </c>
      <c r="P14" s="10">
        <v>14569</v>
      </c>
      <c r="Q14" s="10">
        <v>13645</v>
      </c>
    </row>
    <row r="15" spans="2:17" x14ac:dyDescent="0.3">
      <c r="B15" s="10" t="s">
        <v>401</v>
      </c>
      <c r="C15" s="10">
        <f>(bilans!E20-bilans!D20) * 100</f>
        <v>446700</v>
      </c>
      <c r="D15" s="10"/>
      <c r="E15" s="10"/>
      <c r="F15" s="10"/>
      <c r="I15" s="10" t="s">
        <v>401</v>
      </c>
      <c r="J15" s="10">
        <f>(bilans!E21-bilans!D21)*100</f>
        <v>-89800</v>
      </c>
      <c r="K15" s="10"/>
      <c r="L15" s="10"/>
      <c r="M15" s="10"/>
      <c r="O15" s="50" t="s">
        <v>801</v>
      </c>
      <c r="P15" s="10">
        <v>17312</v>
      </c>
      <c r="Q15" s="10">
        <v>18362</v>
      </c>
    </row>
    <row r="16" spans="2:17" x14ac:dyDescent="0.3">
      <c r="B16" s="10" t="s">
        <v>404</v>
      </c>
      <c r="C16" s="10">
        <f>(bilans!F20-bilans!E20) * 100</f>
        <v>407500</v>
      </c>
      <c r="D16" s="10"/>
      <c r="E16" s="10"/>
      <c r="F16" s="10"/>
      <c r="I16" s="10" t="s">
        <v>404</v>
      </c>
      <c r="J16" s="10">
        <f>(bilans!F21-bilans!E21) *100</f>
        <v>366200</v>
      </c>
      <c r="K16" s="10"/>
      <c r="L16" s="10"/>
      <c r="M16" s="10"/>
      <c r="O16" s="50" t="s">
        <v>800</v>
      </c>
      <c r="P16" s="10">
        <v>2901</v>
      </c>
      <c r="Q16" s="10">
        <v>4641</v>
      </c>
    </row>
    <row r="17" spans="2:17" x14ac:dyDescent="0.3">
      <c r="B17" s="10"/>
      <c r="C17" s="10"/>
      <c r="D17" s="10"/>
      <c r="E17" s="10"/>
      <c r="F17" s="10"/>
      <c r="I17" s="10"/>
      <c r="J17" s="10"/>
      <c r="K17" s="10"/>
      <c r="L17" s="10"/>
      <c r="M17" s="10"/>
      <c r="O17" s="50" t="s">
        <v>799</v>
      </c>
      <c r="P17" s="10">
        <v>92</v>
      </c>
      <c r="Q17" s="10">
        <v>141</v>
      </c>
    </row>
    <row r="18" spans="2:17" x14ac:dyDescent="0.3">
      <c r="B18" s="10" t="s">
        <v>405</v>
      </c>
      <c r="C18" s="10"/>
      <c r="D18" s="10"/>
      <c r="E18" s="10"/>
      <c r="F18" s="10"/>
      <c r="I18" s="10" t="s">
        <v>405</v>
      </c>
      <c r="J18" s="10"/>
      <c r="K18" s="10"/>
      <c r="L18" s="10"/>
      <c r="M18" s="10"/>
      <c r="O18" s="50" t="s">
        <v>798</v>
      </c>
      <c r="P18" s="10">
        <f>SUM(P14:P17)</f>
        <v>34874</v>
      </c>
      <c r="Q18" s="10">
        <f>SUM(Q14:Q17)</f>
        <v>36789</v>
      </c>
    </row>
    <row r="19" spans="2:17" x14ac:dyDescent="0.3">
      <c r="B19" s="10" t="s">
        <v>406</v>
      </c>
      <c r="C19" s="10">
        <f>(bilans!D20-17312)/150117*100</f>
        <v>4.9921061571973864</v>
      </c>
      <c r="D19" s="10"/>
      <c r="E19" s="10"/>
      <c r="F19" s="10"/>
      <c r="I19" s="10" t="s">
        <v>406</v>
      </c>
      <c r="J19" s="10">
        <f>(bilans!D21-2901)/150117 *100</f>
        <v>0.22915459275098757</v>
      </c>
      <c r="K19" s="10"/>
      <c r="L19" s="10"/>
      <c r="M19" s="10"/>
      <c r="O19" t="s">
        <v>797</v>
      </c>
    </row>
    <row r="20" spans="2:17" x14ac:dyDescent="0.3">
      <c r="B20" s="10" t="s">
        <v>407</v>
      </c>
      <c r="C20" s="10">
        <f>(bilans!E20-bilans!D20)/bilans!E30 * 100</f>
        <v>2.5559599011260645</v>
      </c>
      <c r="D20" s="10"/>
      <c r="E20" s="10"/>
      <c r="F20" s="10"/>
      <c r="I20" s="10" t="s">
        <v>407</v>
      </c>
      <c r="J20" s="10">
        <f>(bilans!E21-bilans!D21)/bilans!E30 *100</f>
        <v>-0.5138240410143734</v>
      </c>
      <c r="K20" s="10"/>
      <c r="L20" s="10"/>
      <c r="M20" s="10"/>
    </row>
    <row r="21" spans="2:17" x14ac:dyDescent="0.3">
      <c r="B21" s="10" t="s">
        <v>408</v>
      </c>
      <c r="C21" s="10">
        <f>(bilans!F20-bilans!E20)/bilans!F20 * 100</f>
        <v>12.219623365719084</v>
      </c>
      <c r="D21" s="10"/>
      <c r="E21" s="10"/>
      <c r="F21" s="10"/>
      <c r="I21" s="10" t="s">
        <v>408</v>
      </c>
      <c r="J21" s="10">
        <f>(bilans!F21-bilans!E21)/bilans!E30 * 100</f>
        <v>2.0953492630229791</v>
      </c>
      <c r="K21" s="10"/>
      <c r="L21" s="10"/>
      <c r="M21" s="10"/>
    </row>
    <row r="22" spans="2:17" x14ac:dyDescent="0.3">
      <c r="B22" s="10"/>
      <c r="C22" s="10"/>
      <c r="D22" s="10"/>
      <c r="E22" s="10"/>
      <c r="F22" s="10"/>
      <c r="I22" s="10"/>
      <c r="J22" s="10"/>
      <c r="K22" s="10"/>
      <c r="L22" s="10"/>
      <c r="M22" s="10"/>
    </row>
    <row r="23" spans="2:17" ht="25.8" x14ac:dyDescent="0.5">
      <c r="B23" s="59" t="s">
        <v>410</v>
      </c>
      <c r="C23" s="60" t="s">
        <v>675</v>
      </c>
      <c r="D23" s="60"/>
      <c r="E23" s="60"/>
      <c r="F23" s="60"/>
      <c r="I23" s="80" t="s">
        <v>412</v>
      </c>
      <c r="J23" s="81"/>
      <c r="K23" s="81"/>
      <c r="L23" s="81"/>
      <c r="M23" s="82"/>
      <c r="O23" t="s">
        <v>409</v>
      </c>
      <c r="P23" s="5">
        <v>150117</v>
      </c>
    </row>
    <row r="24" spans="2:17" x14ac:dyDescent="0.3">
      <c r="B24" s="10"/>
      <c r="C24" s="10"/>
      <c r="D24" s="10"/>
      <c r="E24" s="10"/>
      <c r="F24" s="10"/>
      <c r="I24" s="10" t="s">
        <v>676</v>
      </c>
      <c r="J24" s="10"/>
      <c r="K24" s="10"/>
      <c r="L24" s="10"/>
      <c r="M24" s="10"/>
    </row>
    <row r="25" spans="2:17" x14ac:dyDescent="0.3">
      <c r="B25" s="10" t="s">
        <v>394</v>
      </c>
      <c r="C25" s="10">
        <f>(bilans!D$19/bilans!D$30)*100</f>
        <v>13.416209525755107</v>
      </c>
      <c r="D25" s="10" t="s">
        <v>396</v>
      </c>
      <c r="E25" s="10"/>
      <c r="F25" s="10"/>
      <c r="I25" s="10" t="s">
        <v>394</v>
      </c>
      <c r="J25" s="10">
        <f>(bilans!D$22/bilans!D$30)*100</f>
        <v>0.14660554096843775</v>
      </c>
      <c r="K25" s="10" t="s">
        <v>396</v>
      </c>
      <c r="L25" s="10"/>
      <c r="M25" s="10"/>
    </row>
    <row r="26" spans="2:17" x14ac:dyDescent="0.3">
      <c r="B26" s="10" t="s">
        <v>395</v>
      </c>
      <c r="C26" s="10">
        <f>(bilans!E$19/bilans!E$30)*100</f>
        <v>10.893298544355947</v>
      </c>
      <c r="D26" s="10" t="s">
        <v>396</v>
      </c>
      <c r="E26" s="10"/>
      <c r="F26" s="10"/>
      <c r="I26" s="10" t="s">
        <v>395</v>
      </c>
      <c r="J26" s="10">
        <f>(bilans!E$22/bilans!E$30)*100</f>
        <v>6.8662455369404005E-2</v>
      </c>
      <c r="K26" s="10" t="s">
        <v>396</v>
      </c>
      <c r="L26" s="10"/>
      <c r="M26" s="10"/>
    </row>
    <row r="27" spans="2:17" x14ac:dyDescent="0.3">
      <c r="B27" s="10" t="s">
        <v>402</v>
      </c>
      <c r="C27" s="10">
        <f>(bilans!F$19/bilans!F$30)*100</f>
        <v>10.960865657545305</v>
      </c>
      <c r="D27" s="10" t="s">
        <v>396</v>
      </c>
      <c r="E27" s="10"/>
      <c r="F27" s="10"/>
      <c r="I27" s="10" t="s">
        <v>402</v>
      </c>
      <c r="J27" s="10">
        <f>(bilans!F$22/bilans!F$30)*100</f>
        <v>0.15284075618091064</v>
      </c>
      <c r="K27" s="10" t="s">
        <v>396</v>
      </c>
      <c r="L27" s="10"/>
      <c r="M27" s="10"/>
    </row>
    <row r="28" spans="2:17" x14ac:dyDescent="0.3">
      <c r="B28" s="10"/>
      <c r="C28" s="10"/>
      <c r="D28" s="10"/>
      <c r="E28" s="10"/>
      <c r="F28" s="10"/>
      <c r="I28" s="10"/>
      <c r="J28" s="10"/>
      <c r="K28" s="10"/>
      <c r="L28" s="10"/>
      <c r="M28" s="10"/>
    </row>
    <row r="29" spans="2:17" x14ac:dyDescent="0.3">
      <c r="B29" s="10" t="s">
        <v>397</v>
      </c>
      <c r="C29" s="10"/>
      <c r="D29" s="10"/>
      <c r="E29" s="10"/>
      <c r="F29" s="10"/>
      <c r="I29" s="10" t="s">
        <v>397</v>
      </c>
      <c r="J29" s="10"/>
      <c r="K29" s="10"/>
      <c r="L29" s="10"/>
      <c r="M29" s="10"/>
    </row>
    <row r="30" spans="2:17" x14ac:dyDescent="0.3">
      <c r="B30" s="10" t="s">
        <v>398</v>
      </c>
      <c r="C30" s="10">
        <f>(bilans!D19-14569)/14569 *100</f>
        <v>53.263779257327201</v>
      </c>
      <c r="D30" s="10" t="s">
        <v>396</v>
      </c>
      <c r="E30" s="10"/>
      <c r="F30" s="10"/>
      <c r="I30" s="10" t="s">
        <v>398</v>
      </c>
      <c r="J30" s="10">
        <f>(bilans!D22-92)/92 * 100</f>
        <v>165.21739130434781</v>
      </c>
      <c r="K30" s="10" t="s">
        <v>396</v>
      </c>
      <c r="L30" s="10"/>
      <c r="M30" s="10"/>
    </row>
    <row r="31" spans="2:17" x14ac:dyDescent="0.3">
      <c r="B31" s="10" t="s">
        <v>399</v>
      </c>
      <c r="C31" s="10">
        <f>(bilans!E19-bilans!D19)/bilans!D19 *100</f>
        <v>-14.738680639527072</v>
      </c>
      <c r="D31" s="10" t="s">
        <v>396</v>
      </c>
      <c r="E31" s="10"/>
      <c r="F31" s="10"/>
      <c r="I31" s="10" t="s">
        <v>399</v>
      </c>
      <c r="J31" s="10">
        <f>(bilans!E22-bilans!D22)/bilans!D22 * 100</f>
        <v>-50.819672131147541</v>
      </c>
      <c r="K31" s="10" t="s">
        <v>396</v>
      </c>
      <c r="L31" s="10"/>
      <c r="M31" s="10"/>
    </row>
    <row r="32" spans="2:17" x14ac:dyDescent="0.3">
      <c r="B32" s="10" t="s">
        <v>403</v>
      </c>
      <c r="C32" s="10">
        <f>(bilans!F19-bilans!E19)/bilans!E19 * 100</f>
        <v>13.383758798193087</v>
      </c>
      <c r="D32" s="10" t="s">
        <v>396</v>
      </c>
      <c r="E32" s="10"/>
      <c r="F32" s="10"/>
      <c r="I32" s="10" t="s">
        <v>403</v>
      </c>
      <c r="J32" s="10">
        <f>(bilans!F22-bilans!E22)/bilans!E22 * 100</f>
        <v>150.83333333333334</v>
      </c>
      <c r="K32" s="10" t="s">
        <v>396</v>
      </c>
      <c r="L32" s="10"/>
      <c r="M32" s="10"/>
    </row>
    <row r="33" spans="2:13" x14ac:dyDescent="0.3">
      <c r="B33" s="10"/>
      <c r="C33" s="10"/>
      <c r="D33" s="10"/>
      <c r="E33" s="10"/>
      <c r="F33" s="10"/>
      <c r="I33" s="10"/>
      <c r="J33" s="10"/>
      <c r="K33" s="10"/>
      <c r="L33" s="10"/>
      <c r="M33" s="10"/>
    </row>
    <row r="34" spans="2:13" x14ac:dyDescent="0.3">
      <c r="B34" s="10" t="s">
        <v>400</v>
      </c>
      <c r="C34" s="10">
        <f>(bilans!D19-14569) *100</f>
        <v>776000</v>
      </c>
      <c r="D34" s="10"/>
      <c r="E34" s="10"/>
      <c r="F34" s="10"/>
      <c r="I34" s="10" t="s">
        <v>400</v>
      </c>
      <c r="J34" s="10">
        <f>(bilans!D22-92)</f>
        <v>152</v>
      </c>
      <c r="K34" s="10"/>
      <c r="L34" s="10"/>
      <c r="M34" s="10"/>
    </row>
    <row r="35" spans="2:13" x14ac:dyDescent="0.3">
      <c r="B35" s="10" t="s">
        <v>401</v>
      </c>
      <c r="C35" s="10">
        <f>(bilans!E19-bilans!D19) *100</f>
        <v>-329100</v>
      </c>
      <c r="D35" s="10"/>
      <c r="E35" s="10"/>
      <c r="F35" s="10"/>
      <c r="I35" s="10" t="s">
        <v>401</v>
      </c>
      <c r="J35" s="10">
        <f>(bilans!E22-bilans!D22)</f>
        <v>-124</v>
      </c>
      <c r="K35" s="10"/>
      <c r="L35" s="10"/>
      <c r="M35" s="10"/>
    </row>
    <row r="36" spans="2:13" x14ac:dyDescent="0.3">
      <c r="B36" s="10" t="s">
        <v>404</v>
      </c>
      <c r="C36" s="10">
        <f>(bilans!F19-bilans!E19) * 100</f>
        <v>254800</v>
      </c>
      <c r="D36" s="10"/>
      <c r="E36" s="10"/>
      <c r="F36" s="10"/>
      <c r="I36" s="10" t="s">
        <v>404</v>
      </c>
      <c r="J36" s="10">
        <f>(bilans!F22-bilans!E22)</f>
        <v>181</v>
      </c>
      <c r="K36" s="10"/>
      <c r="L36" s="10"/>
      <c r="M36" s="10"/>
    </row>
    <row r="37" spans="2:13" x14ac:dyDescent="0.3">
      <c r="B37" s="10"/>
      <c r="C37" s="10"/>
      <c r="D37" s="10"/>
      <c r="E37" s="10"/>
      <c r="F37" s="10"/>
      <c r="I37" s="10"/>
      <c r="J37" s="10"/>
      <c r="K37" s="10"/>
      <c r="L37" s="10"/>
      <c r="M37" s="10"/>
    </row>
    <row r="38" spans="2:13" x14ac:dyDescent="0.3">
      <c r="B38" s="10" t="s">
        <v>405</v>
      </c>
      <c r="C38" s="10"/>
      <c r="D38" s="10"/>
      <c r="E38" s="10"/>
      <c r="F38" s="10"/>
      <c r="I38" s="10" t="s">
        <v>405</v>
      </c>
      <c r="J38" s="10"/>
      <c r="K38" s="10"/>
      <c r="L38" s="10"/>
      <c r="M38" s="10"/>
    </row>
    <row r="39" spans="2:13" x14ac:dyDescent="0.3">
      <c r="B39" s="10" t="s">
        <v>406</v>
      </c>
      <c r="C39" s="10">
        <f>(bilans!D19-14569)/150117 *100</f>
        <v>5.1693012783362313</v>
      </c>
      <c r="D39" s="10"/>
      <c r="E39" s="10"/>
      <c r="F39" s="10"/>
      <c r="I39" s="10" t="s">
        <v>406</v>
      </c>
      <c r="J39" s="10">
        <f>(bilans!D22-92)/150117 *100</f>
        <v>0.10125435493648287</v>
      </c>
      <c r="K39" s="10"/>
      <c r="L39" s="10"/>
      <c r="M39" s="10"/>
    </row>
    <row r="40" spans="2:13" x14ac:dyDescent="0.3">
      <c r="B40" s="10" t="s">
        <v>407</v>
      </c>
      <c r="C40" s="10">
        <f>(bilans!E19-bilans!D19)/bilans!E30 *100</f>
        <v>-1.883067838505905</v>
      </c>
      <c r="D40" s="10"/>
      <c r="E40" s="10"/>
      <c r="F40" s="10"/>
      <c r="I40" s="10" t="s">
        <v>407</v>
      </c>
      <c r="J40" s="10">
        <f>(bilans!E22-bilans!D22)/bilans!E30 *100</f>
        <v>-7.0951203881717481E-2</v>
      </c>
      <c r="K40" s="10"/>
      <c r="L40" s="10"/>
      <c r="M40" s="10"/>
    </row>
    <row r="41" spans="2:13" x14ac:dyDescent="0.3">
      <c r="B41" s="10" t="s">
        <v>408</v>
      </c>
      <c r="C41" s="10">
        <f>(bilans!F19-bilans!E19)/bilans!E30 * 100</f>
        <v>1.4579328023436784</v>
      </c>
      <c r="D41" s="10"/>
      <c r="E41" s="10"/>
      <c r="F41" s="10"/>
      <c r="I41" s="10" t="s">
        <v>408</v>
      </c>
      <c r="J41" s="10">
        <f>(bilans!F22-bilans!E22)/bilans!E30 * 100</f>
        <v>0.10356587018218438</v>
      </c>
      <c r="K41" s="10"/>
      <c r="L41" s="10"/>
      <c r="M41" s="10"/>
    </row>
    <row r="42" spans="2:13" x14ac:dyDescent="0.3">
      <c r="B42" s="10"/>
      <c r="C42" s="10"/>
      <c r="D42" s="10"/>
      <c r="E42" s="10"/>
      <c r="F42" s="10"/>
    </row>
    <row r="43" spans="2:13" x14ac:dyDescent="0.3">
      <c r="B43" s="10"/>
      <c r="C43" s="10"/>
      <c r="D43" s="10"/>
      <c r="E43" s="10"/>
      <c r="F43" s="10"/>
    </row>
    <row r="44" spans="2:13" ht="15.6" customHeight="1" x14ac:dyDescent="0.3"/>
  </sheetData>
  <phoneticPr fontId="2" type="noConversion"/>
  <pageMargins left="0.19685039370078741" right="0.47244094488188976" top="0.74803149606299213" bottom="2.14" header="0.31496062992125984" footer="2.0499989063867017"/>
  <pageSetup paperSize="9" scale="50" fitToHeight="10" orientation="portrait" r:id="rId1"/>
  <rowBreaks count="2" manualBreakCount="2">
    <brk id="32" max="16383" man="1"/>
    <brk id="43" max="18" man="1"/>
  </rowBreaks>
  <colBreaks count="2" manualBreakCount="2">
    <brk id="18" max="43" man="1"/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73DB-D5DC-47F6-A53E-874845ECAD9B}">
  <dimension ref="A1:M38"/>
  <sheetViews>
    <sheetView view="pageBreakPreview" topLeftCell="A3" zoomScale="69" zoomScaleNormal="69" zoomScaleSheetLayoutView="145" workbookViewId="0">
      <selection activeCell="F55" sqref="F55"/>
    </sheetView>
  </sheetViews>
  <sheetFormatPr defaultRowHeight="14.4" x14ac:dyDescent="0.3"/>
  <cols>
    <col min="1" max="1" width="58.33203125" customWidth="1"/>
    <col min="4" max="4" width="11.5546875" customWidth="1"/>
    <col min="5" max="5" width="12.21875" customWidth="1"/>
  </cols>
  <sheetData>
    <row r="1" spans="1:12" ht="36.6" x14ac:dyDescent="0.7">
      <c r="A1" s="87" t="s">
        <v>814</v>
      </c>
      <c r="B1" s="88"/>
      <c r="C1" s="88"/>
      <c r="D1" s="88"/>
    </row>
    <row r="2" spans="1:12" x14ac:dyDescent="0.3">
      <c r="A2" s="10" t="s">
        <v>106</v>
      </c>
      <c r="B2" s="10">
        <v>2018</v>
      </c>
      <c r="C2" s="10">
        <v>2019</v>
      </c>
      <c r="D2" s="8">
        <v>2020</v>
      </c>
    </row>
    <row r="3" spans="1:12" x14ac:dyDescent="0.3">
      <c r="A3" s="10" t="s">
        <v>380</v>
      </c>
      <c r="B3" s="10">
        <v>429</v>
      </c>
      <c r="C3" s="10">
        <v>491</v>
      </c>
      <c r="D3" s="8">
        <v>439</v>
      </c>
    </row>
    <row r="4" spans="1:12" x14ac:dyDescent="0.3">
      <c r="A4" s="10" t="s">
        <v>381</v>
      </c>
      <c r="B4" s="10">
        <v>65</v>
      </c>
      <c r="C4" s="10">
        <v>66</v>
      </c>
      <c r="D4" s="8">
        <v>55</v>
      </c>
    </row>
    <row r="5" spans="1:12" x14ac:dyDescent="0.3">
      <c r="A5" s="10" t="s">
        <v>382</v>
      </c>
      <c r="B5" s="10">
        <v>91</v>
      </c>
      <c r="C5" s="10">
        <v>109</v>
      </c>
      <c r="D5" s="8">
        <v>113</v>
      </c>
    </row>
    <row r="6" spans="1:12" x14ac:dyDescent="0.3">
      <c r="A6" s="10" t="s">
        <v>383</v>
      </c>
      <c r="B6" s="10">
        <v>141</v>
      </c>
      <c r="C6" s="10">
        <v>178</v>
      </c>
      <c r="D6" s="8">
        <v>137</v>
      </c>
    </row>
    <row r="7" spans="1:12" x14ac:dyDescent="0.3">
      <c r="A7" s="10" t="s">
        <v>384</v>
      </c>
      <c r="B7" s="10">
        <v>726</v>
      </c>
      <c r="C7" s="10">
        <v>844</v>
      </c>
      <c r="D7" s="8">
        <v>744</v>
      </c>
    </row>
    <row r="8" spans="1:12" x14ac:dyDescent="0.3">
      <c r="D8" t="s">
        <v>385</v>
      </c>
    </row>
    <row r="10" spans="1:12" x14ac:dyDescent="0.3">
      <c r="A10" t="s">
        <v>511</v>
      </c>
      <c r="B10" s="91" t="s">
        <v>45</v>
      </c>
      <c r="C10" s="92"/>
      <c r="D10" s="93"/>
      <c r="E10" s="1"/>
      <c r="J10" s="1"/>
      <c r="K10" s="1"/>
      <c r="L10" s="1"/>
    </row>
    <row r="11" spans="1:12" x14ac:dyDescent="0.3">
      <c r="B11" s="8">
        <v>2019</v>
      </c>
      <c r="C11" s="8">
        <v>2018</v>
      </c>
      <c r="D11" s="9">
        <v>2020</v>
      </c>
    </row>
    <row r="12" spans="1:12" ht="14.4" customHeight="1" x14ac:dyDescent="0.3">
      <c r="A12" t="s">
        <v>512</v>
      </c>
      <c r="B12" s="10" t="s">
        <v>134</v>
      </c>
      <c r="C12" s="10" t="s">
        <v>135</v>
      </c>
      <c r="D12" s="11">
        <v>185222</v>
      </c>
    </row>
    <row r="13" spans="1:12" ht="14.4" customHeight="1" x14ac:dyDescent="0.3">
      <c r="A13" t="s">
        <v>513</v>
      </c>
      <c r="B13" s="10" t="s">
        <v>187</v>
      </c>
      <c r="C13" s="10" t="s">
        <v>188</v>
      </c>
      <c r="D13" s="12" t="s">
        <v>540</v>
      </c>
    </row>
    <row r="14" spans="1:12" ht="14.4" customHeight="1" x14ac:dyDescent="0.3">
      <c r="A14" t="s">
        <v>514</v>
      </c>
      <c r="B14" s="10" t="s">
        <v>204</v>
      </c>
      <c r="C14" s="10" t="s">
        <v>205</v>
      </c>
      <c r="D14" s="12" t="s">
        <v>541</v>
      </c>
      <c r="G14" s="37"/>
    </row>
    <row r="15" spans="1:12" ht="14.4" customHeight="1" x14ac:dyDescent="0.3">
      <c r="A15" t="s">
        <v>515</v>
      </c>
      <c r="B15" s="10" t="s">
        <v>81</v>
      </c>
      <c r="C15" s="10" t="s">
        <v>82</v>
      </c>
      <c r="D15" s="12" t="s">
        <v>542</v>
      </c>
    </row>
    <row r="16" spans="1:12" ht="14.4" customHeight="1" x14ac:dyDescent="0.3">
      <c r="A16" t="s">
        <v>516</v>
      </c>
      <c r="B16" s="10" t="s">
        <v>267</v>
      </c>
      <c r="C16" s="10" t="s">
        <v>268</v>
      </c>
      <c r="D16" s="12" t="s">
        <v>543</v>
      </c>
    </row>
    <row r="17" spans="1:13" ht="14.4" customHeight="1" x14ac:dyDescent="0.3">
      <c r="A17" t="s">
        <v>517</v>
      </c>
      <c r="B17" s="10" t="s">
        <v>284</v>
      </c>
      <c r="C17" s="10" t="s">
        <v>285</v>
      </c>
      <c r="D17" s="12" t="s">
        <v>544</v>
      </c>
    </row>
    <row r="18" spans="1:13" x14ac:dyDescent="0.3">
      <c r="A18" t="s">
        <v>518</v>
      </c>
      <c r="B18" s="10" t="s">
        <v>302</v>
      </c>
      <c r="C18" s="10" t="s">
        <v>303</v>
      </c>
      <c r="D18" s="12" t="s">
        <v>545</v>
      </c>
    </row>
    <row r="19" spans="1:13" ht="14.4" customHeight="1" x14ac:dyDescent="0.3">
      <c r="A19" t="s">
        <v>519</v>
      </c>
      <c r="B19" s="10" t="s">
        <v>305</v>
      </c>
      <c r="C19" s="10" t="s">
        <v>306</v>
      </c>
      <c r="D19" s="13">
        <v>-33</v>
      </c>
    </row>
    <row r="20" spans="1:13" ht="14.4" customHeight="1" x14ac:dyDescent="0.3">
      <c r="A20" t="s">
        <v>520</v>
      </c>
      <c r="B20" s="10" t="s">
        <v>73</v>
      </c>
      <c r="C20" s="10" t="s">
        <v>74</v>
      </c>
      <c r="D20" s="12" t="s">
        <v>546</v>
      </c>
    </row>
    <row r="21" spans="1:13" x14ac:dyDescent="0.3">
      <c r="A21" t="s">
        <v>521</v>
      </c>
      <c r="B21" s="10" t="s">
        <v>83</v>
      </c>
      <c r="C21" s="10" t="s">
        <v>84</v>
      </c>
      <c r="D21" s="12" t="s">
        <v>547</v>
      </c>
      <c r="F21" s="1"/>
      <c r="G21" s="1"/>
      <c r="H21" s="1"/>
      <c r="I21" s="1"/>
      <c r="J21" s="1"/>
      <c r="K21" s="1"/>
      <c r="L21" s="1"/>
      <c r="M21" s="1"/>
    </row>
    <row r="22" spans="1:13" ht="14.4" customHeight="1" x14ac:dyDescent="0.3">
      <c r="A22" t="s">
        <v>522</v>
      </c>
      <c r="B22" s="8">
        <v>0</v>
      </c>
      <c r="C22" s="8">
        <v>51</v>
      </c>
      <c r="D22" s="13">
        <v>0</v>
      </c>
    </row>
    <row r="23" spans="1:13" ht="14.4" customHeight="1" x14ac:dyDescent="0.3">
      <c r="A23" t="s">
        <v>523</v>
      </c>
      <c r="B23" s="10" t="s">
        <v>95</v>
      </c>
      <c r="C23" s="10" t="s">
        <v>96</v>
      </c>
      <c r="D23" s="12" t="s">
        <v>548</v>
      </c>
    </row>
    <row r="24" spans="1:13" ht="14.4" customHeight="1" x14ac:dyDescent="0.3">
      <c r="A24" t="s">
        <v>524</v>
      </c>
      <c r="B24" s="10" t="s">
        <v>75</v>
      </c>
      <c r="C24" s="10" t="s">
        <v>76</v>
      </c>
      <c r="D24" s="12" t="s">
        <v>549</v>
      </c>
      <c r="F24" s="1"/>
      <c r="G24" s="1"/>
      <c r="H24" s="1"/>
      <c r="I24" s="1"/>
      <c r="J24" s="1"/>
      <c r="K24" s="1"/>
      <c r="L24" s="1"/>
      <c r="M24" s="1"/>
    </row>
    <row r="25" spans="1:13" ht="14.4" customHeight="1" x14ac:dyDescent="0.3">
      <c r="A25" t="s">
        <v>525</v>
      </c>
      <c r="B25" s="10" t="s">
        <v>77</v>
      </c>
      <c r="C25" s="10" t="s">
        <v>78</v>
      </c>
      <c r="D25" s="12" t="s">
        <v>550</v>
      </c>
    </row>
    <row r="26" spans="1:13" ht="14.4" customHeight="1" x14ac:dyDescent="0.3">
      <c r="A26" t="s">
        <v>526</v>
      </c>
      <c r="B26" s="10" t="s">
        <v>527</v>
      </c>
      <c r="C26" s="10" t="s">
        <v>528</v>
      </c>
      <c r="D26" s="25">
        <v>10073683</v>
      </c>
    </row>
    <row r="27" spans="1:13" ht="14.4" customHeight="1" x14ac:dyDescent="0.3">
      <c r="A27" s="52" t="s">
        <v>529</v>
      </c>
      <c r="B27" s="60" t="s">
        <v>214</v>
      </c>
      <c r="C27" s="60" t="s">
        <v>215</v>
      </c>
      <c r="D27" s="62" t="s">
        <v>551</v>
      </c>
    </row>
    <row r="28" spans="1:13" ht="14.4" customHeight="1" x14ac:dyDescent="0.3">
      <c r="A28" t="s">
        <v>530</v>
      </c>
      <c r="B28" s="10" t="s">
        <v>216</v>
      </c>
      <c r="C28" s="10" t="s">
        <v>217</v>
      </c>
      <c r="D28" s="12" t="s">
        <v>551</v>
      </c>
    </row>
    <row r="29" spans="1:13" ht="14.4" customHeight="1" x14ac:dyDescent="0.3">
      <c r="A29" t="s">
        <v>531</v>
      </c>
      <c r="B29" s="10" t="s">
        <v>532</v>
      </c>
      <c r="C29" s="10" t="s">
        <v>533</v>
      </c>
      <c r="D29" s="12" t="s">
        <v>552</v>
      </c>
    </row>
    <row r="30" spans="1:13" x14ac:dyDescent="0.3">
      <c r="A30" t="s">
        <v>534</v>
      </c>
      <c r="B30" s="10" t="s">
        <v>535</v>
      </c>
      <c r="C30" s="10" t="s">
        <v>536</v>
      </c>
      <c r="D30" s="12" t="s">
        <v>552</v>
      </c>
    </row>
    <row r="31" spans="1:13" x14ac:dyDescent="0.3">
      <c r="A31" t="s">
        <v>511</v>
      </c>
      <c r="B31" s="10" t="s">
        <v>45</v>
      </c>
      <c r="C31" s="10"/>
      <c r="D31" s="10"/>
      <c r="F31" s="1"/>
      <c r="G31" s="1"/>
      <c r="H31" s="1"/>
      <c r="I31" s="1"/>
      <c r="J31" s="1"/>
      <c r="K31" s="1"/>
      <c r="L31" s="1"/>
      <c r="M31" s="1"/>
    </row>
    <row r="32" spans="1:13" ht="14.4" customHeight="1" x14ac:dyDescent="0.3">
      <c r="B32" s="8">
        <v>2019</v>
      </c>
      <c r="C32" s="8">
        <v>2018</v>
      </c>
      <c r="D32" s="8"/>
    </row>
    <row r="33" spans="1:4" x14ac:dyDescent="0.3">
      <c r="A33" t="s">
        <v>537</v>
      </c>
      <c r="B33" s="10" t="s">
        <v>538</v>
      </c>
      <c r="C33" s="10" t="s">
        <v>539</v>
      </c>
      <c r="D33" s="14" t="s">
        <v>553</v>
      </c>
    </row>
    <row r="35" spans="1:4" x14ac:dyDescent="0.3">
      <c r="B35" s="8" t="s">
        <v>554</v>
      </c>
      <c r="C35" s="10"/>
      <c r="D35" s="10"/>
    </row>
    <row r="36" spans="1:4" x14ac:dyDescent="0.3">
      <c r="B36" s="10"/>
      <c r="C36" s="10"/>
      <c r="D36" s="10"/>
    </row>
    <row r="37" spans="1:4" x14ac:dyDescent="0.3">
      <c r="B37" s="10">
        <v>2018</v>
      </c>
      <c r="C37" s="10">
        <v>2019</v>
      </c>
      <c r="D37" s="10">
        <v>2020</v>
      </c>
    </row>
    <row r="38" spans="1:4" x14ac:dyDescent="0.3">
      <c r="B38" s="47">
        <v>41.31</v>
      </c>
      <c r="C38" s="48">
        <v>46.36</v>
      </c>
      <c r="D38" s="49">
        <v>40.380000000000003</v>
      </c>
    </row>
  </sheetData>
  <mergeCells count="2">
    <mergeCell ref="B10:D10"/>
    <mergeCell ref="A1:D1"/>
  </mergeCells>
  <pageMargins left="0.7" right="0.7" top="0.75" bottom="0.75" header="0.3" footer="0.3"/>
  <pageSetup paperSize="9" scale="99" orientation="portrait" r:id="rId1"/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EA5A-EE5A-4B99-B938-C700CE43E6C2}">
  <dimension ref="A1:Q84"/>
  <sheetViews>
    <sheetView view="pageBreakPreview" zoomScale="102" zoomScaleNormal="44" zoomScaleSheetLayoutView="85" workbookViewId="0">
      <selection activeCell="F55" sqref="F55"/>
    </sheetView>
  </sheetViews>
  <sheetFormatPr defaultRowHeight="14.4" x14ac:dyDescent="0.3"/>
  <cols>
    <col min="1" max="1" width="14.44140625" customWidth="1"/>
    <col min="2" max="2" width="10.88671875" customWidth="1"/>
    <col min="3" max="3" width="11.21875" customWidth="1"/>
    <col min="4" max="4" width="11.77734375" customWidth="1"/>
    <col min="5" max="5" width="37.88671875" customWidth="1"/>
  </cols>
  <sheetData>
    <row r="1" spans="1:17" ht="36" customHeight="1" x14ac:dyDescent="0.7">
      <c r="A1" s="87" t="s">
        <v>815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17" ht="83.4" x14ac:dyDescent="4.1500000000000004">
      <c r="A2" s="58" t="s">
        <v>413</v>
      </c>
      <c r="B2" s="52"/>
      <c r="C2" s="52"/>
      <c r="D2" s="52"/>
      <c r="E2" s="52"/>
      <c r="F2" s="52"/>
      <c r="G2" s="52"/>
      <c r="H2" s="63" t="s">
        <v>645</v>
      </c>
      <c r="I2" s="52"/>
      <c r="J2" s="52"/>
      <c r="K2" s="52"/>
      <c r="L2" s="52"/>
      <c r="M2" s="52"/>
      <c r="N2" s="52"/>
      <c r="O2" s="52"/>
      <c r="P2" s="52"/>
    </row>
    <row r="3" spans="1:17" x14ac:dyDescent="0.3">
      <c r="A3" s="45" t="s">
        <v>677</v>
      </c>
      <c r="B3" s="45"/>
      <c r="D3" s="4" t="s">
        <v>688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8" x14ac:dyDescent="0.4">
      <c r="A4" s="44">
        <v>5.5599999999999997E-2</v>
      </c>
      <c r="B4" s="67" t="s">
        <v>414</v>
      </c>
      <c r="D4" t="s">
        <v>695</v>
      </c>
    </row>
    <row r="5" spans="1:17" ht="15.6" x14ac:dyDescent="0.3">
      <c r="A5" s="15"/>
      <c r="B5" s="46">
        <f>rzis!B15/(rzis!B6+rzis!B7)*100</f>
        <v>20.845652961343745</v>
      </c>
    </row>
    <row r="6" spans="1:17" ht="18" x14ac:dyDescent="0.4">
      <c r="A6" s="44">
        <v>5.28E-2</v>
      </c>
      <c r="B6" s="67" t="s">
        <v>415</v>
      </c>
      <c r="D6" t="s">
        <v>696</v>
      </c>
    </row>
    <row r="7" spans="1:17" ht="15.6" x14ac:dyDescent="0.3">
      <c r="A7" s="15"/>
      <c r="B7" s="10">
        <f>rzis!C15/(rzis!C6+rzis!C7)*100</f>
        <v>19.818395739215564</v>
      </c>
    </row>
    <row r="8" spans="1:17" ht="18" x14ac:dyDescent="0.4">
      <c r="A8" s="44">
        <v>5.2999999999999999E-2</v>
      </c>
      <c r="B8" s="67" t="s">
        <v>418</v>
      </c>
      <c r="D8" t="s">
        <v>697</v>
      </c>
    </row>
    <row r="9" spans="1:17" x14ac:dyDescent="0.3">
      <c r="A9" s="10"/>
      <c r="B9" s="10">
        <f>rzis!D15/(rzis!D6+rzis!D7)*100</f>
        <v>17.40937901545173</v>
      </c>
    </row>
    <row r="10" spans="1:17" x14ac:dyDescent="0.3">
      <c r="A10" s="10"/>
      <c r="B10" s="10"/>
    </row>
    <row r="11" spans="1:17" x14ac:dyDescent="0.3">
      <c r="A11" s="10" t="s">
        <v>416</v>
      </c>
      <c r="B11" s="10"/>
    </row>
    <row r="12" spans="1:17" x14ac:dyDescent="0.3">
      <c r="A12" s="10" t="s">
        <v>417</v>
      </c>
      <c r="B12" s="10">
        <f>B7-B5</f>
        <v>-1.0272572221281813</v>
      </c>
      <c r="C12" t="s">
        <v>693</v>
      </c>
    </row>
    <row r="13" spans="1:17" x14ac:dyDescent="0.3">
      <c r="A13" s="10" t="s">
        <v>419</v>
      </c>
      <c r="B13" s="10">
        <f>B9-B7</f>
        <v>-2.409016723763834</v>
      </c>
      <c r="C13" t="s">
        <v>693</v>
      </c>
    </row>
    <row r="16" spans="1:17" ht="25.8" x14ac:dyDescent="0.5">
      <c r="A16" s="58" t="s">
        <v>420</v>
      </c>
      <c r="B16" s="52"/>
      <c r="C16" s="52"/>
      <c r="D16" s="52"/>
      <c r="E16" s="52"/>
      <c r="F16" s="52" t="s">
        <v>646</v>
      </c>
      <c r="G16" s="52"/>
      <c r="H16" s="52"/>
      <c r="I16" s="52"/>
      <c r="J16" s="52"/>
      <c r="K16" s="52"/>
      <c r="L16" s="52"/>
      <c r="M16" s="52"/>
    </row>
    <row r="17" spans="1:14" x14ac:dyDescent="0.3">
      <c r="A17" s="45" t="s">
        <v>677</v>
      </c>
      <c r="B17" s="45"/>
      <c r="D17" s="4" t="s">
        <v>689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8" x14ac:dyDescent="0.4">
      <c r="A18" s="44">
        <v>4.7500000000000001E-2</v>
      </c>
      <c r="B18" s="68" t="s">
        <v>425</v>
      </c>
      <c r="D18" t="s">
        <v>698</v>
      </c>
    </row>
    <row r="19" spans="1:14" ht="15.6" x14ac:dyDescent="0.3">
      <c r="A19" s="15"/>
      <c r="B19" s="10">
        <f>rzis!B42/(rzis!B26+rzis!B16+rzis!B4) *100</f>
        <v>16.241230717988216</v>
      </c>
    </row>
    <row r="20" spans="1:14" ht="18" x14ac:dyDescent="0.4">
      <c r="A20" s="44">
        <v>4.4400000000000002E-2</v>
      </c>
      <c r="B20" s="68" t="s">
        <v>426</v>
      </c>
      <c r="D20" t="s">
        <v>699</v>
      </c>
    </row>
    <row r="21" spans="1:14" ht="15.6" x14ac:dyDescent="0.3">
      <c r="A21" s="15"/>
      <c r="B21" s="10">
        <f>rzis!C42/(rzis!C26+rzis!C16+rzis!C4) *100</f>
        <v>16.795991800610555</v>
      </c>
    </row>
    <row r="22" spans="1:14" ht="18" x14ac:dyDescent="0.4">
      <c r="A22" s="44">
        <v>4.2099999999999999E-2</v>
      </c>
      <c r="B22" s="68" t="s">
        <v>427</v>
      </c>
      <c r="D22" t="s">
        <v>700</v>
      </c>
    </row>
    <row r="23" spans="1:14" x14ac:dyDescent="0.3">
      <c r="A23" s="10"/>
      <c r="B23" s="10">
        <f>rzis!D42/(rzis!D26+rzis!D16+rzis!D4) *100</f>
        <v>16.074791638486271</v>
      </c>
    </row>
    <row r="24" spans="1:14" x14ac:dyDescent="0.3">
      <c r="A24" s="10"/>
      <c r="B24" s="10"/>
    </row>
    <row r="25" spans="1:14" x14ac:dyDescent="0.3">
      <c r="A25" s="10" t="s">
        <v>416</v>
      </c>
      <c r="B25" s="10"/>
    </row>
    <row r="26" spans="1:14" x14ac:dyDescent="0.3">
      <c r="A26" s="10" t="s">
        <v>595</v>
      </c>
      <c r="B26" s="10">
        <f>B21-B19</f>
        <v>0.55476108262233836</v>
      </c>
      <c r="C26" t="s">
        <v>694</v>
      </c>
    </row>
    <row r="27" spans="1:14" x14ac:dyDescent="0.3">
      <c r="A27" s="10" t="s">
        <v>596</v>
      </c>
      <c r="B27" s="10">
        <f>B23-B21</f>
        <v>-0.72120016212428339</v>
      </c>
      <c r="C27" t="s">
        <v>693</v>
      </c>
    </row>
    <row r="30" spans="1:14" ht="25.8" x14ac:dyDescent="0.5">
      <c r="A30" s="58" t="s">
        <v>421</v>
      </c>
      <c r="B30" s="52"/>
      <c r="C30" s="52"/>
      <c r="D30" s="52" t="s">
        <v>646</v>
      </c>
      <c r="E30" s="52"/>
      <c r="F30" s="52"/>
      <c r="G30" s="52"/>
    </row>
    <row r="31" spans="1:14" x14ac:dyDescent="0.3">
      <c r="A31" s="45" t="s">
        <v>677</v>
      </c>
      <c r="B31" s="45"/>
      <c r="D31" s="4" t="s">
        <v>690</v>
      </c>
      <c r="E31" s="4"/>
      <c r="F31" s="4"/>
      <c r="G31" s="4"/>
      <c r="H31" s="4"/>
      <c r="I31" s="4"/>
    </row>
    <row r="32" spans="1:14" ht="18" x14ac:dyDescent="0.4">
      <c r="A32" s="10"/>
      <c r="B32" s="68" t="s">
        <v>428</v>
      </c>
      <c r="D32" t="s">
        <v>678</v>
      </c>
    </row>
    <row r="33" spans="1:12" ht="15.6" x14ac:dyDescent="0.3">
      <c r="A33" s="15"/>
      <c r="B33" s="10">
        <f>rzis!B42/(dodatkowe!B7)</f>
        <v>53.731404958677686</v>
      </c>
    </row>
    <row r="34" spans="1:12" ht="18" x14ac:dyDescent="0.4">
      <c r="A34" s="10"/>
      <c r="B34" s="68" t="s">
        <v>429</v>
      </c>
      <c r="D34" t="s">
        <v>679</v>
      </c>
    </row>
    <row r="35" spans="1:12" ht="15.6" x14ac:dyDescent="0.3">
      <c r="A35" s="15"/>
      <c r="B35" s="10">
        <f>rzis!C42/((dodatkowe!C7+dodatkowe!B7)/2)</f>
        <v>48.640764331210192</v>
      </c>
    </row>
    <row r="36" spans="1:12" x14ac:dyDescent="0.3">
      <c r="A36" s="10"/>
      <c r="B36" s="69" t="s">
        <v>430</v>
      </c>
      <c r="D36" t="s">
        <v>680</v>
      </c>
    </row>
    <row r="37" spans="1:12" x14ac:dyDescent="0.3">
      <c r="A37" s="10"/>
      <c r="B37" s="10">
        <f>rzis!D42/((dodatkowe!B7+dodatkowe!C7+dodatkowe!D7)/3)</f>
        <v>40.057908383751077</v>
      </c>
    </row>
    <row r="38" spans="1:12" x14ac:dyDescent="0.3">
      <c r="A38" s="10"/>
      <c r="B38" s="10"/>
    </row>
    <row r="39" spans="1:12" x14ac:dyDescent="0.3">
      <c r="A39" s="10" t="s">
        <v>416</v>
      </c>
      <c r="B39" s="10"/>
    </row>
    <row r="40" spans="1:12" x14ac:dyDescent="0.3">
      <c r="A40" s="10" t="s">
        <v>597</v>
      </c>
      <c r="B40" s="10">
        <f>B35-B33</f>
        <v>-5.0906406274674936</v>
      </c>
      <c r="C40" t="s">
        <v>693</v>
      </c>
    </row>
    <row r="41" spans="1:12" x14ac:dyDescent="0.3">
      <c r="A41" s="10" t="s">
        <v>598</v>
      </c>
      <c r="B41" s="10">
        <f>B37-B35</f>
        <v>-8.582855947459116</v>
      </c>
      <c r="C41" t="s">
        <v>693</v>
      </c>
    </row>
    <row r="44" spans="1:12" ht="25.8" x14ac:dyDescent="0.5">
      <c r="A44" s="59" t="s">
        <v>422</v>
      </c>
      <c r="B44" s="60"/>
      <c r="C44" s="52"/>
      <c r="D44" s="52"/>
      <c r="E44" s="52"/>
      <c r="F44" s="52" t="s">
        <v>647</v>
      </c>
      <c r="G44" s="52"/>
      <c r="H44" s="52"/>
      <c r="I44" s="52"/>
      <c r="J44" s="52"/>
      <c r="K44" s="52"/>
      <c r="L44" s="52"/>
    </row>
    <row r="45" spans="1:12" x14ac:dyDescent="0.3">
      <c r="A45" s="45" t="s">
        <v>677</v>
      </c>
      <c r="B45" s="45"/>
      <c r="D45" s="4" t="s">
        <v>691</v>
      </c>
      <c r="E45" s="4"/>
      <c r="F45" s="4"/>
      <c r="G45" s="4"/>
      <c r="H45" s="4"/>
      <c r="I45" s="4"/>
      <c r="J45" s="4"/>
    </row>
    <row r="46" spans="1:12" ht="18" x14ac:dyDescent="0.4">
      <c r="A46" s="44">
        <v>6.3E-2</v>
      </c>
      <c r="B46" s="68" t="s">
        <v>431</v>
      </c>
      <c r="D46" t="s">
        <v>701</v>
      </c>
    </row>
    <row r="47" spans="1:12" ht="15.6" x14ac:dyDescent="0.3">
      <c r="A47" s="15"/>
      <c r="B47" s="10">
        <f>rzis!B42/(bilans!D30) *100</f>
        <v>23.438260441138475</v>
      </c>
    </row>
    <row r="48" spans="1:12" ht="18" x14ac:dyDescent="0.4">
      <c r="A48" s="44">
        <v>5.7700000000000001E-2</v>
      </c>
      <c r="B48" s="68" t="s">
        <v>432</v>
      </c>
      <c r="D48" t="s">
        <v>702</v>
      </c>
    </row>
    <row r="49" spans="1:13" ht="15.6" x14ac:dyDescent="0.3">
      <c r="A49" s="15"/>
      <c r="B49" s="10">
        <f>rzis!C42/((bilans!D30+bilans!E30)/2) * 100</f>
        <v>22.381528776293152</v>
      </c>
    </row>
    <row r="50" spans="1:13" x14ac:dyDescent="0.3">
      <c r="A50" s="44">
        <v>5.0099999999999999E-2</v>
      </c>
      <c r="B50" s="69" t="s">
        <v>433</v>
      </c>
      <c r="D50" t="s">
        <v>703</v>
      </c>
    </row>
    <row r="51" spans="1:13" x14ac:dyDescent="0.3">
      <c r="A51" s="10"/>
      <c r="B51" s="10">
        <f>rzis!D42/((bilans!D30+bilans!E30+bilans!F30)/3) * 100</f>
        <v>17.224949734083079</v>
      </c>
    </row>
    <row r="52" spans="1:13" x14ac:dyDescent="0.3">
      <c r="A52" s="10"/>
      <c r="B52" s="10"/>
    </row>
    <row r="53" spans="1:13" x14ac:dyDescent="0.3">
      <c r="A53" s="10" t="s">
        <v>416</v>
      </c>
      <c r="B53" s="10"/>
    </row>
    <row r="54" spans="1:13" x14ac:dyDescent="0.3">
      <c r="A54" s="10" t="s">
        <v>599</v>
      </c>
      <c r="B54" s="10">
        <f>B49-B47</f>
        <v>-1.0567316648453229</v>
      </c>
      <c r="C54" t="s">
        <v>693</v>
      </c>
    </row>
    <row r="55" spans="1:13" x14ac:dyDescent="0.3">
      <c r="A55" s="10" t="s">
        <v>600</v>
      </c>
      <c r="B55" s="10">
        <f>B51-B49</f>
        <v>-5.1565790422100726</v>
      </c>
      <c r="C55" t="s">
        <v>693</v>
      </c>
    </row>
    <row r="58" spans="1:13" ht="93.6" customHeight="1" x14ac:dyDescent="4.1500000000000004">
      <c r="A58" s="58" t="s">
        <v>423</v>
      </c>
      <c r="B58" s="52"/>
      <c r="C58" s="52"/>
      <c r="D58" s="52"/>
      <c r="E58" s="52"/>
      <c r="F58" s="52"/>
      <c r="G58" s="63" t="s">
        <v>648</v>
      </c>
      <c r="H58" s="52"/>
      <c r="I58" s="52"/>
      <c r="J58" s="52"/>
      <c r="K58" s="52"/>
      <c r="L58" s="52"/>
      <c r="M58" s="52"/>
    </row>
    <row r="59" spans="1:13" x14ac:dyDescent="0.3">
      <c r="A59" s="45" t="s">
        <v>677</v>
      </c>
      <c r="B59" s="45"/>
      <c r="D59" s="4" t="s">
        <v>692</v>
      </c>
      <c r="E59" s="4"/>
      <c r="F59" s="4"/>
      <c r="G59" s="4"/>
      <c r="H59" s="4"/>
      <c r="I59" s="4"/>
      <c r="J59" s="4"/>
    </row>
    <row r="60" spans="1:13" x14ac:dyDescent="0.3">
      <c r="A60" s="44">
        <v>0.1195</v>
      </c>
      <c r="B60" s="69" t="s">
        <v>436</v>
      </c>
      <c r="D60" t="s">
        <v>704</v>
      </c>
    </row>
    <row r="61" spans="1:13" ht="15.6" x14ac:dyDescent="0.3">
      <c r="A61" s="15"/>
      <c r="B61" s="10">
        <f>rzis!B42/(bilans!D32) *100</f>
        <v>34.888026329910922</v>
      </c>
    </row>
    <row r="62" spans="1:13" x14ac:dyDescent="0.3">
      <c r="A62" s="44">
        <v>0.1099</v>
      </c>
      <c r="B62" s="69" t="s">
        <v>434</v>
      </c>
      <c r="D62" t="s">
        <v>705</v>
      </c>
    </row>
    <row r="63" spans="1:13" ht="15.6" x14ac:dyDescent="0.3">
      <c r="A63" s="15"/>
      <c r="B63" s="10">
        <f>rzis!C42/((bilans!D32+bilans!E32)/2) *100</f>
        <v>33.715226729888784</v>
      </c>
    </row>
    <row r="64" spans="1:13" x14ac:dyDescent="0.3">
      <c r="A64" s="44">
        <v>9.6500000000000002E-2</v>
      </c>
      <c r="B64" s="69" t="s">
        <v>435</v>
      </c>
      <c r="D64" t="s">
        <v>706</v>
      </c>
    </row>
    <row r="65" spans="1:14" x14ac:dyDescent="0.3">
      <c r="A65" s="10"/>
      <c r="B65" s="10">
        <f>rzis!D42/((bilans!D32+bilans!E32+bilans!F32)/3) *100</f>
        <v>25.823796204464156</v>
      </c>
    </row>
    <row r="66" spans="1:14" x14ac:dyDescent="0.3">
      <c r="A66" s="10"/>
      <c r="B66" s="10"/>
    </row>
    <row r="67" spans="1:14" x14ac:dyDescent="0.3">
      <c r="A67" s="10" t="s">
        <v>416</v>
      </c>
      <c r="B67" s="10"/>
    </row>
    <row r="68" spans="1:14" x14ac:dyDescent="0.3">
      <c r="A68" s="10" t="s">
        <v>601</v>
      </c>
      <c r="B68" s="10">
        <f>B63-B61</f>
        <v>-1.1727996000221381</v>
      </c>
      <c r="C68" t="s">
        <v>693</v>
      </c>
    </row>
    <row r="69" spans="1:14" x14ac:dyDescent="0.3">
      <c r="A69" s="10" t="s">
        <v>602</v>
      </c>
      <c r="B69" s="10">
        <f>B65-B63</f>
        <v>-7.891430525424628</v>
      </c>
      <c r="C69" t="s">
        <v>693</v>
      </c>
    </row>
    <row r="72" spans="1:14" ht="83.4" x14ac:dyDescent="4.1500000000000004">
      <c r="A72" s="58" t="s">
        <v>424</v>
      </c>
      <c r="B72" s="52"/>
      <c r="C72" s="52"/>
      <c r="D72" s="52"/>
      <c r="E72" s="52"/>
      <c r="F72" s="63" t="s">
        <v>649</v>
      </c>
      <c r="G72" s="52"/>
      <c r="H72" s="52"/>
      <c r="I72" s="52"/>
    </row>
    <row r="73" spans="1:14" x14ac:dyDescent="0.3">
      <c r="D73" s="4" t="s">
        <v>713</v>
      </c>
      <c r="E73" s="4"/>
      <c r="F73" s="4"/>
      <c r="G73" s="4"/>
      <c r="H73" s="4"/>
      <c r="I73" s="4"/>
      <c r="J73" s="4"/>
      <c r="K73" s="4"/>
      <c r="L73" s="4"/>
      <c r="M73" s="4"/>
      <c r="N73" s="4"/>
    </row>
    <row r="75" spans="1:14" x14ac:dyDescent="0.3">
      <c r="B75" s="10" t="s">
        <v>439</v>
      </c>
      <c r="C75" s="10" t="s">
        <v>437</v>
      </c>
      <c r="D75" s="10" t="s">
        <v>438</v>
      </c>
    </row>
    <row r="76" spans="1:14" x14ac:dyDescent="0.3">
      <c r="B76" s="10">
        <f>(((rzis!B42+rzis!B32-(0.19*rzis!B32))/bilans!D30))*100</f>
        <v>23.60811257382851</v>
      </c>
      <c r="C76" s="10">
        <f>(((rzis!C42+rzis!C32-(0.19*rzis!C32))/bilans!E30))*100</f>
        <v>22.140735146022152</v>
      </c>
      <c r="D76" s="10">
        <f>(((rzis!D42+rzis!D32-(0.19*rzis!D32))/bilans!F30))*100</f>
        <v>15.842695887517328</v>
      </c>
    </row>
    <row r="79" spans="1:14" x14ac:dyDescent="0.3">
      <c r="B79" s="69" t="s">
        <v>442</v>
      </c>
      <c r="D79" t="s">
        <v>681</v>
      </c>
    </row>
    <row r="80" spans="1:14" x14ac:dyDescent="0.3">
      <c r="B80" s="10">
        <f>B61-B76</f>
        <v>11.279913756082411</v>
      </c>
    </row>
    <row r="81" spans="2:4" x14ac:dyDescent="0.3">
      <c r="B81" s="69" t="s">
        <v>440</v>
      </c>
      <c r="D81" t="s">
        <v>681</v>
      </c>
    </row>
    <row r="82" spans="2:4" x14ac:dyDescent="0.3">
      <c r="B82" s="10">
        <f>B63-C76</f>
        <v>11.574491583866632</v>
      </c>
    </row>
    <row r="83" spans="2:4" x14ac:dyDescent="0.3">
      <c r="B83" s="69" t="s">
        <v>441</v>
      </c>
      <c r="D83" t="s">
        <v>681</v>
      </c>
    </row>
    <row r="84" spans="2:4" x14ac:dyDescent="0.3">
      <c r="B84" s="10">
        <f>B65-D76</f>
        <v>9.9811003169468275</v>
      </c>
    </row>
  </sheetData>
  <mergeCells count="1">
    <mergeCell ref="A1:Q1"/>
  </mergeCells>
  <pageMargins left="0.7" right="0.7" top="0.75" bottom="0.75" header="0.3" footer="0.3"/>
  <pageSetup paperSize="9"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285D-591C-46B1-B2E5-25CABA4D18C1}">
  <dimension ref="A1:M40"/>
  <sheetViews>
    <sheetView view="pageBreakPreview" topLeftCell="A5" zoomScale="83" zoomScaleNormal="78" workbookViewId="0">
      <selection activeCell="F55" sqref="F55"/>
    </sheetView>
  </sheetViews>
  <sheetFormatPr defaultRowHeight="14.4" x14ac:dyDescent="0.3"/>
  <cols>
    <col min="1" max="1" width="19.77734375" customWidth="1"/>
    <col min="2" max="2" width="19.109375" customWidth="1"/>
  </cols>
  <sheetData>
    <row r="1" spans="1:13" ht="28.8" customHeight="1" x14ac:dyDescent="0.7">
      <c r="A1" s="84" t="s">
        <v>816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25.8" x14ac:dyDescent="0.5">
      <c r="A2" s="58" t="s">
        <v>443</v>
      </c>
      <c r="B2" s="52"/>
      <c r="C2" s="52"/>
      <c r="D2" s="7" t="s">
        <v>661</v>
      </c>
      <c r="E2" s="7"/>
    </row>
    <row r="3" spans="1:13" x14ac:dyDescent="0.3">
      <c r="A3" s="10" t="s">
        <v>715</v>
      </c>
      <c r="B3" s="10" t="s">
        <v>447</v>
      </c>
      <c r="D3" t="s">
        <v>783</v>
      </c>
    </row>
    <row r="4" spans="1:13" x14ac:dyDescent="0.3">
      <c r="A4" s="10">
        <v>0.28999999999999998</v>
      </c>
      <c r="B4" s="10" t="s">
        <v>445</v>
      </c>
      <c r="D4" t="s">
        <v>784</v>
      </c>
    </row>
    <row r="5" spans="1:13" x14ac:dyDescent="0.3">
      <c r="A5" s="10"/>
      <c r="B5" s="10">
        <f>bilans!D17/bilans!D46</f>
        <v>2.4648758334138563</v>
      </c>
    </row>
    <row r="6" spans="1:13" x14ac:dyDescent="0.3">
      <c r="A6" s="10">
        <v>0.32</v>
      </c>
      <c r="B6" s="10" t="s">
        <v>444</v>
      </c>
      <c r="D6" t="s">
        <v>716</v>
      </c>
    </row>
    <row r="7" spans="1:13" x14ac:dyDescent="0.3">
      <c r="A7" s="10"/>
      <c r="B7" s="10">
        <f>bilans!E17/bilans!E46</f>
        <v>1.789665460236721</v>
      </c>
    </row>
    <row r="8" spans="1:13" x14ac:dyDescent="0.3">
      <c r="A8" s="10">
        <v>0.35</v>
      </c>
      <c r="B8" s="10" t="s">
        <v>446</v>
      </c>
    </row>
    <row r="9" spans="1:13" x14ac:dyDescent="0.3">
      <c r="A9" s="10"/>
      <c r="B9" s="10">
        <f>bilans!F17/bilans!F46</f>
        <v>1.8402733202194843</v>
      </c>
    </row>
    <row r="10" spans="1:13" x14ac:dyDescent="0.3">
      <c r="A10" s="10"/>
      <c r="B10" s="10"/>
    </row>
    <row r="11" spans="1:13" x14ac:dyDescent="0.3">
      <c r="A11" s="10"/>
      <c r="B11" s="10"/>
    </row>
    <row r="12" spans="1:13" x14ac:dyDescent="0.3">
      <c r="A12" s="10"/>
      <c r="B12" s="10"/>
    </row>
    <row r="13" spans="1:13" x14ac:dyDescent="0.3">
      <c r="A13" s="10"/>
      <c r="B13" s="10" t="s">
        <v>609</v>
      </c>
      <c r="C13">
        <f>B9-B7</f>
        <v>5.0607859982763292E-2</v>
      </c>
      <c r="D13" t="s">
        <v>719</v>
      </c>
    </row>
    <row r="14" spans="1:13" x14ac:dyDescent="0.3">
      <c r="A14" s="10"/>
      <c r="B14" s="10" t="s">
        <v>610</v>
      </c>
      <c r="C14">
        <f>B7-B5</f>
        <v>-0.67521037317713528</v>
      </c>
      <c r="D14" t="s">
        <v>710</v>
      </c>
    </row>
    <row r="16" spans="1:13" x14ac:dyDescent="0.3">
      <c r="A16" s="52" t="s">
        <v>448</v>
      </c>
      <c r="B16" s="52"/>
      <c r="C16" s="52"/>
      <c r="D16" t="s">
        <v>662</v>
      </c>
    </row>
    <row r="17" spans="1:4" x14ac:dyDescent="0.3">
      <c r="A17" s="10" t="s">
        <v>715</v>
      </c>
      <c r="B17" s="10" t="s">
        <v>450</v>
      </c>
      <c r="D17" t="s">
        <v>720</v>
      </c>
    </row>
    <row r="18" spans="1:4" x14ac:dyDescent="0.3">
      <c r="A18" s="10">
        <v>0.93</v>
      </c>
      <c r="B18" s="10">
        <f>(bilans!D17-bilans!D18)/bilans!D46</f>
        <v>0.83431571488388567</v>
      </c>
    </row>
    <row r="19" spans="1:4" x14ac:dyDescent="0.3">
      <c r="A19" s="10"/>
      <c r="B19" s="10" t="s">
        <v>451</v>
      </c>
    </row>
    <row r="20" spans="1:4" x14ac:dyDescent="0.3">
      <c r="A20" s="10">
        <v>0.93</v>
      </c>
      <c r="B20" s="10">
        <f>(bilans!E17-bilans!E18)/bilans!E46</f>
        <v>0.54790668101340112</v>
      </c>
      <c r="D20" t="s">
        <v>717</v>
      </c>
    </row>
    <row r="21" spans="1:4" x14ac:dyDescent="0.3">
      <c r="A21" s="10"/>
      <c r="B21" s="10" t="s">
        <v>452</v>
      </c>
    </row>
    <row r="22" spans="1:4" x14ac:dyDescent="0.3">
      <c r="A22" s="10">
        <v>0.97</v>
      </c>
      <c r="B22" s="10">
        <f>(bilans!F17-bilans!F18)/bilans!F46</f>
        <v>0.57215032612071648</v>
      </c>
    </row>
    <row r="23" spans="1:4" x14ac:dyDescent="0.3">
      <c r="A23" s="10"/>
      <c r="B23" s="10"/>
    </row>
    <row r="24" spans="1:4" x14ac:dyDescent="0.3">
      <c r="A24" s="10"/>
      <c r="B24" s="10"/>
    </row>
    <row r="25" spans="1:4" x14ac:dyDescent="0.3">
      <c r="A25" s="10"/>
      <c r="B25" s="10"/>
    </row>
    <row r="26" spans="1:4" x14ac:dyDescent="0.3">
      <c r="A26" s="10"/>
      <c r="B26" s="10" t="s">
        <v>611</v>
      </c>
      <c r="C26">
        <f>B22-B20</f>
        <v>2.4243645107315359E-2</v>
      </c>
      <c r="D26" t="s">
        <v>711</v>
      </c>
    </row>
    <row r="27" spans="1:4" x14ac:dyDescent="0.3">
      <c r="A27" s="10"/>
      <c r="B27" s="10" t="s">
        <v>612</v>
      </c>
      <c r="C27">
        <f>B20-B18</f>
        <v>-0.28640903387048455</v>
      </c>
      <c r="D27" t="s">
        <v>710</v>
      </c>
    </row>
    <row r="29" spans="1:4" x14ac:dyDescent="0.3">
      <c r="A29" s="52" t="s">
        <v>449</v>
      </c>
      <c r="B29" s="52"/>
      <c r="C29" s="52"/>
      <c r="D29" t="s">
        <v>663</v>
      </c>
    </row>
    <row r="30" spans="1:4" x14ac:dyDescent="0.3">
      <c r="A30" s="10" t="s">
        <v>715</v>
      </c>
      <c r="B30" s="10" t="s">
        <v>453</v>
      </c>
      <c r="D30" t="s">
        <v>721</v>
      </c>
    </row>
    <row r="31" spans="1:4" x14ac:dyDescent="0.3">
      <c r="A31" s="10">
        <v>1.48</v>
      </c>
      <c r="B31" s="10">
        <f>bilans!D26/bilans!D46</f>
        <v>0.1518343157148839</v>
      </c>
    </row>
    <row r="32" spans="1:4" x14ac:dyDescent="0.3">
      <c r="A32" s="10"/>
      <c r="B32" s="10" t="s">
        <v>454</v>
      </c>
    </row>
    <row r="33" spans="1:4" x14ac:dyDescent="0.3">
      <c r="A33" s="10">
        <v>1.48</v>
      </c>
      <c r="B33" s="10">
        <f>bilans!E26/bilans!E46</f>
        <v>5.7566272131468255E-2</v>
      </c>
      <c r="D33" t="s">
        <v>718</v>
      </c>
    </row>
    <row r="34" spans="1:4" x14ac:dyDescent="0.3">
      <c r="A34" s="10"/>
      <c r="B34" s="10" t="s">
        <v>455</v>
      </c>
    </row>
    <row r="35" spans="1:4" x14ac:dyDescent="0.3">
      <c r="A35" s="10">
        <v>1.53</v>
      </c>
      <c r="B35" s="10">
        <f>bilans!F26/bilans!F46</f>
        <v>4.921834558442903E-2</v>
      </c>
    </row>
    <row r="36" spans="1:4" x14ac:dyDescent="0.3">
      <c r="A36" s="10"/>
      <c r="B36" s="10"/>
    </row>
    <row r="37" spans="1:4" x14ac:dyDescent="0.3">
      <c r="A37" s="10"/>
      <c r="B37" s="10"/>
    </row>
    <row r="38" spans="1:4" x14ac:dyDescent="0.3">
      <c r="A38" s="10"/>
      <c r="B38" s="10"/>
    </row>
    <row r="39" spans="1:4" x14ac:dyDescent="0.3">
      <c r="A39" s="10"/>
      <c r="B39" s="10" t="s">
        <v>613</v>
      </c>
      <c r="C39">
        <f>B35-B33</f>
        <v>-8.347926547039225E-3</v>
      </c>
      <c r="D39" t="s">
        <v>710</v>
      </c>
    </row>
    <row r="40" spans="1:4" x14ac:dyDescent="0.3">
      <c r="A40" s="10"/>
      <c r="B40" s="10" t="s">
        <v>614</v>
      </c>
      <c r="C40">
        <f>B33-B31</f>
        <v>-9.4268043583415645E-2</v>
      </c>
      <c r="D40" t="s">
        <v>710</v>
      </c>
    </row>
  </sheetData>
  <mergeCells count="1">
    <mergeCell ref="A1:M1"/>
  </mergeCells>
  <pageMargins left="0.7" right="0.7" top="0.75" bottom="0.75" header="0.3" footer="0.3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68C7-D363-4D73-812C-DD9625946AF3}">
  <dimension ref="A1:Q96"/>
  <sheetViews>
    <sheetView view="pageBreakPreview" topLeftCell="A78" zoomScale="85" zoomScaleNormal="85" zoomScaleSheetLayoutView="85" workbookViewId="0">
      <selection activeCell="F55" sqref="F55"/>
    </sheetView>
  </sheetViews>
  <sheetFormatPr defaultRowHeight="14.4" x14ac:dyDescent="0.3"/>
  <cols>
    <col min="1" max="1" width="24.109375" customWidth="1"/>
    <col min="2" max="2" width="10.77734375" customWidth="1"/>
    <col min="3" max="3" width="10.33203125" customWidth="1"/>
  </cols>
  <sheetData>
    <row r="1" spans="1:17" ht="37.200000000000003" customHeight="1" x14ac:dyDescent="0.7">
      <c r="A1" s="84" t="s">
        <v>817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17" ht="25.8" x14ac:dyDescent="0.5">
      <c r="A2" s="58" t="s">
        <v>456</v>
      </c>
      <c r="B2" s="52"/>
      <c r="C2" s="52"/>
      <c r="D2" s="52"/>
      <c r="E2" t="s">
        <v>664</v>
      </c>
    </row>
    <row r="3" spans="1:17" x14ac:dyDescent="0.3">
      <c r="A3" s="10" t="s">
        <v>715</v>
      </c>
      <c r="B3" s="10"/>
      <c r="D3" t="s">
        <v>722</v>
      </c>
    </row>
    <row r="4" spans="1:17" ht="18" x14ac:dyDescent="0.4">
      <c r="A4" s="10">
        <v>54</v>
      </c>
      <c r="B4" s="68" t="s">
        <v>457</v>
      </c>
    </row>
    <row r="5" spans="1:17" ht="15.6" x14ac:dyDescent="0.3">
      <c r="A5" s="15"/>
      <c r="B5" s="10">
        <f>(rzis!B6+rzis!B7)/(bilans!D23)</f>
        <v>13.188135310781536</v>
      </c>
    </row>
    <row r="6" spans="1:17" ht="18" x14ac:dyDescent="0.4">
      <c r="A6" s="10">
        <v>53</v>
      </c>
      <c r="B6" s="68" t="s">
        <v>458</v>
      </c>
      <c r="D6" t="s">
        <v>786</v>
      </c>
    </row>
    <row r="7" spans="1:17" x14ac:dyDescent="0.3">
      <c r="A7" s="10"/>
      <c r="B7" s="10">
        <f>(rzis!C6+rzis!C7)/((bilans!D23 +bilans!E23)/2)</f>
        <v>13.184251036116045</v>
      </c>
      <c r="D7" t="s">
        <v>785</v>
      </c>
    </row>
    <row r="8" spans="1:17" ht="18" x14ac:dyDescent="0.4">
      <c r="A8" s="15">
        <v>57</v>
      </c>
      <c r="B8" s="68" t="s">
        <v>459</v>
      </c>
    </row>
    <row r="9" spans="1:17" x14ac:dyDescent="0.3">
      <c r="A9" s="10"/>
      <c r="B9" s="10">
        <f>(rzis!D6+rzis!D7)/((bilans!D23 + bilans!E23 +bilans!F23)/3)</f>
        <v>10.458217270194986</v>
      </c>
    </row>
    <row r="10" spans="1:17" x14ac:dyDescent="0.3">
      <c r="A10" s="10"/>
      <c r="B10" s="10"/>
    </row>
    <row r="11" spans="1:17" x14ac:dyDescent="0.3">
      <c r="A11" s="10" t="s">
        <v>615</v>
      </c>
      <c r="B11" s="10"/>
    </row>
    <row r="12" spans="1:17" x14ac:dyDescent="0.3">
      <c r="A12" s="10" t="s">
        <v>616</v>
      </c>
      <c r="B12" s="10">
        <f>B7-B5</f>
        <v>-3.8842746654914606E-3</v>
      </c>
      <c r="C12" s="10" t="s">
        <v>710</v>
      </c>
      <c r="D12" s="10"/>
      <c r="E12" s="10"/>
    </row>
    <row r="13" spans="1:17" x14ac:dyDescent="0.3">
      <c r="A13" s="10" t="s">
        <v>617</v>
      </c>
      <c r="B13" s="10">
        <f>B9-B7</f>
        <v>-2.7260337659210592</v>
      </c>
      <c r="C13" s="10" t="s">
        <v>710</v>
      </c>
      <c r="D13" s="10"/>
      <c r="E13" s="10"/>
    </row>
    <row r="16" spans="1:17" ht="25.8" x14ac:dyDescent="0.5">
      <c r="A16" s="58" t="s">
        <v>460</v>
      </c>
      <c r="B16" s="52"/>
      <c r="C16" s="52"/>
      <c r="D16" s="52"/>
      <c r="E16" t="s">
        <v>665</v>
      </c>
    </row>
    <row r="17" spans="1:5" x14ac:dyDescent="0.3">
      <c r="A17" s="10"/>
      <c r="B17" s="10"/>
      <c r="D17" t="s">
        <v>788</v>
      </c>
    </row>
    <row r="18" spans="1:5" ht="18" x14ac:dyDescent="0.4">
      <c r="A18" s="10"/>
      <c r="B18" s="68" t="s">
        <v>461</v>
      </c>
      <c r="D18" t="s">
        <v>787</v>
      </c>
    </row>
    <row r="19" spans="1:5" ht="15.6" x14ac:dyDescent="0.3">
      <c r="A19" s="15"/>
      <c r="B19" s="10">
        <f>360/B5</f>
        <v>27.297263147254302</v>
      </c>
      <c r="D19" t="s">
        <v>746</v>
      </c>
    </row>
    <row r="20" spans="1:5" ht="18" x14ac:dyDescent="0.4">
      <c r="A20" s="10"/>
      <c r="B20" s="68" t="s">
        <v>462</v>
      </c>
    </row>
    <row r="21" spans="1:5" ht="15.6" x14ac:dyDescent="0.3">
      <c r="A21" s="15"/>
      <c r="B21" s="10">
        <f>360/B7</f>
        <v>27.30530532328612</v>
      </c>
      <c r="D21" t="s">
        <v>747</v>
      </c>
    </row>
    <row r="22" spans="1:5" ht="18" x14ac:dyDescent="0.4">
      <c r="A22" s="10"/>
      <c r="B22" s="68" t="s">
        <v>463</v>
      </c>
    </row>
    <row r="23" spans="1:5" x14ac:dyDescent="0.3">
      <c r="A23" s="10"/>
      <c r="B23" s="10">
        <f>360/B9</f>
        <v>34.422692768677585</v>
      </c>
      <c r="D23" t="s">
        <v>748</v>
      </c>
    </row>
    <row r="24" spans="1:5" x14ac:dyDescent="0.3">
      <c r="A24" s="10"/>
      <c r="B24" s="10"/>
    </row>
    <row r="25" spans="1:5" x14ac:dyDescent="0.3">
      <c r="A25" s="10" t="s">
        <v>618</v>
      </c>
      <c r="B25" s="10"/>
    </row>
    <row r="26" spans="1:5" x14ac:dyDescent="0.3">
      <c r="A26" s="10" t="s">
        <v>619</v>
      </c>
      <c r="B26" s="10">
        <f>B21-B19</f>
        <v>8.0421760318181157E-3</v>
      </c>
      <c r="C26" s="10" t="s">
        <v>711</v>
      </c>
      <c r="D26" s="10"/>
      <c r="E26" s="10"/>
    </row>
    <row r="27" spans="1:5" x14ac:dyDescent="0.3">
      <c r="A27" s="10" t="s">
        <v>620</v>
      </c>
      <c r="B27" s="10">
        <f>B23-B21</f>
        <v>7.117387445391465</v>
      </c>
      <c r="C27" s="10" t="s">
        <v>711</v>
      </c>
      <c r="D27" s="10"/>
      <c r="E27" s="10"/>
    </row>
    <row r="30" spans="1:5" ht="25.8" x14ac:dyDescent="0.5">
      <c r="A30" s="58" t="s">
        <v>464</v>
      </c>
      <c r="B30" s="52"/>
      <c r="C30" s="52"/>
      <c r="D30" s="7" t="s">
        <v>666</v>
      </c>
      <c r="E30" s="7"/>
    </row>
    <row r="31" spans="1:5" x14ac:dyDescent="0.3">
      <c r="A31" s="10" t="s">
        <v>715</v>
      </c>
      <c r="B31" s="10"/>
      <c r="D31" t="s">
        <v>789</v>
      </c>
    </row>
    <row r="32" spans="1:5" ht="18" x14ac:dyDescent="0.4">
      <c r="A32" s="10">
        <v>44</v>
      </c>
      <c r="B32" s="70" t="s">
        <v>467</v>
      </c>
      <c r="D32" t="s">
        <v>790</v>
      </c>
    </row>
    <row r="33" spans="1:6" ht="15.6" x14ac:dyDescent="0.3">
      <c r="A33" s="15"/>
      <c r="B33" s="10">
        <f>rzis!B8/bilans!D18</f>
        <v>2.9527101769911503</v>
      </c>
    </row>
    <row r="34" spans="1:6" ht="18" x14ac:dyDescent="0.4">
      <c r="A34" s="10">
        <v>44</v>
      </c>
      <c r="B34" s="70" t="s">
        <v>466</v>
      </c>
      <c r="D34" t="s">
        <v>791</v>
      </c>
    </row>
    <row r="35" spans="1:6" ht="15.6" x14ac:dyDescent="0.3">
      <c r="A35" s="15"/>
      <c r="B35" s="10">
        <f>rzis!C8/((bilans!D18+bilans!E18)/2)</f>
        <v>2.8005364785704425</v>
      </c>
      <c r="D35" t="s">
        <v>792</v>
      </c>
    </row>
    <row r="36" spans="1:6" x14ac:dyDescent="0.3">
      <c r="A36" s="10">
        <v>48</v>
      </c>
      <c r="B36" s="71" t="s">
        <v>468</v>
      </c>
    </row>
    <row r="37" spans="1:6" x14ac:dyDescent="0.3">
      <c r="A37" s="10"/>
      <c r="B37" s="10">
        <f>rzis!D8/((bilans!D18+bilans!E18+bilans!F18)/3)</f>
        <v>2.1708987617279245</v>
      </c>
    </row>
    <row r="38" spans="1:6" x14ac:dyDescent="0.3">
      <c r="A38" s="10"/>
      <c r="B38" s="10"/>
    </row>
    <row r="39" spans="1:6" x14ac:dyDescent="0.3">
      <c r="A39" s="10" t="s">
        <v>621</v>
      </c>
      <c r="B39" s="10"/>
      <c r="C39" s="10"/>
      <c r="D39" s="10"/>
      <c r="E39" s="10"/>
    </row>
    <row r="40" spans="1:6" x14ac:dyDescent="0.3">
      <c r="A40" s="10" t="s">
        <v>607</v>
      </c>
      <c r="B40" s="10">
        <f>B35-B33</f>
        <v>-0.15217369842070783</v>
      </c>
      <c r="C40" s="10" t="s">
        <v>710</v>
      </c>
      <c r="D40" s="10"/>
      <c r="E40" s="10"/>
    </row>
    <row r="41" spans="1:6" x14ac:dyDescent="0.3">
      <c r="A41" s="10" t="s">
        <v>608</v>
      </c>
      <c r="B41" s="10">
        <f>B37-B35</f>
        <v>-0.62963771684251801</v>
      </c>
      <c r="C41" s="10" t="s">
        <v>710</v>
      </c>
      <c r="D41" s="10"/>
      <c r="E41" s="10"/>
    </row>
    <row r="44" spans="1:6" ht="25.8" x14ac:dyDescent="0.5">
      <c r="A44" s="58" t="s">
        <v>465</v>
      </c>
      <c r="B44" s="52"/>
      <c r="C44" s="52"/>
      <c r="D44" s="52"/>
      <c r="E44" s="52"/>
      <c r="F44" t="s">
        <v>667</v>
      </c>
    </row>
    <row r="45" spans="1:6" x14ac:dyDescent="0.3">
      <c r="A45" s="10"/>
      <c r="B45" s="10"/>
      <c r="D45" t="s">
        <v>723</v>
      </c>
    </row>
    <row r="46" spans="1:6" ht="18" x14ac:dyDescent="0.4">
      <c r="A46" s="10"/>
      <c r="B46" s="68" t="s">
        <v>470</v>
      </c>
    </row>
    <row r="47" spans="1:6" ht="15.6" x14ac:dyDescent="0.3">
      <c r="A47" s="15"/>
      <c r="B47" s="10">
        <f>360/B33</f>
        <v>121.92188817083451</v>
      </c>
      <c r="D47" t="s">
        <v>743</v>
      </c>
    </row>
    <row r="48" spans="1:6" ht="18" x14ac:dyDescent="0.4">
      <c r="A48" s="10"/>
      <c r="B48" s="68" t="s">
        <v>471</v>
      </c>
    </row>
    <row r="49" spans="1:8" ht="15.6" x14ac:dyDescent="0.3">
      <c r="A49" s="15"/>
      <c r="B49" s="10">
        <f>360/B35</f>
        <v>128.54679907035705</v>
      </c>
      <c r="D49" t="s">
        <v>744</v>
      </c>
    </row>
    <row r="50" spans="1:8" x14ac:dyDescent="0.3">
      <c r="A50" s="10"/>
      <c r="B50" s="69" t="s">
        <v>472</v>
      </c>
    </row>
    <row r="51" spans="1:8" x14ac:dyDescent="0.3">
      <c r="A51" s="10"/>
      <c r="B51" s="10">
        <f>360/B37</f>
        <v>165.82993474714519</v>
      </c>
      <c r="D51" t="s">
        <v>745</v>
      </c>
    </row>
    <row r="52" spans="1:8" x14ac:dyDescent="0.3">
      <c r="A52" s="10"/>
      <c r="B52" s="10"/>
    </row>
    <row r="53" spans="1:8" x14ac:dyDescent="0.3">
      <c r="A53" s="10" t="s">
        <v>622</v>
      </c>
      <c r="B53" s="10"/>
      <c r="C53" s="10"/>
      <c r="D53" s="10"/>
      <c r="E53" s="10"/>
    </row>
    <row r="54" spans="1:8" x14ac:dyDescent="0.3">
      <c r="A54" s="10" t="s">
        <v>623</v>
      </c>
      <c r="B54" s="10">
        <f>B49-B47</f>
        <v>6.624910899522547</v>
      </c>
      <c r="C54" s="10" t="s">
        <v>711</v>
      </c>
      <c r="D54" s="10"/>
      <c r="E54" s="10"/>
    </row>
    <row r="55" spans="1:8" x14ac:dyDescent="0.3">
      <c r="A55" s="10" t="s">
        <v>624</v>
      </c>
      <c r="B55" s="10">
        <f>B51-B49</f>
        <v>37.283135676788135</v>
      </c>
      <c r="C55" s="10" t="s">
        <v>711</v>
      </c>
      <c r="D55" s="10"/>
      <c r="E55" s="10"/>
    </row>
    <row r="58" spans="1:8" ht="25.8" x14ac:dyDescent="0.5">
      <c r="A58" s="58" t="s">
        <v>469</v>
      </c>
      <c r="B58" s="52"/>
      <c r="C58" s="52"/>
      <c r="D58" s="52"/>
      <c r="E58" s="52"/>
      <c r="F58" s="52"/>
      <c r="G58" s="7" t="s">
        <v>668</v>
      </c>
      <c r="H58" s="7"/>
    </row>
    <row r="59" spans="1:8" x14ac:dyDescent="0.3">
      <c r="A59" s="10" t="s">
        <v>715</v>
      </c>
      <c r="B59" s="10"/>
      <c r="D59" t="s">
        <v>793</v>
      </c>
    </row>
    <row r="60" spans="1:8" x14ac:dyDescent="0.3">
      <c r="A60" s="10">
        <v>85</v>
      </c>
      <c r="B60" s="69" t="s">
        <v>477</v>
      </c>
      <c r="D60" t="s">
        <v>794</v>
      </c>
    </row>
    <row r="61" spans="1:8" ht="15.6" x14ac:dyDescent="0.3">
      <c r="A61" s="15"/>
      <c r="B61" s="10">
        <f>(bilans!D46)/(rzis!B8) *360</f>
        <v>74.773010075061208</v>
      </c>
      <c r="D61" t="s">
        <v>753</v>
      </c>
    </row>
    <row r="62" spans="1:8" x14ac:dyDescent="0.3">
      <c r="A62" s="10">
        <v>86</v>
      </c>
      <c r="B62" s="69" t="s">
        <v>478</v>
      </c>
    </row>
    <row r="63" spans="1:8" ht="15.6" x14ac:dyDescent="0.3">
      <c r="A63" s="15"/>
      <c r="B63" s="10">
        <f>(bilans!E46)/(rzis!B8+rzis!C8) *360</f>
        <v>50.506813784017453</v>
      </c>
      <c r="D63" t="s">
        <v>752</v>
      </c>
    </row>
    <row r="64" spans="1:8" x14ac:dyDescent="0.3">
      <c r="A64" s="10">
        <v>92</v>
      </c>
      <c r="B64" s="69" t="s">
        <v>479</v>
      </c>
    </row>
    <row r="65" spans="1:5" x14ac:dyDescent="0.3">
      <c r="A65" s="10"/>
      <c r="B65" s="10">
        <f>(bilans!F46)/(rzis!B8+rzis!C8+rzis!D8) * 360</f>
        <v>42.492008094553775</v>
      </c>
      <c r="D65" t="s">
        <v>754</v>
      </c>
    </row>
    <row r="66" spans="1:5" x14ac:dyDescent="0.3">
      <c r="A66" s="10"/>
      <c r="B66" s="10"/>
    </row>
    <row r="67" spans="1:5" x14ac:dyDescent="0.3">
      <c r="A67" s="10" t="s">
        <v>625</v>
      </c>
      <c r="B67" s="10"/>
      <c r="C67" s="10"/>
      <c r="D67" s="10"/>
      <c r="E67" s="10"/>
    </row>
    <row r="68" spans="1:5" x14ac:dyDescent="0.3">
      <c r="A68" s="10" t="s">
        <v>626</v>
      </c>
      <c r="B68" s="10">
        <f>B63-B61</f>
        <v>-24.266196291043755</v>
      </c>
      <c r="C68" s="10" t="s">
        <v>710</v>
      </c>
      <c r="D68" s="10"/>
      <c r="E68" s="10"/>
    </row>
    <row r="69" spans="1:5" x14ac:dyDescent="0.3">
      <c r="A69" s="10" t="s">
        <v>627</v>
      </c>
      <c r="B69" s="10">
        <f>B65-B63</f>
        <v>-8.0148056894636781</v>
      </c>
      <c r="C69" s="10" t="s">
        <v>710</v>
      </c>
      <c r="D69" s="10"/>
      <c r="E69" s="10"/>
    </row>
    <row r="72" spans="1:5" ht="25.8" x14ac:dyDescent="0.5">
      <c r="A72" s="58" t="s">
        <v>473</v>
      </c>
      <c r="B72" s="52"/>
      <c r="C72" s="52"/>
      <c r="D72" s="7" t="s">
        <v>669</v>
      </c>
    </row>
    <row r="73" spans="1:5" x14ac:dyDescent="0.3">
      <c r="A73" s="60" t="s">
        <v>715</v>
      </c>
      <c r="B73" s="10"/>
      <c r="D73" t="s">
        <v>724</v>
      </c>
    </row>
    <row r="74" spans="1:5" x14ac:dyDescent="0.3">
      <c r="A74" s="10">
        <v>15</v>
      </c>
      <c r="B74" s="69" t="s">
        <v>474</v>
      </c>
    </row>
    <row r="75" spans="1:5" x14ac:dyDescent="0.3">
      <c r="A75" s="10"/>
      <c r="B75" s="10">
        <f>B19+B47-B61</f>
        <v>74.446141243027611</v>
      </c>
    </row>
    <row r="76" spans="1:5" x14ac:dyDescent="0.3">
      <c r="A76" s="10">
        <v>12</v>
      </c>
      <c r="B76" s="69" t="s">
        <v>475</v>
      </c>
      <c r="D76" t="s">
        <v>773</v>
      </c>
    </row>
    <row r="77" spans="1:5" x14ac:dyDescent="0.3">
      <c r="A77" s="10"/>
      <c r="B77" s="10">
        <f>B21+B49-B63</f>
        <v>105.34529060962572</v>
      </c>
    </row>
    <row r="78" spans="1:5" x14ac:dyDescent="0.3">
      <c r="A78" s="10">
        <v>13</v>
      </c>
      <c r="B78" s="69" t="s">
        <v>476</v>
      </c>
    </row>
    <row r="79" spans="1:5" x14ac:dyDescent="0.3">
      <c r="A79" s="10"/>
      <c r="B79" s="10">
        <f>B23+B51-B65</f>
        <v>157.76061942126901</v>
      </c>
    </row>
    <row r="80" spans="1:5" x14ac:dyDescent="0.3">
      <c r="A80" s="10"/>
      <c r="B80" s="10"/>
    </row>
    <row r="81" spans="1:5" x14ac:dyDescent="0.3">
      <c r="A81" s="10" t="s">
        <v>480</v>
      </c>
      <c r="B81" s="10"/>
      <c r="C81" s="10"/>
      <c r="D81" s="10"/>
      <c r="E81" s="10"/>
    </row>
    <row r="82" spans="1:5" x14ac:dyDescent="0.3">
      <c r="A82" s="10" t="s">
        <v>481</v>
      </c>
      <c r="B82" s="10">
        <f>B79-B77</f>
        <v>52.415328811643292</v>
      </c>
      <c r="C82" s="10" t="s">
        <v>711</v>
      </c>
      <c r="D82" s="10"/>
      <c r="E82" s="10"/>
    </row>
    <row r="83" spans="1:5" x14ac:dyDescent="0.3">
      <c r="A83" s="10" t="s">
        <v>482</v>
      </c>
      <c r="B83" s="10">
        <f>B77-B75</f>
        <v>30.89914936659811</v>
      </c>
      <c r="C83" s="10" t="s">
        <v>711</v>
      </c>
      <c r="D83" s="10"/>
      <c r="E83" s="10"/>
    </row>
    <row r="85" spans="1:5" ht="25.8" x14ac:dyDescent="0.5">
      <c r="A85" s="58" t="s">
        <v>483</v>
      </c>
      <c r="B85" s="52"/>
      <c r="C85" s="52"/>
      <c r="D85" t="s">
        <v>670</v>
      </c>
    </row>
    <row r="86" spans="1:5" x14ac:dyDescent="0.3">
      <c r="D86" t="s">
        <v>795</v>
      </c>
    </row>
    <row r="87" spans="1:5" ht="18" x14ac:dyDescent="0.4">
      <c r="A87" s="10">
        <v>1.33</v>
      </c>
      <c r="B87" s="68" t="s">
        <v>484</v>
      </c>
      <c r="D87" t="s">
        <v>796</v>
      </c>
    </row>
    <row r="88" spans="1:5" ht="15.6" x14ac:dyDescent="0.3">
      <c r="A88" s="15"/>
      <c r="B88" s="10">
        <f>(rzis!B4+rzis!B16+rzis!B26)/bilans!D30</f>
        <v>1.4431332728485335</v>
      </c>
      <c r="C88" t="s">
        <v>749</v>
      </c>
    </row>
    <row r="89" spans="1:5" ht="18" x14ac:dyDescent="0.4">
      <c r="A89" s="10">
        <v>1.3</v>
      </c>
      <c r="B89" s="68" t="s">
        <v>485</v>
      </c>
    </row>
    <row r="90" spans="1:5" ht="15.6" x14ac:dyDescent="0.3">
      <c r="A90" s="15"/>
      <c r="B90" s="10">
        <f>(rzis!C4+rzis!C16+rzis!C26)/(bilans!D30+bilans!E30)</f>
        <v>0.66627589016444855</v>
      </c>
      <c r="C90" t="s">
        <v>750</v>
      </c>
    </row>
    <row r="91" spans="1:5" x14ac:dyDescent="0.3">
      <c r="A91" s="10">
        <v>1.19</v>
      </c>
      <c r="B91" s="69" t="s">
        <v>486</v>
      </c>
    </row>
    <row r="92" spans="1:5" x14ac:dyDescent="0.3">
      <c r="A92" s="10"/>
      <c r="B92" s="10">
        <f>(rzis!D4+rzis!D16+rzis!D26)/(bilans!D30+bilans!E30+bilans!F30)</f>
        <v>0.35718347338415052</v>
      </c>
      <c r="C92" t="s">
        <v>751</v>
      </c>
    </row>
    <row r="94" spans="1:5" x14ac:dyDescent="0.3">
      <c r="A94" s="10" t="s">
        <v>628</v>
      </c>
      <c r="B94" s="10"/>
      <c r="C94" s="10"/>
      <c r="D94" s="10"/>
      <c r="E94" s="10"/>
    </row>
    <row r="95" spans="1:5" x14ac:dyDescent="0.3">
      <c r="A95" s="10" t="s">
        <v>629</v>
      </c>
      <c r="B95" s="10">
        <f>B90-B88</f>
        <v>-0.776857382684085</v>
      </c>
      <c r="C95" s="10" t="s">
        <v>710</v>
      </c>
      <c r="D95" s="10"/>
      <c r="E95" s="10"/>
    </row>
    <row r="96" spans="1:5" x14ac:dyDescent="0.3">
      <c r="A96" s="10" t="s">
        <v>630</v>
      </c>
      <c r="B96" s="10">
        <f>B92-B90</f>
        <v>-0.30909241678029803</v>
      </c>
      <c r="C96" s="10" t="s">
        <v>710</v>
      </c>
      <c r="D96" s="10"/>
      <c r="E96" s="10"/>
    </row>
  </sheetData>
  <mergeCells count="1">
    <mergeCell ref="A1:Q1"/>
  </mergeCells>
  <pageMargins left="0.7" right="0.7" top="0.75" bottom="0.75" header="0.3" footer="0.3"/>
  <pageSetup paperSize="9" scale="4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914C-9C39-4A10-A7BF-333193B744DE}">
  <dimension ref="A1:N90"/>
  <sheetViews>
    <sheetView view="pageBreakPreview" zoomScale="85" zoomScaleNormal="65" zoomScaleSheetLayoutView="85" workbookViewId="0">
      <selection activeCell="F55" sqref="F55"/>
    </sheetView>
  </sheetViews>
  <sheetFormatPr defaultRowHeight="14.4" x14ac:dyDescent="0.3"/>
  <cols>
    <col min="1" max="1" width="17.88671875" customWidth="1"/>
  </cols>
  <sheetData>
    <row r="1" spans="1:14" ht="36.6" x14ac:dyDescent="0.7">
      <c r="A1" s="84" t="s">
        <v>818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25.8" x14ac:dyDescent="0.5">
      <c r="A2" s="58" t="s">
        <v>487</v>
      </c>
      <c r="B2" s="52"/>
      <c r="C2" s="52"/>
      <c r="D2" s="52"/>
      <c r="E2" s="52" t="s">
        <v>650</v>
      </c>
      <c r="F2" s="52"/>
      <c r="G2" s="52"/>
      <c r="H2" s="52"/>
      <c r="I2" s="52"/>
      <c r="J2" s="52"/>
      <c r="K2" s="52"/>
      <c r="L2" s="52"/>
      <c r="M2" s="52"/>
      <c r="N2" s="52"/>
    </row>
    <row r="3" spans="1:14" x14ac:dyDescent="0.3">
      <c r="A3" t="s">
        <v>677</v>
      </c>
      <c r="D3" t="s">
        <v>708</v>
      </c>
    </row>
    <row r="4" spans="1:14" ht="18" x14ac:dyDescent="0.4">
      <c r="A4" s="10"/>
      <c r="B4" s="68" t="s">
        <v>488</v>
      </c>
    </row>
    <row r="5" spans="1:14" ht="15.6" x14ac:dyDescent="0.3">
      <c r="A5" s="15"/>
      <c r="B5" s="10">
        <f>(rzis!B38+rzis!B32)/rzis!B32</f>
        <v>139.76790830945558</v>
      </c>
    </row>
    <row r="6" spans="1:14" ht="18" x14ac:dyDescent="0.4">
      <c r="A6" s="10"/>
      <c r="B6" s="68" t="s">
        <v>489</v>
      </c>
      <c r="E6" t="s">
        <v>709</v>
      </c>
    </row>
    <row r="7" spans="1:14" ht="15.6" x14ac:dyDescent="0.3">
      <c r="A7" s="15"/>
      <c r="B7" s="10">
        <f>(rzis!C38+rzis!C32)/rzis!C32</f>
        <v>74.50316455696202</v>
      </c>
    </row>
    <row r="8" spans="1:14" ht="18" x14ac:dyDescent="0.4">
      <c r="A8" s="10"/>
      <c r="B8" s="68" t="s">
        <v>490</v>
      </c>
    </row>
    <row r="9" spans="1:14" x14ac:dyDescent="0.3">
      <c r="A9" s="10"/>
      <c r="B9" s="10">
        <f>(rzis!D38+rzis!D32)/rzis!D32</f>
        <v>100.41018766756032</v>
      </c>
    </row>
    <row r="10" spans="1:14" x14ac:dyDescent="0.3">
      <c r="A10" s="10"/>
      <c r="B10" s="10"/>
    </row>
    <row r="11" spans="1:14" x14ac:dyDescent="0.3">
      <c r="A11" s="10" t="s">
        <v>416</v>
      </c>
      <c r="B11" s="10"/>
    </row>
    <row r="12" spans="1:14" x14ac:dyDescent="0.3">
      <c r="A12" s="10" t="s">
        <v>603</v>
      </c>
      <c r="B12" s="10">
        <f>B7-B5</f>
        <v>-65.264743752493558</v>
      </c>
      <c r="D12" t="s">
        <v>710</v>
      </c>
    </row>
    <row r="13" spans="1:14" x14ac:dyDescent="0.3">
      <c r="A13" s="10" t="s">
        <v>604</v>
      </c>
      <c r="B13" s="10">
        <f>B9-B7</f>
        <v>25.907023110598303</v>
      </c>
      <c r="D13" t="s">
        <v>711</v>
      </c>
    </row>
    <row r="15" spans="1:14" ht="27.6" customHeight="1" x14ac:dyDescent="0.3">
      <c r="B15" s="6" t="s">
        <v>707</v>
      </c>
    </row>
    <row r="16" spans="1:14" ht="25.8" x14ac:dyDescent="0.3">
      <c r="A16" s="64" t="s">
        <v>491</v>
      </c>
      <c r="B16" s="65"/>
      <c r="C16" s="65"/>
      <c r="D16" s="65"/>
      <c r="E16" s="33" t="s">
        <v>651</v>
      </c>
    </row>
    <row r="17" spans="1:4" x14ac:dyDescent="0.3">
      <c r="D17" t="s">
        <v>782</v>
      </c>
    </row>
    <row r="18" spans="1:4" ht="18" x14ac:dyDescent="0.4">
      <c r="A18" s="10"/>
      <c r="B18" s="68" t="s">
        <v>492</v>
      </c>
      <c r="D18" t="s">
        <v>781</v>
      </c>
    </row>
    <row r="19" spans="1:4" ht="15.6" x14ac:dyDescent="0.3">
      <c r="A19" s="15"/>
      <c r="B19" s="10">
        <f>(rzis!B38+rzis!B32)/(rzis!B32+rpp!B38)</f>
        <v>2.4052761341222881</v>
      </c>
    </row>
    <row r="20" spans="1:4" ht="18" x14ac:dyDescent="0.4">
      <c r="A20" s="10"/>
      <c r="B20" s="68" t="s">
        <v>493</v>
      </c>
      <c r="D20" t="s">
        <v>774</v>
      </c>
    </row>
    <row r="21" spans="1:4" ht="15.6" x14ac:dyDescent="0.3">
      <c r="A21" s="15"/>
      <c r="B21" s="10">
        <f>(rzis!C38+rzis!C32)/(rzis!C32+rpp!C38)</f>
        <v>74.50316455696202</v>
      </c>
    </row>
    <row r="22" spans="1:4" ht="18" x14ac:dyDescent="0.4">
      <c r="A22" s="10"/>
      <c r="B22" s="68" t="s">
        <v>494</v>
      </c>
    </row>
    <row r="23" spans="1:4" x14ac:dyDescent="0.3">
      <c r="A23" s="10"/>
      <c r="B23" s="10">
        <f>(rzis!D38+rzis!D32)/(rzis!D32+rpp!D38)</f>
        <v>100.41018766756032</v>
      </c>
    </row>
    <row r="24" spans="1:4" x14ac:dyDescent="0.3">
      <c r="A24" s="10"/>
      <c r="B24" s="10"/>
    </row>
    <row r="25" spans="1:4" x14ac:dyDescent="0.3">
      <c r="A25" s="10" t="s">
        <v>416</v>
      </c>
      <c r="B25" s="10"/>
    </row>
    <row r="26" spans="1:4" x14ac:dyDescent="0.3">
      <c r="A26" s="10" t="s">
        <v>605</v>
      </c>
      <c r="B26" s="10">
        <f>B21-B19</f>
        <v>72.097888422839731</v>
      </c>
      <c r="D26" t="s">
        <v>711</v>
      </c>
    </row>
    <row r="27" spans="1:4" x14ac:dyDescent="0.3">
      <c r="A27" s="10" t="s">
        <v>606</v>
      </c>
      <c r="B27" s="10">
        <f>B23-B21</f>
        <v>25.907023110598303</v>
      </c>
      <c r="D27" t="s">
        <v>711</v>
      </c>
    </row>
    <row r="29" spans="1:4" x14ac:dyDescent="0.3">
      <c r="B29" t="s">
        <v>776</v>
      </c>
    </row>
    <row r="30" spans="1:4" ht="25.8" x14ac:dyDescent="0.5">
      <c r="A30" s="58" t="s">
        <v>495</v>
      </c>
      <c r="B30" s="52"/>
      <c r="C30" s="52"/>
      <c r="D30" s="52"/>
    </row>
    <row r="31" spans="1:4" x14ac:dyDescent="0.3">
      <c r="A31" s="31" t="s">
        <v>652</v>
      </c>
    </row>
    <row r="32" spans="1:4" ht="18" x14ac:dyDescent="0.4">
      <c r="A32" s="10" t="s">
        <v>677</v>
      </c>
      <c r="B32" s="70" t="s">
        <v>467</v>
      </c>
      <c r="D32" t="s">
        <v>779</v>
      </c>
    </row>
    <row r="33" spans="1:6" x14ac:dyDescent="0.3">
      <c r="A33" s="44">
        <v>0.4723</v>
      </c>
      <c r="B33" s="10">
        <f>bilans!D36/bilans!D30 *100</f>
        <v>32.81861169359442</v>
      </c>
      <c r="D33" t="s">
        <v>780</v>
      </c>
    </row>
    <row r="34" spans="1:6" ht="18" x14ac:dyDescent="0.4">
      <c r="A34" s="10"/>
      <c r="B34" s="70" t="s">
        <v>466</v>
      </c>
    </row>
    <row r="35" spans="1:6" x14ac:dyDescent="0.3">
      <c r="A35" s="44">
        <v>0.47489999999999999</v>
      </c>
      <c r="B35" s="10">
        <f>bilans!E36/bilans!E30 *100</f>
        <v>34.375286093564043</v>
      </c>
      <c r="D35" t="s">
        <v>775</v>
      </c>
    </row>
    <row r="36" spans="1:6" x14ac:dyDescent="0.3">
      <c r="A36" s="10"/>
      <c r="B36" s="71" t="s">
        <v>468</v>
      </c>
    </row>
    <row r="37" spans="1:6" x14ac:dyDescent="0.3">
      <c r="A37" s="44">
        <v>0.48099999999999998</v>
      </c>
      <c r="B37" s="10">
        <f>bilans!F36/bilans!F30 *100</f>
        <v>32.747528397406278</v>
      </c>
    </row>
    <row r="38" spans="1:6" x14ac:dyDescent="0.3">
      <c r="A38" s="10"/>
      <c r="B38" s="10"/>
    </row>
    <row r="39" spans="1:6" x14ac:dyDescent="0.3">
      <c r="A39" s="10" t="s">
        <v>416</v>
      </c>
      <c r="B39" s="10"/>
    </row>
    <row r="40" spans="1:6" x14ac:dyDescent="0.3">
      <c r="A40" s="10" t="s">
        <v>607</v>
      </c>
      <c r="B40" s="10">
        <f>B35-B33</f>
        <v>1.5566743999696229</v>
      </c>
      <c r="D40" t="s">
        <v>711</v>
      </c>
    </row>
    <row r="41" spans="1:6" x14ac:dyDescent="0.3">
      <c r="A41" s="10" t="s">
        <v>608</v>
      </c>
      <c r="B41" s="10">
        <f>B37-B35</f>
        <v>-1.6277576961577651</v>
      </c>
      <c r="D41" t="s">
        <v>710</v>
      </c>
    </row>
    <row r="43" spans="1:6" ht="25.8" x14ac:dyDescent="0.5">
      <c r="A43" s="58" t="s">
        <v>496</v>
      </c>
      <c r="B43" s="52"/>
      <c r="C43" s="52"/>
      <c r="D43" s="52"/>
      <c r="E43" s="52"/>
    </row>
    <row r="44" spans="1:6" x14ac:dyDescent="0.3">
      <c r="C44" s="7"/>
      <c r="D44" t="s">
        <v>653</v>
      </c>
      <c r="E44" s="7"/>
      <c r="F44" s="7"/>
    </row>
    <row r="45" spans="1:6" x14ac:dyDescent="0.3">
      <c r="A45" t="s">
        <v>715</v>
      </c>
      <c r="D45" t="s">
        <v>712</v>
      </c>
    </row>
    <row r="46" spans="1:6" ht="18" x14ac:dyDescent="0.4">
      <c r="A46" s="10"/>
      <c r="B46" s="68" t="s">
        <v>497</v>
      </c>
      <c r="D46" t="s">
        <v>740</v>
      </c>
    </row>
    <row r="47" spans="1:6" ht="15.6" x14ac:dyDescent="0.3">
      <c r="A47" s="43">
        <v>0.89510000000000001</v>
      </c>
      <c r="B47" s="10">
        <f>bilans!D36/bilans!D32 *100</f>
        <v>48.850749472328552</v>
      </c>
    </row>
    <row r="48" spans="1:6" ht="18" x14ac:dyDescent="0.4">
      <c r="A48" s="10"/>
      <c r="B48" s="68" t="s">
        <v>498</v>
      </c>
      <c r="D48" t="s">
        <v>741</v>
      </c>
    </row>
    <row r="49" spans="1:9" ht="15.6" x14ac:dyDescent="0.3">
      <c r="A49" s="43">
        <v>0.90449999999999997</v>
      </c>
      <c r="B49" s="10">
        <f>bilans!E36/bilans!E32 *100</f>
        <v>52.381616691806677</v>
      </c>
    </row>
    <row r="50" spans="1:9" x14ac:dyDescent="0.3">
      <c r="A50" s="10"/>
      <c r="B50" s="69" t="s">
        <v>499</v>
      </c>
      <c r="D50" t="s">
        <v>742</v>
      </c>
    </row>
    <row r="51" spans="1:9" x14ac:dyDescent="0.3">
      <c r="A51" s="44">
        <v>0.92679999999999996</v>
      </c>
      <c r="B51" s="10">
        <f>bilans!F36/bilans!F32 *100</f>
        <v>48.693419910151384</v>
      </c>
    </row>
    <row r="53" spans="1:9" x14ac:dyDescent="0.3">
      <c r="A53" s="10" t="s">
        <v>416</v>
      </c>
      <c r="B53" s="10"/>
    </row>
    <row r="54" spans="1:9" x14ac:dyDescent="0.3">
      <c r="A54" s="10" t="s">
        <v>417</v>
      </c>
      <c r="B54" s="10">
        <f>B49-B47</f>
        <v>3.5308672194781252</v>
      </c>
      <c r="D54" t="s">
        <v>711</v>
      </c>
    </row>
    <row r="55" spans="1:9" x14ac:dyDescent="0.3">
      <c r="A55" s="10" t="s">
        <v>419</v>
      </c>
      <c r="B55" s="10">
        <f>B51-B49</f>
        <v>-3.688196781655293</v>
      </c>
      <c r="D55" t="s">
        <v>710</v>
      </c>
    </row>
    <row r="58" spans="1:9" ht="25.8" x14ac:dyDescent="0.5">
      <c r="A58" s="58" t="s">
        <v>500</v>
      </c>
      <c r="B58" s="52"/>
      <c r="C58" s="52"/>
      <c r="D58" s="52"/>
      <c r="E58" s="52"/>
      <c r="F58" s="52"/>
      <c r="G58" s="52"/>
      <c r="H58" s="52"/>
      <c r="I58" s="52"/>
    </row>
    <row r="59" spans="1:9" x14ac:dyDescent="0.3">
      <c r="D59" s="7" t="s">
        <v>654</v>
      </c>
    </row>
    <row r="60" spans="1:9" x14ac:dyDescent="0.3">
      <c r="A60" s="10"/>
      <c r="B60" s="69" t="s">
        <v>501</v>
      </c>
    </row>
    <row r="61" spans="1:9" ht="15.6" x14ac:dyDescent="0.3">
      <c r="A61" s="15"/>
      <c r="B61" s="10">
        <f>(rzis!B42+rpp!B7)/(bilans!D36)</f>
        <v>0.88442174255323047</v>
      </c>
    </row>
    <row r="62" spans="1:9" x14ac:dyDescent="0.3">
      <c r="A62" s="10"/>
      <c r="B62" s="69" t="s">
        <v>502</v>
      </c>
      <c r="D62" t="s">
        <v>777</v>
      </c>
    </row>
    <row r="63" spans="1:9" ht="15.6" x14ac:dyDescent="0.3">
      <c r="A63" s="15"/>
      <c r="B63" s="10">
        <f>(rzis!C42+rpp!C7)/((bilans!D36+bilans!E36)/2)</f>
        <v>0.86568205199741932</v>
      </c>
      <c r="D63" t="s">
        <v>778</v>
      </c>
    </row>
    <row r="64" spans="1:9" x14ac:dyDescent="0.3">
      <c r="A64" s="10"/>
      <c r="B64" s="69" t="s">
        <v>503</v>
      </c>
    </row>
    <row r="65" spans="1:7" x14ac:dyDescent="0.3">
      <c r="A65" s="10"/>
      <c r="B65" s="10">
        <f>(rzis!D42+rpp!D7)/((bilans!D36 + bilans!E36 + bilans!F36)/3)</f>
        <v>0.69966515988615441</v>
      </c>
    </row>
    <row r="66" spans="1:7" x14ac:dyDescent="0.3">
      <c r="A66" s="10"/>
      <c r="B66" s="10"/>
    </row>
    <row r="67" spans="1:7" x14ac:dyDescent="0.3">
      <c r="A67" s="10" t="s">
        <v>416</v>
      </c>
      <c r="B67" s="10"/>
    </row>
    <row r="68" spans="1:7" x14ac:dyDescent="0.3">
      <c r="A68" s="10" t="s">
        <v>417</v>
      </c>
      <c r="B68" s="10">
        <f>B63-B61</f>
        <v>-1.873969055581115E-2</v>
      </c>
      <c r="D68" t="s">
        <v>710</v>
      </c>
    </row>
    <row r="69" spans="1:7" x14ac:dyDescent="0.3">
      <c r="A69" s="10" t="s">
        <v>419</v>
      </c>
      <c r="B69" s="10">
        <f>B65-B63</f>
        <v>-0.16601689211126491</v>
      </c>
      <c r="D69" t="s">
        <v>710</v>
      </c>
    </row>
    <row r="71" spans="1:7" x14ac:dyDescent="0.3">
      <c r="B71" t="s">
        <v>714</v>
      </c>
    </row>
    <row r="72" spans="1:7" ht="25.8" x14ac:dyDescent="0.5">
      <c r="A72" s="58" t="s">
        <v>504</v>
      </c>
      <c r="B72" s="52"/>
      <c r="C72" s="52"/>
      <c r="D72" s="52"/>
      <c r="E72" s="52"/>
      <c r="F72" s="52"/>
      <c r="G72" t="s">
        <v>655</v>
      </c>
    </row>
    <row r="73" spans="1:7" x14ac:dyDescent="0.3">
      <c r="A73" t="s">
        <v>715</v>
      </c>
    </row>
    <row r="74" spans="1:7" x14ac:dyDescent="0.3">
      <c r="A74" s="10"/>
      <c r="B74" s="69" t="s">
        <v>505</v>
      </c>
      <c r="D74" t="s">
        <v>737</v>
      </c>
    </row>
    <row r="75" spans="1:7" x14ac:dyDescent="0.3">
      <c r="A75" s="10">
        <v>1.28</v>
      </c>
      <c r="B75" s="10">
        <f>(bilans!D44+bilans!D37+bilans!D32)/(bilans!D5) * 100</f>
        <v>139.08860365270394</v>
      </c>
    </row>
    <row r="76" spans="1:7" x14ac:dyDescent="0.3">
      <c r="A76" s="10"/>
      <c r="B76" s="69" t="s">
        <v>506</v>
      </c>
      <c r="D76" t="s">
        <v>738</v>
      </c>
    </row>
    <row r="77" spans="1:7" x14ac:dyDescent="0.3">
      <c r="A77" s="10">
        <v>1.28</v>
      </c>
      <c r="B77" s="10">
        <f>(bilans!E44+bilans!E37+bilans!E32)/(bilans!E5) * 100</f>
        <v>122.59979327656643</v>
      </c>
    </row>
    <row r="78" spans="1:7" x14ac:dyDescent="0.3">
      <c r="A78" s="10"/>
      <c r="B78" s="69" t="s">
        <v>507</v>
      </c>
      <c r="D78" t="s">
        <v>739</v>
      </c>
    </row>
    <row r="79" spans="1:7" x14ac:dyDescent="0.3">
      <c r="A79" s="10">
        <v>1.3</v>
      </c>
      <c r="B79" s="10">
        <f>(bilans!F44+bilans!F37+bilans!F32)/(bilans!F5) * 100</f>
        <v>128.50056912299536</v>
      </c>
    </row>
    <row r="80" spans="1:7" x14ac:dyDescent="0.3">
      <c r="A80" s="10"/>
      <c r="B80" s="10"/>
    </row>
    <row r="81" spans="1:4" x14ac:dyDescent="0.3">
      <c r="A81" s="10" t="s">
        <v>480</v>
      </c>
      <c r="B81" s="10"/>
    </row>
    <row r="82" spans="1:4" x14ac:dyDescent="0.3">
      <c r="A82" s="10" t="s">
        <v>481</v>
      </c>
      <c r="B82" s="10">
        <f>B79-B77</f>
        <v>5.9007758464289282</v>
      </c>
      <c r="D82" t="s">
        <v>711</v>
      </c>
    </row>
    <row r="83" spans="1:4" x14ac:dyDescent="0.3">
      <c r="A83" s="10" t="s">
        <v>482</v>
      </c>
      <c r="B83" s="10">
        <f>B77-B75</f>
        <v>-16.488810376137508</v>
      </c>
      <c r="D83" t="s">
        <v>710</v>
      </c>
    </row>
    <row r="88" spans="1:4" ht="15.6" x14ac:dyDescent="0.3">
      <c r="A88" s="6"/>
    </row>
    <row r="90" spans="1:4" ht="15.6" x14ac:dyDescent="0.3">
      <c r="A90" s="6"/>
    </row>
  </sheetData>
  <mergeCells count="1">
    <mergeCell ref="A1:N1"/>
  </mergeCells>
  <pageMargins left="0.7" right="0.7" top="0.75" bottom="0.75" header="0.3" footer="0.3"/>
  <pageSetup paperSize="9"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9161-C19F-4EC5-A3A0-71DE026F9BF8}">
  <dimension ref="A1:J73"/>
  <sheetViews>
    <sheetView view="pageBreakPreview" topLeftCell="R1" zoomScale="85" zoomScaleNormal="70" zoomScaleSheetLayoutView="85" workbookViewId="0">
      <selection activeCell="F55" sqref="F55"/>
    </sheetView>
  </sheetViews>
  <sheetFormatPr defaultRowHeight="14.4" x14ac:dyDescent="0.3"/>
  <cols>
    <col min="1" max="1" width="8.88671875" customWidth="1"/>
    <col min="2" max="2" width="10.21875" customWidth="1"/>
    <col min="4" max="4" width="9.33203125" bestFit="1" customWidth="1"/>
    <col min="6" max="6" width="17.21875" customWidth="1"/>
    <col min="7" max="7" width="20.6640625" customWidth="1"/>
    <col min="9" max="9" width="16.6640625" customWidth="1"/>
    <col min="10" max="10" width="19.44140625" customWidth="1"/>
  </cols>
  <sheetData>
    <row r="1" spans="1:10" ht="36.6" x14ac:dyDescent="0.7">
      <c r="A1" s="84" t="s">
        <v>508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83.4" x14ac:dyDescent="4.1500000000000004">
      <c r="A2" s="52" t="s">
        <v>510</v>
      </c>
      <c r="B2" s="52"/>
      <c r="C2" s="52"/>
      <c r="D2" s="66" t="s">
        <v>656</v>
      </c>
      <c r="E2" s="52"/>
      <c r="F2" s="52"/>
      <c r="G2" s="52"/>
      <c r="H2" s="52"/>
      <c r="I2" s="52"/>
      <c r="J2" s="52"/>
    </row>
    <row r="4" spans="1:10" x14ac:dyDescent="0.3">
      <c r="A4" s="72" t="s">
        <v>509</v>
      </c>
      <c r="B4" s="42" t="s">
        <v>685</v>
      </c>
      <c r="C4" s="10">
        <f>H7/dodatkowe!B27</f>
        <v>1.0674418604651162E-2</v>
      </c>
      <c r="G4" s="10"/>
      <c r="H4" s="8" t="s">
        <v>554</v>
      </c>
      <c r="I4" s="10"/>
      <c r="J4" s="10"/>
    </row>
    <row r="5" spans="1:10" x14ac:dyDescent="0.3">
      <c r="G5" s="34"/>
      <c r="H5" s="34"/>
      <c r="I5" s="34"/>
      <c r="J5" s="34"/>
    </row>
    <row r="6" spans="1:10" x14ac:dyDescent="0.3">
      <c r="B6" s="10" t="s">
        <v>686</v>
      </c>
      <c r="C6" s="10">
        <f>I7/dodatkowe!C27</f>
        <v>1.1619047619047617E-2</v>
      </c>
      <c r="G6" s="34"/>
      <c r="H6" s="34">
        <v>2018</v>
      </c>
      <c r="I6" s="34">
        <v>2019</v>
      </c>
      <c r="J6" s="34">
        <v>2020</v>
      </c>
    </row>
    <row r="7" spans="1:10" x14ac:dyDescent="0.3">
      <c r="G7" s="34" t="s">
        <v>632</v>
      </c>
      <c r="H7" s="38">
        <f>41.31/1000</f>
        <v>4.1309999999999999E-2</v>
      </c>
      <c r="I7" s="39">
        <f>46.36/1000</f>
        <v>4.6359999999999998E-2</v>
      </c>
      <c r="J7" s="40">
        <f>40.38/1000</f>
        <v>4.0379999999999999E-2</v>
      </c>
    </row>
    <row r="8" spans="1:10" x14ac:dyDescent="0.3">
      <c r="B8" s="42" t="s">
        <v>687</v>
      </c>
      <c r="C8" s="42">
        <f>J7/dodatkowe!D27</f>
        <v>1.3025806451612902E-2</v>
      </c>
      <c r="G8" s="34" t="s">
        <v>631</v>
      </c>
      <c r="H8" s="34" t="str">
        <f>dodatkowe!B26</f>
        <v>9 878 783</v>
      </c>
      <c r="I8" s="34" t="str">
        <f>dodatkowe!C26</f>
        <v>9 796 133</v>
      </c>
      <c r="J8" s="34">
        <f>dodatkowe!D26</f>
        <v>10073683</v>
      </c>
    </row>
    <row r="9" spans="1:10" x14ac:dyDescent="0.3">
      <c r="G9" s="34"/>
      <c r="H9" s="34">
        <v>2018</v>
      </c>
      <c r="I9" s="34">
        <v>2019</v>
      </c>
      <c r="J9" s="34">
        <v>2020</v>
      </c>
    </row>
    <row r="10" spans="1:10" x14ac:dyDescent="0.3">
      <c r="A10" s="72" t="s">
        <v>593</v>
      </c>
      <c r="B10" s="72"/>
      <c r="G10" s="34" t="s">
        <v>810</v>
      </c>
      <c r="H10" s="34">
        <f>bilans!D30/dodatkowe!B26</f>
        <v>1.6847520590339924E-2</v>
      </c>
      <c r="I10" s="34">
        <f>bilans!E30/dodatkowe!C26</f>
        <v>1.7840509107011921E-2</v>
      </c>
      <c r="J10" s="34">
        <f>bilans!F30/dodatkowe!D26</f>
        <v>1.954965229698016E-2</v>
      </c>
    </row>
    <row r="11" spans="1:10" x14ac:dyDescent="0.3">
      <c r="A11" t="s">
        <v>657</v>
      </c>
      <c r="G11" s="34" t="s">
        <v>809</v>
      </c>
      <c r="H11" s="34">
        <f>3.94/1000</f>
        <v>3.9399999999999999E-3</v>
      </c>
      <c r="I11" s="34">
        <f>2.5/1000</f>
        <v>2.5000000000000001E-3</v>
      </c>
      <c r="J11" s="35">
        <f>1.85/1000</f>
        <v>1.8500000000000001E-3</v>
      </c>
    </row>
    <row r="12" spans="1:10" x14ac:dyDescent="0.3">
      <c r="A12" t="s">
        <v>594</v>
      </c>
      <c r="G12" s="10" t="s">
        <v>811</v>
      </c>
      <c r="H12" s="10"/>
      <c r="I12" s="10"/>
      <c r="J12" s="10"/>
    </row>
    <row r="13" spans="1:10" x14ac:dyDescent="0.3">
      <c r="B13" s="10" t="s">
        <v>682</v>
      </c>
      <c r="C13" s="41">
        <f>H7/H10</f>
        <v>2.4519928483533913</v>
      </c>
      <c r="G13" s="10" t="s">
        <v>812</v>
      </c>
      <c r="H13" s="10"/>
      <c r="I13" s="10"/>
      <c r="J13" s="10"/>
    </row>
    <row r="15" spans="1:10" x14ac:dyDescent="0.3">
      <c r="B15" s="10" t="s">
        <v>683</v>
      </c>
      <c r="C15" s="41">
        <f>I7/I10</f>
        <v>2.5985805518172662</v>
      </c>
    </row>
    <row r="17" spans="1:3" x14ac:dyDescent="0.3">
      <c r="B17" s="10" t="s">
        <v>684</v>
      </c>
      <c r="C17" s="41">
        <f>J7/J10</f>
        <v>2.0655098815357196</v>
      </c>
    </row>
    <row r="20" spans="1:3" x14ac:dyDescent="0.3">
      <c r="A20" s="72" t="s">
        <v>633</v>
      </c>
      <c r="B20" s="72"/>
      <c r="C20" t="s">
        <v>658</v>
      </c>
    </row>
    <row r="22" spans="1:3" x14ac:dyDescent="0.3">
      <c r="B22" s="10" t="s">
        <v>635</v>
      </c>
      <c r="C22" s="10">
        <f>rzis!B42/H8</f>
        <v>3.9487657538383016E-3</v>
      </c>
    </row>
    <row r="24" spans="1:3" x14ac:dyDescent="0.3">
      <c r="B24" s="10" t="s">
        <v>636</v>
      </c>
      <c r="C24" s="10">
        <f>rzis!C42/I8</f>
        <v>3.8977625150658939E-3</v>
      </c>
    </row>
    <row r="26" spans="1:3" x14ac:dyDescent="0.3">
      <c r="B26" s="10" t="s">
        <v>637</v>
      </c>
      <c r="C26" s="10">
        <f>rzis!D42/J8</f>
        <v>3.067199950603965E-3</v>
      </c>
    </row>
    <row r="29" spans="1:3" x14ac:dyDescent="0.3">
      <c r="A29" s="72" t="s">
        <v>634</v>
      </c>
      <c r="B29" s="72"/>
      <c r="C29" t="s">
        <v>659</v>
      </c>
    </row>
    <row r="30" spans="1:3" x14ac:dyDescent="0.3">
      <c r="B30" t="s">
        <v>396</v>
      </c>
    </row>
    <row r="31" spans="1:3" x14ac:dyDescent="0.3">
      <c r="B31" s="10" t="s">
        <v>638</v>
      </c>
      <c r="C31" s="10">
        <f>H11/H7</f>
        <v>9.537642217380779E-2</v>
      </c>
    </row>
    <row r="33" spans="1:4" x14ac:dyDescent="0.3">
      <c r="B33" s="10" t="s">
        <v>639</v>
      </c>
      <c r="C33" s="10">
        <f>I11/I7</f>
        <v>5.392579810181191E-2</v>
      </c>
    </row>
    <row r="35" spans="1:4" x14ac:dyDescent="0.3">
      <c r="B35" s="10" t="s">
        <v>640</v>
      </c>
      <c r="C35" s="10">
        <f>J11/J7</f>
        <v>4.5814759782070336E-2</v>
      </c>
    </row>
    <row r="38" spans="1:4" x14ac:dyDescent="0.3">
      <c r="A38" s="72" t="s">
        <v>641</v>
      </c>
      <c r="B38" s="72"/>
      <c r="C38" s="72"/>
      <c r="D38" t="s">
        <v>660</v>
      </c>
    </row>
    <row r="39" spans="1:4" x14ac:dyDescent="0.3">
      <c r="B39" t="s">
        <v>396</v>
      </c>
    </row>
    <row r="40" spans="1:4" x14ac:dyDescent="0.3">
      <c r="B40" s="10" t="s">
        <v>642</v>
      </c>
      <c r="C40" s="10">
        <f>H11/dodatkowe!B27 *100</f>
        <v>0.10180878552971576</v>
      </c>
    </row>
    <row r="42" spans="1:4" x14ac:dyDescent="0.3">
      <c r="B42" s="10" t="s">
        <v>643</v>
      </c>
      <c r="C42" s="10">
        <f>I11/dodatkowe!C27 *100</f>
        <v>6.2656641604010022E-2</v>
      </c>
    </row>
    <row r="44" spans="1:4" x14ac:dyDescent="0.3">
      <c r="B44" s="10" t="s">
        <v>644</v>
      </c>
      <c r="C44" s="10">
        <f>J11/dodatkowe!D27 *100</f>
        <v>5.9677419354838709E-2</v>
      </c>
    </row>
    <row r="73" spans="1:1" x14ac:dyDescent="0.3">
      <c r="A73" s="52"/>
    </row>
  </sheetData>
  <mergeCells count="1">
    <mergeCell ref="A1:J1"/>
  </mergeCells>
  <pageMargins left="0.7" right="0.7" top="0.75" bottom="0.75" header="0.3" footer="0.3"/>
  <pageSetup paperSize="9" scale="6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7532-217A-4D8C-B968-33067D19EAB3}">
  <dimension ref="A1:E20"/>
  <sheetViews>
    <sheetView view="pageBreakPreview" zoomScaleNormal="63" zoomScaleSheetLayoutView="100" workbookViewId="0">
      <selection activeCell="F55" sqref="F55"/>
    </sheetView>
  </sheetViews>
  <sheetFormatPr defaultRowHeight="14.4" x14ac:dyDescent="0.3"/>
  <cols>
    <col min="1" max="1" width="40.33203125" customWidth="1"/>
    <col min="2" max="2" width="23.5546875" customWidth="1"/>
    <col min="3" max="3" width="14.5546875" customWidth="1"/>
    <col min="4" max="4" width="20.5546875" customWidth="1"/>
    <col min="5" max="5" width="21.5546875" customWidth="1"/>
    <col min="6" max="6" width="8.88671875" customWidth="1"/>
  </cols>
  <sheetData>
    <row r="1" spans="1:5" ht="40.799999999999997" customHeight="1" x14ac:dyDescent="0.7">
      <c r="A1" s="84" t="s">
        <v>819</v>
      </c>
      <c r="B1" s="90"/>
      <c r="C1" s="90"/>
      <c r="D1" s="90"/>
      <c r="E1" s="90"/>
    </row>
    <row r="2" spans="1:5" ht="15.6" customHeight="1" x14ac:dyDescent="0.3"/>
    <row r="3" spans="1:5" ht="15.6" customHeight="1" x14ac:dyDescent="0.3"/>
    <row r="4" spans="1:5" ht="15.6" customHeight="1" x14ac:dyDescent="0.3"/>
    <row r="6" spans="1:5" ht="15.6" x14ac:dyDescent="0.3">
      <c r="A6" s="73" t="s">
        <v>106</v>
      </c>
      <c r="B6" s="75" t="s">
        <v>564</v>
      </c>
      <c r="C6" s="75" t="s">
        <v>565</v>
      </c>
      <c r="D6" s="75" t="s">
        <v>566</v>
      </c>
    </row>
    <row r="7" spans="1:5" ht="15.6" x14ac:dyDescent="0.3">
      <c r="A7" s="74" t="s">
        <v>555</v>
      </c>
      <c r="B7" s="34">
        <f>'Wskaźnik rentowności'!B19</f>
        <v>16.241230717988216</v>
      </c>
      <c r="C7" s="34">
        <f>'Wskaźnik rentowności'!B21</f>
        <v>16.795991800610555</v>
      </c>
      <c r="D7" s="34">
        <f>'Wskaźnik rentowności'!B23</f>
        <v>16.074791638486271</v>
      </c>
    </row>
    <row r="8" spans="1:5" ht="15.6" x14ac:dyDescent="0.3">
      <c r="A8" s="74" t="s">
        <v>556</v>
      </c>
      <c r="B8" s="34">
        <f>'Wskaźniki obrotowości'!B88</f>
        <v>1.4431332728485335</v>
      </c>
      <c r="C8" s="34">
        <f>'Wskaźniki obrotowości'!B90</f>
        <v>0.66627589016444855</v>
      </c>
      <c r="D8" s="34">
        <f>'Wskaźniki obrotowości'!B92</f>
        <v>0.35718347338415052</v>
      </c>
    </row>
    <row r="9" spans="1:5" ht="15.6" x14ac:dyDescent="0.3">
      <c r="A9" s="74" t="s">
        <v>557</v>
      </c>
      <c r="B9" s="34">
        <f>bilans!D30/bilans!D32</f>
        <v>1.4885074947232855</v>
      </c>
      <c r="C9" s="34">
        <f>bilans!E30/bilans!E32</f>
        <v>1.5238161669180668</v>
      </c>
      <c r="D9" s="34">
        <f>bilans!F30/bilans!F32</f>
        <v>1.4869341991015139</v>
      </c>
    </row>
    <row r="10" spans="1:5" ht="15.6" x14ac:dyDescent="0.3">
      <c r="A10" s="74" t="s">
        <v>558</v>
      </c>
      <c r="B10" s="34" t="str">
        <f>bilans!D30</f>
        <v>166 433</v>
      </c>
      <c r="C10" s="34" t="str">
        <f>bilans!E30</f>
        <v>174 768</v>
      </c>
      <c r="D10" s="34" t="str">
        <f>bilans!F30</f>
        <v>196 937</v>
      </c>
    </row>
    <row r="11" spans="1:5" ht="15.6" x14ac:dyDescent="0.3">
      <c r="A11" s="74" t="s">
        <v>559</v>
      </c>
      <c r="B11" s="34" t="str">
        <f>bilans!D32</f>
        <v>111 812</v>
      </c>
      <c r="C11" s="34" t="str">
        <f>bilans!E32</f>
        <v>114 691</v>
      </c>
      <c r="D11" s="34" t="str">
        <f>bilans!F32</f>
        <v>132 445</v>
      </c>
    </row>
    <row r="12" spans="1:5" ht="15.6" x14ac:dyDescent="0.3">
      <c r="A12" s="74" t="s">
        <v>560</v>
      </c>
      <c r="B12" s="34" t="str">
        <f>rzis!B42</f>
        <v>39 009</v>
      </c>
      <c r="C12" s="34" t="str">
        <f>rzis!C42</f>
        <v>38 183</v>
      </c>
      <c r="D12" s="34" t="str">
        <f>rzis!D42</f>
        <v>30 898</v>
      </c>
    </row>
    <row r="13" spans="1:5" ht="15.6" x14ac:dyDescent="0.3">
      <c r="A13" s="74" t="s">
        <v>561</v>
      </c>
      <c r="B13" s="36">
        <f>rzis!B4+rzis!B16+rzis!B26</f>
        <v>240185</v>
      </c>
      <c r="C13" s="36">
        <f>rzis!C4+rzis!C16+rzis!C26</f>
        <v>227334</v>
      </c>
      <c r="D13" s="36">
        <f>rzis!D4+rzis!D16+rzis!D26</f>
        <v>192214</v>
      </c>
    </row>
    <row r="14" spans="1:5" ht="15.6" x14ac:dyDescent="0.3">
      <c r="A14" s="74" t="s">
        <v>562</v>
      </c>
      <c r="B14" s="34">
        <f>'Wskaźnik rentowności'!B61</f>
        <v>34.888026329910922</v>
      </c>
      <c r="C14" s="34">
        <f>'Wskaźnik rentowności'!B63</f>
        <v>33.715226729888784</v>
      </c>
      <c r="D14" s="34">
        <f>'Wskaźnik rentowności'!B65</f>
        <v>25.823796204464156</v>
      </c>
    </row>
    <row r="15" spans="1:5" ht="15.6" x14ac:dyDescent="0.3">
      <c r="A15" s="74" t="s">
        <v>563</v>
      </c>
      <c r="B15" s="94" t="s">
        <v>567</v>
      </c>
      <c r="C15" s="94"/>
      <c r="D15" s="94"/>
    </row>
    <row r="18" spans="1:5" ht="15.6" x14ac:dyDescent="0.3">
      <c r="A18" s="73" t="s">
        <v>725</v>
      </c>
      <c r="B18" s="73" t="s">
        <v>726</v>
      </c>
      <c r="C18" s="73" t="s">
        <v>727</v>
      </c>
      <c r="D18" s="73" t="s">
        <v>728</v>
      </c>
      <c r="E18" s="73" t="s">
        <v>729</v>
      </c>
    </row>
    <row r="19" spans="1:5" ht="18" x14ac:dyDescent="0.4">
      <c r="A19" s="73" t="s">
        <v>734</v>
      </c>
      <c r="B19" s="26" t="s">
        <v>730</v>
      </c>
      <c r="C19" s="15" t="s">
        <v>731</v>
      </c>
      <c r="D19" s="15" t="s">
        <v>732</v>
      </c>
      <c r="E19" s="15" t="s">
        <v>733</v>
      </c>
    </row>
    <row r="20" spans="1:5" ht="18" x14ac:dyDescent="0.4">
      <c r="A20" s="73" t="s">
        <v>736</v>
      </c>
      <c r="B20" s="15" t="s">
        <v>735</v>
      </c>
      <c r="C20" s="15" t="s">
        <v>735</v>
      </c>
      <c r="D20" s="15" t="s">
        <v>735</v>
      </c>
      <c r="E20" s="15" t="s">
        <v>733</v>
      </c>
    </row>
  </sheetData>
  <mergeCells count="2">
    <mergeCell ref="B15:D15"/>
    <mergeCell ref="A1:E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2" orientation="portrait" r:id="rId1"/>
  <rowBreaks count="1" manualBreakCount="1">
    <brk id="21" max="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EB40-E3E6-4846-BD2D-811F505DEC90}">
  <dimension ref="A1:E31"/>
  <sheetViews>
    <sheetView view="pageBreakPreview" zoomScale="60" zoomScaleNormal="50" workbookViewId="0">
      <selection activeCell="F55" sqref="F55"/>
    </sheetView>
  </sheetViews>
  <sheetFormatPr defaultRowHeight="14.4" x14ac:dyDescent="0.3"/>
  <cols>
    <col min="2" max="2" width="83.5546875" customWidth="1"/>
    <col min="3" max="3" width="21.109375" customWidth="1"/>
    <col min="4" max="4" width="29.6640625" customWidth="1"/>
    <col min="5" max="5" width="16.44140625" customWidth="1"/>
  </cols>
  <sheetData>
    <row r="1" spans="1:5" ht="36.6" x14ac:dyDescent="0.7">
      <c r="A1" s="95" t="s">
        <v>820</v>
      </c>
      <c r="B1" s="96"/>
      <c r="C1" s="96"/>
      <c r="D1" s="96"/>
      <c r="E1" s="96"/>
    </row>
    <row r="2" spans="1:5" ht="18" x14ac:dyDescent="0.35">
      <c r="A2" s="98" t="s">
        <v>568</v>
      </c>
      <c r="B2" s="98"/>
      <c r="C2" s="98"/>
      <c r="D2" s="98"/>
      <c r="E2" s="98"/>
    </row>
    <row r="3" spans="1:5" ht="17.399999999999999" x14ac:dyDescent="0.3">
      <c r="A3" s="16" t="s">
        <v>569</v>
      </c>
      <c r="B3" s="16" t="s">
        <v>570</v>
      </c>
      <c r="C3" s="17">
        <v>2018</v>
      </c>
      <c r="D3" s="17">
        <v>2019</v>
      </c>
      <c r="E3" s="17">
        <v>2020</v>
      </c>
    </row>
    <row r="4" spans="1:5" ht="18" x14ac:dyDescent="0.35">
      <c r="A4" s="18" t="s">
        <v>571</v>
      </c>
      <c r="B4" s="15" t="s">
        <v>572</v>
      </c>
      <c r="C4" s="19">
        <f>(bilans!D17-bilans!D46)/bilans!D30</f>
        <v>0.27326311488707167</v>
      </c>
      <c r="D4" s="19">
        <f>(bilans!E17-bilans!E46)/bilans!E30</f>
        <v>0.18476494552778541</v>
      </c>
      <c r="E4" s="19">
        <f>(bilans!F17-bilans!F46)/bilans!F30</f>
        <v>0.20606082148098123</v>
      </c>
    </row>
    <row r="5" spans="1:5" ht="18" x14ac:dyDescent="0.35">
      <c r="A5" s="18" t="s">
        <v>573</v>
      </c>
      <c r="B5" s="15" t="s">
        <v>574</v>
      </c>
      <c r="C5" s="19">
        <f>(bilans!D35+bilans!D34)/bilans!D30</f>
        <v>0.65709925315292039</v>
      </c>
      <c r="D5" s="19">
        <f>(bilans!E35+bilans!E34)/bilans!E30</f>
        <v>0.64211411700082399</v>
      </c>
      <c r="E5" s="19">
        <f>(bilans!F35+bilans!F34)/bilans!F30</f>
        <v>0.65973890127299595</v>
      </c>
    </row>
    <row r="6" spans="1:5" ht="18" x14ac:dyDescent="0.35">
      <c r="A6" s="18" t="s">
        <v>575</v>
      </c>
      <c r="B6" s="15" t="s">
        <v>576</v>
      </c>
      <c r="C6" s="19">
        <f>rzis!B15/bilans!D30</f>
        <v>0.29737491963733154</v>
      </c>
      <c r="D6" s="19">
        <f>rzis!C15/bilans!E30</f>
        <v>0.25251762336354483</v>
      </c>
      <c r="E6" s="19">
        <f>rzis!D15/bilans!F30</f>
        <v>0.16373764198703139</v>
      </c>
    </row>
    <row r="7" spans="1:5" ht="18" x14ac:dyDescent="0.35">
      <c r="A7" s="18" t="s">
        <v>577</v>
      </c>
      <c r="B7" s="15" t="s">
        <v>578</v>
      </c>
      <c r="C7" s="19">
        <f>bilans!D33/bilans!D36</f>
        <v>4.4836235147653836E-2</v>
      </c>
      <c r="D7" s="19">
        <f>bilans!E33/bilans!E36</f>
        <v>4.1113903823426605E-2</v>
      </c>
      <c r="E7" s="19">
        <f>bilans!F33/bilans!F36</f>
        <v>3.9043602307262913E-2</v>
      </c>
    </row>
    <row r="8" spans="1:5" ht="18" x14ac:dyDescent="0.35">
      <c r="A8" s="18" t="s">
        <v>579</v>
      </c>
      <c r="B8" s="15" t="s">
        <v>580</v>
      </c>
      <c r="C8" s="19">
        <f>rzis!B4/bilans!D30</f>
        <v>1.4265560315562418</v>
      </c>
      <c r="D8" s="19">
        <f>rzis!C4/bilans!E30</f>
        <v>1.2741577405474687</v>
      </c>
      <c r="E8" s="19">
        <f>rzis!D4/bilans!F30</f>
        <v>0.94051397147311067</v>
      </c>
    </row>
    <row r="9" spans="1:5" ht="17.399999999999999" x14ac:dyDescent="0.3">
      <c r="A9" s="99"/>
      <c r="B9" s="99"/>
      <c r="C9" s="20">
        <f>1.2*C4+1.4*C5+3.3*C6+0.6*C7+1*C8</f>
        <v>3.6826496997266025</v>
      </c>
      <c r="D9" s="20">
        <f>1.2*D4+1.4*D5+3.3*D6+0.6*D7+1*D8</f>
        <v>3.2528119383757184</v>
      </c>
      <c r="E9" s="20">
        <f t="shared" ref="E9" si="0">1.2*E4+1.4*E5+3.3*E6+0.6*E7+1*E8</f>
        <v>2.6751817989740436</v>
      </c>
    </row>
    <row r="13" spans="1:5" ht="18" x14ac:dyDescent="0.35">
      <c r="A13" s="100" t="s">
        <v>581</v>
      </c>
      <c r="B13" s="100"/>
      <c r="C13" s="100"/>
      <c r="D13" s="100"/>
      <c r="E13" s="100"/>
    </row>
    <row r="14" spans="1:5" ht="17.399999999999999" x14ac:dyDescent="0.3">
      <c r="A14" s="21" t="s">
        <v>569</v>
      </c>
      <c r="B14" s="21" t="s">
        <v>582</v>
      </c>
      <c r="C14" s="22">
        <v>2018</v>
      </c>
      <c r="D14" s="22">
        <v>2019</v>
      </c>
      <c r="E14" s="22">
        <v>2020</v>
      </c>
    </row>
    <row r="15" spans="1:5" ht="18" x14ac:dyDescent="0.35">
      <c r="A15" s="23" t="s">
        <v>583</v>
      </c>
      <c r="B15" s="15" t="s">
        <v>584</v>
      </c>
      <c r="C15" s="19">
        <f>'Wskaźnik płynności'!B5</f>
        <v>2.4648758334138563</v>
      </c>
      <c r="D15" s="19">
        <f>'Wskaźnik płynności'!B7</f>
        <v>1.789665460236721</v>
      </c>
      <c r="E15" s="19">
        <f>'Wskaźnik płynności'!B9</f>
        <v>1.8402733202194843</v>
      </c>
    </row>
    <row r="16" spans="1:5" ht="18" x14ac:dyDescent="0.35">
      <c r="A16" s="23" t="s">
        <v>585</v>
      </c>
      <c r="B16" s="15" t="s">
        <v>586</v>
      </c>
      <c r="C16" s="19">
        <f>'Wskaźniki zadłużenia'!B33</f>
        <v>32.81861169359442</v>
      </c>
      <c r="D16" s="19">
        <f>'Wskaźniki zadłużenia'!B35</f>
        <v>34.375286093564043</v>
      </c>
      <c r="E16" s="19">
        <f>'Wskaźniki zadłużenia'!B37</f>
        <v>32.747528397406278</v>
      </c>
    </row>
    <row r="17" spans="1:5" ht="18" x14ac:dyDescent="0.35">
      <c r="A17" s="23" t="s">
        <v>587</v>
      </c>
      <c r="B17" s="15" t="s">
        <v>588</v>
      </c>
      <c r="C17" s="19">
        <f>'Wskaźniki obrotowości'!B88</f>
        <v>1.4431332728485335</v>
      </c>
      <c r="D17" s="19">
        <f>'Wskaźniki obrotowości'!B90</f>
        <v>0.66627589016444855</v>
      </c>
      <c r="E17" s="19">
        <f>'Wskaźniki obrotowości'!B92</f>
        <v>0.35718347338415052</v>
      </c>
    </row>
    <row r="18" spans="1:5" ht="18" x14ac:dyDescent="0.35">
      <c r="A18" s="23" t="s">
        <v>589</v>
      </c>
      <c r="B18" s="15" t="s">
        <v>590</v>
      </c>
      <c r="C18" s="19">
        <f>'Wskaźnik rentowności'!B47</f>
        <v>23.438260441138475</v>
      </c>
      <c r="D18" s="19">
        <f>'Wskaźnik rentowności'!B49</f>
        <v>22.381528776293152</v>
      </c>
      <c r="E18" s="19">
        <f>'Wskaźnik rentowności'!B51</f>
        <v>17.224949734083079</v>
      </c>
    </row>
    <row r="19" spans="1:5" ht="18" x14ac:dyDescent="0.35">
      <c r="A19" s="23" t="s">
        <v>591</v>
      </c>
      <c r="B19" s="15" t="s">
        <v>592</v>
      </c>
      <c r="C19" s="19">
        <f>'Wskaźniki obrotowości'!B61</f>
        <v>74.773010075061208</v>
      </c>
      <c r="D19" s="19">
        <f>'Wskaźniki obrotowości'!B63</f>
        <v>50.506813784017453</v>
      </c>
      <c r="E19" s="19">
        <f>'Wskaźniki obrotowości'!B65</f>
        <v>42.492008094553775</v>
      </c>
    </row>
    <row r="20" spans="1:5" ht="18" x14ac:dyDescent="0.35">
      <c r="A20" s="99"/>
      <c r="B20" s="99"/>
      <c r="C20" s="24">
        <f>0.605+0.681*C15-0.0196*C16+0.157*C17+0.00969*C18+0.000672*C19</f>
        <v>2.1442717836426781</v>
      </c>
      <c r="D20" s="24">
        <f>0.605+0.681*D15-0.0196*D16+0.157*D17+0.00969*D18+0.000672*D19</f>
        <v>1.5054294784483107</v>
      </c>
      <c r="E20" s="24">
        <f t="shared" ref="E20" si="1">0.605+0.681*E15-0.0196*E16+0.157*E17+0.00969*E18+0.000672*E19</f>
        <v>1.4679167721644228</v>
      </c>
    </row>
    <row r="23" spans="1:5" ht="18" x14ac:dyDescent="0.35">
      <c r="A23" s="101" t="s">
        <v>755</v>
      </c>
      <c r="B23" s="101"/>
      <c r="C23" s="101"/>
      <c r="D23" s="101"/>
    </row>
    <row r="24" spans="1:5" ht="17.399999999999999" x14ac:dyDescent="0.3">
      <c r="A24" s="27" t="s">
        <v>756</v>
      </c>
      <c r="B24" s="27" t="s">
        <v>570</v>
      </c>
      <c r="C24" s="28" t="s">
        <v>757</v>
      </c>
      <c r="D24" s="28" t="s">
        <v>771</v>
      </c>
    </row>
    <row r="25" spans="1:5" ht="18.600000000000001" x14ac:dyDescent="0.4">
      <c r="A25" s="23" t="s">
        <v>758</v>
      </c>
      <c r="B25" s="15" t="s">
        <v>759</v>
      </c>
      <c r="C25" s="29">
        <f>dodatkowe!C7/dodatkowe!B7</f>
        <v>1.162534435261708</v>
      </c>
      <c r="D25" s="29">
        <f>dodatkowe!D7/dodatkowe!C7</f>
        <v>0.88151658767772512</v>
      </c>
    </row>
    <row r="26" spans="1:5" ht="18.600000000000001" x14ac:dyDescent="0.4">
      <c r="A26" s="23" t="s">
        <v>760</v>
      </c>
      <c r="B26" s="15" t="s">
        <v>761</v>
      </c>
      <c r="C26" s="29">
        <f>bilans!E30/bilans!D30</f>
        <v>1.0500802124578659</v>
      </c>
      <c r="D26" s="29">
        <f>bilans!F30/bilans!E30</f>
        <v>1.1268481644236932</v>
      </c>
    </row>
    <row r="27" spans="1:5" ht="18.600000000000001" x14ac:dyDescent="0.4">
      <c r="A27" s="23" t="s">
        <v>762</v>
      </c>
      <c r="B27" s="15" t="s">
        <v>763</v>
      </c>
      <c r="C27" s="29">
        <f>(rzis!C8+rzis!C13+rzis!C14+rzis!C21+rzis!C31)/(rzis!B8+rzis!B13+rzis!B14+rzis!B21+rzis!B31)</f>
        <v>0.94328700685770905</v>
      </c>
      <c r="D27" s="29">
        <f>(rzis!D8+rzis!D13+rzis!D14+rzis!D21+rzis!D31)/(rzis!C8+rzis!C13+rzis!C14+rzis!C21+rzis!C31)</f>
        <v>0.85766253869969045</v>
      </c>
    </row>
    <row r="28" spans="1:5" ht="18" x14ac:dyDescent="0.4">
      <c r="A28" s="23" t="s">
        <v>764</v>
      </c>
      <c r="B28" s="15" t="s">
        <v>765</v>
      </c>
      <c r="C28">
        <f>(rzis!C4+rzis!C16+rzis!C26)/(rzis!B4+rzis!B16+rzis!B26)</f>
        <v>0.94649540978828817</v>
      </c>
      <c r="D28">
        <f>(rzis!D4+rzis!D16+rzis!D26)/(rzis!C4+rzis!C16+rzis!C26)</f>
        <v>0.84551364952008934</v>
      </c>
    </row>
    <row r="29" spans="1:5" ht="18.600000000000001" x14ac:dyDescent="0.4">
      <c r="A29" s="23" t="s">
        <v>766</v>
      </c>
      <c r="B29" s="15" t="s">
        <v>767</v>
      </c>
      <c r="C29" s="29">
        <f>bilans!E35/bilans!D35</f>
        <v>0.97882539926683587</v>
      </c>
      <c r="D29" s="29">
        <f>bilans!F35/bilans!E35</f>
        <v>0.8092082864101825</v>
      </c>
    </row>
    <row r="30" spans="1:5" ht="15.6" x14ac:dyDescent="0.3">
      <c r="A30" s="97" t="s">
        <v>768</v>
      </c>
      <c r="B30" s="97"/>
      <c r="C30" s="15" t="s">
        <v>769</v>
      </c>
      <c r="D30" s="15" t="s">
        <v>770</v>
      </c>
    </row>
    <row r="31" spans="1:5" x14ac:dyDescent="0.3">
      <c r="B31" s="30" t="s">
        <v>772</v>
      </c>
    </row>
  </sheetData>
  <mergeCells count="7">
    <mergeCell ref="A1:E1"/>
    <mergeCell ref="A30:B30"/>
    <mergeCell ref="A2:E2"/>
    <mergeCell ref="A9:B9"/>
    <mergeCell ref="A13:E13"/>
    <mergeCell ref="A20:B20"/>
    <mergeCell ref="A23:D23"/>
  </mergeCells>
  <pageMargins left="0.7" right="0.7" top="0.75" bottom="0.75" header="0.3" footer="0.3"/>
  <pageSetup paperSize="9" scale="5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6B4A-C098-4AFC-B14F-E75EDE19B2FE}">
  <dimension ref="A1:L30"/>
  <sheetViews>
    <sheetView view="pageBreakPreview" topLeftCell="A3" zoomScale="90" zoomScaleNormal="70" workbookViewId="0">
      <selection activeCell="F55" sqref="F55"/>
    </sheetView>
  </sheetViews>
  <sheetFormatPr defaultRowHeight="14.4" x14ac:dyDescent="0.3"/>
  <cols>
    <col min="2" max="2" width="12.88671875" customWidth="1"/>
  </cols>
  <sheetData>
    <row r="1" spans="1:12" ht="36.6" x14ac:dyDescent="0.7">
      <c r="A1" s="105" t="s">
        <v>821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x14ac:dyDescent="0.3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3" spans="1:12" ht="21" x14ac:dyDescent="0.4">
      <c r="A3" s="104" t="s">
        <v>822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2" x14ac:dyDescent="0.3">
      <c r="A4" s="102" t="s">
        <v>823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x14ac:dyDescent="0.3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x14ac:dyDescent="0.3">
      <c r="A6" s="102" t="s">
        <v>824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7" spans="1:12" x14ac:dyDescent="0.3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</row>
    <row r="8" spans="1:12" x14ac:dyDescent="0.3">
      <c r="A8" s="102" t="s">
        <v>825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</row>
    <row r="9" spans="1:12" x14ac:dyDescent="0.3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</row>
    <row r="10" spans="1:12" ht="21" x14ac:dyDescent="0.4">
      <c r="A10" s="104" t="s">
        <v>826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</row>
    <row r="11" spans="1:12" x14ac:dyDescent="0.3">
      <c r="A11" s="102" t="s">
        <v>827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</row>
    <row r="12" spans="1:12" x14ac:dyDescent="0.3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2" x14ac:dyDescent="0.3">
      <c r="A13" s="102" t="s">
        <v>828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</row>
    <row r="14" spans="1:12" x14ac:dyDescent="0.3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</row>
    <row r="15" spans="1:12" x14ac:dyDescent="0.3">
      <c r="A15" s="102" t="s">
        <v>829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</row>
    <row r="16" spans="1:12" x14ac:dyDescent="0.3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</row>
    <row r="17" spans="1:12" ht="21" x14ac:dyDescent="0.4">
      <c r="A17" s="104" t="s">
        <v>830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</row>
    <row r="18" spans="1:12" x14ac:dyDescent="0.3">
      <c r="A18" s="102" t="s">
        <v>831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</row>
    <row r="19" spans="1:12" x14ac:dyDescent="0.3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</row>
    <row r="20" spans="1:12" x14ac:dyDescent="0.3">
      <c r="A20" s="102" t="s">
        <v>832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</row>
    <row r="21" spans="1:12" x14ac:dyDescent="0.3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</row>
    <row r="22" spans="1:12" x14ac:dyDescent="0.3">
      <c r="A22" s="102" t="s">
        <v>833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</row>
    <row r="23" spans="1:12" x14ac:dyDescent="0.3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</row>
    <row r="24" spans="1:12" ht="21" x14ac:dyDescent="0.4">
      <c r="A24" s="104" t="s">
        <v>834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</row>
    <row r="25" spans="1:12" x14ac:dyDescent="0.3">
      <c r="A25" s="102" t="s">
        <v>835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</row>
    <row r="26" spans="1:12" x14ac:dyDescent="0.3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</row>
    <row r="27" spans="1:12" x14ac:dyDescent="0.3">
      <c r="A27" s="102" t="s">
        <v>836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</row>
    <row r="28" spans="1:12" x14ac:dyDescent="0.3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</row>
    <row r="29" spans="1:12" x14ac:dyDescent="0.3">
      <c r="A29" s="102" t="s">
        <v>837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</row>
    <row r="30" spans="1:12" x14ac:dyDescent="0.3">
      <c r="A30" s="102" t="s">
        <v>838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</row>
  </sheetData>
  <mergeCells count="30">
    <mergeCell ref="A10:L10"/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22:L22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9:L29"/>
    <mergeCell ref="A30:L30"/>
    <mergeCell ref="A23:L23"/>
    <mergeCell ref="A24:L24"/>
    <mergeCell ref="A25:L25"/>
    <mergeCell ref="A26:L26"/>
    <mergeCell ref="A27:L27"/>
    <mergeCell ref="A28:L28"/>
  </mergeCells>
  <pageMargins left="0.7" right="0.7" top="0.75" bottom="0.75" header="0.3" footer="0.3"/>
  <pageSetup paperSize="9" scale="7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3B167E-84F4-4299-BC35-29FF61FC8E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14</vt:i4>
      </vt:variant>
      <vt:variant>
        <vt:lpstr>Nazwane zakresy</vt:lpstr>
      </vt:variant>
      <vt:variant>
        <vt:i4>10</vt:i4>
      </vt:variant>
    </vt:vector>
  </HeadingPairs>
  <TitlesOfParts>
    <vt:vector size="24" baseType="lpstr">
      <vt:lpstr>bilans</vt:lpstr>
      <vt:lpstr>rpp</vt:lpstr>
      <vt:lpstr>zzwkw</vt:lpstr>
      <vt:lpstr>rzis</vt:lpstr>
      <vt:lpstr>analiza pionowa i pozioma</vt:lpstr>
      <vt:lpstr>dodatkowe</vt:lpstr>
      <vt:lpstr>Wskaźnik rentowności</vt:lpstr>
      <vt:lpstr>Wskaźnik płynności</vt:lpstr>
      <vt:lpstr>Wskaźniki obrotowości</vt:lpstr>
      <vt:lpstr>Wskaźniki zadłużenia</vt:lpstr>
      <vt:lpstr>Wskaźniki rynku kapitałowego</vt:lpstr>
      <vt:lpstr>model du ponta</vt:lpstr>
      <vt:lpstr>Model Artmana, analiza dyskrymi</vt:lpstr>
      <vt:lpstr>SWOT</vt:lpstr>
      <vt:lpstr>'analiza pionowa i pozioma'!Obszar_wydruku</vt:lpstr>
      <vt:lpstr>bilans!Obszar_wydruku</vt:lpstr>
      <vt:lpstr>dodatkowe!Obszar_wydruku</vt:lpstr>
      <vt:lpstr>'model du ponta'!Obszar_wydruku</vt:lpstr>
      <vt:lpstr>rpp!Obszar_wydruku</vt:lpstr>
      <vt:lpstr>rzis!Obszar_wydruku</vt:lpstr>
      <vt:lpstr>'Wskaźnik płynności'!Obszar_wydruku</vt:lpstr>
      <vt:lpstr>'Wskaźnik rentowności'!Obszar_wydruku</vt:lpstr>
      <vt:lpstr>'Wskaźniki zadłużenia'!Obszar_wydruku</vt:lpstr>
      <vt:lpstr>zzwkw!Obszar_wydruku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Gorczyca</dc:creator>
  <cp:lastModifiedBy>Filip Gorczyca</cp:lastModifiedBy>
  <cp:lastPrinted>2025-11-03T19:03:14Z</cp:lastPrinted>
  <dcterms:created xsi:type="dcterms:W3CDTF">2015-06-05T18:17:20Z</dcterms:created>
  <dcterms:modified xsi:type="dcterms:W3CDTF">2025-11-03T19:04:51Z</dcterms:modified>
</cp:coreProperties>
</file>