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640" windowHeight="10575"/>
  </bookViews>
  <sheets>
    <sheet name="test matrix v2" sheetId="4" r:id="rId1"/>
    <sheet name="test matrix v1" sheetId="1" r:id="rId2"/>
    <sheet name="NC calc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G29" i="4" l="1"/>
  <c r="G30" i="4"/>
  <c r="G31" i="4"/>
  <c r="G32" i="4"/>
  <c r="G34" i="4"/>
  <c r="G35" i="4"/>
  <c r="G36" i="4"/>
  <c r="G37" i="4"/>
  <c r="G38" i="4"/>
  <c r="G28" i="4"/>
  <c r="F70" i="4" l="1"/>
  <c r="F63" i="4"/>
  <c r="F57" i="4"/>
  <c r="F50" i="4"/>
  <c r="F26" i="4"/>
  <c r="K28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9" i="4"/>
  <c r="K30" i="4"/>
  <c r="K31" i="4"/>
  <c r="K32" i="4"/>
  <c r="K34" i="4"/>
  <c r="K35" i="4"/>
  <c r="K36" i="4"/>
  <c r="K37" i="4"/>
  <c r="K38" i="4"/>
  <c r="K40" i="4"/>
  <c r="K41" i="4"/>
  <c r="K42" i="4"/>
  <c r="K43" i="4"/>
  <c r="K44" i="4"/>
  <c r="K46" i="4"/>
  <c r="K47" i="4"/>
  <c r="K48" i="4"/>
  <c r="K49" i="4"/>
  <c r="K50" i="4"/>
  <c r="K51" i="4"/>
  <c r="K53" i="4"/>
  <c r="K54" i="4"/>
  <c r="K55" i="4"/>
  <c r="K56" i="4"/>
  <c r="K57" i="4"/>
  <c r="K59" i="4"/>
  <c r="K60" i="4"/>
  <c r="K61" i="4"/>
  <c r="K62" i="4"/>
  <c r="K63" i="4"/>
  <c r="K64" i="4"/>
  <c r="K66" i="4"/>
  <c r="K67" i="4"/>
  <c r="K68" i="4"/>
  <c r="K69" i="4"/>
  <c r="K70" i="4"/>
  <c r="C58" i="4"/>
  <c r="K58" i="4" s="1"/>
  <c r="C65" i="4"/>
  <c r="K65" i="4" s="1"/>
  <c r="C52" i="4"/>
  <c r="K52" i="4" s="1"/>
  <c r="C45" i="4"/>
  <c r="K45" i="4" s="1"/>
  <c r="C39" i="4"/>
  <c r="K39" i="4" s="1"/>
  <c r="C33" i="4"/>
  <c r="K33" i="4" s="1"/>
  <c r="C27" i="4"/>
  <c r="K27" i="4" s="1"/>
  <c r="C21" i="4"/>
  <c r="C13" i="4"/>
  <c r="K13" i="4" s="1"/>
  <c r="C5" i="4"/>
  <c r="K5" i="4" s="1"/>
  <c r="A2" i="4" l="1"/>
  <c r="C2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14" i="4"/>
  <c r="H14" i="4" s="1"/>
  <c r="H8" i="4"/>
  <c r="G26" i="4"/>
  <c r="G25" i="4"/>
  <c r="G24" i="4"/>
  <c r="G23" i="4"/>
  <c r="G22" i="4"/>
  <c r="H12" i="4"/>
  <c r="G12" i="4"/>
  <c r="H11" i="4"/>
  <c r="G11" i="4"/>
  <c r="H10" i="4"/>
  <c r="G10" i="4"/>
  <c r="H9" i="4"/>
  <c r="G9" i="4"/>
  <c r="G8" i="4"/>
  <c r="H7" i="4"/>
  <c r="G7" i="4"/>
  <c r="H6" i="4"/>
  <c r="G6" i="4"/>
  <c r="G23" i="1" l="1"/>
  <c r="G24" i="1"/>
  <c r="G25" i="1"/>
  <c r="G22" i="1"/>
  <c r="G21" i="1"/>
  <c r="B11" i="1" l="1"/>
  <c r="B12" i="1"/>
  <c r="B13" i="1"/>
  <c r="B14" i="1"/>
  <c r="B15" i="1"/>
  <c r="B16" i="1"/>
  <c r="B10" i="1"/>
  <c r="D24" i="2"/>
  <c r="B54" i="1"/>
  <c r="B55" i="1"/>
  <c r="B56" i="1"/>
  <c r="B57" i="1"/>
  <c r="B53" i="1"/>
  <c r="B35" i="1"/>
  <c r="C43" i="1" s="1"/>
  <c r="B51" i="1"/>
  <c r="K25" i="1"/>
  <c r="K11" i="1"/>
  <c r="B24" i="1"/>
  <c r="B25" i="1"/>
  <c r="B26" i="1"/>
  <c r="B27" i="1"/>
  <c r="B28" i="1"/>
  <c r="B29" i="1"/>
  <c r="B23" i="1"/>
  <c r="G11" i="1"/>
  <c r="G12" i="1"/>
  <c r="G13" i="1"/>
  <c r="G14" i="1"/>
  <c r="G10" i="1"/>
  <c r="C10" i="1"/>
  <c r="C11" i="1"/>
  <c r="C12" i="1"/>
  <c r="C13" i="1"/>
  <c r="C14" i="1"/>
  <c r="C15" i="1"/>
  <c r="C16" i="1"/>
  <c r="B6" i="2"/>
  <c r="C6" i="2"/>
  <c r="B12" i="2"/>
  <c r="C12" i="2"/>
  <c r="C36" i="2"/>
  <c r="B36" i="2"/>
  <c r="C26" i="2"/>
  <c r="C38" i="2"/>
  <c r="C39" i="2"/>
  <c r="C40" i="2"/>
  <c r="C41" i="2"/>
  <c r="C42" i="2"/>
  <c r="B38" i="2"/>
  <c r="B39" i="2"/>
  <c r="B40" i="2"/>
  <c r="B41" i="2"/>
  <c r="B42" i="2"/>
  <c r="C37" i="2"/>
  <c r="B37" i="2"/>
  <c r="C17" i="2"/>
  <c r="C18" i="2"/>
  <c r="C19" i="2"/>
  <c r="C20" i="2"/>
  <c r="C21" i="2"/>
  <c r="C22" i="2"/>
  <c r="C16" i="2"/>
  <c r="B17" i="2"/>
  <c r="B18" i="2"/>
  <c r="B19" i="2"/>
  <c r="B20" i="2"/>
  <c r="B21" i="2"/>
  <c r="B22" i="2"/>
  <c r="B16" i="2"/>
  <c r="C8" i="2"/>
  <c r="C9" i="2"/>
  <c r="C10" i="2"/>
  <c r="C11" i="2"/>
  <c r="C7" i="2"/>
  <c r="B8" i="2"/>
  <c r="B9" i="2"/>
  <c r="B10" i="2"/>
  <c r="B11" i="2"/>
  <c r="B7" i="2"/>
  <c r="B41" i="1" l="1"/>
  <c r="B40" i="1"/>
  <c r="C44" i="1"/>
  <c r="C42" i="1"/>
  <c r="B38" i="1"/>
  <c r="C40" i="1"/>
  <c r="B43" i="1"/>
  <c r="D43" i="1" s="1"/>
  <c r="E43" i="1" s="1"/>
  <c r="C39" i="1"/>
  <c r="C41" i="1"/>
  <c r="B44" i="1"/>
  <c r="B42" i="1"/>
  <c r="B39" i="1"/>
  <c r="C38" i="1"/>
  <c r="D36" i="2"/>
  <c r="I36" i="2" s="1"/>
  <c r="J36" i="2" s="1"/>
  <c r="D6" i="2"/>
  <c r="I6" i="2" s="1"/>
  <c r="J6" i="2" s="1"/>
  <c r="D8" i="2"/>
  <c r="D40" i="2"/>
  <c r="I40" i="2" s="1"/>
  <c r="J40" i="2" s="1"/>
  <c r="D39" i="2"/>
  <c r="I39" i="2" s="1"/>
  <c r="J39" i="2" s="1"/>
  <c r="I8" i="2"/>
  <c r="J8" i="2" s="1"/>
  <c r="D12" i="2"/>
  <c r="E12" i="2" s="1"/>
  <c r="E6" i="2"/>
  <c r="D21" i="2"/>
  <c r="I21" i="2" s="1"/>
  <c r="J21" i="2" s="1"/>
  <c r="E36" i="2"/>
  <c r="K36" i="2" s="1"/>
  <c r="D38" i="2"/>
  <c r="E38" i="2" s="1"/>
  <c r="B30" i="2"/>
  <c r="C32" i="2"/>
  <c r="B32" i="2"/>
  <c r="C31" i="2"/>
  <c r="B31" i="2"/>
  <c r="B26" i="2"/>
  <c r="C29" i="2"/>
  <c r="B28" i="2"/>
  <c r="E40" i="2"/>
  <c r="D42" i="2"/>
  <c r="E42" i="2" s="1"/>
  <c r="K42" i="2" s="1"/>
  <c r="D41" i="2"/>
  <c r="I41" i="2" s="1"/>
  <c r="J41" i="2" s="1"/>
  <c r="B29" i="2"/>
  <c r="C28" i="2"/>
  <c r="C27" i="2"/>
  <c r="C30" i="2"/>
  <c r="B27" i="2"/>
  <c r="D37" i="2"/>
  <c r="E37" i="2" s="1"/>
  <c r="D11" i="2"/>
  <c r="E8" i="2"/>
  <c r="D18" i="2"/>
  <c r="E18" i="2" s="1"/>
  <c r="K18" i="2" s="1"/>
  <c r="D16" i="2"/>
  <c r="E16" i="2" s="1"/>
  <c r="D17" i="2"/>
  <c r="E17" i="2" s="1"/>
  <c r="D7" i="2"/>
  <c r="I7" i="2" s="1"/>
  <c r="J7" i="2" s="1"/>
  <c r="D20" i="2"/>
  <c r="E20" i="2" s="1"/>
  <c r="K20" i="2" s="1"/>
  <c r="D22" i="2"/>
  <c r="I22" i="2" s="1"/>
  <c r="J22" i="2" s="1"/>
  <c r="D19" i="2"/>
  <c r="D10" i="2"/>
  <c r="E10" i="2" s="1"/>
  <c r="D9" i="2"/>
  <c r="I9" i="2" s="1"/>
  <c r="J9" i="2" s="1"/>
  <c r="D40" i="1" l="1"/>
  <c r="E40" i="1" s="1"/>
  <c r="D38" i="1"/>
  <c r="E38" i="1" s="1"/>
  <c r="D42" i="1"/>
  <c r="E42" i="1" s="1"/>
  <c r="D39" i="1"/>
  <c r="E39" i="1" s="1"/>
  <c r="D44" i="1"/>
  <c r="E44" i="1" s="1"/>
  <c r="D41" i="1"/>
  <c r="E41" i="1" s="1"/>
  <c r="F37" i="2"/>
  <c r="K37" i="2"/>
  <c r="E39" i="2"/>
  <c r="H38" i="2"/>
  <c r="K38" i="2"/>
  <c r="F17" i="2"/>
  <c r="K17" i="2"/>
  <c r="F40" i="2"/>
  <c r="K40" i="2"/>
  <c r="F16" i="2"/>
  <c r="K16" i="2"/>
  <c r="F12" i="2"/>
  <c r="K12" i="2"/>
  <c r="F10" i="2"/>
  <c r="K10" i="2"/>
  <c r="F8" i="2"/>
  <c r="K8" i="2"/>
  <c r="H6" i="2"/>
  <c r="K6" i="2"/>
  <c r="F6" i="2"/>
  <c r="I12" i="2"/>
  <c r="J12" i="2" s="1"/>
  <c r="D30" i="2"/>
  <c r="E30" i="2" s="1"/>
  <c r="G6" i="2"/>
  <c r="H12" i="2"/>
  <c r="G12" i="2"/>
  <c r="I37" i="2"/>
  <c r="J37" i="2" s="1"/>
  <c r="D26" i="2"/>
  <c r="E26" i="2" s="1"/>
  <c r="E19" i="2"/>
  <c r="I19" i="2"/>
  <c r="J19" i="2" s="1"/>
  <c r="E21" i="2"/>
  <c r="I42" i="2"/>
  <c r="J42" i="2" s="1"/>
  <c r="D28" i="2"/>
  <c r="I28" i="2" s="1"/>
  <c r="J28" i="2" s="1"/>
  <c r="I18" i="2"/>
  <c r="J18" i="2" s="1"/>
  <c r="E11" i="2"/>
  <c r="I11" i="2"/>
  <c r="J11" i="2" s="1"/>
  <c r="I20" i="2"/>
  <c r="J20" i="2" s="1"/>
  <c r="I17" i="2"/>
  <c r="J17" i="2" s="1"/>
  <c r="G36" i="2"/>
  <c r="F36" i="2"/>
  <c r="I16" i="2"/>
  <c r="J16" i="2" s="1"/>
  <c r="H36" i="2"/>
  <c r="I38" i="2"/>
  <c r="J38" i="2" s="1"/>
  <c r="I10" i="2"/>
  <c r="J10" i="2" s="1"/>
  <c r="G40" i="2"/>
  <c r="D31" i="2"/>
  <c r="I31" i="2" s="1"/>
  <c r="J31" i="2" s="1"/>
  <c r="D29" i="2"/>
  <c r="E29" i="2" s="1"/>
  <c r="K29" i="2" s="1"/>
  <c r="G42" i="2"/>
  <c r="F42" i="2"/>
  <c r="H40" i="2"/>
  <c r="D32" i="2"/>
  <c r="E32" i="2" s="1"/>
  <c r="D27" i="2"/>
  <c r="E27" i="2" s="1"/>
  <c r="K27" i="2" s="1"/>
  <c r="E41" i="2"/>
  <c r="K41" i="2" s="1"/>
  <c r="H42" i="2"/>
  <c r="G38" i="2"/>
  <c r="F38" i="2"/>
  <c r="G39" i="2"/>
  <c r="G8" i="2"/>
  <c r="H8" i="2"/>
  <c r="G18" i="2"/>
  <c r="F18" i="2"/>
  <c r="H18" i="2"/>
  <c r="H10" i="2"/>
  <c r="G20" i="2"/>
  <c r="F20" i="2"/>
  <c r="E9" i="2"/>
  <c r="K9" i="2" s="1"/>
  <c r="E22" i="2"/>
  <c r="K22" i="2" s="1"/>
  <c r="H16" i="2"/>
  <c r="H17" i="2"/>
  <c r="G17" i="2"/>
  <c r="H20" i="2"/>
  <c r="G10" i="2"/>
  <c r="G16" i="2"/>
  <c r="E7" i="2"/>
  <c r="E28" i="2" l="1"/>
  <c r="F28" i="2" s="1"/>
  <c r="F30" i="2"/>
  <c r="K30" i="2"/>
  <c r="F21" i="2"/>
  <c r="K21" i="2"/>
  <c r="G32" i="2"/>
  <c r="K32" i="2"/>
  <c r="F19" i="2"/>
  <c r="K19" i="2"/>
  <c r="F26" i="2"/>
  <c r="K26" i="2"/>
  <c r="H39" i="2"/>
  <c r="K39" i="2"/>
  <c r="F39" i="2"/>
  <c r="I30" i="2"/>
  <c r="J30" i="2" s="1"/>
  <c r="G11" i="2"/>
  <c r="K11" i="2"/>
  <c r="H7" i="2"/>
  <c r="K7" i="2"/>
  <c r="F11" i="2"/>
  <c r="H11" i="2"/>
  <c r="I26" i="2"/>
  <c r="J26" i="2" s="1"/>
  <c r="I27" i="2"/>
  <c r="J27" i="2" s="1"/>
  <c r="E31" i="2"/>
  <c r="H31" i="2" s="1"/>
  <c r="H21" i="2"/>
  <c r="H19" i="2"/>
  <c r="G21" i="2"/>
  <c r="G19" i="2"/>
  <c r="I32" i="2"/>
  <c r="J32" i="2" s="1"/>
  <c r="H26" i="2"/>
  <c r="G26" i="2"/>
  <c r="I29" i="2"/>
  <c r="J29" i="2" s="1"/>
  <c r="G29" i="2"/>
  <c r="F29" i="2"/>
  <c r="H29" i="2"/>
  <c r="H32" i="2"/>
  <c r="F32" i="2"/>
  <c r="H30" i="2"/>
  <c r="F41" i="2"/>
  <c r="G41" i="2"/>
  <c r="H41" i="2"/>
  <c r="H27" i="2"/>
  <c r="G27" i="2"/>
  <c r="F27" i="2"/>
  <c r="G30" i="2"/>
  <c r="G37" i="2"/>
  <c r="H37" i="2"/>
  <c r="F22" i="2"/>
  <c r="G22" i="2"/>
  <c r="F7" i="2"/>
  <c r="G7" i="2"/>
  <c r="G9" i="2"/>
  <c r="F9" i="2"/>
  <c r="H9" i="2"/>
  <c r="H22" i="2"/>
  <c r="G31" i="2" l="1"/>
  <c r="F31" i="2"/>
  <c r="K31" i="2"/>
  <c r="H28" i="2"/>
  <c r="G28" i="2"/>
  <c r="K28" i="2"/>
</calcChain>
</file>

<file path=xl/sharedStrings.xml><?xml version="1.0" encoding="utf-8"?>
<sst xmlns="http://schemas.openxmlformats.org/spreadsheetml/2006/main" count="378" uniqueCount="138">
  <si>
    <t>Molefr NC</t>
  </si>
  <si>
    <t>Pabs</t>
  </si>
  <si>
    <t>Ppart h2o</t>
  </si>
  <si>
    <t>NC mole fr tests</t>
  </si>
  <si>
    <t>Pabs tests</t>
  </si>
  <si>
    <t>Molar mass</t>
  </si>
  <si>
    <t>Pure N2</t>
  </si>
  <si>
    <t>Pure He</t>
  </si>
  <si>
    <t>N2</t>
  </si>
  <si>
    <t>He</t>
  </si>
  <si>
    <t>H2O</t>
  </si>
  <si>
    <t>Mole fr NC</t>
  </si>
  <si>
    <t>Mass fr NC</t>
  </si>
  <si>
    <t>Mole fr N2</t>
  </si>
  <si>
    <t>Mole fr He</t>
  </si>
  <si>
    <t>half by mass</t>
  </si>
  <si>
    <t>half by moles</t>
  </si>
  <si>
    <t>avg molar m</t>
  </si>
  <si>
    <t>Mass fr N2</t>
  </si>
  <si>
    <t>Mass fr He</t>
  </si>
  <si>
    <t>Mole fr H2O</t>
  </si>
  <si>
    <t>Mfr N2</t>
  </si>
  <si>
    <t>Mfr He</t>
  </si>
  <si>
    <t>Mfr H2O</t>
  </si>
  <si>
    <t>Mole fr NC total</t>
  </si>
  <si>
    <t>mole fr N2 in NC mixture</t>
  </si>
  <si>
    <t>NC composition tests</t>
  </si>
  <si>
    <t xml:space="preserve">Lennard Jones </t>
  </si>
  <si>
    <t>weighted L-J [A]</t>
  </si>
  <si>
    <t>mfp [nm] 300K, 1atm</t>
  </si>
  <si>
    <t>temp</t>
  </si>
  <si>
    <t>press</t>
  </si>
  <si>
    <t>collision mass ratio</t>
  </si>
  <si>
    <t>NC N2 molfr</t>
  </si>
  <si>
    <t>dT</t>
  </si>
  <si>
    <t>mflow h2o</t>
  </si>
  <si>
    <t>coolant mflow tests</t>
  </si>
  <si>
    <t>NC mass fr tests</t>
  </si>
  <si>
    <t>NC N2 mass fr</t>
  </si>
  <si>
    <t>Ppart H2O</t>
  </si>
  <si>
    <t>NC N2 mfr</t>
  </si>
  <si>
    <t>Massfr NC</t>
  </si>
  <si>
    <t>with constant mole fr</t>
  </si>
  <si>
    <t>with constant Ppart h2o</t>
  </si>
  <si>
    <t>with constant Pabs</t>
  </si>
  <si>
    <t>Gas velocity tests</t>
  </si>
  <si>
    <t>Test name</t>
  </si>
  <si>
    <t>Test purpose</t>
  </si>
  <si>
    <t>XXX</t>
  </si>
  <si>
    <t>Constant parameters</t>
  </si>
  <si>
    <t>Version</t>
  </si>
  <si>
    <t xml:space="preserve">NC mole fr tests </t>
  </si>
  <si>
    <t>with constant abs pressure</t>
  </si>
  <si>
    <t>with constant h2o partial pressure</t>
  </si>
  <si>
    <t>Controlled Property</t>
  </si>
  <si>
    <t>with pure steam</t>
  </si>
  <si>
    <t>NA</t>
  </si>
  <si>
    <t>Test designation</t>
  </si>
  <si>
    <t>NC-MFR-ABS-1</t>
  </si>
  <si>
    <t>NC-MFR-ABS-2</t>
  </si>
  <si>
    <t>NC-MFR-ABS-3</t>
  </si>
  <si>
    <t>NC-MFR-ABS-4</t>
  </si>
  <si>
    <t>NC-MFR-ABS-5</t>
  </si>
  <si>
    <t>NC-MFR-ABS-6</t>
  </si>
  <si>
    <t>NC-MFR-ABS-7</t>
  </si>
  <si>
    <t>NC-MFR-PART-1</t>
  </si>
  <si>
    <t>NC-MFR-PART-2</t>
  </si>
  <si>
    <t>NC-MFR-PART-3</t>
  </si>
  <si>
    <t>NC-MFR-PART-4</t>
  </si>
  <si>
    <t>NC-MFR-PART-5</t>
  </si>
  <si>
    <t>NC-MFR-PART-6</t>
  </si>
  <si>
    <t>NC-MFR-PART-7</t>
  </si>
  <si>
    <t>NC-CMP-1</t>
  </si>
  <si>
    <t>NC-CMP-2</t>
  </si>
  <si>
    <t>NC-CMP-3</t>
  </si>
  <si>
    <t>NC-CMP-4</t>
  </si>
  <si>
    <t>NC-CMP-5</t>
  </si>
  <si>
    <t>Calc properties</t>
  </si>
  <si>
    <t>dT pure steam</t>
  </si>
  <si>
    <t>VEL-DT-PURE-1</t>
  </si>
  <si>
    <t>VEL-DT-PURE-2</t>
  </si>
  <si>
    <t>VEL-DT-PURE-3</t>
  </si>
  <si>
    <t>VEL-DT-PURE-4</t>
  </si>
  <si>
    <t>VEL-DT-PURE-5</t>
  </si>
  <si>
    <t>VEL-DT-PURE-6</t>
  </si>
  <si>
    <t>VEL-CLNT-PURE-1</t>
  </si>
  <si>
    <t>VEL-CLNT-PURE-2</t>
  </si>
  <si>
    <t>VEL-CLNT-PURE-3</t>
  </si>
  <si>
    <t>VEL-CLNT-PURE-4</t>
  </si>
  <si>
    <t>VEL-CLNT-PURE-5</t>
  </si>
  <si>
    <t>VEL-DT-NC-1</t>
  </si>
  <si>
    <t>VEL-DT-NC-2</t>
  </si>
  <si>
    <t>VEL-DT-NC-3</t>
  </si>
  <si>
    <t>VEL-DT-NC-4</t>
  </si>
  <si>
    <t>VEL-DT-NC-5</t>
  </si>
  <si>
    <t>VEL-DT-NC-6</t>
  </si>
  <si>
    <t>VEL-CLNT-NC-1</t>
  </si>
  <si>
    <t>VEL-CLNT-NC-2</t>
  </si>
  <si>
    <t>VEL-CLNT-NC-3</t>
  </si>
  <si>
    <t>VEL-CLNT-NC-4</t>
  </si>
  <si>
    <t>VEL-CLNT-NC-5</t>
  </si>
  <si>
    <t>TEST IN TOTAL</t>
  </si>
  <si>
    <t>Test amount</t>
  </si>
  <si>
    <t>NC N2 molfr [1]</t>
  </si>
  <si>
    <t>Pabs [bar]</t>
  </si>
  <si>
    <t>Ppart H2O [bar]</t>
  </si>
  <si>
    <t>with constant Ppart H2O [bar]</t>
  </si>
  <si>
    <t>Molefr NC [1]</t>
  </si>
  <si>
    <t>TESTS PER DAY</t>
  </si>
  <si>
    <t>DAYS TOTAL</t>
  </si>
  <si>
    <t>Completed</t>
  </si>
  <si>
    <t>Run date</t>
  </si>
  <si>
    <t>File name</t>
  </si>
  <si>
    <t>File location</t>
  </si>
  <si>
    <t>Test</t>
  </si>
  <si>
    <t>NO</t>
  </si>
  <si>
    <t>Pabs-MFR-1</t>
  </si>
  <si>
    <t>Pabs-MFR-2</t>
  </si>
  <si>
    <t>Pabs-MFR-3</t>
  </si>
  <si>
    <t>Pabs-MFR-4</t>
  </si>
  <si>
    <t>Pabs-MFR-5</t>
  </si>
  <si>
    <t>Pabs-PART-1</t>
  </si>
  <si>
    <t>Pabs-PART-2</t>
  </si>
  <si>
    <t>Pabs-PART-3</t>
  </si>
  <si>
    <t>Pabs-PART-4</t>
  </si>
  <si>
    <t>Pabs-PART-5</t>
  </si>
  <si>
    <t>test influence of NC gases on condensation rate</t>
  </si>
  <si>
    <t>NC molefr [1]</t>
  </si>
  <si>
    <t>clnt mflow [m3/h]</t>
  </si>
  <si>
    <t>Pabs-PURE-1</t>
  </si>
  <si>
    <t>Pabs-PURE-2</t>
  </si>
  <si>
    <t>Pabs-PURE-3</t>
  </si>
  <si>
    <t>Pabs-PURE-4</t>
  </si>
  <si>
    <t>Pabs-PURE-5</t>
  </si>
  <si>
    <t>Param</t>
  </si>
  <si>
    <t>val</t>
  </si>
  <si>
    <t>clnt mflow [m3/h] tests</t>
  </si>
  <si>
    <t>clnt mflow [m3/h] tests pure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</si>
</sst>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1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ill="1" applyBorder="1"/>
    <xf numFmtId="4" fontId="0" fillId="4" borderId="0" xfId="0" applyNumberFormat="1" applyFill="1" applyBorder="1"/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ill="1" applyBorder="1" applyAlignment="1">
      <alignment wrapText="1"/>
    </xf>
    <xf numFmtId="0" fontId="0" fillId="6" borderId="0" xfId="0" applyFill="1" applyBorder="1"/>
    <xf numFmtId="4" fontId="0" fillId="6" borderId="0" xfId="0" applyNumberFormat="1" applyFill="1" applyBorder="1"/>
    <xf numFmtId="0" fontId="0" fillId="6" borderId="8" xfId="0" applyFont="1" applyFill="1" applyBorder="1" applyAlignment="1">
      <alignment horizontal="left" vertical="center" wrapText="1"/>
    </xf>
    <xf numFmtId="0" fontId="0" fillId="6" borderId="8" xfId="0" applyFill="1" applyBorder="1" applyAlignment="1">
      <alignment wrapText="1"/>
    </xf>
    <xf numFmtId="0" fontId="0" fillId="6" borderId="8" xfId="0" applyFill="1" applyBorder="1"/>
    <xf numFmtId="4" fontId="0" fillId="6" borderId="8" xfId="0" applyNumberFormat="1" applyFill="1" applyBorder="1"/>
    <xf numFmtId="0" fontId="0" fillId="10" borderId="0" xfId="0" applyFont="1" applyFill="1" applyBorder="1" applyAlignment="1">
      <alignment horizontal="left" vertical="center" wrapText="1"/>
    </xf>
    <xf numFmtId="0" fontId="0" fillId="10" borderId="0" xfId="0" applyFill="1" applyBorder="1" applyAlignment="1">
      <alignment wrapText="1"/>
    </xf>
    <xf numFmtId="0" fontId="0" fillId="10" borderId="0" xfId="0" applyFill="1" applyBorder="1"/>
    <xf numFmtId="4" fontId="0" fillId="10" borderId="0" xfId="0" applyNumberFormat="1" applyFill="1" applyBorder="1"/>
    <xf numFmtId="0" fontId="0" fillId="10" borderId="8" xfId="0" applyFont="1" applyFill="1" applyBorder="1" applyAlignment="1">
      <alignment horizontal="left" vertical="center" wrapText="1"/>
    </xf>
    <xf numFmtId="0" fontId="0" fillId="10" borderId="8" xfId="0" applyFill="1" applyBorder="1" applyAlignment="1">
      <alignment wrapText="1"/>
    </xf>
    <xf numFmtId="0" fontId="0" fillId="10" borderId="8" xfId="0" applyFill="1" applyBorder="1"/>
    <xf numFmtId="4" fontId="0" fillId="10" borderId="8" xfId="0" applyNumberFormat="1" applyFill="1" applyBorder="1"/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/>
    <xf numFmtId="4" fontId="0" fillId="3" borderId="0" xfId="0" applyNumberFormat="1" applyFill="1" applyBorder="1"/>
    <xf numFmtId="0" fontId="0" fillId="11" borderId="0" xfId="0" applyFont="1" applyFill="1" applyBorder="1" applyAlignment="1">
      <alignment horizontal="left" vertical="center" wrapText="1"/>
    </xf>
    <xf numFmtId="0" fontId="0" fillId="11" borderId="0" xfId="0" applyFill="1" applyBorder="1"/>
    <xf numFmtId="4" fontId="0" fillId="11" borderId="0" xfId="0" applyNumberFormat="1" applyFill="1" applyBorder="1"/>
    <xf numFmtId="0" fontId="0" fillId="11" borderId="0" xfId="0" applyFill="1" applyBorder="1" applyAlignment="1">
      <alignment wrapText="1"/>
    </xf>
    <xf numFmtId="0" fontId="0" fillId="12" borderId="0" xfId="0" applyFont="1" applyFill="1" applyBorder="1" applyAlignment="1">
      <alignment horizontal="left" vertical="center" wrapText="1"/>
    </xf>
    <xf numFmtId="0" fontId="0" fillId="12" borderId="0" xfId="0" applyFill="1" applyBorder="1"/>
    <xf numFmtId="4" fontId="0" fillId="12" borderId="0" xfId="0" applyNumberFormat="1" applyFill="1" applyBorder="1"/>
    <xf numFmtId="0" fontId="0" fillId="12" borderId="8" xfId="0" applyFill="1" applyBorder="1"/>
    <xf numFmtId="4" fontId="0" fillId="12" borderId="8" xfId="0" applyNumberFormat="1" applyFill="1" applyBorder="1"/>
    <xf numFmtId="0" fontId="0" fillId="13" borderId="0" xfId="0" applyFont="1" applyFill="1" applyBorder="1" applyAlignment="1">
      <alignment horizontal="left" vertical="center" wrapText="1"/>
    </xf>
    <xf numFmtId="0" fontId="3" fillId="13" borderId="0" xfId="0" applyFont="1" applyFill="1" applyBorder="1" applyAlignment="1">
      <alignment vertical="center"/>
    </xf>
    <xf numFmtId="0" fontId="0" fillId="13" borderId="0" xfId="0" applyFill="1" applyBorder="1"/>
    <xf numFmtId="4" fontId="0" fillId="13" borderId="0" xfId="0" applyNumberFormat="1" applyFill="1" applyBorder="1"/>
    <xf numFmtId="0" fontId="3" fillId="13" borderId="0" xfId="0" applyFont="1" applyFill="1" applyBorder="1" applyAlignment="1"/>
    <xf numFmtId="0" fontId="0" fillId="14" borderId="0" xfId="0" applyFont="1" applyFill="1" applyBorder="1" applyAlignment="1">
      <alignment horizontal="left" vertical="center" wrapText="1"/>
    </xf>
    <xf numFmtId="0" fontId="0" fillId="14" borderId="0" xfId="0" applyFill="1" applyBorder="1"/>
    <xf numFmtId="4" fontId="0" fillId="14" borderId="0" xfId="0" applyNumberFormat="1" applyFill="1" applyBorder="1"/>
    <xf numFmtId="0" fontId="0" fillId="15" borderId="0" xfId="0" applyFont="1" applyFill="1" applyBorder="1" applyAlignment="1">
      <alignment horizontal="left" vertical="center" wrapText="1"/>
    </xf>
    <xf numFmtId="0" fontId="3" fillId="15" borderId="0" xfId="0" applyFont="1" applyFill="1" applyBorder="1" applyAlignment="1">
      <alignment vertical="center"/>
    </xf>
    <xf numFmtId="0" fontId="0" fillId="15" borderId="0" xfId="0" applyFill="1" applyBorder="1"/>
    <xf numFmtId="4" fontId="0" fillId="15" borderId="0" xfId="0" applyNumberFormat="1" applyFill="1" applyBorder="1"/>
    <xf numFmtId="0" fontId="3" fillId="15" borderId="0" xfId="0" applyFont="1" applyFill="1" applyBorder="1" applyAlignment="1"/>
    <xf numFmtId="0" fontId="0" fillId="16" borderId="0" xfId="0" applyFont="1" applyFill="1" applyBorder="1" applyAlignment="1">
      <alignment horizontal="left" vertical="center" wrapText="1"/>
    </xf>
    <xf numFmtId="0" fontId="0" fillId="16" borderId="0" xfId="0" applyFill="1" applyBorder="1"/>
    <xf numFmtId="4" fontId="0" fillId="16" borderId="0" xfId="0" applyNumberFormat="1" applyFill="1" applyBorder="1"/>
    <xf numFmtId="0" fontId="0" fillId="16" borderId="8" xfId="0" applyFont="1" applyFill="1" applyBorder="1" applyAlignment="1">
      <alignment horizontal="left" vertical="center" wrapText="1"/>
    </xf>
    <xf numFmtId="0" fontId="0" fillId="16" borderId="8" xfId="0" applyFill="1" applyBorder="1"/>
    <xf numFmtId="4" fontId="0" fillId="16" borderId="8" xfId="0" applyNumberFormat="1" applyFill="1" applyBorder="1"/>
    <xf numFmtId="0" fontId="2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10" xfId="0" applyFont="1" applyFill="1" applyBorder="1"/>
    <xf numFmtId="0" fontId="2" fillId="4" borderId="10" xfId="0" applyFont="1" applyFill="1" applyBorder="1" applyAlignment="1">
      <alignment vertical="center"/>
    </xf>
    <xf numFmtId="4" fontId="2" fillId="4" borderId="10" xfId="0" applyNumberFormat="1" applyFont="1" applyFill="1" applyBorder="1"/>
    <xf numFmtId="0" fontId="2" fillId="6" borderId="13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wrapText="1"/>
    </xf>
    <xf numFmtId="0" fontId="2" fillId="6" borderId="13" xfId="0" applyFont="1" applyFill="1" applyBorder="1" applyAlignment="1">
      <alignment vertical="center"/>
    </xf>
    <xf numFmtId="4" fontId="2" fillId="6" borderId="13" xfId="0" applyNumberFormat="1" applyFont="1" applyFill="1" applyBorder="1"/>
    <xf numFmtId="0" fontId="2" fillId="6" borderId="13" xfId="0" applyFont="1" applyFill="1" applyBorder="1"/>
    <xf numFmtId="0" fontId="2" fillId="10" borderId="10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horizontal="left" vertical="center" wrapText="1"/>
    </xf>
    <xf numFmtId="0" fontId="2" fillId="10" borderId="10" xfId="0" applyFont="1" applyFill="1" applyBorder="1" applyAlignment="1">
      <alignment wrapText="1"/>
    </xf>
    <xf numFmtId="0" fontId="2" fillId="10" borderId="10" xfId="0" applyFont="1" applyFill="1" applyBorder="1" applyAlignment="1">
      <alignment vertical="center"/>
    </xf>
    <xf numFmtId="4" fontId="2" fillId="10" borderId="10" xfId="0" applyNumberFormat="1" applyFont="1" applyFill="1" applyBorder="1"/>
    <xf numFmtId="0" fontId="2" fillId="10" borderId="10" xfId="0" applyFont="1" applyFill="1" applyBorder="1"/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2" fillId="3" borderId="10" xfId="0" applyFont="1" applyFill="1" applyBorder="1" applyAlignment="1">
      <alignment vertical="center"/>
    </xf>
    <xf numFmtId="4" fontId="2" fillId="3" borderId="10" xfId="0" applyNumberFormat="1" applyFont="1" applyFill="1" applyBorder="1"/>
    <xf numFmtId="0" fontId="2" fillId="11" borderId="13" xfId="0" applyFont="1" applyFill="1" applyBorder="1" applyAlignment="1">
      <alignment vertical="center" wrapText="1"/>
    </xf>
    <xf numFmtId="0" fontId="2" fillId="11" borderId="13" xfId="0" applyFont="1" applyFill="1" applyBorder="1" applyAlignment="1">
      <alignment horizontal="left" vertical="center" wrapText="1"/>
    </xf>
    <xf numFmtId="164" fontId="2" fillId="11" borderId="13" xfId="0" applyNumberFormat="1" applyFont="1" applyFill="1" applyBorder="1"/>
    <xf numFmtId="0" fontId="2" fillId="11" borderId="13" xfId="0" applyFont="1" applyFill="1" applyBorder="1"/>
    <xf numFmtId="0" fontId="2" fillId="11" borderId="13" xfId="0" applyFont="1" applyFill="1" applyBorder="1" applyAlignment="1">
      <alignment vertical="center"/>
    </xf>
    <xf numFmtId="4" fontId="2" fillId="11" borderId="13" xfId="0" applyNumberFormat="1" applyFont="1" applyFill="1" applyBorder="1"/>
    <xf numFmtId="0" fontId="2" fillId="12" borderId="13" xfId="0" applyFont="1" applyFill="1" applyBorder="1" applyAlignment="1">
      <alignment vertical="center" wrapText="1"/>
    </xf>
    <xf numFmtId="0" fontId="2" fillId="12" borderId="13" xfId="0" applyFont="1" applyFill="1" applyBorder="1" applyAlignment="1">
      <alignment horizontal="left" vertical="center" wrapText="1"/>
    </xf>
    <xf numFmtId="164" fontId="2" fillId="12" borderId="13" xfId="0" applyNumberFormat="1" applyFont="1" applyFill="1" applyBorder="1"/>
    <xf numFmtId="0" fontId="2" fillId="12" borderId="13" xfId="0" applyFont="1" applyFill="1" applyBorder="1"/>
    <xf numFmtId="0" fontId="2" fillId="12" borderId="13" xfId="0" applyFont="1" applyFill="1" applyBorder="1" applyAlignment="1">
      <alignment vertical="center"/>
    </xf>
    <xf numFmtId="4" fontId="2" fillId="12" borderId="13" xfId="0" applyNumberFormat="1" applyFont="1" applyFill="1" applyBorder="1"/>
    <xf numFmtId="0" fontId="2" fillId="13" borderId="10" xfId="0" applyFont="1" applyFill="1" applyBorder="1" applyAlignment="1">
      <alignment vertical="center" wrapText="1"/>
    </xf>
    <xf numFmtId="0" fontId="2" fillId="13" borderId="10" xfId="0" applyFont="1" applyFill="1" applyBorder="1" applyAlignment="1">
      <alignment horizontal="left" vertical="center" wrapText="1"/>
    </xf>
    <xf numFmtId="0" fontId="4" fillId="13" borderId="10" xfId="0" applyFont="1" applyFill="1" applyBorder="1"/>
    <xf numFmtId="0" fontId="2" fillId="13" borderId="10" xfId="0" applyFont="1" applyFill="1" applyBorder="1"/>
    <xf numFmtId="0" fontId="2" fillId="13" borderId="10" xfId="0" applyFont="1" applyFill="1" applyBorder="1" applyAlignment="1">
      <alignment vertical="center"/>
    </xf>
    <xf numFmtId="4" fontId="2" fillId="13" borderId="10" xfId="0" applyNumberFormat="1" applyFont="1" applyFill="1" applyBorder="1"/>
    <xf numFmtId="0" fontId="2" fillId="14" borderId="13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horizontal="left" vertical="center" wrapText="1"/>
    </xf>
    <xf numFmtId="0" fontId="2" fillId="14" borderId="13" xfId="0" applyFont="1" applyFill="1" applyBorder="1"/>
    <xf numFmtId="0" fontId="2" fillId="14" borderId="13" xfId="0" applyFont="1" applyFill="1" applyBorder="1" applyAlignment="1">
      <alignment vertical="center"/>
    </xf>
    <xf numFmtId="4" fontId="2" fillId="14" borderId="13" xfId="0" applyNumberFormat="1" applyFont="1" applyFill="1" applyBorder="1"/>
    <xf numFmtId="0" fontId="2" fillId="15" borderId="13" xfId="0" applyFont="1" applyFill="1" applyBorder="1" applyAlignment="1">
      <alignment vertical="center" wrapText="1"/>
    </xf>
    <xf numFmtId="0" fontId="2" fillId="15" borderId="13" xfId="0" applyFont="1" applyFill="1" applyBorder="1" applyAlignment="1">
      <alignment horizontal="left" vertical="center" wrapText="1"/>
    </xf>
    <xf numFmtId="0" fontId="4" fillId="15" borderId="13" xfId="0" applyFont="1" applyFill="1" applyBorder="1"/>
    <xf numFmtId="0" fontId="2" fillId="15" borderId="13" xfId="0" applyFont="1" applyFill="1" applyBorder="1"/>
    <xf numFmtId="0" fontId="2" fillId="15" borderId="13" xfId="0" applyFont="1" applyFill="1" applyBorder="1" applyAlignment="1">
      <alignment vertical="center"/>
    </xf>
    <xf numFmtId="4" fontId="2" fillId="15" borderId="13" xfId="0" applyNumberFormat="1" applyFont="1" applyFill="1" applyBorder="1"/>
    <xf numFmtId="0" fontId="2" fillId="16" borderId="13" xfId="0" applyFont="1" applyFill="1" applyBorder="1" applyAlignment="1">
      <alignment vertical="center" wrapText="1"/>
    </xf>
    <xf numFmtId="0" fontId="2" fillId="16" borderId="13" xfId="0" applyFont="1" applyFill="1" applyBorder="1" applyAlignment="1">
      <alignment horizontal="left" vertical="center" wrapText="1"/>
    </xf>
    <xf numFmtId="0" fontId="2" fillId="16" borderId="13" xfId="0" applyFont="1" applyFill="1" applyBorder="1"/>
    <xf numFmtId="0" fontId="2" fillId="16" borderId="13" xfId="0" applyFont="1" applyFill="1" applyBorder="1" applyAlignment="1">
      <alignment vertical="center"/>
    </xf>
    <xf numFmtId="4" fontId="2" fillId="16" borderId="13" xfId="0" applyNumberFormat="1" applyFont="1" applyFill="1" applyBorder="1"/>
    <xf numFmtId="1" fontId="0" fillId="0" borderId="0" xfId="0" applyNumberFormat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10" borderId="11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11" borderId="12" xfId="0" applyFill="1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4" borderId="12" xfId="0" applyFill="1" applyBorder="1" applyAlignment="1">
      <alignment vertical="center" wrapText="1"/>
    </xf>
    <xf numFmtId="0" fontId="0" fillId="15" borderId="12" xfId="0" applyFill="1" applyBorder="1" applyAlignment="1">
      <alignment vertical="center" wrapText="1"/>
    </xf>
    <xf numFmtId="0" fontId="0" fillId="16" borderId="12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0" fillId="14" borderId="0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tabSelected="1" topLeftCell="A5" zoomScale="85" zoomScaleNormal="85" workbookViewId="0">
      <selection activeCell="G30" sqref="G30"/>
    </sheetView>
  </sheetViews>
  <sheetFormatPr defaultRowHeight="15" x14ac:dyDescent="0.25"/>
  <cols>
    <col min="1" max="1" width="13.28515625" style="23" customWidth="1"/>
    <col min="2" max="2" width="14.85546875" style="23" customWidth="1"/>
    <col min="3" max="3" width="16.42578125" style="25" bestFit="1" customWidth="1"/>
    <col min="4" max="4" width="18.85546875" style="1" bestFit="1" customWidth="1"/>
    <col min="5" max="5" width="17.5703125" bestFit="1" customWidth="1"/>
    <col min="6" max="6" width="4.140625" bestFit="1" customWidth="1"/>
    <col min="7" max="7" width="15.140625" bestFit="1" customWidth="1"/>
    <col min="8" max="8" width="15.140625" style="24" bestFit="1" customWidth="1"/>
    <col min="9" max="9" width="12.42578125" style="21" bestFit="1" customWidth="1"/>
    <col min="10" max="10" width="12.42578125" bestFit="1" customWidth="1"/>
    <col min="11" max="11" width="17.5703125" bestFit="1" customWidth="1"/>
    <col min="12" max="12" width="11.5703125" customWidth="1"/>
    <col min="13" max="13" width="11.85546875" bestFit="1" customWidth="1"/>
    <col min="14" max="14" width="14" customWidth="1"/>
    <col min="15" max="15" width="11.42578125" customWidth="1"/>
    <col min="17" max="17" width="11.42578125" customWidth="1"/>
    <col min="18" max="18" width="10.85546875" customWidth="1"/>
    <col min="20" max="20" width="11.28515625" customWidth="1"/>
  </cols>
  <sheetData>
    <row r="1" spans="1:26" x14ac:dyDescent="0.25">
      <c r="A1" s="22" t="s">
        <v>101</v>
      </c>
      <c r="B1" s="23" t="s">
        <v>108</v>
      </c>
      <c r="C1" s="25" t="s">
        <v>109</v>
      </c>
      <c r="E1" s="23"/>
      <c r="F1" s="11" t="s">
        <v>8</v>
      </c>
      <c r="G1" s="4" t="s">
        <v>9</v>
      </c>
      <c r="H1" s="4" t="s">
        <v>10</v>
      </c>
    </row>
    <row r="2" spans="1:26" x14ac:dyDescent="0.25">
      <c r="A2" s="22">
        <f>SUM(C5,C13,C21,C27,C33,C39,C45,C52,C58,C65)</f>
        <v>56</v>
      </c>
      <c r="B2" s="23">
        <v>2</v>
      </c>
      <c r="C2" s="136">
        <f>A2/B2</f>
        <v>28</v>
      </c>
      <c r="E2" s="22" t="s">
        <v>5</v>
      </c>
      <c r="F2" s="1">
        <v>28</v>
      </c>
      <c r="G2">
        <v>4.0026020000000004</v>
      </c>
      <c r="H2">
        <v>18.015000000000001</v>
      </c>
    </row>
    <row r="3" spans="1:26" ht="15.75" thickBot="1" x14ac:dyDescent="0.3"/>
    <row r="4" spans="1:26" x14ac:dyDescent="0.25">
      <c r="A4" s="29" t="s">
        <v>46</v>
      </c>
      <c r="B4" s="26" t="s">
        <v>50</v>
      </c>
      <c r="C4" s="27" t="s">
        <v>57</v>
      </c>
      <c r="D4" s="28" t="s">
        <v>54</v>
      </c>
      <c r="E4" s="188" t="s">
        <v>49</v>
      </c>
      <c r="F4" s="188"/>
      <c r="G4" s="188" t="s">
        <v>77</v>
      </c>
      <c r="H4" s="188"/>
      <c r="I4" s="137" t="s">
        <v>47</v>
      </c>
      <c r="K4" s="4" t="s">
        <v>114</v>
      </c>
      <c r="L4" s="4" t="s">
        <v>110</v>
      </c>
      <c r="M4" s="4" t="s">
        <v>111</v>
      </c>
      <c r="N4" s="20" t="s">
        <v>113</v>
      </c>
      <c r="O4" s="20" t="s">
        <v>112</v>
      </c>
      <c r="T4" s="11"/>
      <c r="U4" s="11"/>
      <c r="V4" s="11"/>
      <c r="Y4" s="11"/>
      <c r="Z4" s="11"/>
    </row>
    <row r="5" spans="1:26" ht="15" customHeight="1" thickBot="1" x14ac:dyDescent="0.3">
      <c r="A5" s="174" t="s">
        <v>51</v>
      </c>
      <c r="B5" s="80" t="s">
        <v>102</v>
      </c>
      <c r="C5" s="81">
        <f>COUNTA(C6:C12)</f>
        <v>7</v>
      </c>
      <c r="D5" s="82" t="s">
        <v>107</v>
      </c>
      <c r="E5" s="82" t="s">
        <v>134</v>
      </c>
      <c r="F5" s="83" t="s">
        <v>135</v>
      </c>
      <c r="G5" s="84" t="s">
        <v>41</v>
      </c>
      <c r="H5" s="82" t="s">
        <v>105</v>
      </c>
      <c r="I5" s="138"/>
      <c r="K5">
        <f t="shared" ref="K5:K36" si="0">C5</f>
        <v>7</v>
      </c>
      <c r="M5" s="20"/>
      <c r="N5" s="20"/>
      <c r="O5" s="20"/>
      <c r="T5" s="12"/>
      <c r="U5" s="11"/>
      <c r="V5" s="11"/>
      <c r="X5" s="11"/>
      <c r="Y5" s="11"/>
      <c r="Z5" s="11"/>
    </row>
    <row r="6" spans="1:26" ht="15.75" thickTop="1" x14ac:dyDescent="0.25">
      <c r="A6" s="175"/>
      <c r="B6" s="179" t="s">
        <v>52</v>
      </c>
      <c r="C6" s="30" t="s">
        <v>58</v>
      </c>
      <c r="D6" s="31">
        <v>0</v>
      </c>
      <c r="E6" s="31" t="s">
        <v>34</v>
      </c>
      <c r="F6" s="31">
        <v>20</v>
      </c>
      <c r="G6" s="32">
        <f t="shared" ref="G6:G12" si="1">(D6*$F$7*$F$2+D6*(1-$F$7)*$G$2)/(D6*$F$7*$F$2+D6*(1-$F$7)*$G$2+(1-D6*$F$7-D6*(1-$F$7))*$H$2)</f>
        <v>0</v>
      </c>
      <c r="H6" s="31">
        <f t="shared" ref="H6:H12" si="2">$F$8*(1-D6)</f>
        <v>1</v>
      </c>
      <c r="I6" s="180" t="s">
        <v>126</v>
      </c>
      <c r="K6" t="str">
        <f t="shared" si="0"/>
        <v>NC-MFR-ABS-1</v>
      </c>
      <c r="L6" t="s">
        <v>115</v>
      </c>
      <c r="M6" s="11"/>
    </row>
    <row r="7" spans="1:26" x14ac:dyDescent="0.25">
      <c r="A7" s="175"/>
      <c r="B7" s="179"/>
      <c r="C7" s="30" t="s">
        <v>59</v>
      </c>
      <c r="D7" s="31">
        <v>0.1</v>
      </c>
      <c r="E7" s="31" t="s">
        <v>128</v>
      </c>
      <c r="F7" s="31">
        <v>1</v>
      </c>
      <c r="G7" s="32">
        <f t="shared" si="1"/>
        <v>0.1472637862571331</v>
      </c>
      <c r="H7" s="31">
        <f t="shared" si="2"/>
        <v>0.9</v>
      </c>
      <c r="I7" s="180"/>
      <c r="K7" t="str">
        <f t="shared" si="0"/>
        <v>NC-MFR-ABS-2</v>
      </c>
      <c r="L7" t="s">
        <v>115</v>
      </c>
      <c r="M7" s="11"/>
    </row>
    <row r="8" spans="1:26" x14ac:dyDescent="0.25">
      <c r="A8" s="175"/>
      <c r="B8" s="179"/>
      <c r="C8" s="30" t="s">
        <v>60</v>
      </c>
      <c r="D8" s="31">
        <v>0.2</v>
      </c>
      <c r="E8" s="31" t="s">
        <v>103</v>
      </c>
      <c r="F8" s="31">
        <v>1</v>
      </c>
      <c r="G8" s="32">
        <f t="shared" si="1"/>
        <v>0.27983210073955628</v>
      </c>
      <c r="H8" s="31">
        <f t="shared" si="2"/>
        <v>0.8</v>
      </c>
      <c r="I8" s="180"/>
      <c r="K8" t="str">
        <f t="shared" si="0"/>
        <v>NC-MFR-ABS-3</v>
      </c>
      <c r="L8" t="s">
        <v>115</v>
      </c>
    </row>
    <row r="9" spans="1:26" x14ac:dyDescent="0.25">
      <c r="A9" s="175"/>
      <c r="B9" s="179"/>
      <c r="C9" s="30" t="s">
        <v>61</v>
      </c>
      <c r="D9" s="31">
        <v>0.3</v>
      </c>
      <c r="E9" s="31" t="s">
        <v>104</v>
      </c>
      <c r="F9" s="31">
        <v>5</v>
      </c>
      <c r="G9" s="32">
        <f t="shared" si="1"/>
        <v>0.39980009995002502</v>
      </c>
      <c r="H9" s="31">
        <f t="shared" si="2"/>
        <v>0.7</v>
      </c>
      <c r="I9" s="180"/>
      <c r="K9" t="str">
        <f t="shared" si="0"/>
        <v>NC-MFR-ABS-4</v>
      </c>
      <c r="L9" t="s">
        <v>115</v>
      </c>
      <c r="M9" s="2"/>
    </row>
    <row r="10" spans="1:26" x14ac:dyDescent="0.25">
      <c r="A10" s="175"/>
      <c r="B10" s="179"/>
      <c r="C10" s="30" t="s">
        <v>62</v>
      </c>
      <c r="D10" s="31">
        <v>0.5</v>
      </c>
      <c r="E10" s="31"/>
      <c r="F10" s="31"/>
      <c r="G10" s="32">
        <f t="shared" si="1"/>
        <v>0.60849722916440285</v>
      </c>
      <c r="H10" s="31">
        <f t="shared" si="2"/>
        <v>0.5</v>
      </c>
      <c r="I10" s="180"/>
      <c r="K10" t="str">
        <f t="shared" si="0"/>
        <v>NC-MFR-ABS-5</v>
      </c>
      <c r="L10" t="s">
        <v>115</v>
      </c>
    </row>
    <row r="11" spans="1:26" x14ac:dyDescent="0.25">
      <c r="A11" s="175"/>
      <c r="B11" s="179"/>
      <c r="C11" s="30" t="s">
        <v>63</v>
      </c>
      <c r="D11" s="31">
        <v>0.7</v>
      </c>
      <c r="E11" s="31"/>
      <c r="F11" s="31"/>
      <c r="G11" s="32">
        <f t="shared" si="1"/>
        <v>0.7838589053970284</v>
      </c>
      <c r="H11" s="31">
        <f t="shared" si="2"/>
        <v>0.30000000000000004</v>
      </c>
      <c r="I11" s="180"/>
      <c r="K11" t="str">
        <f t="shared" si="0"/>
        <v>NC-MFR-ABS-6</v>
      </c>
      <c r="L11" t="s">
        <v>115</v>
      </c>
    </row>
    <row r="12" spans="1:26" x14ac:dyDescent="0.25">
      <c r="A12" s="175"/>
      <c r="B12" s="179"/>
      <c r="C12" s="30" t="s">
        <v>64</v>
      </c>
      <c r="D12" s="31">
        <v>0.9</v>
      </c>
      <c r="E12" s="31"/>
      <c r="F12" s="31"/>
      <c r="G12" s="32">
        <f t="shared" si="1"/>
        <v>0.93328148436197989</v>
      </c>
      <c r="H12" s="31">
        <f t="shared" si="2"/>
        <v>9.9999999999999978E-2</v>
      </c>
      <c r="I12" s="180"/>
      <c r="K12" t="str">
        <f t="shared" si="0"/>
        <v>NC-MFR-ABS-7</v>
      </c>
      <c r="L12" t="s">
        <v>115</v>
      </c>
    </row>
    <row r="13" spans="1:26" ht="15" customHeight="1" thickBot="1" x14ac:dyDescent="0.3">
      <c r="A13" s="175"/>
      <c r="B13" s="85" t="s">
        <v>102</v>
      </c>
      <c r="C13" s="86">
        <f>COUNTA(C14:C20)</f>
        <v>7</v>
      </c>
      <c r="D13" s="87" t="s">
        <v>107</v>
      </c>
      <c r="E13" s="87" t="s">
        <v>134</v>
      </c>
      <c r="F13" s="88" t="s">
        <v>135</v>
      </c>
      <c r="G13" s="89" t="s">
        <v>104</v>
      </c>
      <c r="H13" s="90" t="s">
        <v>127</v>
      </c>
      <c r="I13" s="139"/>
      <c r="K13">
        <f t="shared" si="0"/>
        <v>7</v>
      </c>
    </row>
    <row r="14" spans="1:26" ht="15.75" thickTop="1" x14ac:dyDescent="0.25">
      <c r="A14" s="175"/>
      <c r="B14" s="177" t="s">
        <v>53</v>
      </c>
      <c r="C14" s="33" t="s">
        <v>65</v>
      </c>
      <c r="D14" s="34">
        <v>0</v>
      </c>
      <c r="E14" s="34" t="s">
        <v>34</v>
      </c>
      <c r="F14" s="35">
        <v>20</v>
      </c>
      <c r="G14" s="36">
        <f t="shared" ref="G14:G20" si="3">$F$16/(1-D14)</f>
        <v>1</v>
      </c>
      <c r="H14" s="35">
        <f>1-$F$16/G14</f>
        <v>0</v>
      </c>
      <c r="I14" s="181" t="s">
        <v>126</v>
      </c>
      <c r="K14" t="str">
        <f t="shared" si="0"/>
        <v>NC-MFR-PART-1</v>
      </c>
      <c r="L14" t="s">
        <v>115</v>
      </c>
    </row>
    <row r="15" spans="1:26" x14ac:dyDescent="0.25">
      <c r="A15" s="175"/>
      <c r="B15" s="177"/>
      <c r="C15" s="33" t="s">
        <v>66</v>
      </c>
      <c r="D15" s="34">
        <v>0.1</v>
      </c>
      <c r="E15" s="34" t="s">
        <v>128</v>
      </c>
      <c r="F15" s="35">
        <v>1</v>
      </c>
      <c r="G15" s="36">
        <f t="shared" si="3"/>
        <v>1.1111111111111112</v>
      </c>
      <c r="H15" s="35">
        <f t="shared" ref="H15:H20" si="4">1-$F$16/G15</f>
        <v>0.10000000000000009</v>
      </c>
      <c r="I15" s="181"/>
      <c r="K15" t="str">
        <f t="shared" si="0"/>
        <v>NC-MFR-PART-2</v>
      </c>
      <c r="L15" t="s">
        <v>115</v>
      </c>
    </row>
    <row r="16" spans="1:26" x14ac:dyDescent="0.25">
      <c r="A16" s="175"/>
      <c r="B16" s="177"/>
      <c r="C16" s="33" t="s">
        <v>67</v>
      </c>
      <c r="D16" s="34">
        <v>0.2</v>
      </c>
      <c r="E16" s="34" t="s">
        <v>103</v>
      </c>
      <c r="F16" s="35">
        <v>1</v>
      </c>
      <c r="G16" s="36">
        <f t="shared" si="3"/>
        <v>1.25</v>
      </c>
      <c r="H16" s="35">
        <f t="shared" si="4"/>
        <v>0.19999999999999996</v>
      </c>
      <c r="I16" s="181"/>
      <c r="K16" t="str">
        <f t="shared" si="0"/>
        <v>NC-MFR-PART-3</v>
      </c>
      <c r="L16" t="s">
        <v>115</v>
      </c>
    </row>
    <row r="17" spans="1:32" x14ac:dyDescent="0.25">
      <c r="A17" s="175"/>
      <c r="B17" s="177"/>
      <c r="C17" s="33" t="s">
        <v>68</v>
      </c>
      <c r="D17" s="34">
        <v>0.3</v>
      </c>
      <c r="E17" s="34" t="s">
        <v>105</v>
      </c>
      <c r="F17" s="35">
        <v>2</v>
      </c>
      <c r="G17" s="36">
        <f t="shared" si="3"/>
        <v>1.4285714285714286</v>
      </c>
      <c r="H17" s="35">
        <f t="shared" si="4"/>
        <v>0.30000000000000004</v>
      </c>
      <c r="I17" s="181"/>
      <c r="K17" t="str">
        <f t="shared" si="0"/>
        <v>NC-MFR-PART-4</v>
      </c>
      <c r="L17" t="s">
        <v>115</v>
      </c>
      <c r="M17" s="1"/>
    </row>
    <row r="18" spans="1:32" x14ac:dyDescent="0.25">
      <c r="A18" s="175"/>
      <c r="B18" s="177"/>
      <c r="C18" s="33" t="s">
        <v>69</v>
      </c>
      <c r="D18" s="34">
        <v>0.5</v>
      </c>
      <c r="E18" s="35"/>
      <c r="F18" s="35"/>
      <c r="G18" s="36">
        <f t="shared" si="3"/>
        <v>2</v>
      </c>
      <c r="H18" s="35">
        <f t="shared" si="4"/>
        <v>0.5</v>
      </c>
      <c r="I18" s="181"/>
      <c r="K18" t="str">
        <f t="shared" si="0"/>
        <v>NC-MFR-PART-5</v>
      </c>
      <c r="L18" t="s">
        <v>115</v>
      </c>
    </row>
    <row r="19" spans="1:32" x14ac:dyDescent="0.25">
      <c r="A19" s="175"/>
      <c r="B19" s="177"/>
      <c r="C19" s="33" t="s">
        <v>70</v>
      </c>
      <c r="D19" s="34">
        <v>0.7</v>
      </c>
      <c r="E19" s="35"/>
      <c r="F19" s="35"/>
      <c r="G19" s="36">
        <f t="shared" si="3"/>
        <v>3.333333333333333</v>
      </c>
      <c r="H19" s="35">
        <f t="shared" si="4"/>
        <v>0.7</v>
      </c>
      <c r="I19" s="181"/>
      <c r="K19" t="str">
        <f t="shared" si="0"/>
        <v>NC-MFR-PART-6</v>
      </c>
      <c r="L19" t="s">
        <v>115</v>
      </c>
    </row>
    <row r="20" spans="1:32" x14ac:dyDescent="0.25">
      <c r="A20" s="176"/>
      <c r="B20" s="178"/>
      <c r="C20" s="37" t="s">
        <v>71</v>
      </c>
      <c r="D20" s="38">
        <v>0.8</v>
      </c>
      <c r="E20" s="39"/>
      <c r="F20" s="39"/>
      <c r="G20" s="40">
        <f t="shared" si="3"/>
        <v>5.0000000000000009</v>
      </c>
      <c r="H20" s="35">
        <f t="shared" si="4"/>
        <v>0.8</v>
      </c>
      <c r="I20" s="182"/>
      <c r="K20" t="str">
        <f t="shared" si="0"/>
        <v>NC-MFR-PART-7</v>
      </c>
      <c r="L20" t="s">
        <v>115</v>
      </c>
    </row>
    <row r="21" spans="1:32" ht="15.75" thickBot="1" x14ac:dyDescent="0.3">
      <c r="A21" s="171" t="s">
        <v>26</v>
      </c>
      <c r="B21" s="91" t="s">
        <v>102</v>
      </c>
      <c r="C21" s="92">
        <f>COUNTA(C22:C26)</f>
        <v>5</v>
      </c>
      <c r="D21" s="93" t="s">
        <v>103</v>
      </c>
      <c r="E21" s="93" t="s">
        <v>134</v>
      </c>
      <c r="F21" s="94" t="s">
        <v>135</v>
      </c>
      <c r="G21" s="95" t="s">
        <v>40</v>
      </c>
      <c r="H21" s="96"/>
      <c r="I21" s="140" t="s">
        <v>48</v>
      </c>
      <c r="K21">
        <f t="shared" si="0"/>
        <v>5</v>
      </c>
    </row>
    <row r="22" spans="1:32" ht="15.75" thickTop="1" x14ac:dyDescent="0.25">
      <c r="A22" s="172"/>
      <c r="B22" s="158" t="s">
        <v>56</v>
      </c>
      <c r="C22" s="41" t="s">
        <v>72</v>
      </c>
      <c r="D22" s="42">
        <v>0</v>
      </c>
      <c r="E22" s="42" t="s">
        <v>34</v>
      </c>
      <c r="F22" s="43">
        <v>20</v>
      </c>
      <c r="G22" s="44">
        <f>(D22*$F$2)/(D22*$F$2+(1-D22)*$G$2)</f>
        <v>0</v>
      </c>
      <c r="H22" s="43"/>
      <c r="I22" s="183" t="s">
        <v>48</v>
      </c>
      <c r="K22" t="str">
        <f t="shared" si="0"/>
        <v>NC-CMP-1</v>
      </c>
      <c r="L22" t="s">
        <v>115</v>
      </c>
    </row>
    <row r="23" spans="1:32" x14ac:dyDescent="0.25">
      <c r="A23" s="172"/>
      <c r="B23" s="158"/>
      <c r="C23" s="41" t="s">
        <v>73</v>
      </c>
      <c r="D23" s="42">
        <v>0.25</v>
      </c>
      <c r="E23" s="42" t="s">
        <v>128</v>
      </c>
      <c r="F23" s="43">
        <v>1</v>
      </c>
      <c r="G23" s="44">
        <f>(D23*$F$2)/(D23*$F$2+(1-D23)*$G$2)</f>
        <v>0.69986342165326432</v>
      </c>
      <c r="H23" s="43"/>
      <c r="I23" s="183"/>
      <c r="K23" t="str">
        <f t="shared" si="0"/>
        <v>NC-CMP-2</v>
      </c>
      <c r="L23" t="s">
        <v>115</v>
      </c>
    </row>
    <row r="24" spans="1:32" x14ac:dyDescent="0.25">
      <c r="A24" s="172"/>
      <c r="B24" s="158"/>
      <c r="C24" s="41" t="s">
        <v>74</v>
      </c>
      <c r="D24" s="42">
        <v>0.5</v>
      </c>
      <c r="E24" s="42" t="s">
        <v>104</v>
      </c>
      <c r="F24" s="43">
        <v>5</v>
      </c>
      <c r="G24" s="44">
        <f>(D24*$F$2)/(D24*$F$2+(1-D24)*$G$2)</f>
        <v>0.87492885734728687</v>
      </c>
      <c r="H24" s="43"/>
      <c r="I24" s="183"/>
      <c r="K24" t="str">
        <f t="shared" si="0"/>
        <v>NC-CMP-3</v>
      </c>
      <c r="L24" t="s">
        <v>115</v>
      </c>
    </row>
    <row r="25" spans="1:32" x14ac:dyDescent="0.25">
      <c r="A25" s="172"/>
      <c r="B25" s="158"/>
      <c r="C25" s="41" t="s">
        <v>75</v>
      </c>
      <c r="D25" s="42">
        <v>0.75</v>
      </c>
      <c r="E25" s="42" t="s">
        <v>107</v>
      </c>
      <c r="F25" s="43">
        <v>0.5</v>
      </c>
      <c r="G25" s="44">
        <f>(D25*$F$2)/(D25*$F$2+(1-D25)*$G$2)</f>
        <v>0.95451723120641374</v>
      </c>
      <c r="H25" s="43"/>
      <c r="I25" s="183"/>
      <c r="K25" t="str">
        <f t="shared" si="0"/>
        <v>NC-CMP-4</v>
      </c>
      <c r="L25" t="s">
        <v>115</v>
      </c>
    </row>
    <row r="26" spans="1:32" x14ac:dyDescent="0.25">
      <c r="A26" s="173"/>
      <c r="B26" s="159"/>
      <c r="C26" s="45" t="s">
        <v>76</v>
      </c>
      <c r="D26" s="46">
        <v>1</v>
      </c>
      <c r="E26" s="42" t="s">
        <v>105</v>
      </c>
      <c r="F26" s="43">
        <f>F24*F25</f>
        <v>2.5</v>
      </c>
      <c r="G26" s="48">
        <f>(D26*$F$2)/(D26*$F$2+(1-D26)*$G$2)</f>
        <v>1</v>
      </c>
      <c r="H26" s="47"/>
      <c r="I26" s="184"/>
      <c r="K26" t="str">
        <f t="shared" si="0"/>
        <v>NC-CMP-5</v>
      </c>
      <c r="L26" t="s">
        <v>115</v>
      </c>
      <c r="AF26" s="11"/>
    </row>
    <row r="27" spans="1:32" ht="15" customHeight="1" thickBot="1" x14ac:dyDescent="0.3">
      <c r="A27" s="185" t="s">
        <v>4</v>
      </c>
      <c r="B27" s="97" t="s">
        <v>102</v>
      </c>
      <c r="C27" s="98">
        <f>COUNTA(C28:C32)</f>
        <v>5</v>
      </c>
      <c r="D27" s="99" t="s">
        <v>104</v>
      </c>
      <c r="E27" s="99" t="s">
        <v>134</v>
      </c>
      <c r="F27" s="100" t="s">
        <v>135</v>
      </c>
      <c r="G27" s="101" t="s">
        <v>105</v>
      </c>
      <c r="H27" s="99"/>
      <c r="I27" s="141"/>
      <c r="K27">
        <f t="shared" si="0"/>
        <v>5</v>
      </c>
    </row>
    <row r="28" spans="1:32" ht="15.75" thickTop="1" x14ac:dyDescent="0.25">
      <c r="A28" s="186"/>
      <c r="B28" s="157" t="s">
        <v>42</v>
      </c>
      <c r="C28" s="49" t="s">
        <v>116</v>
      </c>
      <c r="D28" s="50">
        <v>2</v>
      </c>
      <c r="E28" s="50" t="s">
        <v>34</v>
      </c>
      <c r="F28" s="50">
        <v>20</v>
      </c>
      <c r="G28" s="51">
        <f>D28*(1-$F$31)</f>
        <v>1</v>
      </c>
      <c r="H28" s="50"/>
      <c r="I28" s="148" t="s">
        <v>48</v>
      </c>
      <c r="K28" t="str">
        <f t="shared" si="0"/>
        <v>Pabs-MFR-1</v>
      </c>
      <c r="L28" t="s">
        <v>115</v>
      </c>
    </row>
    <row r="29" spans="1:32" x14ac:dyDescent="0.25">
      <c r="A29" s="186"/>
      <c r="B29" s="157"/>
      <c r="C29" s="49" t="s">
        <v>117</v>
      </c>
      <c r="D29" s="50">
        <v>4</v>
      </c>
      <c r="E29" s="50" t="s">
        <v>128</v>
      </c>
      <c r="F29" s="50">
        <v>1</v>
      </c>
      <c r="G29" s="51">
        <f t="shared" ref="G29:G32" si="5">D29*(1-$F$31)</f>
        <v>2</v>
      </c>
      <c r="H29" s="50"/>
      <c r="I29" s="148"/>
      <c r="K29" t="str">
        <f t="shared" si="0"/>
        <v>Pabs-MFR-2</v>
      </c>
      <c r="L29" t="s">
        <v>115</v>
      </c>
    </row>
    <row r="30" spans="1:32" x14ac:dyDescent="0.25">
      <c r="A30" s="186"/>
      <c r="B30" s="157"/>
      <c r="C30" s="49" t="s">
        <v>118</v>
      </c>
      <c r="D30" s="50">
        <v>6</v>
      </c>
      <c r="E30" s="50" t="s">
        <v>103</v>
      </c>
      <c r="F30" s="50">
        <v>1</v>
      </c>
      <c r="G30" s="51">
        <f t="shared" si="5"/>
        <v>3</v>
      </c>
      <c r="H30" s="50"/>
      <c r="I30" s="148"/>
      <c r="K30" t="str">
        <f t="shared" si="0"/>
        <v>Pabs-MFR-3</v>
      </c>
      <c r="L30" t="s">
        <v>115</v>
      </c>
    </row>
    <row r="31" spans="1:32" x14ac:dyDescent="0.25">
      <c r="A31" s="186"/>
      <c r="B31" s="157"/>
      <c r="C31" s="49" t="s">
        <v>119</v>
      </c>
      <c r="D31" s="50">
        <v>8</v>
      </c>
      <c r="E31" s="50" t="s">
        <v>107</v>
      </c>
      <c r="F31" s="50">
        <v>0.5</v>
      </c>
      <c r="G31" s="51">
        <f t="shared" si="5"/>
        <v>4</v>
      </c>
      <c r="H31" s="50"/>
      <c r="I31" s="148"/>
      <c r="K31" t="str">
        <f t="shared" si="0"/>
        <v>Pabs-MFR-4</v>
      </c>
      <c r="L31" t="s">
        <v>115</v>
      </c>
    </row>
    <row r="32" spans="1:32" x14ac:dyDescent="0.25">
      <c r="A32" s="186"/>
      <c r="B32" s="157"/>
      <c r="C32" s="49" t="s">
        <v>120</v>
      </c>
      <c r="D32" s="50">
        <v>10</v>
      </c>
      <c r="E32" s="50"/>
      <c r="F32" s="50"/>
      <c r="G32" s="51">
        <f t="shared" si="5"/>
        <v>5</v>
      </c>
      <c r="H32" s="50"/>
      <c r="I32" s="148"/>
      <c r="K32" t="str">
        <f t="shared" si="0"/>
        <v>Pabs-MFR-5</v>
      </c>
      <c r="L32" t="s">
        <v>115</v>
      </c>
    </row>
    <row r="33" spans="1:12" ht="15" customHeight="1" thickBot="1" x14ac:dyDescent="0.3">
      <c r="A33" s="186"/>
      <c r="B33" s="102" t="s">
        <v>102</v>
      </c>
      <c r="C33" s="103">
        <f>COUNTA(C34:C38)</f>
        <v>5</v>
      </c>
      <c r="D33" s="104" t="s">
        <v>104</v>
      </c>
      <c r="E33" s="105" t="s">
        <v>134</v>
      </c>
      <c r="F33" s="106" t="s">
        <v>135</v>
      </c>
      <c r="G33" s="107" t="s">
        <v>107</v>
      </c>
      <c r="H33" s="105"/>
      <c r="I33" s="142"/>
      <c r="K33">
        <f t="shared" si="0"/>
        <v>5</v>
      </c>
    </row>
    <row r="34" spans="1:12" ht="15.75" thickTop="1" x14ac:dyDescent="0.25">
      <c r="A34" s="186"/>
      <c r="B34" s="160" t="s">
        <v>106</v>
      </c>
      <c r="C34" s="52" t="s">
        <v>121</v>
      </c>
      <c r="D34" s="53">
        <v>2</v>
      </c>
      <c r="E34" s="53" t="s">
        <v>34</v>
      </c>
      <c r="F34" s="53">
        <v>20</v>
      </c>
      <c r="G34" s="54">
        <f>(D34-$F$36)/D34</f>
        <v>0.5</v>
      </c>
      <c r="H34" s="53"/>
      <c r="I34" s="156" t="s">
        <v>48</v>
      </c>
      <c r="K34" t="str">
        <f t="shared" si="0"/>
        <v>Pabs-PART-1</v>
      </c>
      <c r="L34" t="s">
        <v>115</v>
      </c>
    </row>
    <row r="35" spans="1:12" x14ac:dyDescent="0.25">
      <c r="A35" s="186"/>
      <c r="B35" s="160"/>
      <c r="C35" s="52" t="s">
        <v>122</v>
      </c>
      <c r="D35" s="53">
        <v>4</v>
      </c>
      <c r="E35" s="53" t="s">
        <v>128</v>
      </c>
      <c r="F35" s="53">
        <v>1</v>
      </c>
      <c r="G35" s="54">
        <f>(D35-$F$36)/D35</f>
        <v>0.75</v>
      </c>
      <c r="H35" s="53"/>
      <c r="I35" s="156"/>
      <c r="K35" t="str">
        <f t="shared" si="0"/>
        <v>Pabs-PART-2</v>
      </c>
      <c r="L35" t="s">
        <v>115</v>
      </c>
    </row>
    <row r="36" spans="1:12" x14ac:dyDescent="0.25">
      <c r="A36" s="186"/>
      <c r="B36" s="160"/>
      <c r="C36" s="52" t="s">
        <v>123</v>
      </c>
      <c r="D36" s="53">
        <v>6</v>
      </c>
      <c r="E36" s="53" t="s">
        <v>103</v>
      </c>
      <c r="F36" s="53">
        <v>1</v>
      </c>
      <c r="G36" s="54">
        <f>(D36-$F$36)/D36</f>
        <v>0.83333333333333337</v>
      </c>
      <c r="H36" s="53"/>
      <c r="I36" s="156"/>
      <c r="K36" t="str">
        <f t="shared" si="0"/>
        <v>Pabs-PART-3</v>
      </c>
      <c r="L36" t="s">
        <v>115</v>
      </c>
    </row>
    <row r="37" spans="1:12" x14ac:dyDescent="0.25">
      <c r="A37" s="186"/>
      <c r="B37" s="160"/>
      <c r="C37" s="52" t="s">
        <v>124</v>
      </c>
      <c r="D37" s="53">
        <v>8</v>
      </c>
      <c r="E37" s="55" t="s">
        <v>105</v>
      </c>
      <c r="F37" s="53">
        <v>2</v>
      </c>
      <c r="G37" s="54">
        <f>(D37-$F$36)/D37</f>
        <v>0.875</v>
      </c>
      <c r="H37" s="53"/>
      <c r="I37" s="156"/>
      <c r="K37" t="str">
        <f t="shared" ref="K37:K69" si="6">C37</f>
        <v>Pabs-PART-4</v>
      </c>
      <c r="L37" t="s">
        <v>115</v>
      </c>
    </row>
    <row r="38" spans="1:12" x14ac:dyDescent="0.25">
      <c r="A38" s="186"/>
      <c r="B38" s="160"/>
      <c r="C38" s="52" t="s">
        <v>125</v>
      </c>
      <c r="D38" s="53">
        <v>10</v>
      </c>
      <c r="E38" s="53"/>
      <c r="F38" s="53"/>
      <c r="G38" s="54">
        <f>(D38-$F$36)/D38</f>
        <v>0.9</v>
      </c>
      <c r="H38" s="53"/>
      <c r="I38" s="156"/>
      <c r="K38" t="str">
        <f t="shared" si="6"/>
        <v>Pabs-PART-5</v>
      </c>
      <c r="L38" t="s">
        <v>115</v>
      </c>
    </row>
    <row r="39" spans="1:12" ht="15" customHeight="1" thickBot="1" x14ac:dyDescent="0.3">
      <c r="A39" s="186"/>
      <c r="B39" s="108" t="s">
        <v>102</v>
      </c>
      <c r="C39" s="109">
        <f>COUNTA(C40:C44)</f>
        <v>5</v>
      </c>
      <c r="D39" s="110" t="s">
        <v>104</v>
      </c>
      <c r="E39" s="111" t="s">
        <v>134</v>
      </c>
      <c r="F39" s="112" t="s">
        <v>135</v>
      </c>
      <c r="G39" s="113"/>
      <c r="H39" s="111"/>
      <c r="I39" s="143"/>
      <c r="K39">
        <f t="shared" si="6"/>
        <v>5</v>
      </c>
    </row>
    <row r="40" spans="1:12" ht="15.75" thickTop="1" x14ac:dyDescent="0.25">
      <c r="A40" s="186"/>
      <c r="B40" s="161" t="s">
        <v>55</v>
      </c>
      <c r="C40" s="56" t="s">
        <v>129</v>
      </c>
      <c r="D40" s="57">
        <v>2</v>
      </c>
      <c r="E40" s="57" t="s">
        <v>34</v>
      </c>
      <c r="F40" s="57">
        <v>20</v>
      </c>
      <c r="G40" s="58"/>
      <c r="H40" s="57"/>
      <c r="I40" s="154" t="s">
        <v>48</v>
      </c>
      <c r="K40" t="str">
        <f t="shared" si="6"/>
        <v>Pabs-PURE-1</v>
      </c>
      <c r="L40" t="s">
        <v>115</v>
      </c>
    </row>
    <row r="41" spans="1:12" x14ac:dyDescent="0.25">
      <c r="A41" s="186"/>
      <c r="B41" s="161"/>
      <c r="C41" s="56" t="s">
        <v>130</v>
      </c>
      <c r="D41" s="57">
        <v>4</v>
      </c>
      <c r="E41" s="57" t="s">
        <v>128</v>
      </c>
      <c r="F41" s="57">
        <v>1</v>
      </c>
      <c r="G41" s="58"/>
      <c r="H41" s="57"/>
      <c r="I41" s="154"/>
      <c r="K41" t="str">
        <f t="shared" si="6"/>
        <v>Pabs-PURE-2</v>
      </c>
      <c r="L41" t="s">
        <v>115</v>
      </c>
    </row>
    <row r="42" spans="1:12" x14ac:dyDescent="0.25">
      <c r="A42" s="186"/>
      <c r="B42" s="161"/>
      <c r="C42" s="56" t="s">
        <v>131</v>
      </c>
      <c r="D42" s="57">
        <v>6</v>
      </c>
      <c r="E42" s="57" t="s">
        <v>103</v>
      </c>
      <c r="F42" s="57">
        <v>0</v>
      </c>
      <c r="G42" s="58"/>
      <c r="H42" s="57"/>
      <c r="I42" s="154"/>
      <c r="K42" t="str">
        <f t="shared" si="6"/>
        <v>Pabs-PURE-3</v>
      </c>
      <c r="L42" t="s">
        <v>115</v>
      </c>
    </row>
    <row r="43" spans="1:12" x14ac:dyDescent="0.25">
      <c r="A43" s="186"/>
      <c r="B43" s="161"/>
      <c r="C43" s="56" t="s">
        <v>132</v>
      </c>
      <c r="D43" s="57">
        <v>8</v>
      </c>
      <c r="E43" s="57" t="s">
        <v>107</v>
      </c>
      <c r="F43" s="57">
        <v>0</v>
      </c>
      <c r="G43" s="58"/>
      <c r="H43" s="57"/>
      <c r="I43" s="154"/>
      <c r="K43" t="str">
        <f t="shared" si="6"/>
        <v>Pabs-PURE-4</v>
      </c>
      <c r="L43" t="s">
        <v>115</v>
      </c>
    </row>
    <row r="44" spans="1:12" x14ac:dyDescent="0.25">
      <c r="A44" s="187"/>
      <c r="B44" s="162"/>
      <c r="C44" s="56" t="s">
        <v>133</v>
      </c>
      <c r="D44" s="59">
        <v>10</v>
      </c>
      <c r="E44" s="59"/>
      <c r="F44" s="59"/>
      <c r="G44" s="60"/>
      <c r="H44" s="59"/>
      <c r="I44" s="155"/>
      <c r="K44" t="str">
        <f t="shared" si="6"/>
        <v>Pabs-PURE-5</v>
      </c>
      <c r="L44" t="s">
        <v>115</v>
      </c>
    </row>
    <row r="45" spans="1:12" ht="15" customHeight="1" thickBot="1" x14ac:dyDescent="0.3">
      <c r="A45" s="164" t="s">
        <v>45</v>
      </c>
      <c r="B45" s="114" t="s">
        <v>102</v>
      </c>
      <c r="C45" s="115">
        <f>COUNTA(C46:C51)</f>
        <v>6</v>
      </c>
      <c r="D45" s="116" t="s">
        <v>34</v>
      </c>
      <c r="E45" s="117" t="s">
        <v>134</v>
      </c>
      <c r="F45" s="118" t="s">
        <v>135</v>
      </c>
      <c r="G45" s="119"/>
      <c r="H45" s="117"/>
      <c r="I45" s="144"/>
      <c r="K45">
        <f t="shared" si="6"/>
        <v>6</v>
      </c>
    </row>
    <row r="46" spans="1:12" ht="15.75" thickTop="1" x14ac:dyDescent="0.25">
      <c r="A46" s="165"/>
      <c r="B46" s="163" t="s">
        <v>34</v>
      </c>
      <c r="C46" s="61" t="s">
        <v>90</v>
      </c>
      <c r="D46" s="62">
        <v>5</v>
      </c>
      <c r="E46" s="63" t="s">
        <v>104</v>
      </c>
      <c r="F46" s="63">
        <v>5</v>
      </c>
      <c r="G46" s="64"/>
      <c r="H46" s="63"/>
      <c r="I46" s="149" t="s">
        <v>48</v>
      </c>
      <c r="K46" t="str">
        <f t="shared" si="6"/>
        <v>VEL-DT-NC-1</v>
      </c>
      <c r="L46" t="s">
        <v>115</v>
      </c>
    </row>
    <row r="47" spans="1:12" x14ac:dyDescent="0.25">
      <c r="A47" s="165"/>
      <c r="B47" s="163"/>
      <c r="C47" s="61" t="s">
        <v>91</v>
      </c>
      <c r="D47" s="62">
        <v>10</v>
      </c>
      <c r="E47" s="63" t="s">
        <v>128</v>
      </c>
      <c r="F47" s="63">
        <v>1</v>
      </c>
      <c r="G47" s="64"/>
      <c r="H47" s="63"/>
      <c r="I47" s="149"/>
      <c r="K47" t="str">
        <f t="shared" si="6"/>
        <v>VEL-DT-NC-2</v>
      </c>
      <c r="L47" t="s">
        <v>115</v>
      </c>
    </row>
    <row r="48" spans="1:12" x14ac:dyDescent="0.25">
      <c r="A48" s="165"/>
      <c r="B48" s="163"/>
      <c r="C48" s="61" t="s">
        <v>92</v>
      </c>
      <c r="D48" s="65">
        <v>20</v>
      </c>
      <c r="E48" s="63" t="s">
        <v>103</v>
      </c>
      <c r="F48" s="63">
        <v>1</v>
      </c>
      <c r="G48" s="64"/>
      <c r="H48" s="63"/>
      <c r="I48" s="149"/>
      <c r="K48" t="str">
        <f t="shared" si="6"/>
        <v>VEL-DT-NC-3</v>
      </c>
      <c r="L48" t="s">
        <v>115</v>
      </c>
    </row>
    <row r="49" spans="1:14" x14ac:dyDescent="0.25">
      <c r="A49" s="165"/>
      <c r="B49" s="163"/>
      <c r="C49" s="61" t="s">
        <v>93</v>
      </c>
      <c r="D49" s="65">
        <v>30</v>
      </c>
      <c r="E49" s="63" t="s">
        <v>107</v>
      </c>
      <c r="F49" s="63">
        <v>0.5</v>
      </c>
      <c r="G49" s="64"/>
      <c r="H49" s="63"/>
      <c r="I49" s="149"/>
      <c r="K49" t="str">
        <f t="shared" si="6"/>
        <v>VEL-DT-NC-4</v>
      </c>
      <c r="L49" t="s">
        <v>115</v>
      </c>
    </row>
    <row r="50" spans="1:14" x14ac:dyDescent="0.25">
      <c r="A50" s="165"/>
      <c r="B50" s="163"/>
      <c r="C50" s="61" t="s">
        <v>94</v>
      </c>
      <c r="D50" s="65">
        <v>50</v>
      </c>
      <c r="E50" s="63" t="s">
        <v>105</v>
      </c>
      <c r="F50" s="63">
        <f>F49*F46</f>
        <v>2.5</v>
      </c>
      <c r="G50" s="64"/>
      <c r="H50" s="63"/>
      <c r="I50" s="149"/>
      <c r="K50" t="str">
        <f t="shared" si="6"/>
        <v>VEL-DT-NC-5</v>
      </c>
      <c r="L50" t="s">
        <v>115</v>
      </c>
    </row>
    <row r="51" spans="1:14" x14ac:dyDescent="0.25">
      <c r="A51" s="165"/>
      <c r="B51" s="163"/>
      <c r="C51" s="61" t="s">
        <v>95</v>
      </c>
      <c r="D51" s="65">
        <v>80</v>
      </c>
      <c r="E51" s="63"/>
      <c r="F51" s="63"/>
      <c r="G51" s="64"/>
      <c r="H51" s="63"/>
      <c r="I51" s="149"/>
      <c r="K51" t="str">
        <f t="shared" si="6"/>
        <v>VEL-DT-NC-6</v>
      </c>
      <c r="L51" t="s">
        <v>115</v>
      </c>
    </row>
    <row r="52" spans="1:14" ht="15" customHeight="1" thickBot="1" x14ac:dyDescent="0.3">
      <c r="A52" s="165"/>
      <c r="B52" s="120" t="s">
        <v>102</v>
      </c>
      <c r="C52" s="121">
        <f>COUNTA(C53:C57)</f>
        <v>5</v>
      </c>
      <c r="D52" s="122" t="s">
        <v>128</v>
      </c>
      <c r="E52" s="122" t="s">
        <v>134</v>
      </c>
      <c r="F52" s="123" t="s">
        <v>135</v>
      </c>
      <c r="G52" s="124"/>
      <c r="H52" s="122"/>
      <c r="I52" s="145"/>
      <c r="K52">
        <f t="shared" si="6"/>
        <v>5</v>
      </c>
    </row>
    <row r="53" spans="1:14" ht="15.75" thickTop="1" x14ac:dyDescent="0.25">
      <c r="A53" s="165"/>
      <c r="B53" s="167" t="s">
        <v>136</v>
      </c>
      <c r="C53" s="66" t="s">
        <v>96</v>
      </c>
      <c r="D53" s="67">
        <v>1</v>
      </c>
      <c r="E53" s="67" t="s">
        <v>104</v>
      </c>
      <c r="F53" s="67">
        <v>5</v>
      </c>
      <c r="G53" s="68"/>
      <c r="H53" s="67"/>
      <c r="I53" s="150" t="s">
        <v>48</v>
      </c>
      <c r="K53" t="str">
        <f t="shared" si="6"/>
        <v>VEL-CLNT-NC-1</v>
      </c>
      <c r="L53" t="s">
        <v>115</v>
      </c>
    </row>
    <row r="54" spans="1:14" x14ac:dyDescent="0.25">
      <c r="A54" s="165"/>
      <c r="B54" s="167"/>
      <c r="C54" s="66" t="s">
        <v>97</v>
      </c>
      <c r="D54" s="67">
        <v>2</v>
      </c>
      <c r="E54" s="67" t="s">
        <v>34</v>
      </c>
      <c r="F54" s="67">
        <v>20</v>
      </c>
      <c r="G54" s="68"/>
      <c r="H54" s="67"/>
      <c r="I54" s="150"/>
      <c r="K54" t="str">
        <f t="shared" si="6"/>
        <v>VEL-CLNT-NC-2</v>
      </c>
      <c r="L54" t="s">
        <v>115</v>
      </c>
    </row>
    <row r="55" spans="1:14" x14ac:dyDescent="0.25">
      <c r="A55" s="165"/>
      <c r="B55" s="167"/>
      <c r="C55" s="66" t="s">
        <v>98</v>
      </c>
      <c r="D55" s="67">
        <v>3</v>
      </c>
      <c r="E55" s="67" t="s">
        <v>103</v>
      </c>
      <c r="F55" s="67">
        <v>1</v>
      </c>
      <c r="G55" s="68"/>
      <c r="H55" s="67"/>
      <c r="I55" s="150"/>
      <c r="K55" t="str">
        <f t="shared" si="6"/>
        <v>VEL-CLNT-NC-3</v>
      </c>
      <c r="L55" t="s">
        <v>115</v>
      </c>
    </row>
    <row r="56" spans="1:14" x14ac:dyDescent="0.25">
      <c r="A56" s="165"/>
      <c r="B56" s="167"/>
      <c r="C56" s="66" t="s">
        <v>99</v>
      </c>
      <c r="D56" s="67">
        <v>4</v>
      </c>
      <c r="E56" s="67" t="s">
        <v>107</v>
      </c>
      <c r="F56" s="67">
        <v>0.5</v>
      </c>
      <c r="G56" s="68"/>
      <c r="H56" s="67"/>
      <c r="I56" s="150"/>
      <c r="K56" t="str">
        <f t="shared" si="6"/>
        <v>VEL-CLNT-NC-4</v>
      </c>
      <c r="L56" t="s">
        <v>115</v>
      </c>
    </row>
    <row r="57" spans="1:14" x14ac:dyDescent="0.25">
      <c r="A57" s="165"/>
      <c r="B57" s="167"/>
      <c r="C57" s="66" t="s">
        <v>100</v>
      </c>
      <c r="D57" s="67">
        <v>5</v>
      </c>
      <c r="E57" s="67" t="s">
        <v>105</v>
      </c>
      <c r="F57" s="67">
        <f>F56*F53</f>
        <v>2.5</v>
      </c>
      <c r="G57" s="68"/>
      <c r="H57" s="67"/>
      <c r="I57" s="150"/>
      <c r="K57" t="str">
        <f t="shared" si="6"/>
        <v>VEL-CLNT-NC-5</v>
      </c>
      <c r="L57" t="s">
        <v>115</v>
      </c>
    </row>
    <row r="58" spans="1:14" ht="15.75" thickBot="1" x14ac:dyDescent="0.3">
      <c r="A58" s="165"/>
      <c r="B58" s="125" t="s">
        <v>102</v>
      </c>
      <c r="C58" s="126">
        <f>COUNTA(C59:C64)</f>
        <v>6</v>
      </c>
      <c r="D58" s="127" t="s">
        <v>34</v>
      </c>
      <c r="E58" s="128" t="s">
        <v>134</v>
      </c>
      <c r="F58" s="129" t="s">
        <v>135</v>
      </c>
      <c r="G58" s="130"/>
      <c r="H58" s="128"/>
      <c r="I58" s="146"/>
      <c r="K58">
        <f t="shared" si="6"/>
        <v>6</v>
      </c>
    </row>
    <row r="59" spans="1:14" ht="15.75" thickTop="1" x14ac:dyDescent="0.25">
      <c r="A59" s="165"/>
      <c r="B59" s="168" t="s">
        <v>78</v>
      </c>
      <c r="C59" s="69" t="s">
        <v>79</v>
      </c>
      <c r="D59" s="70">
        <v>5</v>
      </c>
      <c r="E59" s="71" t="s">
        <v>104</v>
      </c>
      <c r="F59" s="71">
        <v>5</v>
      </c>
      <c r="G59" s="72"/>
      <c r="H59" s="71"/>
      <c r="I59" s="151" t="s">
        <v>48</v>
      </c>
      <c r="K59" t="str">
        <f t="shared" si="6"/>
        <v>VEL-DT-PURE-1</v>
      </c>
      <c r="L59" t="s">
        <v>115</v>
      </c>
    </row>
    <row r="60" spans="1:14" x14ac:dyDescent="0.25">
      <c r="A60" s="165"/>
      <c r="B60" s="168"/>
      <c r="C60" s="69" t="s">
        <v>80</v>
      </c>
      <c r="D60" s="70">
        <v>10</v>
      </c>
      <c r="E60" s="71" t="s">
        <v>128</v>
      </c>
      <c r="F60" s="71">
        <v>1</v>
      </c>
      <c r="G60" s="72"/>
      <c r="H60" s="71"/>
      <c r="I60" s="151"/>
      <c r="K60" t="str">
        <f t="shared" si="6"/>
        <v>VEL-DT-PURE-2</v>
      </c>
      <c r="L60" t="s">
        <v>115</v>
      </c>
    </row>
    <row r="61" spans="1:14" x14ac:dyDescent="0.25">
      <c r="A61" s="165"/>
      <c r="B61" s="168"/>
      <c r="C61" s="69" t="s">
        <v>81</v>
      </c>
      <c r="D61" s="73">
        <v>20</v>
      </c>
      <c r="E61" s="71" t="s">
        <v>103</v>
      </c>
      <c r="F61" s="71">
        <v>1</v>
      </c>
      <c r="G61" s="72"/>
      <c r="H61" s="71"/>
      <c r="I61" s="151"/>
      <c r="K61" t="str">
        <f t="shared" si="6"/>
        <v>VEL-DT-PURE-3</v>
      </c>
      <c r="L61" t="s">
        <v>115</v>
      </c>
    </row>
    <row r="62" spans="1:14" x14ac:dyDescent="0.25">
      <c r="A62" s="165"/>
      <c r="B62" s="168"/>
      <c r="C62" s="69" t="s">
        <v>82</v>
      </c>
      <c r="D62" s="73">
        <v>30</v>
      </c>
      <c r="E62" s="71" t="s">
        <v>107</v>
      </c>
      <c r="F62" s="71">
        <v>0.5</v>
      </c>
      <c r="G62" s="72"/>
      <c r="H62" s="71"/>
      <c r="I62" s="151"/>
      <c r="K62" t="str">
        <f t="shared" si="6"/>
        <v>VEL-DT-PURE-4</v>
      </c>
      <c r="L62" t="s">
        <v>115</v>
      </c>
    </row>
    <row r="63" spans="1:14" x14ac:dyDescent="0.25">
      <c r="A63" s="165"/>
      <c r="B63" s="168"/>
      <c r="C63" s="69" t="s">
        <v>83</v>
      </c>
      <c r="D63" s="73">
        <v>50</v>
      </c>
      <c r="E63" s="71" t="s">
        <v>105</v>
      </c>
      <c r="F63" s="71">
        <f>F62*F59</f>
        <v>2.5</v>
      </c>
      <c r="G63" s="72"/>
      <c r="H63" s="71"/>
      <c r="I63" s="151"/>
      <c r="J63" s="4"/>
      <c r="K63" t="str">
        <f t="shared" si="6"/>
        <v>VEL-DT-PURE-5</v>
      </c>
      <c r="L63" t="s">
        <v>115</v>
      </c>
      <c r="N63" s="20"/>
    </row>
    <row r="64" spans="1:14" x14ac:dyDescent="0.25">
      <c r="A64" s="165"/>
      <c r="B64" s="168"/>
      <c r="C64" s="69" t="s">
        <v>84</v>
      </c>
      <c r="D64" s="73">
        <v>80</v>
      </c>
      <c r="E64" s="71"/>
      <c r="F64" s="71"/>
      <c r="G64" s="72"/>
      <c r="H64" s="71"/>
      <c r="I64" s="151"/>
      <c r="K64" t="str">
        <f t="shared" si="6"/>
        <v>VEL-DT-PURE-6</v>
      </c>
      <c r="L64" t="s">
        <v>115</v>
      </c>
      <c r="M64" s="20"/>
      <c r="N64" s="20"/>
    </row>
    <row r="65" spans="1:15" ht="15" customHeight="1" thickBot="1" x14ac:dyDescent="0.3">
      <c r="A65" s="165"/>
      <c r="B65" s="131" t="s">
        <v>102</v>
      </c>
      <c r="C65" s="132">
        <f>COUNTA(C66:C70)</f>
        <v>5</v>
      </c>
      <c r="D65" s="133" t="s">
        <v>128</v>
      </c>
      <c r="E65" s="133" t="s">
        <v>134</v>
      </c>
      <c r="F65" s="134" t="s">
        <v>135</v>
      </c>
      <c r="G65" s="135"/>
      <c r="H65" s="133"/>
      <c r="I65" s="147"/>
      <c r="K65">
        <f t="shared" si="6"/>
        <v>5</v>
      </c>
    </row>
    <row r="66" spans="1:15" ht="15.75" thickTop="1" x14ac:dyDescent="0.25">
      <c r="A66" s="165"/>
      <c r="B66" s="169" t="s">
        <v>137</v>
      </c>
      <c r="C66" s="74" t="s">
        <v>85</v>
      </c>
      <c r="D66" s="75">
        <v>1</v>
      </c>
      <c r="E66" s="75" t="s">
        <v>104</v>
      </c>
      <c r="F66" s="75">
        <v>5</v>
      </c>
      <c r="G66" s="76"/>
      <c r="H66" s="75"/>
      <c r="I66" s="152" t="s">
        <v>48</v>
      </c>
      <c r="K66" t="str">
        <f t="shared" si="6"/>
        <v>VEL-CLNT-PURE-1</v>
      </c>
      <c r="L66" t="s">
        <v>115</v>
      </c>
    </row>
    <row r="67" spans="1:15" x14ac:dyDescent="0.25">
      <c r="A67" s="165"/>
      <c r="B67" s="169"/>
      <c r="C67" s="74" t="s">
        <v>86</v>
      </c>
      <c r="D67" s="75">
        <v>2</v>
      </c>
      <c r="E67" s="75" t="s">
        <v>34</v>
      </c>
      <c r="F67" s="75">
        <v>20</v>
      </c>
      <c r="G67" s="76"/>
      <c r="H67" s="75"/>
      <c r="I67" s="152"/>
      <c r="K67" t="str">
        <f t="shared" si="6"/>
        <v>VEL-CLNT-PURE-2</v>
      </c>
      <c r="L67" t="s">
        <v>115</v>
      </c>
    </row>
    <row r="68" spans="1:15" x14ac:dyDescent="0.25">
      <c r="A68" s="165"/>
      <c r="B68" s="169"/>
      <c r="C68" s="74" t="s">
        <v>87</v>
      </c>
      <c r="D68" s="75">
        <v>3</v>
      </c>
      <c r="E68" s="75" t="s">
        <v>103</v>
      </c>
      <c r="F68" s="75">
        <v>1</v>
      </c>
      <c r="G68" s="76"/>
      <c r="H68" s="75"/>
      <c r="I68" s="152"/>
      <c r="K68" t="str">
        <f t="shared" si="6"/>
        <v>VEL-CLNT-PURE-3</v>
      </c>
      <c r="L68" t="s">
        <v>115</v>
      </c>
    </row>
    <row r="69" spans="1:15" x14ac:dyDescent="0.25">
      <c r="A69" s="165"/>
      <c r="B69" s="169"/>
      <c r="C69" s="74" t="s">
        <v>88</v>
      </c>
      <c r="D69" s="75">
        <v>4</v>
      </c>
      <c r="E69" s="75" t="s">
        <v>107</v>
      </c>
      <c r="F69" s="75">
        <v>0.5</v>
      </c>
      <c r="G69" s="76"/>
      <c r="H69" s="75"/>
      <c r="I69" s="152"/>
      <c r="K69" t="str">
        <f t="shared" si="6"/>
        <v>VEL-CLNT-PURE-4</v>
      </c>
      <c r="L69" t="s">
        <v>115</v>
      </c>
    </row>
    <row r="70" spans="1:15" x14ac:dyDescent="0.25">
      <c r="A70" s="166"/>
      <c r="B70" s="170"/>
      <c r="C70" s="77" t="s">
        <v>89</v>
      </c>
      <c r="D70" s="78">
        <v>5</v>
      </c>
      <c r="E70" s="75" t="s">
        <v>105</v>
      </c>
      <c r="F70" s="75">
        <f>F69*F66</f>
        <v>2.5</v>
      </c>
      <c r="G70" s="79"/>
      <c r="H70" s="78"/>
      <c r="I70" s="153"/>
      <c r="K70" t="str">
        <f t="shared" ref="K70" si="7">C70</f>
        <v>VEL-CLNT-PURE-5</v>
      </c>
      <c r="L70" t="s">
        <v>115</v>
      </c>
    </row>
    <row r="71" spans="1:15" x14ac:dyDescent="0.25">
      <c r="L71" s="13"/>
    </row>
    <row r="72" spans="1:15" x14ac:dyDescent="0.25">
      <c r="D72" s="11"/>
      <c r="L72" s="13"/>
    </row>
    <row r="73" spans="1:15" x14ac:dyDescent="0.25">
      <c r="L73" s="13"/>
    </row>
    <row r="75" spans="1:15" x14ac:dyDescent="0.25">
      <c r="O75" s="1"/>
    </row>
    <row r="76" spans="1:15" x14ac:dyDescent="0.25">
      <c r="L76" s="12"/>
      <c r="O76" s="1"/>
    </row>
    <row r="85" spans="10:12" x14ac:dyDescent="0.25">
      <c r="J85" s="19"/>
      <c r="K85" s="13"/>
      <c r="L85" s="13"/>
    </row>
    <row r="86" spans="10:12" x14ac:dyDescent="0.25">
      <c r="J86" s="19"/>
      <c r="K86" s="13"/>
      <c r="L86" s="13"/>
    </row>
  </sheetData>
  <mergeCells count="26">
    <mergeCell ref="I22:I26"/>
    <mergeCell ref="A27:A44"/>
    <mergeCell ref="G4:H4"/>
    <mergeCell ref="E4:F4"/>
    <mergeCell ref="A5:A20"/>
    <mergeCell ref="B14:B20"/>
    <mergeCell ref="B6:B12"/>
    <mergeCell ref="I6:I12"/>
    <mergeCell ref="I14:I20"/>
    <mergeCell ref="A45:A70"/>
    <mergeCell ref="B53:B57"/>
    <mergeCell ref="B59:B64"/>
    <mergeCell ref="B66:B70"/>
    <mergeCell ref="A21:A26"/>
    <mergeCell ref="B28:B32"/>
    <mergeCell ref="B22:B26"/>
    <mergeCell ref="B34:B38"/>
    <mergeCell ref="B40:B44"/>
    <mergeCell ref="B46:B51"/>
    <mergeCell ref="I28:I32"/>
    <mergeCell ref="I46:I51"/>
    <mergeCell ref="I53:I57"/>
    <mergeCell ref="I59:I64"/>
    <mergeCell ref="I66:I70"/>
    <mergeCell ref="I40:I44"/>
    <mergeCell ref="I34:I38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zoomScale="85" zoomScaleNormal="85" workbookViewId="0">
      <selection activeCell="F40" sqref="F40"/>
    </sheetView>
  </sheetViews>
  <sheetFormatPr defaultRowHeight="15" x14ac:dyDescent="0.25"/>
  <cols>
    <col min="1" max="1" width="14.140625" customWidth="1"/>
    <col min="2" max="2" width="10" customWidth="1"/>
    <col min="3" max="3" width="10.7109375" customWidth="1"/>
    <col min="4" max="5" width="11.7109375" customWidth="1"/>
    <col min="6" max="6" width="12.42578125" customWidth="1"/>
    <col min="7" max="8" width="10" customWidth="1"/>
    <col min="9" max="9" width="11.7109375" customWidth="1"/>
    <col min="10" max="10" width="11.5703125" customWidth="1"/>
    <col min="11" max="11" width="10" customWidth="1"/>
    <col min="12" max="12" width="14" customWidth="1"/>
    <col min="13" max="13" width="11.42578125" customWidth="1"/>
    <col min="15" max="15" width="11.42578125" customWidth="1"/>
    <col min="16" max="16" width="10.85546875" customWidth="1"/>
    <col min="18" max="18" width="11.28515625" customWidth="1"/>
  </cols>
  <sheetData>
    <row r="1" spans="1:25" x14ac:dyDescent="0.25">
      <c r="B1" s="4" t="s">
        <v>8</v>
      </c>
      <c r="C1" s="4" t="s">
        <v>9</v>
      </c>
      <c r="D1" s="4" t="s">
        <v>10</v>
      </c>
      <c r="E1" s="4"/>
    </row>
    <row r="2" spans="1:25" x14ac:dyDescent="0.25">
      <c r="A2" s="4" t="s">
        <v>5</v>
      </c>
      <c r="B2">
        <v>28</v>
      </c>
      <c r="C2">
        <v>4.0026020000000004</v>
      </c>
      <c r="D2">
        <v>18.015000000000001</v>
      </c>
    </row>
    <row r="4" spans="1:25" x14ac:dyDescent="0.25">
      <c r="A4" s="11" t="s">
        <v>3</v>
      </c>
      <c r="B4" s="4" t="s">
        <v>44</v>
      </c>
      <c r="C4" s="11"/>
      <c r="F4" s="11" t="s">
        <v>4</v>
      </c>
      <c r="G4" s="4" t="s">
        <v>42</v>
      </c>
      <c r="J4" s="189" t="s">
        <v>45</v>
      </c>
      <c r="K4" s="189"/>
      <c r="L4" s="20"/>
      <c r="M4" s="20"/>
      <c r="N4" s="20"/>
      <c r="S4" s="11"/>
      <c r="T4" s="11"/>
      <c r="U4" s="11"/>
      <c r="X4" s="11"/>
      <c r="Y4" s="11"/>
    </row>
    <row r="5" spans="1:25" x14ac:dyDescent="0.25">
      <c r="A5" t="s">
        <v>34</v>
      </c>
      <c r="B5" s="12">
        <v>20</v>
      </c>
      <c r="C5" s="11"/>
      <c r="F5" t="s">
        <v>34</v>
      </c>
      <c r="G5" s="12">
        <v>20</v>
      </c>
      <c r="H5" s="12"/>
      <c r="J5" s="189"/>
      <c r="K5" s="189"/>
      <c r="L5" s="20"/>
      <c r="M5" s="20"/>
      <c r="N5" s="20"/>
      <c r="S5" s="12"/>
      <c r="T5" s="11"/>
      <c r="U5" s="11"/>
      <c r="W5" s="11"/>
      <c r="X5" s="11"/>
      <c r="Y5" s="11"/>
    </row>
    <row r="6" spans="1:25" x14ac:dyDescent="0.25">
      <c r="A6" t="s">
        <v>35</v>
      </c>
      <c r="B6">
        <v>1</v>
      </c>
      <c r="F6" t="s">
        <v>35</v>
      </c>
      <c r="G6">
        <v>1</v>
      </c>
      <c r="J6" s="11" t="s">
        <v>34</v>
      </c>
      <c r="L6" s="11"/>
    </row>
    <row r="7" spans="1:25" x14ac:dyDescent="0.25">
      <c r="A7" t="s">
        <v>33</v>
      </c>
      <c r="B7">
        <v>0.5</v>
      </c>
      <c r="F7" t="s">
        <v>33</v>
      </c>
      <c r="G7">
        <v>0.5</v>
      </c>
      <c r="J7" s="13" t="s">
        <v>1</v>
      </c>
      <c r="K7" s="12">
        <v>5</v>
      </c>
      <c r="L7" s="11"/>
    </row>
    <row r="8" spans="1:25" x14ac:dyDescent="0.25">
      <c r="A8" t="s">
        <v>1</v>
      </c>
      <c r="B8">
        <v>5</v>
      </c>
      <c r="F8" t="s">
        <v>0</v>
      </c>
      <c r="G8">
        <v>0.5</v>
      </c>
      <c r="J8" t="s">
        <v>35</v>
      </c>
      <c r="K8">
        <v>1</v>
      </c>
    </row>
    <row r="9" spans="1:25" x14ac:dyDescent="0.25">
      <c r="A9" s="9" t="s">
        <v>0</v>
      </c>
      <c r="B9" s="10" t="s">
        <v>41</v>
      </c>
      <c r="C9" s="9" t="s">
        <v>2</v>
      </c>
      <c r="F9" s="9" t="s">
        <v>1</v>
      </c>
      <c r="G9" s="9" t="s">
        <v>2</v>
      </c>
      <c r="H9" s="13"/>
      <c r="J9" t="s">
        <v>33</v>
      </c>
      <c r="K9">
        <v>0.5</v>
      </c>
      <c r="L9" s="2"/>
    </row>
    <row r="10" spans="1:25" x14ac:dyDescent="0.25">
      <c r="A10" s="9">
        <v>0</v>
      </c>
      <c r="B10" s="10">
        <f t="shared" ref="B10:B16" si="0">(A10*$B$7*$B$2+A10*(1-$B$7)*$C$2)/(A10*$B$7*$B$2+A10*(1-$B$7)*$C$2+(1-A10*$B$7-A10*(1-$B$7))*$D$2)</f>
        <v>0</v>
      </c>
      <c r="C10" s="9">
        <f t="shared" ref="C10:C16" si="1">$B$8*(1-A10)</f>
        <v>5</v>
      </c>
      <c r="F10" s="9">
        <v>2</v>
      </c>
      <c r="G10" s="9">
        <f>F10*(1-$G$8)</f>
        <v>1</v>
      </c>
      <c r="H10" s="13"/>
      <c r="J10" t="s">
        <v>0</v>
      </c>
      <c r="K10">
        <v>0.5</v>
      </c>
    </row>
    <row r="11" spans="1:25" x14ac:dyDescent="0.25">
      <c r="A11" s="9">
        <v>0.1</v>
      </c>
      <c r="B11" s="10">
        <f t="shared" si="0"/>
        <v>8.9826166312951566E-2</v>
      </c>
      <c r="C11" s="9">
        <f t="shared" si="1"/>
        <v>4.5</v>
      </c>
      <c r="F11" s="9">
        <v>4</v>
      </c>
      <c r="G11" s="9">
        <f>F11*(1-$G$8)</f>
        <v>2</v>
      </c>
      <c r="H11" s="13"/>
      <c r="J11" t="s">
        <v>39</v>
      </c>
      <c r="K11">
        <f>K10*K7</f>
        <v>2.5</v>
      </c>
    </row>
    <row r="12" spans="1:25" x14ac:dyDescent="0.25">
      <c r="A12" s="9">
        <v>0.2</v>
      </c>
      <c r="B12" s="10">
        <f t="shared" si="0"/>
        <v>0.18170638882566589</v>
      </c>
      <c r="C12" s="9">
        <f t="shared" si="1"/>
        <v>4</v>
      </c>
      <c r="F12" s="9">
        <v>6</v>
      </c>
      <c r="G12" s="9">
        <f>F12*(1-$G$8)</f>
        <v>3</v>
      </c>
      <c r="H12" s="13"/>
      <c r="J12" s="14" t="s">
        <v>34</v>
      </c>
    </row>
    <row r="13" spans="1:25" x14ac:dyDescent="0.25">
      <c r="A13" s="9">
        <v>0.3</v>
      </c>
      <c r="B13" s="10">
        <f t="shared" si="0"/>
        <v>0.27571193760263946</v>
      </c>
      <c r="C13" s="9">
        <f t="shared" si="1"/>
        <v>3.5</v>
      </c>
      <c r="F13" s="9">
        <v>8</v>
      </c>
      <c r="G13" s="9">
        <f>F13*(1-$G$8)</f>
        <v>4</v>
      </c>
      <c r="H13" s="13"/>
      <c r="J13" s="15">
        <v>5</v>
      </c>
    </row>
    <row r="14" spans="1:25" x14ac:dyDescent="0.25">
      <c r="A14" s="9">
        <v>0.5</v>
      </c>
      <c r="B14" s="10">
        <f t="shared" si="0"/>
        <v>0.47040097040533602</v>
      </c>
      <c r="C14" s="9">
        <f t="shared" si="1"/>
        <v>2.5</v>
      </c>
      <c r="F14" s="9">
        <v>10</v>
      </c>
      <c r="G14" s="9">
        <f>F14*(1-$G$8)</f>
        <v>5</v>
      </c>
      <c r="H14" s="13"/>
      <c r="J14" s="15">
        <v>10</v>
      </c>
    </row>
    <row r="15" spans="1:25" x14ac:dyDescent="0.25">
      <c r="A15" s="9">
        <v>0.7</v>
      </c>
      <c r="B15" s="10">
        <f t="shared" si="0"/>
        <v>0.67453379518038659</v>
      </c>
      <c r="C15" s="9">
        <f t="shared" si="1"/>
        <v>1.5000000000000002</v>
      </c>
      <c r="J15" s="16">
        <v>20</v>
      </c>
    </row>
    <row r="16" spans="1:25" x14ac:dyDescent="0.25">
      <c r="A16" s="9">
        <v>0.9</v>
      </c>
      <c r="B16" s="10">
        <f t="shared" si="0"/>
        <v>0.88881462746984508</v>
      </c>
      <c r="C16" s="9">
        <f t="shared" si="1"/>
        <v>0.49999999999999989</v>
      </c>
      <c r="F16" s="11" t="s">
        <v>4</v>
      </c>
      <c r="G16" s="4" t="s">
        <v>43</v>
      </c>
      <c r="J16" s="16">
        <v>30</v>
      </c>
      <c r="K16" s="1"/>
    </row>
    <row r="17" spans="1:31" x14ac:dyDescent="0.25">
      <c r="F17" t="s">
        <v>34</v>
      </c>
      <c r="G17" s="12">
        <v>20</v>
      </c>
      <c r="H17" s="12"/>
      <c r="J17" s="16">
        <v>50</v>
      </c>
      <c r="K17" s="1"/>
      <c r="L17" s="1"/>
    </row>
    <row r="18" spans="1:31" x14ac:dyDescent="0.25">
      <c r="A18" s="11" t="s">
        <v>3</v>
      </c>
      <c r="B18" s="4" t="s">
        <v>43</v>
      </c>
      <c r="F18" t="s">
        <v>35</v>
      </c>
      <c r="G18">
        <v>1</v>
      </c>
      <c r="J18" s="16">
        <v>80</v>
      </c>
    </row>
    <row r="19" spans="1:31" x14ac:dyDescent="0.25">
      <c r="A19" t="s">
        <v>34</v>
      </c>
      <c r="B19" s="12">
        <v>20</v>
      </c>
      <c r="F19" t="s">
        <v>33</v>
      </c>
      <c r="G19">
        <v>0.5</v>
      </c>
    </row>
    <row r="20" spans="1:31" x14ac:dyDescent="0.25">
      <c r="A20" t="s">
        <v>35</v>
      </c>
      <c r="B20">
        <v>1</v>
      </c>
      <c r="F20" s="17" t="s">
        <v>1</v>
      </c>
      <c r="G20" s="9" t="s">
        <v>0</v>
      </c>
      <c r="H20" s="9" t="s">
        <v>2</v>
      </c>
      <c r="J20" s="4" t="s">
        <v>36</v>
      </c>
    </row>
    <row r="21" spans="1:31" x14ac:dyDescent="0.25">
      <c r="A21" t="s">
        <v>33</v>
      </c>
      <c r="B21">
        <v>0.5</v>
      </c>
      <c r="F21" s="9">
        <v>2</v>
      </c>
      <c r="G21" s="17">
        <f>(F21-H21)/F21</f>
        <v>0</v>
      </c>
      <c r="H21" s="9">
        <v>2</v>
      </c>
      <c r="J21" s="13" t="s">
        <v>1</v>
      </c>
      <c r="K21" s="12">
        <v>5</v>
      </c>
    </row>
    <row r="22" spans="1:31" x14ac:dyDescent="0.25">
      <c r="A22" s="9" t="s">
        <v>0</v>
      </c>
      <c r="B22" s="17" t="s">
        <v>1</v>
      </c>
      <c r="C22" s="9" t="s">
        <v>2</v>
      </c>
      <c r="F22" s="9">
        <v>4</v>
      </c>
      <c r="G22" s="17">
        <f>(F22-H22)/F22</f>
        <v>0.5</v>
      </c>
      <c r="H22" s="9">
        <v>2</v>
      </c>
      <c r="J22" t="s">
        <v>34</v>
      </c>
      <c r="K22">
        <v>20</v>
      </c>
    </row>
    <row r="23" spans="1:31" x14ac:dyDescent="0.25">
      <c r="A23" s="9">
        <v>0</v>
      </c>
      <c r="B23" s="17">
        <f>C23/(1-A23)</f>
        <v>2</v>
      </c>
      <c r="C23" s="9">
        <v>2</v>
      </c>
      <c r="F23" s="9">
        <v>6</v>
      </c>
      <c r="G23" s="17">
        <f t="shared" ref="G23:G25" si="2">(F23-H23)/F23</f>
        <v>0.66666666666666663</v>
      </c>
      <c r="H23" s="9">
        <v>2</v>
      </c>
      <c r="J23" t="s">
        <v>33</v>
      </c>
      <c r="K23">
        <v>0.5</v>
      </c>
    </row>
    <row r="24" spans="1:31" x14ac:dyDescent="0.25">
      <c r="A24" s="9">
        <v>0.1</v>
      </c>
      <c r="B24" s="17">
        <f t="shared" ref="B24:B29" si="3">C24/(1-A24)</f>
        <v>2.2222222222222223</v>
      </c>
      <c r="C24" s="9">
        <v>2</v>
      </c>
      <c r="F24" s="9">
        <v>8</v>
      </c>
      <c r="G24" s="17">
        <f t="shared" si="2"/>
        <v>0.75</v>
      </c>
      <c r="H24" s="9">
        <v>2</v>
      </c>
      <c r="J24" t="s">
        <v>0</v>
      </c>
      <c r="K24">
        <v>0.5</v>
      </c>
    </row>
    <row r="25" spans="1:31" x14ac:dyDescent="0.25">
      <c r="A25" s="9">
        <v>0.2</v>
      </c>
      <c r="B25" s="17">
        <f t="shared" si="3"/>
        <v>2.5</v>
      </c>
      <c r="C25" s="9">
        <v>2</v>
      </c>
      <c r="F25" s="9">
        <v>10</v>
      </c>
      <c r="G25" s="17">
        <f t="shared" si="2"/>
        <v>0.8</v>
      </c>
      <c r="H25" s="9">
        <v>2</v>
      </c>
      <c r="J25" t="s">
        <v>39</v>
      </c>
      <c r="K25">
        <f>K24*K21</f>
        <v>2.5</v>
      </c>
    </row>
    <row r="26" spans="1:31" x14ac:dyDescent="0.25">
      <c r="A26" s="9">
        <v>0.3</v>
      </c>
      <c r="B26" s="17">
        <f t="shared" si="3"/>
        <v>2.8571428571428572</v>
      </c>
      <c r="C26" s="9">
        <v>2</v>
      </c>
      <c r="F26" s="19"/>
      <c r="G26" s="13"/>
      <c r="H26" s="13"/>
      <c r="J26" s="9" t="s">
        <v>35</v>
      </c>
      <c r="AE26" s="11"/>
    </row>
    <row r="27" spans="1:31" x14ac:dyDescent="0.25">
      <c r="A27" s="9">
        <v>0.5</v>
      </c>
      <c r="B27" s="17">
        <f t="shared" si="3"/>
        <v>4</v>
      </c>
      <c r="C27" s="9">
        <v>2</v>
      </c>
      <c r="F27" s="19"/>
      <c r="G27" s="13"/>
      <c r="H27" s="13"/>
      <c r="J27" s="9">
        <v>1</v>
      </c>
    </row>
    <row r="28" spans="1:31" x14ac:dyDescent="0.25">
      <c r="A28" s="9">
        <v>0.7</v>
      </c>
      <c r="B28" s="17">
        <f t="shared" si="3"/>
        <v>6.6666666666666661</v>
      </c>
      <c r="C28" s="9">
        <v>2</v>
      </c>
      <c r="J28" s="9">
        <v>2</v>
      </c>
    </row>
    <row r="29" spans="1:31" x14ac:dyDescent="0.25">
      <c r="A29" s="9">
        <v>0.8</v>
      </c>
      <c r="B29" s="17">
        <f t="shared" si="3"/>
        <v>10.000000000000002</v>
      </c>
      <c r="C29" s="9">
        <v>2</v>
      </c>
      <c r="J29" s="9">
        <v>3</v>
      </c>
    </row>
    <row r="30" spans="1:31" x14ac:dyDescent="0.25">
      <c r="J30" s="9">
        <v>4</v>
      </c>
    </row>
    <row r="31" spans="1:31" x14ac:dyDescent="0.25">
      <c r="A31" s="4" t="s">
        <v>37</v>
      </c>
      <c r="J31" s="9">
        <v>5</v>
      </c>
    </row>
    <row r="32" spans="1:31" x14ac:dyDescent="0.25">
      <c r="A32" t="s">
        <v>34</v>
      </c>
      <c r="B32" s="12">
        <v>20</v>
      </c>
    </row>
    <row r="33" spans="1:5" x14ac:dyDescent="0.25">
      <c r="A33" t="s">
        <v>35</v>
      </c>
      <c r="B33">
        <v>1</v>
      </c>
    </row>
    <row r="34" spans="1:5" x14ac:dyDescent="0.25">
      <c r="A34" t="s">
        <v>33</v>
      </c>
      <c r="B34">
        <v>0.5</v>
      </c>
    </row>
    <row r="35" spans="1:5" x14ac:dyDescent="0.25">
      <c r="A35" t="s">
        <v>38</v>
      </c>
      <c r="B35">
        <f>B34*B2/(B34*B2+(1-B34)*C2)</f>
        <v>0.87492885734728687</v>
      </c>
    </row>
    <row r="36" spans="1:5" x14ac:dyDescent="0.25">
      <c r="A36" t="s">
        <v>1</v>
      </c>
      <c r="B36">
        <v>5</v>
      </c>
    </row>
    <row r="37" spans="1:5" x14ac:dyDescent="0.25">
      <c r="A37" s="9" t="s">
        <v>12</v>
      </c>
      <c r="B37" s="10" t="s">
        <v>18</v>
      </c>
      <c r="C37" s="10" t="s">
        <v>19</v>
      </c>
      <c r="D37" s="10" t="s">
        <v>11</v>
      </c>
      <c r="E37" s="9" t="s">
        <v>2</v>
      </c>
    </row>
    <row r="38" spans="1:5" x14ac:dyDescent="0.25">
      <c r="A38" s="9">
        <v>0</v>
      </c>
      <c r="B38" s="10">
        <f t="shared" ref="B38:B44" si="4">A38*$B$35</f>
        <v>0</v>
      </c>
      <c r="C38" s="10">
        <f t="shared" ref="C38:C44" si="5">A38*(1-$B$35)</f>
        <v>0</v>
      </c>
      <c r="D38" s="18">
        <f t="shared" ref="D38:D44" si="6">(B38/$B$2+C38/$C$2)/(B38/$B$2+C38/$C$2+(1-B38-C38)/$D$2)</f>
        <v>0</v>
      </c>
      <c r="E38" s="9">
        <f t="shared" ref="E38:E44" si="7">$B$8*(1-D38)</f>
        <v>5</v>
      </c>
    </row>
    <row r="39" spans="1:5" x14ac:dyDescent="0.25">
      <c r="A39" s="9">
        <v>0.1</v>
      </c>
      <c r="B39" s="10">
        <f t="shared" si="4"/>
        <v>8.7492885734728687E-2</v>
      </c>
      <c r="C39" s="10">
        <f t="shared" si="5"/>
        <v>1.2507114265271313E-2</v>
      </c>
      <c r="D39" s="18">
        <f t="shared" si="6"/>
        <v>0.11118537253015494</v>
      </c>
      <c r="E39" s="9">
        <f t="shared" si="7"/>
        <v>4.4440731373492257</v>
      </c>
    </row>
    <row r="40" spans="1:5" x14ac:dyDescent="0.25">
      <c r="A40" s="9">
        <v>0.2</v>
      </c>
      <c r="B40" s="10">
        <f t="shared" si="4"/>
        <v>0.17498577146945737</v>
      </c>
      <c r="C40" s="10">
        <f t="shared" si="5"/>
        <v>2.5014228530542627E-2</v>
      </c>
      <c r="D40" s="18">
        <f t="shared" si="6"/>
        <v>0.21964100455053737</v>
      </c>
      <c r="E40" s="9">
        <f t="shared" si="7"/>
        <v>3.9017949772473131</v>
      </c>
    </row>
    <row r="41" spans="1:5" x14ac:dyDescent="0.25">
      <c r="A41" s="9">
        <v>0.3</v>
      </c>
      <c r="B41" s="10">
        <f t="shared" si="4"/>
        <v>0.26247865720418606</v>
      </c>
      <c r="C41" s="10">
        <f t="shared" si="5"/>
        <v>3.7521342795813935E-2</v>
      </c>
      <c r="D41" s="18">
        <f t="shared" si="6"/>
        <v>0.32546620481961347</v>
      </c>
      <c r="E41" s="9">
        <f t="shared" si="7"/>
        <v>3.3726689759019326</v>
      </c>
    </row>
    <row r="42" spans="1:5" x14ac:dyDescent="0.25">
      <c r="A42" s="9">
        <v>0.5</v>
      </c>
      <c r="B42" s="10">
        <f t="shared" si="4"/>
        <v>0.43746442867364344</v>
      </c>
      <c r="C42" s="10">
        <f t="shared" si="5"/>
        <v>6.2535571326356565E-2</v>
      </c>
      <c r="D42" s="18">
        <f t="shared" si="6"/>
        <v>0.52959902959466409</v>
      </c>
      <c r="E42" s="9">
        <f t="shared" si="7"/>
        <v>2.3520048520266794</v>
      </c>
    </row>
    <row r="43" spans="1:5" x14ac:dyDescent="0.25">
      <c r="A43" s="9">
        <v>0.7</v>
      </c>
      <c r="B43" s="10">
        <f t="shared" si="4"/>
        <v>0.61245020014310081</v>
      </c>
      <c r="C43" s="10">
        <f t="shared" si="5"/>
        <v>8.7549799856899188E-2</v>
      </c>
      <c r="D43" s="18">
        <f t="shared" si="6"/>
        <v>0.72428806239736065</v>
      </c>
      <c r="E43" s="9">
        <f t="shared" si="7"/>
        <v>1.3785596880131967</v>
      </c>
    </row>
    <row r="44" spans="1:5" x14ac:dyDescent="0.25">
      <c r="A44" s="9">
        <v>0.9</v>
      </c>
      <c r="B44" s="10">
        <f t="shared" si="4"/>
        <v>0.78743597161255818</v>
      </c>
      <c r="C44" s="10">
        <f t="shared" si="5"/>
        <v>0.11256402838744183</v>
      </c>
      <c r="D44" s="18">
        <f t="shared" si="6"/>
        <v>0.91017383368704841</v>
      </c>
      <c r="E44" s="9">
        <f t="shared" si="7"/>
        <v>0.44913083156475797</v>
      </c>
    </row>
    <row r="46" spans="1:5" x14ac:dyDescent="0.25">
      <c r="A46" s="11" t="s">
        <v>26</v>
      </c>
      <c r="B46" s="11"/>
    </row>
    <row r="47" spans="1:5" x14ac:dyDescent="0.25">
      <c r="A47" t="s">
        <v>34</v>
      </c>
      <c r="B47" s="12">
        <v>20</v>
      </c>
    </row>
    <row r="48" spans="1:5" x14ac:dyDescent="0.25">
      <c r="A48" t="s">
        <v>35</v>
      </c>
      <c r="B48">
        <v>1</v>
      </c>
    </row>
    <row r="49" spans="1:2" x14ac:dyDescent="0.25">
      <c r="A49" t="s">
        <v>1</v>
      </c>
      <c r="B49">
        <v>5</v>
      </c>
    </row>
    <row r="50" spans="1:2" x14ac:dyDescent="0.25">
      <c r="A50" t="s">
        <v>0</v>
      </c>
      <c r="B50">
        <v>0.5</v>
      </c>
    </row>
    <row r="51" spans="1:2" x14ac:dyDescent="0.25">
      <c r="A51" t="s">
        <v>39</v>
      </c>
      <c r="B51">
        <f>B49*B50</f>
        <v>2.5</v>
      </c>
    </row>
    <row r="52" spans="1:2" x14ac:dyDescent="0.25">
      <c r="A52" s="9" t="s">
        <v>33</v>
      </c>
      <c r="B52" t="s">
        <v>40</v>
      </c>
    </row>
    <row r="53" spans="1:2" x14ac:dyDescent="0.25">
      <c r="A53" s="9">
        <v>0</v>
      </c>
      <c r="B53">
        <f>(A53*$B$2)/(A53*$B$2+(1-A53)*$C$2)</f>
        <v>0</v>
      </c>
    </row>
    <row r="54" spans="1:2" x14ac:dyDescent="0.25">
      <c r="A54" s="9">
        <v>0.25</v>
      </c>
      <c r="B54">
        <f>(A54*$B$2)/(A54*$B$2+(1-A54)*$C$2)</f>
        <v>0.69986342165326432</v>
      </c>
    </row>
    <row r="55" spans="1:2" x14ac:dyDescent="0.25">
      <c r="A55" s="9">
        <v>0.5</v>
      </c>
      <c r="B55">
        <f>(A55*$B$2)/(A55*$B$2+(1-A55)*$C$2)</f>
        <v>0.87492885734728687</v>
      </c>
    </row>
    <row r="56" spans="1:2" x14ac:dyDescent="0.25">
      <c r="A56" s="9">
        <v>0.75</v>
      </c>
      <c r="B56">
        <f>(A56*$B$2)/(A56*$B$2+(1-A56)*$C$2)</f>
        <v>0.95451723120641374</v>
      </c>
    </row>
    <row r="57" spans="1:2" x14ac:dyDescent="0.25">
      <c r="A57" s="9">
        <v>1</v>
      </c>
      <c r="B57">
        <f>(A57*$B$2)/(A57*$B$2+(1-A57)*$C$2)</f>
        <v>1</v>
      </c>
    </row>
  </sheetData>
  <mergeCells count="1">
    <mergeCell ref="J4:K5"/>
  </mergeCells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C54" sqref="C54"/>
    </sheetView>
  </sheetViews>
  <sheetFormatPr defaultRowHeight="15" x14ac:dyDescent="0.25"/>
  <cols>
    <col min="1" max="1" width="15.140625" customWidth="1"/>
    <col min="2" max="2" width="14.7109375" customWidth="1"/>
    <col min="3" max="3" width="10.28515625" customWidth="1"/>
    <col min="4" max="4" width="12" customWidth="1"/>
    <col min="5" max="5" width="11.7109375" customWidth="1"/>
    <col min="6" max="6" width="7" customWidth="1"/>
    <col min="7" max="7" width="7.7109375" customWidth="1"/>
    <col min="8" max="8" width="8.28515625" customWidth="1"/>
    <col min="9" max="9" width="14.7109375" style="6" customWidth="1"/>
    <col min="10" max="10" width="19.5703125" style="3" customWidth="1"/>
    <col min="11" max="11" width="18.140625" style="3" customWidth="1"/>
    <col min="13" max="13" width="11.85546875" customWidth="1"/>
    <col min="14" max="14" width="14.7109375" customWidth="1"/>
    <col min="18" max="18" width="10.28515625" customWidth="1"/>
    <col min="19" max="19" width="14.7109375" customWidth="1"/>
    <col min="20" max="20" width="12" customWidth="1"/>
  </cols>
  <sheetData>
    <row r="1" spans="1:27" x14ac:dyDescent="0.25">
      <c r="B1" s="4" t="s">
        <v>8</v>
      </c>
      <c r="C1" s="4" t="s">
        <v>9</v>
      </c>
      <c r="D1" s="4" t="s">
        <v>10</v>
      </c>
      <c r="F1" s="4" t="s">
        <v>30</v>
      </c>
      <c r="G1" s="4" t="s">
        <v>31</v>
      </c>
    </row>
    <row r="2" spans="1:27" x14ac:dyDescent="0.25">
      <c r="A2" s="4" t="s">
        <v>5</v>
      </c>
      <c r="B2">
        <v>28</v>
      </c>
      <c r="C2">
        <v>4.0026020000000004</v>
      </c>
      <c r="D2">
        <v>18.015000000000001</v>
      </c>
      <c r="F2">
        <v>300</v>
      </c>
      <c r="G2">
        <v>101325</v>
      </c>
    </row>
    <row r="3" spans="1:27" x14ac:dyDescent="0.25">
      <c r="A3" t="s">
        <v>27</v>
      </c>
      <c r="B3">
        <v>3.798</v>
      </c>
      <c r="C3">
        <v>2.5510000000000002</v>
      </c>
      <c r="D3">
        <v>2.641</v>
      </c>
    </row>
    <row r="4" spans="1:27" x14ac:dyDescent="0.25">
      <c r="A4" s="4" t="s">
        <v>6</v>
      </c>
      <c r="B4" s="5" t="s">
        <v>25</v>
      </c>
      <c r="D4" s="5">
        <v>1</v>
      </c>
      <c r="G4" s="4"/>
      <c r="H4" s="4"/>
      <c r="L4" s="4"/>
      <c r="P4" s="4"/>
      <c r="Q4" s="4"/>
    </row>
    <row r="5" spans="1:27" x14ac:dyDescent="0.25">
      <c r="A5" t="s">
        <v>24</v>
      </c>
      <c r="B5" t="s">
        <v>13</v>
      </c>
      <c r="C5" t="s">
        <v>14</v>
      </c>
      <c r="D5" t="s">
        <v>20</v>
      </c>
      <c r="E5" t="s">
        <v>17</v>
      </c>
      <c r="F5" t="s">
        <v>21</v>
      </c>
      <c r="G5" t="s">
        <v>22</v>
      </c>
      <c r="H5" t="s">
        <v>23</v>
      </c>
      <c r="I5" s="6" t="s">
        <v>28</v>
      </c>
      <c r="J5" s="3" t="s">
        <v>29</v>
      </c>
      <c r="K5" s="3" t="s">
        <v>32</v>
      </c>
    </row>
    <row r="6" spans="1:27" x14ac:dyDescent="0.25">
      <c r="A6">
        <v>0</v>
      </c>
      <c r="B6" s="7">
        <f t="shared" ref="B6:B12" si="0">$D$4*A6</f>
        <v>0</v>
      </c>
      <c r="C6" s="7">
        <f t="shared" ref="C6:C12" si="1">(1-$D$4)*A6</f>
        <v>0</v>
      </c>
      <c r="D6" s="7">
        <f>1-B6-C6</f>
        <v>1</v>
      </c>
      <c r="E6" s="6">
        <f>(B6*$B$2+D6*$D$2+C6*$C$2)</f>
        <v>18.015000000000001</v>
      </c>
      <c r="F6" s="6">
        <f>B6*$B$2/E6</f>
        <v>0</v>
      </c>
      <c r="G6" s="6">
        <f>C6*$C$2/E6</f>
        <v>0</v>
      </c>
      <c r="H6" s="6">
        <f>D6*$D$2/E6</f>
        <v>1</v>
      </c>
      <c r="I6" s="6">
        <f>$B$3*B6+$C$3*C6+$D$3*D6</f>
        <v>2.641</v>
      </c>
      <c r="J6" s="3">
        <f t="shared" ref="J6:J12" si="2">1.3806488*10^(-23)*$F$2/(SQRT(2)*3.14*(I6*10^(-10))^2*$G$2)*1000000000</f>
        <v>131.97948025741087</v>
      </c>
      <c r="K6" s="3">
        <f t="shared" ref="K6:K12" si="3">E6/$D$2</f>
        <v>1</v>
      </c>
    </row>
    <row r="7" spans="1:27" x14ac:dyDescent="0.25">
      <c r="A7" s="7">
        <v>0.1</v>
      </c>
      <c r="B7" s="7">
        <f t="shared" si="0"/>
        <v>0.1</v>
      </c>
      <c r="C7" s="7">
        <f t="shared" si="1"/>
        <v>0</v>
      </c>
      <c r="D7" s="7">
        <f>1-B7-C7</f>
        <v>0.9</v>
      </c>
      <c r="E7" s="6">
        <f>(B7*$B$2+D7*$D$2+C7*$C$2)</f>
        <v>19.013500000000001</v>
      </c>
      <c r="F7" s="6">
        <f>B7*$B$2/E7</f>
        <v>0.1472637862571331</v>
      </c>
      <c r="G7" s="6">
        <f>C7*$C$2/E7</f>
        <v>0</v>
      </c>
      <c r="H7" s="6">
        <f>D7*$D$2/E7</f>
        <v>0.8527362137428669</v>
      </c>
      <c r="I7" s="6">
        <f>$B$3*B7+$C$3*C7+$D$3*D7</f>
        <v>2.7566999999999999</v>
      </c>
      <c r="J7" s="3">
        <f t="shared" si="2"/>
        <v>121.13348267355141</v>
      </c>
      <c r="K7" s="3">
        <f t="shared" si="3"/>
        <v>1.0554260338606716</v>
      </c>
      <c r="L7" s="3"/>
      <c r="M7" s="3"/>
      <c r="N7" s="3"/>
      <c r="O7" s="3"/>
      <c r="P7" s="3"/>
      <c r="Q7" s="3"/>
      <c r="U7" s="3"/>
      <c r="V7" s="3"/>
      <c r="W7" s="3"/>
      <c r="X7" s="3"/>
      <c r="Y7" s="3"/>
      <c r="Z7" s="3"/>
      <c r="AA7" s="3"/>
    </row>
    <row r="8" spans="1:27" x14ac:dyDescent="0.25">
      <c r="A8" s="7">
        <v>0.3</v>
      </c>
      <c r="B8" s="7">
        <f t="shared" si="0"/>
        <v>0.3</v>
      </c>
      <c r="C8" s="7">
        <f t="shared" si="1"/>
        <v>0</v>
      </c>
      <c r="D8" s="7">
        <f t="shared" ref="D8:D12" si="4">1-B8-C8</f>
        <v>0.7</v>
      </c>
      <c r="E8" s="6">
        <f t="shared" ref="E8:E12" si="5">(B8*$B$2+D8*$D$2+C8*$C$2)</f>
        <v>21.0105</v>
      </c>
      <c r="F8" s="6">
        <f t="shared" ref="F8:F12" si="6">B8*$B$2/E8</f>
        <v>0.39980009995002502</v>
      </c>
      <c r="G8" s="6">
        <f t="shared" ref="G8:G12" si="7">C8*$C$2/E8</f>
        <v>0</v>
      </c>
      <c r="H8" s="6">
        <f t="shared" ref="H8:H12" si="8">D8*$D$2/E8</f>
        <v>0.60019990004997503</v>
      </c>
      <c r="I8" s="6">
        <f t="shared" ref="I8:I12" si="9">$B$3*B8+$C$3*C8+$D$3*D8</f>
        <v>2.9880999999999998</v>
      </c>
      <c r="J8" s="3">
        <f t="shared" si="2"/>
        <v>103.09864586139481</v>
      </c>
      <c r="K8" s="3">
        <f t="shared" si="3"/>
        <v>1.1662781015820149</v>
      </c>
      <c r="L8" s="3"/>
      <c r="M8" s="3"/>
      <c r="N8" s="3"/>
      <c r="O8" s="3"/>
      <c r="P8" s="3"/>
      <c r="Q8" s="3"/>
      <c r="U8" s="3"/>
      <c r="V8" s="3"/>
      <c r="W8" s="3"/>
      <c r="X8" s="3"/>
      <c r="Y8" s="3"/>
      <c r="Z8" s="3"/>
      <c r="AA8" s="3"/>
    </row>
    <row r="9" spans="1:27" x14ac:dyDescent="0.25">
      <c r="A9" s="7">
        <v>0.5</v>
      </c>
      <c r="B9" s="7">
        <f t="shared" si="0"/>
        <v>0.5</v>
      </c>
      <c r="C9" s="7">
        <f t="shared" si="1"/>
        <v>0</v>
      </c>
      <c r="D9" s="7">
        <f t="shared" si="4"/>
        <v>0.5</v>
      </c>
      <c r="E9" s="6">
        <f t="shared" si="5"/>
        <v>23.0075</v>
      </c>
      <c r="F9" s="6">
        <f t="shared" si="6"/>
        <v>0.60849722916440285</v>
      </c>
      <c r="G9" s="6">
        <f t="shared" si="7"/>
        <v>0</v>
      </c>
      <c r="H9" s="6">
        <f t="shared" si="8"/>
        <v>0.39150277083559709</v>
      </c>
      <c r="I9" s="6">
        <f t="shared" si="9"/>
        <v>3.2195</v>
      </c>
      <c r="J9" s="3">
        <f t="shared" si="2"/>
        <v>88.810917614027019</v>
      </c>
      <c r="K9" s="3">
        <f t="shared" si="3"/>
        <v>1.2771301693033583</v>
      </c>
      <c r="L9" s="3"/>
      <c r="M9" s="3"/>
      <c r="N9" s="3"/>
      <c r="O9" s="3"/>
      <c r="P9" s="3"/>
      <c r="Q9" s="3"/>
      <c r="U9" s="3"/>
      <c r="V9" s="3"/>
      <c r="W9" s="3"/>
      <c r="X9" s="3"/>
      <c r="Y9" s="3"/>
      <c r="Z9" s="3"/>
      <c r="AA9" s="3"/>
    </row>
    <row r="10" spans="1:27" x14ac:dyDescent="0.25">
      <c r="A10" s="7">
        <v>0.7</v>
      </c>
      <c r="B10" s="7">
        <f t="shared" si="0"/>
        <v>0.7</v>
      </c>
      <c r="C10" s="7">
        <f t="shared" si="1"/>
        <v>0</v>
      </c>
      <c r="D10" s="7">
        <f t="shared" si="4"/>
        <v>0.30000000000000004</v>
      </c>
      <c r="E10" s="6">
        <f t="shared" si="5"/>
        <v>25.0045</v>
      </c>
      <c r="F10" s="6">
        <f t="shared" si="6"/>
        <v>0.7838589053970284</v>
      </c>
      <c r="G10" s="6">
        <f t="shared" si="7"/>
        <v>0</v>
      </c>
      <c r="H10" s="6">
        <f t="shared" si="8"/>
        <v>0.21614109460297151</v>
      </c>
      <c r="I10" s="6">
        <f t="shared" si="9"/>
        <v>3.4508999999999999</v>
      </c>
      <c r="J10" s="3">
        <f t="shared" si="2"/>
        <v>77.299817245061647</v>
      </c>
      <c r="K10" s="3">
        <f t="shared" si="3"/>
        <v>1.3879822370247017</v>
      </c>
      <c r="L10" s="3"/>
      <c r="M10" s="3"/>
      <c r="N10" s="3"/>
      <c r="O10" s="3"/>
      <c r="P10" s="3"/>
      <c r="Q10" s="3"/>
      <c r="U10" s="3"/>
      <c r="V10" s="3"/>
      <c r="W10" s="3"/>
      <c r="X10" s="3"/>
      <c r="Y10" s="3"/>
      <c r="Z10" s="3"/>
      <c r="AA10" s="3"/>
    </row>
    <row r="11" spans="1:27" x14ac:dyDescent="0.25">
      <c r="A11" s="7">
        <v>0.9</v>
      </c>
      <c r="B11" s="7">
        <f t="shared" si="0"/>
        <v>0.9</v>
      </c>
      <c r="C11" s="7">
        <f t="shared" si="1"/>
        <v>0</v>
      </c>
      <c r="D11" s="7">
        <f t="shared" si="4"/>
        <v>9.9999999999999978E-2</v>
      </c>
      <c r="E11" s="6">
        <f t="shared" si="5"/>
        <v>27.0015</v>
      </c>
      <c r="F11" s="6">
        <f t="shared" si="6"/>
        <v>0.93328148436197989</v>
      </c>
      <c r="G11" s="6">
        <f t="shared" si="7"/>
        <v>0</v>
      </c>
      <c r="H11" s="6">
        <f t="shared" si="8"/>
        <v>6.6718515638020101E-2</v>
      </c>
      <c r="I11" s="6">
        <f t="shared" si="9"/>
        <v>3.6823000000000001</v>
      </c>
      <c r="J11" s="3">
        <f t="shared" si="2"/>
        <v>67.889854873335722</v>
      </c>
      <c r="K11" s="3">
        <f t="shared" si="3"/>
        <v>1.4988343047460448</v>
      </c>
      <c r="L11" s="3"/>
      <c r="M11" s="3"/>
      <c r="N11" s="3"/>
      <c r="O11" s="3"/>
      <c r="P11" s="3"/>
      <c r="Q11" s="3"/>
      <c r="U11" s="3"/>
      <c r="V11" s="3"/>
      <c r="W11" s="3"/>
      <c r="X11" s="3"/>
      <c r="Y11" s="3"/>
      <c r="Z11" s="3"/>
      <c r="AA11" s="3"/>
    </row>
    <row r="12" spans="1:27" x14ac:dyDescent="0.25">
      <c r="A12" s="7">
        <v>1</v>
      </c>
      <c r="B12" s="7">
        <f t="shared" si="0"/>
        <v>1</v>
      </c>
      <c r="C12" s="7">
        <f t="shared" si="1"/>
        <v>0</v>
      </c>
      <c r="D12" s="7">
        <f t="shared" si="4"/>
        <v>0</v>
      </c>
      <c r="E12" s="6">
        <f t="shared" si="5"/>
        <v>28</v>
      </c>
      <c r="F12" s="6">
        <f t="shared" si="6"/>
        <v>1</v>
      </c>
      <c r="G12" s="6">
        <f t="shared" si="7"/>
        <v>0</v>
      </c>
      <c r="H12" s="6">
        <f t="shared" si="8"/>
        <v>0</v>
      </c>
      <c r="I12" s="6">
        <f t="shared" si="9"/>
        <v>3.798</v>
      </c>
      <c r="J12" s="3">
        <f t="shared" si="2"/>
        <v>63.816546085290994</v>
      </c>
      <c r="K12" s="3">
        <f t="shared" si="3"/>
        <v>1.5542603386067166</v>
      </c>
      <c r="L12" s="3"/>
      <c r="M12" s="3"/>
      <c r="N12" s="3"/>
      <c r="O12" s="3"/>
      <c r="P12" s="3"/>
      <c r="Q12" s="3"/>
      <c r="U12" s="3"/>
      <c r="V12" s="3"/>
      <c r="W12" s="3"/>
      <c r="X12" s="3"/>
      <c r="Y12" s="3"/>
      <c r="Z12" s="3"/>
      <c r="AA12" s="3"/>
    </row>
    <row r="14" spans="1:27" x14ac:dyDescent="0.25">
      <c r="A14" s="4" t="s">
        <v>16</v>
      </c>
      <c r="B14" s="5" t="s">
        <v>25</v>
      </c>
      <c r="D14" s="5">
        <v>0.5</v>
      </c>
    </row>
    <row r="15" spans="1:27" x14ac:dyDescent="0.25">
      <c r="A15" t="s">
        <v>24</v>
      </c>
      <c r="B15" t="s">
        <v>13</v>
      </c>
      <c r="C15" t="s">
        <v>14</v>
      </c>
      <c r="D15" t="s">
        <v>20</v>
      </c>
      <c r="E15" t="s">
        <v>17</v>
      </c>
      <c r="F15" t="s">
        <v>21</v>
      </c>
      <c r="G15" t="s">
        <v>22</v>
      </c>
      <c r="H15" t="s">
        <v>23</v>
      </c>
      <c r="I15" s="6" t="s">
        <v>28</v>
      </c>
      <c r="J15" s="3" t="s">
        <v>29</v>
      </c>
      <c r="K15" s="3" t="s">
        <v>32</v>
      </c>
    </row>
    <row r="16" spans="1:27" x14ac:dyDescent="0.25">
      <c r="A16">
        <v>0</v>
      </c>
      <c r="B16" s="7">
        <f t="shared" ref="B16:B22" si="10">$D$14*A16</f>
        <v>0</v>
      </c>
      <c r="C16" s="7">
        <f t="shared" ref="C16:C22" si="11">(1-$D$14)*A16</f>
        <v>0</v>
      </c>
      <c r="D16" s="7">
        <f>1-B16-C16</f>
        <v>1</v>
      </c>
      <c r="E16" s="6">
        <f>(B16*$B$2+D16*$D$2+C16*$C$2)</f>
        <v>18.015000000000001</v>
      </c>
      <c r="F16" s="6">
        <f>B16*$B$2/E16</f>
        <v>0</v>
      </c>
      <c r="G16" s="6">
        <f>C16*$C$2/E16</f>
        <v>0</v>
      </c>
      <c r="H16" s="6">
        <f>D16*$D$2/E16</f>
        <v>1</v>
      </c>
      <c r="I16" s="6">
        <f>$B$3*B16+$C$3*C16+$D$3*D16</f>
        <v>2.641</v>
      </c>
      <c r="J16" s="3">
        <f t="shared" ref="J16:J22" si="12">1.3806488*10^(-23)*$F$2/(SQRT(2)*3.14*(I16*10^(-10))^2*$G$2)*1000000000</f>
        <v>131.97948025741087</v>
      </c>
      <c r="K16" s="3">
        <f t="shared" ref="K16:K22" si="13">E16/$D$2</f>
        <v>1</v>
      </c>
    </row>
    <row r="17" spans="1:11" x14ac:dyDescent="0.25">
      <c r="A17" s="7">
        <v>0.1</v>
      </c>
      <c r="B17" s="7">
        <f t="shared" si="10"/>
        <v>0.05</v>
      </c>
      <c r="C17" s="7">
        <f t="shared" si="11"/>
        <v>0.05</v>
      </c>
      <c r="D17" s="7">
        <f t="shared" ref="D17:D22" si="14">1-B17-C17</f>
        <v>0.89999999999999991</v>
      </c>
      <c r="E17" s="6">
        <f t="shared" ref="E17:E22" si="15">(B17*$B$2+D17*$D$2+C17*$C$2)</f>
        <v>17.813630099999997</v>
      </c>
      <c r="F17" s="6">
        <f t="shared" ref="F17:F22" si="16">B17*$B$2/E17</f>
        <v>7.8591505052078084E-2</v>
      </c>
      <c r="G17" s="6">
        <f t="shared" ref="G17:G22" si="17">C17*$C$2/E17</f>
        <v>1.1234661260873496E-2</v>
      </c>
      <c r="H17" s="6">
        <f t="shared" ref="H17:H22" si="18">D17*$D$2/E17</f>
        <v>0.91017383368704852</v>
      </c>
      <c r="I17" s="6">
        <f t="shared" ref="I17:I22" si="19">$B$3*B17+$C$3*C17+$D$3*D17</f>
        <v>2.6943499999999996</v>
      </c>
      <c r="J17" s="3">
        <f t="shared" si="12"/>
        <v>126.80465450268642</v>
      </c>
      <c r="K17" s="3">
        <f t="shared" si="13"/>
        <v>0.98882209825145695</v>
      </c>
    </row>
    <row r="18" spans="1:11" x14ac:dyDescent="0.25">
      <c r="A18" s="7">
        <v>0.3</v>
      </c>
      <c r="B18" s="7">
        <f t="shared" si="10"/>
        <v>0.15</v>
      </c>
      <c r="C18" s="7">
        <f t="shared" si="11"/>
        <v>0.15</v>
      </c>
      <c r="D18" s="7">
        <f t="shared" si="14"/>
        <v>0.7</v>
      </c>
      <c r="E18" s="6">
        <f t="shared" si="15"/>
        <v>17.410890300000002</v>
      </c>
      <c r="F18" s="6">
        <f t="shared" si="16"/>
        <v>0.24122833052368378</v>
      </c>
      <c r="G18" s="6">
        <f t="shared" si="17"/>
        <v>3.4483607078955633E-2</v>
      </c>
      <c r="H18" s="6">
        <f t="shared" si="18"/>
        <v>0.72428806239736054</v>
      </c>
      <c r="I18" s="6">
        <f t="shared" si="19"/>
        <v>2.80105</v>
      </c>
      <c r="J18" s="3">
        <f t="shared" si="12"/>
        <v>117.32795299994667</v>
      </c>
      <c r="K18" s="3">
        <f t="shared" si="13"/>
        <v>0.9664662947543714</v>
      </c>
    </row>
    <row r="19" spans="1:11" x14ac:dyDescent="0.25">
      <c r="A19" s="7">
        <v>0.5</v>
      </c>
      <c r="B19" s="7">
        <f t="shared" si="10"/>
        <v>0.25</v>
      </c>
      <c r="C19" s="7">
        <f t="shared" si="11"/>
        <v>0.25</v>
      </c>
      <c r="D19" s="7">
        <f t="shared" si="14"/>
        <v>0.5</v>
      </c>
      <c r="E19" s="6">
        <f t="shared" si="15"/>
        <v>17.008150499999999</v>
      </c>
      <c r="F19" s="6">
        <f t="shared" si="16"/>
        <v>0.41156738353179556</v>
      </c>
      <c r="G19" s="6">
        <f t="shared" si="17"/>
        <v>5.8833586873540435E-2</v>
      </c>
      <c r="H19" s="6">
        <f t="shared" si="18"/>
        <v>0.52959902959466409</v>
      </c>
      <c r="I19" s="6">
        <f t="shared" si="19"/>
        <v>2.9077500000000001</v>
      </c>
      <c r="J19" s="3">
        <f t="shared" si="12"/>
        <v>108.87523047667456</v>
      </c>
      <c r="K19" s="3">
        <f t="shared" si="13"/>
        <v>0.94411049125728552</v>
      </c>
    </row>
    <row r="20" spans="1:11" x14ac:dyDescent="0.25">
      <c r="A20" s="7">
        <v>0.7</v>
      </c>
      <c r="B20" s="7">
        <f t="shared" si="10"/>
        <v>0.35</v>
      </c>
      <c r="C20" s="7">
        <f t="shared" si="11"/>
        <v>0.35</v>
      </c>
      <c r="D20" s="7">
        <f t="shared" si="14"/>
        <v>0.30000000000000004</v>
      </c>
      <c r="E20" s="6">
        <f t="shared" si="15"/>
        <v>16.6054107</v>
      </c>
      <c r="F20" s="6">
        <f t="shared" si="16"/>
        <v>0.59016908265930446</v>
      </c>
      <c r="G20" s="6">
        <f t="shared" si="17"/>
        <v>8.4364712521082061E-2</v>
      </c>
      <c r="H20" s="6">
        <f t="shared" si="18"/>
        <v>0.32546620481961347</v>
      </c>
      <c r="I20" s="6">
        <f t="shared" si="19"/>
        <v>3.0144500000000001</v>
      </c>
      <c r="J20" s="3">
        <f t="shared" si="12"/>
        <v>101.30410563645466</v>
      </c>
      <c r="K20" s="3">
        <f t="shared" si="13"/>
        <v>0.92175468776019986</v>
      </c>
    </row>
    <row r="21" spans="1:11" x14ac:dyDescent="0.25">
      <c r="A21" s="7">
        <v>0.9</v>
      </c>
      <c r="B21" s="7">
        <f t="shared" si="10"/>
        <v>0.45</v>
      </c>
      <c r="C21" s="7">
        <f t="shared" si="11"/>
        <v>0.45</v>
      </c>
      <c r="D21" s="7">
        <f t="shared" si="14"/>
        <v>0.10000000000000003</v>
      </c>
      <c r="E21" s="6">
        <f t="shared" si="15"/>
        <v>16.202670900000001</v>
      </c>
      <c r="F21" s="6">
        <f t="shared" si="16"/>
        <v>0.77764956640574601</v>
      </c>
      <c r="G21" s="6">
        <f t="shared" si="17"/>
        <v>0.11116506106409901</v>
      </c>
      <c r="H21" s="6">
        <f t="shared" si="18"/>
        <v>0.11118537253015492</v>
      </c>
      <c r="I21" s="6">
        <f t="shared" si="19"/>
        <v>3.1211500000000001</v>
      </c>
      <c r="J21" s="3">
        <f t="shared" si="12"/>
        <v>94.496110718243486</v>
      </c>
      <c r="K21" s="3">
        <f t="shared" si="13"/>
        <v>0.8993988842631141</v>
      </c>
    </row>
    <row r="22" spans="1:11" x14ac:dyDescent="0.25">
      <c r="A22" s="7">
        <v>1</v>
      </c>
      <c r="B22" s="7">
        <f t="shared" si="10"/>
        <v>0.5</v>
      </c>
      <c r="C22" s="7">
        <f t="shared" si="11"/>
        <v>0.5</v>
      </c>
      <c r="D22" s="7">
        <f t="shared" si="14"/>
        <v>0</v>
      </c>
      <c r="E22" s="6">
        <f t="shared" si="15"/>
        <v>16.001301000000002</v>
      </c>
      <c r="F22" s="6">
        <f t="shared" si="16"/>
        <v>0.87492885734728687</v>
      </c>
      <c r="G22" s="6">
        <f t="shared" si="17"/>
        <v>0.12507114265271305</v>
      </c>
      <c r="H22" s="6">
        <f t="shared" si="18"/>
        <v>0</v>
      </c>
      <c r="I22" s="6">
        <f t="shared" si="19"/>
        <v>3.1745000000000001</v>
      </c>
      <c r="J22" s="3">
        <f t="shared" si="12"/>
        <v>91.346634952357107</v>
      </c>
      <c r="K22" s="3">
        <f t="shared" si="13"/>
        <v>0.88822098251457127</v>
      </c>
    </row>
    <row r="24" spans="1:11" x14ac:dyDescent="0.25">
      <c r="A24" s="4" t="s">
        <v>15</v>
      </c>
      <c r="B24" s="5" t="s">
        <v>25</v>
      </c>
      <c r="D24" s="8">
        <f>(0.5/B2)/(0.5/B2+0.5/C2)</f>
        <v>0.12507114265271305</v>
      </c>
    </row>
    <row r="25" spans="1:11" x14ac:dyDescent="0.25">
      <c r="A25" t="s">
        <v>24</v>
      </c>
      <c r="B25" t="s">
        <v>13</v>
      </c>
      <c r="C25" t="s">
        <v>14</v>
      </c>
      <c r="D25" t="s">
        <v>20</v>
      </c>
      <c r="E25" t="s">
        <v>17</v>
      </c>
      <c r="F25" t="s">
        <v>21</v>
      </c>
      <c r="G25" t="s">
        <v>22</v>
      </c>
      <c r="H25" t="s">
        <v>23</v>
      </c>
      <c r="I25" s="6" t="s">
        <v>28</v>
      </c>
      <c r="J25" s="3" t="s">
        <v>29</v>
      </c>
      <c r="K25" s="3" t="s">
        <v>32</v>
      </c>
    </row>
    <row r="26" spans="1:11" x14ac:dyDescent="0.25">
      <c r="A26">
        <v>0</v>
      </c>
      <c r="B26" s="6">
        <f t="shared" ref="B26:B32" si="20">$D$24*A26</f>
        <v>0</v>
      </c>
      <c r="C26" s="6">
        <f t="shared" ref="C26:C32" si="21">(1-$D$24)*A26</f>
        <v>0</v>
      </c>
      <c r="D26" s="7">
        <f>1-B26-C26</f>
        <v>1</v>
      </c>
      <c r="E26" s="6">
        <f>(B26*$B$2+D26*$D$2+C26*$C$2)</f>
        <v>18.015000000000001</v>
      </c>
      <c r="F26" s="6">
        <f>B26*$B$2/E26</f>
        <v>0</v>
      </c>
      <c r="G26" s="6">
        <f>C26*$C$2/E26</f>
        <v>0</v>
      </c>
      <c r="H26" s="6">
        <f>D26*$D$2/E26</f>
        <v>1</v>
      </c>
      <c r="I26" s="6">
        <f>$B$3*B26+$C$3*C26+$D$3*D26</f>
        <v>2.641</v>
      </c>
      <c r="J26" s="3">
        <f t="shared" ref="J26:J32" si="22">1.3806488*10^(-23)*$F$2/(SQRT(2)*3.14*(I26*10^(-10))^2*$G$2)*1000000000</f>
        <v>131.97948025741087</v>
      </c>
      <c r="K26" s="3">
        <f t="shared" ref="K26:K32" si="23">E26/$D$2</f>
        <v>1</v>
      </c>
    </row>
    <row r="27" spans="1:11" x14ac:dyDescent="0.25">
      <c r="A27" s="7">
        <v>0.1</v>
      </c>
      <c r="B27" s="6">
        <f t="shared" si="20"/>
        <v>1.2507114265271305E-2</v>
      </c>
      <c r="C27" s="6">
        <f t="shared" si="21"/>
        <v>8.7492885734728701E-2</v>
      </c>
      <c r="D27" s="7">
        <f t="shared" ref="D27:D32" si="24">1-B27-C27</f>
        <v>0.9</v>
      </c>
      <c r="E27" s="6">
        <f t="shared" ref="E27:E32" si="25">(B27*$B$2+D27*$D$2+C27*$C$2)</f>
        <v>16.913898398855192</v>
      </c>
      <c r="F27" s="6">
        <f t="shared" ref="F27:F32" si="26">B27*$B$2/E27</f>
        <v>2.0704818674522698E-2</v>
      </c>
      <c r="G27" s="6">
        <f t="shared" ref="G27:G32" si="27">C27*$C$2/E27</f>
        <v>2.0704818674522701E-2</v>
      </c>
      <c r="H27" s="6">
        <f t="shared" ref="H27:H32" si="28">D27*$D$2/E27</f>
        <v>0.95859036265095465</v>
      </c>
      <c r="I27" s="6">
        <f t="shared" ref="I27:I32" si="29">$B$3*B27+$C$3*C27+$D$3*D27</f>
        <v>2.6475963714887936</v>
      </c>
      <c r="J27" s="3">
        <f t="shared" si="22"/>
        <v>131.32265720325239</v>
      </c>
      <c r="K27" s="3">
        <f t="shared" si="23"/>
        <v>0.93887862330586691</v>
      </c>
    </row>
    <row r="28" spans="1:11" x14ac:dyDescent="0.25">
      <c r="A28" s="7">
        <v>0.3</v>
      </c>
      <c r="B28" s="6">
        <f t="shared" si="20"/>
        <v>3.7521342795813914E-2</v>
      </c>
      <c r="C28" s="6">
        <f t="shared" si="21"/>
        <v>0.26247865720418606</v>
      </c>
      <c r="D28" s="7">
        <f t="shared" si="24"/>
        <v>0.70000000000000007</v>
      </c>
      <c r="E28" s="6">
        <f t="shared" si="25"/>
        <v>14.711695196565582</v>
      </c>
      <c r="F28" s="6">
        <f t="shared" si="26"/>
        <v>7.1412409259814569E-2</v>
      </c>
      <c r="G28" s="6">
        <f t="shared" si="27"/>
        <v>7.1412409259814583E-2</v>
      </c>
      <c r="H28" s="6">
        <f t="shared" si="28"/>
        <v>0.85717518148037075</v>
      </c>
      <c r="I28" s="6">
        <f t="shared" si="29"/>
        <v>2.6607891144663802</v>
      </c>
      <c r="J28" s="3">
        <f t="shared" si="22"/>
        <v>130.02363580208183</v>
      </c>
      <c r="K28" s="3">
        <f t="shared" si="23"/>
        <v>0.81663586991760095</v>
      </c>
    </row>
    <row r="29" spans="1:11" x14ac:dyDescent="0.25">
      <c r="A29" s="7">
        <v>0.5</v>
      </c>
      <c r="B29" s="6">
        <f t="shared" si="20"/>
        <v>6.2535571326356523E-2</v>
      </c>
      <c r="C29" s="6">
        <f t="shared" si="21"/>
        <v>0.43746442867364349</v>
      </c>
      <c r="D29" s="7">
        <f t="shared" si="24"/>
        <v>0.49999999999999994</v>
      </c>
      <c r="E29" s="6">
        <f t="shared" si="25"/>
        <v>12.509491994275963</v>
      </c>
      <c r="F29" s="6">
        <f t="shared" si="26"/>
        <v>0.13997338964197711</v>
      </c>
      <c r="G29" s="6">
        <f t="shared" si="27"/>
        <v>0.13997338964197711</v>
      </c>
      <c r="H29" s="6">
        <f t="shared" si="28"/>
        <v>0.72005322071604583</v>
      </c>
      <c r="I29" s="6">
        <f t="shared" si="29"/>
        <v>2.6739818574439669</v>
      </c>
      <c r="J29" s="3">
        <f t="shared" si="22"/>
        <v>128.74379404941038</v>
      </c>
      <c r="K29" s="3">
        <f t="shared" si="23"/>
        <v>0.69439311652933466</v>
      </c>
    </row>
    <row r="30" spans="1:11" x14ac:dyDescent="0.25">
      <c r="A30" s="7">
        <v>0.7</v>
      </c>
      <c r="B30" s="6">
        <f t="shared" si="20"/>
        <v>8.7549799856899133E-2</v>
      </c>
      <c r="C30" s="6">
        <f t="shared" si="21"/>
        <v>0.61245020014310081</v>
      </c>
      <c r="D30" s="7">
        <f t="shared" si="24"/>
        <v>0.30000000000000004</v>
      </c>
      <c r="E30" s="6">
        <f t="shared" si="25"/>
        <v>10.307288791986352</v>
      </c>
      <c r="F30" s="6">
        <f t="shared" si="26"/>
        <v>0.23783115477457767</v>
      </c>
      <c r="G30" s="6">
        <f t="shared" si="27"/>
        <v>0.23783115477457767</v>
      </c>
      <c r="H30" s="6">
        <f t="shared" si="28"/>
        <v>0.52433769045084477</v>
      </c>
      <c r="I30" s="6">
        <f t="shared" si="29"/>
        <v>2.6871746004215531</v>
      </c>
      <c r="J30" s="3">
        <f t="shared" si="22"/>
        <v>127.48275621972643</v>
      </c>
      <c r="K30" s="3">
        <f t="shared" si="23"/>
        <v>0.5721503631410686</v>
      </c>
    </row>
    <row r="31" spans="1:11" x14ac:dyDescent="0.25">
      <c r="A31" s="7">
        <v>0.9</v>
      </c>
      <c r="B31" s="6">
        <f t="shared" si="20"/>
        <v>0.11256402838744174</v>
      </c>
      <c r="C31" s="6">
        <f t="shared" si="21"/>
        <v>0.78743597161255829</v>
      </c>
      <c r="D31" s="7">
        <f t="shared" si="24"/>
        <v>9.9999999999999978E-2</v>
      </c>
      <c r="E31" s="6">
        <f t="shared" si="25"/>
        <v>8.1050855896967384</v>
      </c>
      <c r="F31" s="6">
        <f t="shared" si="26"/>
        <v>0.3888660717975585</v>
      </c>
      <c r="G31" s="6">
        <f t="shared" si="27"/>
        <v>0.38886607179755855</v>
      </c>
      <c r="H31" s="6">
        <f t="shared" si="28"/>
        <v>0.22226785640488281</v>
      </c>
      <c r="I31" s="6">
        <f t="shared" si="29"/>
        <v>2.7003673433991402</v>
      </c>
      <c r="J31" s="3">
        <f t="shared" si="22"/>
        <v>126.24015574314603</v>
      </c>
      <c r="K31" s="3">
        <f t="shared" si="23"/>
        <v>0.44990760975280258</v>
      </c>
    </row>
    <row r="32" spans="1:11" x14ac:dyDescent="0.25">
      <c r="A32" s="7">
        <v>1</v>
      </c>
      <c r="B32" s="6">
        <f t="shared" si="20"/>
        <v>0.12507114265271305</v>
      </c>
      <c r="C32" s="6">
        <f t="shared" si="21"/>
        <v>0.87492885734728698</v>
      </c>
      <c r="D32" s="7">
        <f t="shared" si="24"/>
        <v>0</v>
      </c>
      <c r="E32" s="6">
        <f t="shared" si="25"/>
        <v>7.0039839885519317</v>
      </c>
      <c r="F32" s="6">
        <f t="shared" si="26"/>
        <v>0.49999999999999994</v>
      </c>
      <c r="G32" s="6">
        <f t="shared" si="27"/>
        <v>0.5</v>
      </c>
      <c r="H32" s="6">
        <f t="shared" si="28"/>
        <v>0</v>
      </c>
      <c r="I32" s="6">
        <f t="shared" si="29"/>
        <v>2.7069637148879337</v>
      </c>
      <c r="J32" s="3">
        <f t="shared" si="22"/>
        <v>125.62565739692137</v>
      </c>
      <c r="K32" s="3">
        <f t="shared" si="23"/>
        <v>0.38878623305866955</v>
      </c>
    </row>
    <row r="34" spans="1:11" x14ac:dyDescent="0.25">
      <c r="A34" s="4" t="s">
        <v>7</v>
      </c>
      <c r="B34" s="5" t="s">
        <v>25</v>
      </c>
      <c r="D34" s="5">
        <v>0</v>
      </c>
    </row>
    <row r="35" spans="1:11" x14ac:dyDescent="0.25">
      <c r="A35" t="s">
        <v>24</v>
      </c>
      <c r="B35" t="s">
        <v>13</v>
      </c>
      <c r="C35" t="s">
        <v>14</v>
      </c>
      <c r="D35" t="s">
        <v>20</v>
      </c>
      <c r="E35" t="s">
        <v>17</v>
      </c>
      <c r="F35" t="s">
        <v>21</v>
      </c>
      <c r="G35" t="s">
        <v>22</v>
      </c>
      <c r="H35" t="s">
        <v>23</v>
      </c>
      <c r="I35" s="6" t="s">
        <v>28</v>
      </c>
      <c r="J35" s="3" t="s">
        <v>29</v>
      </c>
      <c r="K35" s="3" t="s">
        <v>32</v>
      </c>
    </row>
    <row r="36" spans="1:11" x14ac:dyDescent="0.25">
      <c r="A36">
        <v>0</v>
      </c>
      <c r="B36" s="7">
        <f t="shared" ref="B36:B42" si="30">$D$34*A36</f>
        <v>0</v>
      </c>
      <c r="C36" s="7">
        <f t="shared" ref="C36:C42" si="31">(1-$D$34)*A36</f>
        <v>0</v>
      </c>
      <c r="D36" s="7">
        <f>1-B36-C36</f>
        <v>1</v>
      </c>
      <c r="E36" s="6">
        <f>(B36*$B$2+D36*$D$2+C36*$C$2)</f>
        <v>18.015000000000001</v>
      </c>
      <c r="F36" s="6">
        <f>B36*$B$2/E36</f>
        <v>0</v>
      </c>
      <c r="G36" s="6">
        <f>C36*$C$2/E36</f>
        <v>0</v>
      </c>
      <c r="H36" s="6">
        <f>D36*$D$2/E36</f>
        <v>1</v>
      </c>
      <c r="I36" s="6">
        <f>$B$3*B36+$C$3*C36+$D$3*D36</f>
        <v>2.641</v>
      </c>
      <c r="J36" s="3">
        <f t="shared" ref="J36:J42" si="32">1.3806488*10^(-23)*$F$2/(SQRT(2)*3.14*(I36*10^(-10))^2*$G$2)*1000000000</f>
        <v>131.97948025741087</v>
      </c>
      <c r="K36" s="3">
        <f t="shared" ref="K36:K42" si="33">E36/$D$2</f>
        <v>1</v>
      </c>
    </row>
    <row r="37" spans="1:11" x14ac:dyDescent="0.25">
      <c r="A37" s="7">
        <v>0.1</v>
      </c>
      <c r="B37" s="7">
        <f t="shared" si="30"/>
        <v>0</v>
      </c>
      <c r="C37" s="7">
        <f t="shared" si="31"/>
        <v>0.1</v>
      </c>
      <c r="D37" s="7">
        <f>1-B37-C37</f>
        <v>0.9</v>
      </c>
      <c r="E37" s="6">
        <f>(B37*$B$2+D37*$D$2+C37*$C$2)</f>
        <v>16.613760200000002</v>
      </c>
      <c r="F37" s="6">
        <f>B37*$B$2/E37</f>
        <v>0</v>
      </c>
      <c r="G37" s="6">
        <f>C37*$C$2/E37</f>
        <v>2.4092089640248931E-2</v>
      </c>
      <c r="H37" s="6">
        <f>D37*$D$2/E37</f>
        <v>0.975907910359751</v>
      </c>
      <c r="I37" s="6">
        <f>$B$3*B37+$C$3*C37+$D$3*D37</f>
        <v>2.6320000000000001</v>
      </c>
      <c r="J37" s="3">
        <f t="shared" si="32"/>
        <v>132.88361867806699</v>
      </c>
      <c r="K37" s="3">
        <f t="shared" si="33"/>
        <v>0.92221816264224266</v>
      </c>
    </row>
    <row r="38" spans="1:11" x14ac:dyDescent="0.25">
      <c r="A38" s="7">
        <v>0.3</v>
      </c>
      <c r="B38" s="7">
        <f t="shared" si="30"/>
        <v>0</v>
      </c>
      <c r="C38" s="7">
        <f t="shared" si="31"/>
        <v>0.3</v>
      </c>
      <c r="D38" s="7">
        <f t="shared" ref="D38:D42" si="34">1-B38-C38</f>
        <v>0.7</v>
      </c>
      <c r="E38" s="6">
        <f t="shared" ref="E38:E42" si="35">(B38*$B$2+D38*$D$2+C38*$C$2)</f>
        <v>13.8112806</v>
      </c>
      <c r="F38" s="6">
        <f t="shared" ref="F38:F42" si="36">B38*$B$2/E38</f>
        <v>0</v>
      </c>
      <c r="G38" s="6">
        <f t="shared" ref="G38:G42" si="37">C38*$C$2/E38</f>
        <v>8.6942017527324736E-2</v>
      </c>
      <c r="H38" s="6">
        <f t="shared" ref="H38:H42" si="38">D38*$D$2/E38</f>
        <v>0.91305798247267533</v>
      </c>
      <c r="I38" s="6">
        <f t="shared" ref="I38:I42" si="39">$B$3*B38+$C$3*C38+$D$3*D38</f>
        <v>2.6139999999999999</v>
      </c>
      <c r="J38" s="3">
        <f t="shared" si="32"/>
        <v>134.71999240703346</v>
      </c>
      <c r="K38" s="3">
        <f t="shared" si="33"/>
        <v>0.76665448792672775</v>
      </c>
    </row>
    <row r="39" spans="1:11" x14ac:dyDescent="0.25">
      <c r="A39" s="7">
        <v>0.5</v>
      </c>
      <c r="B39" s="7">
        <f t="shared" si="30"/>
        <v>0</v>
      </c>
      <c r="C39" s="7">
        <f t="shared" si="31"/>
        <v>0.5</v>
      </c>
      <c r="D39" s="7">
        <f t="shared" si="34"/>
        <v>0.5</v>
      </c>
      <c r="E39" s="6">
        <f t="shared" si="35"/>
        <v>11.008801</v>
      </c>
      <c r="F39" s="6">
        <f t="shared" si="36"/>
        <v>0</v>
      </c>
      <c r="G39" s="6">
        <f t="shared" si="37"/>
        <v>0.18179100521482769</v>
      </c>
      <c r="H39" s="6">
        <f t="shared" si="38"/>
        <v>0.81820899478517239</v>
      </c>
      <c r="I39" s="6">
        <f t="shared" si="39"/>
        <v>2.5960000000000001</v>
      </c>
      <c r="J39" s="3">
        <f t="shared" si="32"/>
        <v>136.59469725221601</v>
      </c>
      <c r="K39" s="3">
        <f t="shared" si="33"/>
        <v>0.61109081321121284</v>
      </c>
    </row>
    <row r="40" spans="1:11" x14ac:dyDescent="0.25">
      <c r="A40" s="7">
        <v>0.7</v>
      </c>
      <c r="B40" s="7">
        <f t="shared" si="30"/>
        <v>0</v>
      </c>
      <c r="C40" s="7">
        <f t="shared" si="31"/>
        <v>0.7</v>
      </c>
      <c r="D40" s="7">
        <f t="shared" si="34"/>
        <v>0.30000000000000004</v>
      </c>
      <c r="E40" s="6">
        <f t="shared" si="35"/>
        <v>8.206321400000002</v>
      </c>
      <c r="F40" s="6">
        <f t="shared" si="36"/>
        <v>0</v>
      </c>
      <c r="G40" s="6">
        <f t="shared" si="37"/>
        <v>0.34142233327590599</v>
      </c>
      <c r="H40" s="6">
        <f t="shared" si="38"/>
        <v>0.6585776667240939</v>
      </c>
      <c r="I40" s="6">
        <f t="shared" si="39"/>
        <v>2.5780000000000003</v>
      </c>
      <c r="J40" s="3">
        <f t="shared" si="32"/>
        <v>138.50880747780047</v>
      </c>
      <c r="K40" s="3">
        <f t="shared" si="33"/>
        <v>0.45552713849569815</v>
      </c>
    </row>
    <row r="41" spans="1:11" x14ac:dyDescent="0.25">
      <c r="A41" s="7">
        <v>0.9</v>
      </c>
      <c r="B41" s="7">
        <f t="shared" si="30"/>
        <v>0</v>
      </c>
      <c r="C41" s="7">
        <f t="shared" si="31"/>
        <v>0.9</v>
      </c>
      <c r="D41" s="7">
        <f t="shared" si="34"/>
        <v>9.9999999999999978E-2</v>
      </c>
      <c r="E41" s="6">
        <f t="shared" si="35"/>
        <v>5.4038418000000004</v>
      </c>
      <c r="F41" s="6">
        <f t="shared" si="36"/>
        <v>0</v>
      </c>
      <c r="G41" s="6">
        <f t="shared" si="37"/>
        <v>0.66662606592221119</v>
      </c>
      <c r="H41" s="6">
        <f t="shared" si="38"/>
        <v>0.33337393407778881</v>
      </c>
      <c r="I41" s="6">
        <f t="shared" si="39"/>
        <v>2.56</v>
      </c>
      <c r="J41" s="3">
        <f t="shared" si="32"/>
        <v>140.46343524738924</v>
      </c>
      <c r="K41" s="3">
        <f t="shared" si="33"/>
        <v>0.29996346378018318</v>
      </c>
    </row>
    <row r="42" spans="1:11" x14ac:dyDescent="0.25">
      <c r="A42" s="7">
        <v>1</v>
      </c>
      <c r="B42" s="7">
        <f t="shared" si="30"/>
        <v>0</v>
      </c>
      <c r="C42" s="7">
        <f t="shared" si="31"/>
        <v>1</v>
      </c>
      <c r="D42" s="7">
        <f t="shared" si="34"/>
        <v>0</v>
      </c>
      <c r="E42" s="6">
        <f t="shared" si="35"/>
        <v>4.0026020000000004</v>
      </c>
      <c r="F42" s="6">
        <f t="shared" si="36"/>
        <v>0</v>
      </c>
      <c r="G42" s="6">
        <f t="shared" si="37"/>
        <v>1</v>
      </c>
      <c r="H42" s="6">
        <f t="shared" si="38"/>
        <v>0</v>
      </c>
      <c r="I42" s="6">
        <f t="shared" si="39"/>
        <v>2.5510000000000002</v>
      </c>
      <c r="J42" s="3">
        <f t="shared" si="32"/>
        <v>141.45630152145006</v>
      </c>
      <c r="K42" s="3">
        <f t="shared" si="33"/>
        <v>0.22218162642242578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matrix v2</vt:lpstr>
      <vt:lpstr>test matrix v1</vt:lpstr>
      <vt:lpstr>NC calc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g_dragon</dc:creator>
  <cp:lastModifiedBy>Janasz Filip</cp:lastModifiedBy>
  <cp:lastPrinted>2015-04-27T08:12:10Z</cp:lastPrinted>
  <dcterms:created xsi:type="dcterms:W3CDTF">2015-03-26T09:06:57Z</dcterms:created>
  <dcterms:modified xsi:type="dcterms:W3CDTF">2015-05-06T12:45:14Z</dcterms:modified>
</cp:coreProperties>
</file>