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LocalUser\Desktop\"/>
    </mc:Choice>
  </mc:AlternateContent>
  <xr:revisionPtr revIDLastSave="0" documentId="13_ncr:1_{1C00A527-3846-4B63-8468-499092B6C76E}" xr6:coauthVersionLast="47" xr6:coauthVersionMax="47" xr10:uidLastSave="{00000000-0000-0000-0000-000000000000}"/>
  <bookViews>
    <workbookView xWindow="7695" yWindow="8985" windowWidth="34725" windowHeight="11190" xr2:uid="{00000000-000D-0000-FFFF-FFFF00000000}"/>
  </bookViews>
  <sheets>
    <sheet name="营养数据库" sheetId="1" r:id="rId1"/>
    <sheet name="每日记录" sheetId="2" r:id="rId2"/>
  </sheets>
  <definedNames>
    <definedName name="_xlnm._FilterDatabase" localSheetId="0" hidden="1">营养数据库!$A$12:$N$25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0" i="2" l="1"/>
  <c r="J20" i="2"/>
  <c r="H20" i="2"/>
  <c r="F20" i="2"/>
  <c r="D20" i="2"/>
  <c r="I15" i="1"/>
  <c r="C9" i="2"/>
  <c r="D9" i="2" s="1"/>
  <c r="E9" i="2"/>
  <c r="F9" i="2" s="1"/>
  <c r="G9" i="2"/>
  <c r="H9" i="2" s="1"/>
  <c r="I9" i="2"/>
  <c r="J9" i="2" s="1"/>
  <c r="K9" i="2"/>
  <c r="L9" i="2" s="1"/>
  <c r="M9" i="2"/>
  <c r="C29" i="1"/>
  <c r="E29" i="1"/>
  <c r="G29" i="1"/>
  <c r="I29" i="1"/>
  <c r="K29" i="1"/>
  <c r="N29" i="1"/>
  <c r="O29" i="1"/>
  <c r="C21" i="1"/>
  <c r="E21" i="1"/>
  <c r="G21" i="1"/>
  <c r="I21" i="1"/>
  <c r="K21" i="1"/>
  <c r="N21" i="1"/>
  <c r="O21" i="1"/>
  <c r="C16" i="2"/>
  <c r="D16" i="2" s="1"/>
  <c r="E16" i="2"/>
  <c r="F16" i="2" s="1"/>
  <c r="G16" i="2"/>
  <c r="H16" i="2" s="1"/>
  <c r="I16" i="2"/>
  <c r="J16" i="2" s="1"/>
  <c r="K16" i="2"/>
  <c r="L16" i="2" s="1"/>
  <c r="M16" i="2"/>
  <c r="C36" i="1"/>
  <c r="E36" i="1"/>
  <c r="G36" i="1"/>
  <c r="I36" i="1"/>
  <c r="K36" i="1"/>
  <c r="O36" i="1"/>
  <c r="I41" i="1"/>
  <c r="I38" i="1"/>
  <c r="I37" i="1"/>
  <c r="I39" i="1"/>
  <c r="I40" i="1"/>
  <c r="G41" i="1"/>
  <c r="G38" i="1"/>
  <c r="G37" i="1"/>
  <c r="G39" i="1"/>
  <c r="G40" i="1"/>
  <c r="E41" i="1"/>
  <c r="E38" i="1"/>
  <c r="E37" i="1"/>
  <c r="E39" i="1"/>
  <c r="E40" i="1"/>
  <c r="C41" i="1"/>
  <c r="C38" i="1"/>
  <c r="C37" i="1"/>
  <c r="C39" i="1"/>
  <c r="C40" i="1"/>
  <c r="C15" i="1"/>
  <c r="C30" i="1"/>
  <c r="C13" i="1"/>
  <c r="C16" i="1"/>
  <c r="C25" i="1"/>
  <c r="C14" i="1"/>
  <c r="C18" i="1"/>
  <c r="C23" i="1"/>
  <c r="C19" i="1"/>
  <c r="C26" i="1"/>
  <c r="C27" i="1"/>
  <c r="C17" i="1"/>
  <c r="C20" i="1"/>
  <c r="C24" i="1"/>
  <c r="C28" i="1"/>
  <c r="C22" i="1"/>
  <c r="E15" i="1"/>
  <c r="E30" i="1"/>
  <c r="E13" i="1"/>
  <c r="E16" i="1"/>
  <c r="E25" i="1"/>
  <c r="E14" i="1"/>
  <c r="E18" i="1"/>
  <c r="E23" i="1"/>
  <c r="E19" i="1"/>
  <c r="E26" i="1"/>
  <c r="E27" i="1"/>
  <c r="E17" i="1"/>
  <c r="E20" i="1"/>
  <c r="E24" i="1"/>
  <c r="E28" i="1"/>
  <c r="E22" i="1"/>
  <c r="G15" i="1"/>
  <c r="G30" i="1"/>
  <c r="G13" i="1"/>
  <c r="G16" i="1"/>
  <c r="G25" i="1"/>
  <c r="G14" i="1"/>
  <c r="G18" i="1"/>
  <c r="G23" i="1"/>
  <c r="G19" i="1"/>
  <c r="G26" i="1"/>
  <c r="G27" i="1"/>
  <c r="G17" i="1"/>
  <c r="G20" i="1"/>
  <c r="G24" i="1"/>
  <c r="G28" i="1"/>
  <c r="G22" i="1"/>
  <c r="I30" i="1"/>
  <c r="I13" i="1"/>
  <c r="I16" i="1"/>
  <c r="I25" i="1"/>
  <c r="I14" i="1"/>
  <c r="I18" i="1"/>
  <c r="I23" i="1"/>
  <c r="I19" i="1"/>
  <c r="I26" i="1"/>
  <c r="I27" i="1"/>
  <c r="I17" i="1"/>
  <c r="I20" i="1"/>
  <c r="I24" i="1"/>
  <c r="I28" i="1"/>
  <c r="I22" i="1"/>
  <c r="K41" i="1"/>
  <c r="K38" i="1"/>
  <c r="K37" i="1"/>
  <c r="K39" i="1"/>
  <c r="K40" i="1"/>
  <c r="K15" i="1"/>
  <c r="K30" i="1"/>
  <c r="K13" i="1"/>
  <c r="K16" i="1"/>
  <c r="K25" i="1"/>
  <c r="K14" i="1"/>
  <c r="K18" i="1"/>
  <c r="K23" i="1"/>
  <c r="K19" i="1"/>
  <c r="K26" i="1"/>
  <c r="K27" i="1"/>
  <c r="K17" i="1"/>
  <c r="K20" i="1"/>
  <c r="K24" i="1"/>
  <c r="K28" i="1"/>
  <c r="K22" i="1"/>
  <c r="O15" i="1"/>
  <c r="O30" i="1"/>
  <c r="O13" i="1"/>
  <c r="O16" i="1"/>
  <c r="O25" i="1"/>
  <c r="O14" i="1"/>
  <c r="O18" i="1"/>
  <c r="O23" i="1"/>
  <c r="O19" i="1"/>
  <c r="O26" i="1"/>
  <c r="O27" i="1"/>
  <c r="O17" i="1"/>
  <c r="O20" i="1"/>
  <c r="O24" i="1"/>
  <c r="O28" i="1"/>
  <c r="O22" i="1"/>
  <c r="N15" i="1"/>
  <c r="N30" i="1"/>
  <c r="N13" i="1"/>
  <c r="N16" i="1"/>
  <c r="N25" i="1"/>
  <c r="N14" i="1"/>
  <c r="N18" i="1"/>
  <c r="N23" i="1"/>
  <c r="N19" i="1"/>
  <c r="N26" i="1"/>
  <c r="N27" i="1"/>
  <c r="N17" i="1"/>
  <c r="N20" i="1"/>
  <c r="N24" i="1"/>
  <c r="N28" i="1"/>
  <c r="N22" i="1"/>
  <c r="O40" i="1"/>
  <c r="O41" i="1"/>
  <c r="O38" i="1"/>
  <c r="O37" i="1"/>
  <c r="O39" i="1"/>
  <c r="C15" i="2"/>
  <c r="D15" i="2" s="1"/>
  <c r="E15" i="2"/>
  <c r="F15" i="2" s="1"/>
  <c r="G15" i="2"/>
  <c r="H15" i="2" s="1"/>
  <c r="I15" i="2"/>
  <c r="J15" i="2" s="1"/>
  <c r="K15" i="2"/>
  <c r="L15" i="2" s="1"/>
  <c r="M15" i="2"/>
  <c r="C14" i="2"/>
  <c r="D14" i="2" s="1"/>
  <c r="E14" i="2"/>
  <c r="F14" i="2" s="1"/>
  <c r="G14" i="2"/>
  <c r="H14" i="2" s="1"/>
  <c r="I14" i="2"/>
  <c r="J14" i="2" s="1"/>
  <c r="K14" i="2"/>
  <c r="L14" i="2" s="1"/>
  <c r="M14" i="2"/>
  <c r="M13" i="2"/>
  <c r="K13" i="2"/>
  <c r="L13" i="2" s="1"/>
  <c r="I13" i="2"/>
  <c r="J13" i="2" s="1"/>
  <c r="G13" i="2"/>
  <c r="H13" i="2" s="1"/>
  <c r="E13" i="2"/>
  <c r="F13" i="2" s="1"/>
  <c r="C13" i="2"/>
  <c r="D13" i="2" s="1"/>
  <c r="M8" i="2"/>
  <c r="K8" i="2"/>
  <c r="I8" i="2"/>
  <c r="J8" i="2" s="1"/>
  <c r="G8" i="2"/>
  <c r="H8" i="2" s="1"/>
  <c r="E8" i="2"/>
  <c r="F8" i="2" s="1"/>
  <c r="C8" i="2"/>
  <c r="D8" i="2" s="1"/>
  <c r="K20" i="2" l="1"/>
  <c r="M20" i="2"/>
  <c r="C20" i="2"/>
  <c r="G20" i="2"/>
  <c r="E20" i="2"/>
  <c r="L8" i="2"/>
  <c r="I20" i="2"/>
</calcChain>
</file>

<file path=xl/sharedStrings.xml><?xml version="1.0" encoding="utf-8"?>
<sst xmlns="http://schemas.openxmlformats.org/spreadsheetml/2006/main" count="129" uniqueCount="102">
  <si>
    <t>泰森日式唐扬鸡块</t>
  </si>
  <si>
    <t>食品标签营养素参考值（NRV）</t>
    <phoneticPr fontId="1" type="noConversion"/>
  </si>
  <si>
    <t>能量</t>
    <phoneticPr fontId="1" type="noConversion"/>
  </si>
  <si>
    <t>营养成分</t>
    <phoneticPr fontId="1" type="noConversion"/>
  </si>
  <si>
    <t>NRV</t>
    <phoneticPr fontId="1" type="noConversion"/>
  </si>
  <si>
    <t>8400kJ</t>
    <phoneticPr fontId="1" type="noConversion"/>
  </si>
  <si>
    <t>泛酸</t>
    <phoneticPr fontId="1" type="noConversion"/>
  </si>
  <si>
    <t>5mg</t>
    <phoneticPr fontId="1" type="noConversion"/>
  </si>
  <si>
    <t>卫生部关于印发《食品营养标签管理规范》的通知</t>
    <phoneticPr fontId="1" type="noConversion"/>
  </si>
  <si>
    <t>蛋白质</t>
    <phoneticPr fontId="1" type="noConversion"/>
  </si>
  <si>
    <t>60g</t>
    <phoneticPr fontId="1" type="noConversion"/>
  </si>
  <si>
    <t>生物素</t>
    <phoneticPr fontId="1" type="noConversion"/>
  </si>
  <si>
    <t>30mg</t>
    <phoneticPr fontId="1" type="noConversion"/>
  </si>
  <si>
    <t>脂肪</t>
    <phoneticPr fontId="1" type="noConversion"/>
  </si>
  <si>
    <t xml:space="preserve">&lt;60g  </t>
    <phoneticPr fontId="1" type="noConversion"/>
  </si>
  <si>
    <t>胆碱</t>
    <phoneticPr fontId="1" type="noConversion"/>
  </si>
  <si>
    <t>450mg</t>
    <phoneticPr fontId="1" type="noConversion"/>
  </si>
  <si>
    <t>碳水化合物</t>
    <phoneticPr fontId="1" type="noConversion"/>
  </si>
  <si>
    <t>300g</t>
    <phoneticPr fontId="1" type="noConversion"/>
  </si>
  <si>
    <t>钾</t>
    <phoneticPr fontId="1" type="noConversion"/>
  </si>
  <si>
    <t>2000mg</t>
    <phoneticPr fontId="1" type="noConversion"/>
  </si>
  <si>
    <t>膳食纤维</t>
    <phoneticPr fontId="1" type="noConversion"/>
  </si>
  <si>
    <t>25g</t>
    <phoneticPr fontId="1" type="noConversion"/>
  </si>
  <si>
    <t>钠</t>
    <phoneticPr fontId="1" type="noConversion"/>
  </si>
  <si>
    <t>象大厨鲜脆藕合(猪肉馅)</t>
    <phoneticPr fontId="1" type="noConversion"/>
  </si>
  <si>
    <t>湾仔码头玉米蔬菜猪肉水饺</t>
    <phoneticPr fontId="1" type="noConversion"/>
  </si>
  <si>
    <t>袁记味享玉米鲜肉饺</t>
    <phoneticPr fontId="1" type="noConversion"/>
  </si>
  <si>
    <t>象大厨玉米猪肉蒸饺</t>
    <phoneticPr fontId="1" type="noConversion"/>
  </si>
  <si>
    <t>重价比(克/元)越高越便宜</t>
    <phoneticPr fontId="1" type="noConversion"/>
  </si>
  <si>
    <t>黑椒烤肠</t>
    <phoneticPr fontId="1" type="noConversion"/>
  </si>
  <si>
    <t>雪川薯味原味冷冻粗薯条</t>
    <phoneticPr fontId="1" type="noConversion"/>
  </si>
  <si>
    <t>象大厨黑椒鸡块</t>
    <phoneticPr fontId="1" type="noConversion"/>
  </si>
  <si>
    <t>圣农原味脆皮鸡排</t>
    <phoneticPr fontId="1" type="noConversion"/>
  </si>
  <si>
    <t>雪川金脆薯条</t>
    <phoneticPr fontId="1" type="noConversion"/>
  </si>
  <si>
    <t>正大爆汁鸡米花</t>
    <phoneticPr fontId="1" type="noConversion"/>
  </si>
  <si>
    <t>亨氏番茄沙司</t>
    <phoneticPr fontId="1" type="noConversion"/>
  </si>
  <si>
    <t>川香鸡柳</t>
    <phoneticPr fontId="1" type="noConversion"/>
  </si>
  <si>
    <t>白象荞麦方便面(60g)</t>
    <phoneticPr fontId="1" type="noConversion"/>
  </si>
  <si>
    <t>京东京造有机三色糙米(43g)</t>
    <phoneticPr fontId="1" type="noConversion"/>
  </si>
  <si>
    <t>小酥肉(鸡肉)</t>
    <phoneticPr fontId="1" type="noConversion"/>
  </si>
  <si>
    <t>圣农蒜香味脆皮香香鸡</t>
    <phoneticPr fontId="1" type="noConversion"/>
  </si>
  <si>
    <t>鸡蛋(1个/50g)</t>
    <phoneticPr fontId="1" type="noConversion"/>
  </si>
  <si>
    <t>食物名称</t>
    <phoneticPr fontId="1" type="noConversion"/>
  </si>
  <si>
    <t>摄入重量_g</t>
    <phoneticPr fontId="1" type="noConversion"/>
  </si>
  <si>
    <t>摄入能量_Kj</t>
    <phoneticPr fontId="1" type="noConversion"/>
  </si>
  <si>
    <t>摄入能量_NRV%</t>
    <phoneticPr fontId="1" type="noConversion"/>
  </si>
  <si>
    <t>摄入蛋白质_g</t>
    <phoneticPr fontId="1" type="noConversion"/>
  </si>
  <si>
    <t>摄入蛋白质_NRV%</t>
    <phoneticPr fontId="1" type="noConversion"/>
  </si>
  <si>
    <t>摄入脂肪_g</t>
    <phoneticPr fontId="1" type="noConversion"/>
  </si>
  <si>
    <t>摄入脂肪_NRV%</t>
    <phoneticPr fontId="1" type="noConversion"/>
  </si>
  <si>
    <t>摄入碳水_g</t>
    <phoneticPr fontId="1" type="noConversion"/>
  </si>
  <si>
    <t>摄入碳水_NRV%</t>
    <phoneticPr fontId="1" type="noConversion"/>
  </si>
  <si>
    <t>摄入钠_mg</t>
    <phoneticPr fontId="1" type="noConversion"/>
  </si>
  <si>
    <t>摄入钠_NRV%</t>
    <phoneticPr fontId="1" type="noConversion"/>
  </si>
  <si>
    <t>摄入成本_元</t>
    <phoneticPr fontId="1" type="noConversion"/>
  </si>
  <si>
    <t>摄入份数</t>
    <phoneticPr fontId="1" type="noConversion"/>
  </si>
  <si>
    <t>单份价格</t>
    <phoneticPr fontId="1" type="noConversion"/>
  </si>
  <si>
    <t>总和</t>
    <phoneticPr fontId="1" type="noConversion"/>
  </si>
  <si>
    <t>总摄入能量_Kj</t>
    <phoneticPr fontId="1" type="noConversion"/>
  </si>
  <si>
    <t>总摄入能量_NRV%</t>
    <phoneticPr fontId="1" type="noConversion"/>
  </si>
  <si>
    <t>总摄入蛋白质_g</t>
    <phoneticPr fontId="1" type="noConversion"/>
  </si>
  <si>
    <t>总摄入蛋白质_NRV%</t>
    <phoneticPr fontId="1" type="noConversion"/>
  </si>
  <si>
    <t>总摄入脂肪_g</t>
    <phoneticPr fontId="1" type="noConversion"/>
  </si>
  <si>
    <t>总摄入脂肪_NRV%</t>
    <phoneticPr fontId="1" type="noConversion"/>
  </si>
  <si>
    <t>总摄入碳水_g</t>
    <phoneticPr fontId="1" type="noConversion"/>
  </si>
  <si>
    <t>总摄入碳水_NRV%</t>
    <phoneticPr fontId="1" type="noConversion"/>
  </si>
  <si>
    <t>总摄入钠_mg</t>
    <phoneticPr fontId="1" type="noConversion"/>
  </si>
  <si>
    <t>总摄入钠_NRV%</t>
    <phoneticPr fontId="1" type="noConversion"/>
  </si>
  <si>
    <t>总摄入成本_元</t>
    <phoneticPr fontId="1" type="noConversion"/>
  </si>
  <si>
    <t>模板</t>
    <phoneticPr fontId="1" type="noConversion"/>
  </si>
  <si>
    <t>百兰达番茄肉酱意大利面</t>
    <phoneticPr fontId="1" type="noConversion"/>
  </si>
  <si>
    <t>生菜(1份/125g)</t>
    <phoneticPr fontId="1" type="noConversion"/>
  </si>
  <si>
    <t>麦肯晨选原切冷冻大薯饼</t>
    <phoneticPr fontId="1" type="noConversion"/>
  </si>
  <si>
    <t>蛋白质/脂肪比值</t>
    <phoneticPr fontId="1" type="noConversion"/>
  </si>
  <si>
    <t>能量(kJ/100g)</t>
    <phoneticPr fontId="1" type="noConversion"/>
  </si>
  <si>
    <t>蛋白质(g/100g)</t>
    <phoneticPr fontId="1" type="noConversion"/>
  </si>
  <si>
    <t>能量(NRV%/100g)</t>
    <phoneticPr fontId="1" type="noConversion"/>
  </si>
  <si>
    <t>蛋白质(NRV%/100g)</t>
    <phoneticPr fontId="1" type="noConversion"/>
  </si>
  <si>
    <t>脂肪(g/100g)</t>
    <phoneticPr fontId="1" type="noConversion"/>
  </si>
  <si>
    <t>脂肪(NRV%/100g)</t>
    <phoneticPr fontId="1" type="noConversion"/>
  </si>
  <si>
    <t>碳水(g/100g)</t>
    <phoneticPr fontId="1" type="noConversion"/>
  </si>
  <si>
    <t>碳水(NRV%/100g)</t>
    <phoneticPr fontId="1" type="noConversion"/>
  </si>
  <si>
    <t>钠(mg/100g)</t>
    <phoneticPr fontId="1" type="noConversion"/>
  </si>
  <si>
    <t>钠(NRV%/100g)</t>
    <phoneticPr fontId="1" type="noConversion"/>
  </si>
  <si>
    <t>包装规格(g)</t>
    <phoneticPr fontId="1" type="noConversion"/>
  </si>
  <si>
    <t>包装价格(元)</t>
    <phoneticPr fontId="1" type="noConversion"/>
  </si>
  <si>
    <t>能量(kJ)</t>
    <phoneticPr fontId="1" type="noConversion"/>
  </si>
  <si>
    <t>能量(NRV%)</t>
    <phoneticPr fontId="1" type="noConversion"/>
  </si>
  <si>
    <t>蛋白质(g)</t>
    <phoneticPr fontId="1" type="noConversion"/>
  </si>
  <si>
    <t>蛋白质(NRV%)</t>
    <phoneticPr fontId="1" type="noConversion"/>
  </si>
  <si>
    <t>脂肪(g)</t>
    <phoneticPr fontId="1" type="noConversion"/>
  </si>
  <si>
    <t>脂肪(NRV%)</t>
    <phoneticPr fontId="1" type="noConversion"/>
  </si>
  <si>
    <t>碳水(g)</t>
    <phoneticPr fontId="1" type="noConversion"/>
  </si>
  <si>
    <t>碳水(NRV%)</t>
    <phoneticPr fontId="1" type="noConversion"/>
  </si>
  <si>
    <t>钠(mg)</t>
    <phoneticPr fontId="1" type="noConversion"/>
  </si>
  <si>
    <t>钠(NRV%)</t>
    <phoneticPr fontId="1" type="noConversion"/>
  </si>
  <si>
    <t>按重量统计</t>
    <phoneticPr fontId="1" type="noConversion"/>
  </si>
  <si>
    <t>按份数统计</t>
    <phoneticPr fontId="1" type="noConversion"/>
  </si>
  <si>
    <t>按重量统计(100g)</t>
    <phoneticPr fontId="1" type="noConversion"/>
  </si>
  <si>
    <t>鸡蛋白(1个/30g)</t>
    <phoneticPr fontId="1" type="noConversion"/>
  </si>
  <si>
    <t>素派三菌四蔬翡翠素饺</t>
    <phoneticPr fontId="1" type="noConversion"/>
  </si>
  <si>
    <t>卡兹脆鸡排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</si>
</sst>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22"/>
      <color theme="8" tint="0.3999755851924192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b/>
      <sz val="22"/>
      <color theme="8" tint="-0.499984740745262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7DE1D7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center"/>
    </xf>
    <xf numFmtId="0" fontId="0" fillId="3" borderId="0" xfId="0" applyFill="1"/>
    <xf numFmtId="9" fontId="0" fillId="0" borderId="0" xfId="2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9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1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3">
    <cellStyle name="百分比" xfId="2" builtinId="5"/>
    <cellStyle name="常规" xfId="0" builtinId="0"/>
    <cellStyle name="超链接" xfId="1" builtinId="8"/>
  </cellStyles>
  <dxfs count="76">
    <dxf>
      <numFmt numFmtId="2" formatCode="0.00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numFmt numFmtId="2" formatCode="0.00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等线"/>
        <charset val="134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等线"/>
        <charset val="134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等线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等线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等线"/>
        <charset val="134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等线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等线"/>
        <charset val="134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等线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等线"/>
        <charset val="134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等线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等线"/>
        <charset val="134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等线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等线"/>
        <charset val="134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等线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等线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等线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等线"/>
        <charset val="134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等线"/>
        <charset val="134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等线"/>
        <charset val="134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等线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等线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等线"/>
        <charset val="134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等线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等线"/>
        <charset val="134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等线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等线"/>
        <charset val="134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等线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等线"/>
        <charset val="134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等线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等线"/>
        <charset val="134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等线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等线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等线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等线"/>
        <charset val="134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7DE1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B31E35-EB30-47F1-B22D-5058DBAE42D6}" name="T_DB_Weight" displayName="T_DB_Weight" ref="A12:O30" totalsRowShown="0" headerRowDxfId="75" dataDxfId="74">
  <autoFilter ref="A12:O30" xr:uid="{71B31E35-EB30-47F1-B22D-5058DBAE42D6}"/>
  <sortState xmlns:xlrd2="http://schemas.microsoft.com/office/spreadsheetml/2017/richdata2" ref="A13:O30">
    <sortCondition ref="F13:F30"/>
  </sortState>
  <tableColumns count="15">
    <tableColumn id="1" xr3:uid="{1E529C41-F3BF-4F36-B6CE-F77ACD07D002}" name="食物名称" dataDxfId="73"/>
    <tableColumn id="2" xr3:uid="{6E576795-48E6-4183-B62B-FA83AFA3445C}" name="能量(kJ/100g)" dataDxfId="72"/>
    <tableColumn id="3" xr3:uid="{1CC56DF6-79D3-454D-8146-9E7D13137E27}" name="能量(NRV%/100g)" dataDxfId="71">
      <calculatedColumnFormula>(T_DB_Weight[能量(kJ/100g)]/8400)</calculatedColumnFormula>
    </tableColumn>
    <tableColumn id="4" xr3:uid="{C6723511-0A8F-4D68-B08C-0617CD8EAEFD}" name="蛋白质(g/100g)" dataDxfId="70"/>
    <tableColumn id="5" xr3:uid="{C438EC3B-7ED2-4E1E-91B1-AD4DC9D8B8F7}" name="蛋白质(NRV%/100g)" dataDxfId="69">
      <calculatedColumnFormula>(T_DB_Weight[蛋白质(g/100g)]/60)</calculatedColumnFormula>
    </tableColumn>
    <tableColumn id="6" xr3:uid="{0C3325DB-C572-43E0-ACBC-CFAB508214C4}" name="脂肪(g/100g)" dataDxfId="68"/>
    <tableColumn id="7" xr3:uid="{2C8428A0-4066-49F3-8ACB-78AB4AF5DE8A}" name="脂肪(NRV%/100g)" dataDxfId="67">
      <calculatedColumnFormula>(T_DB_Weight[脂肪(g/100g)]/60)</calculatedColumnFormula>
    </tableColumn>
    <tableColumn id="8" xr3:uid="{9A62A905-83F6-41EF-A345-298F2D230EB2}" name="碳水(g/100g)" dataDxfId="66"/>
    <tableColumn id="9" xr3:uid="{C93F184D-00ED-4EF5-B65B-23CEE59F1E61}" name="碳水(NRV%/100g)" dataDxfId="65">
      <calculatedColumnFormula>(T_DB_Weight[碳水(g/100g)]/300)</calculatedColumnFormula>
    </tableColumn>
    <tableColumn id="10" xr3:uid="{3F749105-3089-4CEA-8ED7-149765C3A0E8}" name="钠(mg/100g)" dataDxfId="64"/>
    <tableColumn id="11" xr3:uid="{C7719131-D4C5-4A4F-8756-B6962BF4C303}" name="钠(NRV%/100g)" dataDxfId="63">
      <calculatedColumnFormula>(T_DB_Weight[钠(mg/100g)]/2000)</calculatedColumnFormula>
    </tableColumn>
    <tableColumn id="12" xr3:uid="{693E16DE-330C-405F-AE32-5C7EA7BC9D34}" name="包装规格(g)" dataDxfId="62"/>
    <tableColumn id="13" xr3:uid="{519EDCF6-E6AD-4848-ACA0-AC9D991FFAE1}" name="包装价格(元)" dataDxfId="61"/>
    <tableColumn id="14" xr3:uid="{2142D9A6-4DE5-4514-AB05-261AC5C1FE07}" name="重价比(克/元)越高越便宜" dataDxfId="60">
      <calculatedColumnFormula>IFERROR(T_DB_Weight[包装规格(g)]/T_DB_Weight[包装价格(元)], "\")</calculatedColumnFormula>
    </tableColumn>
    <tableColumn id="15" xr3:uid="{A4E25E42-5F74-471D-8D51-78CEE0B27036}" name="蛋白质/脂肪比值" dataDxfId="59">
      <calculatedColumnFormula>IFERROR(T_DB_Weight[蛋白质(g/100g)]/T_DB_Weight[脂肪(g/100g)], "\")</calculatedColumnFormula>
    </tableColumn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314636-E193-4633-A285-EFBF901278B4}" name="T_DB_Portion" displayName="T_DB_Portion" ref="A35:O41" totalsRowShown="0" headerRowDxfId="58" dataDxfId="57">
  <autoFilter ref="A35:O41" xr:uid="{89314636-E193-4633-A285-EFBF901278B4}"/>
  <sortState xmlns:xlrd2="http://schemas.microsoft.com/office/spreadsheetml/2017/richdata2" ref="A36:O41">
    <sortCondition ref="F36:F41"/>
  </sortState>
  <tableColumns count="15">
    <tableColumn id="1" xr3:uid="{0B7E5642-83CE-4AA0-838E-1E67E7AC99A1}" name="食物名称" dataDxfId="56"/>
    <tableColumn id="2" xr3:uid="{DCEEBC2E-5D81-4085-AD3B-2F64C21DEA85}" name="能量(kJ)" dataDxfId="55"/>
    <tableColumn id="3" xr3:uid="{F55D7FC1-D465-4E67-92AF-7D3764F4C1CE}" name="能量(NRV%)" dataDxfId="54">
      <calculatedColumnFormula>(T_DB_Portion[能量(kJ)]/8400)</calculatedColumnFormula>
    </tableColumn>
    <tableColumn id="4" xr3:uid="{24A5FCD5-01C4-414A-A371-7A514BC034CB}" name="蛋白质(g)" dataDxfId="53"/>
    <tableColumn id="5" xr3:uid="{245E5B2C-4EDC-4356-8337-145395E818DA}" name="蛋白质(NRV%)" dataDxfId="52">
      <calculatedColumnFormula>(T_DB_Portion[蛋白质(g)]/60)</calculatedColumnFormula>
    </tableColumn>
    <tableColumn id="6" xr3:uid="{844546FB-B73C-4D1C-A880-91D19025C368}" name="脂肪(g)" dataDxfId="51"/>
    <tableColumn id="7" xr3:uid="{0ADB8BA6-342C-4CE3-BC6E-F56E557BAA8F}" name="脂肪(NRV%)" dataDxfId="50">
      <calculatedColumnFormula>(T_DB_Portion[脂肪(g)]/60)</calculatedColumnFormula>
    </tableColumn>
    <tableColumn id="8" xr3:uid="{5FEBF76B-FF25-4FE6-B3C5-6A6D4D0BF23E}" name="碳水(g)" dataDxfId="49"/>
    <tableColumn id="9" xr3:uid="{7ADD1FDE-6740-4239-BE33-88EB8DC4CE46}" name="碳水(NRV%)" dataDxfId="48">
      <calculatedColumnFormula>(T_DB_Portion[碳水(g)]/300)</calculatedColumnFormula>
    </tableColumn>
    <tableColumn id="10" xr3:uid="{8300251C-6F10-4760-B2FD-759DE0523C7A}" name="钠(mg)" dataDxfId="47"/>
    <tableColumn id="11" xr3:uid="{249C78DF-CB3E-4181-83B9-4A68F4411044}" name="钠(NRV%)" dataDxfId="46">
      <calculatedColumnFormula>(T_DB_Portion[钠(mg)]/2000)</calculatedColumnFormula>
    </tableColumn>
    <tableColumn id="12" xr3:uid="{B2F6898C-BE79-4D76-8418-63E16449837D}" name="包装规格(g)" dataDxfId="45"/>
    <tableColumn id="13" xr3:uid="{5D258D01-E335-4BE0-B998-86E694442CAE}" name="包装价格(元)" dataDxfId="44"/>
    <tableColumn id="14" xr3:uid="{B7C56550-E011-4F97-A80F-52DE0FAF68E8}" name="单份价格" dataDxfId="43"/>
    <tableColumn id="15" xr3:uid="{4C9D771D-443E-434C-8493-9F5827692AFB}" name="蛋白质/脂肪比值" dataDxfId="42">
      <calculatedColumnFormula>IFERROR(T_DB_Portion[蛋白质(g)]/T_DB_Portion[脂肪(g)], "/")</calculatedColumnFormula>
    </tableColumn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A7680C-1F94-4024-BB27-212CEEE6A228}" name="T_Log_SUM" displayName="T_Log_SUM" ref="C19:M20" totalsRowShown="0" dataDxfId="41">
  <autoFilter ref="C19:M20" xr:uid="{76A7680C-1F94-4024-BB27-212CEEE6A228}"/>
  <tableColumns count="11">
    <tableColumn id="1" xr3:uid="{967293CC-AF5C-479B-8E41-B10118D0BA88}" name="总摄入能量_Kj" dataDxfId="40">
      <calculatedColumnFormula>SUM(T_Log_Weight[摄入能量_Kj], T_Log_Portion[摄入能量_Kj])</calculatedColumnFormula>
    </tableColumn>
    <tableColumn id="2" xr3:uid="{718CE8FD-41B5-4E9A-8B4E-5FA2427CFFE6}" name="总摄入能量_NRV%" dataDxfId="39" dataCellStyle="百分比">
      <calculatedColumnFormula>T_Log_SUM[总摄入能量_Kj]/8400</calculatedColumnFormula>
    </tableColumn>
    <tableColumn id="3" xr3:uid="{993BB3E9-D2B7-429D-B7D8-8549471E357E}" name="总摄入蛋白质_g" dataDxfId="38">
      <calculatedColumnFormula>SUM(T_Log_Weight[摄入蛋白质_g], T_Log_Portion[摄入蛋白质_g])</calculatedColumnFormula>
    </tableColumn>
    <tableColumn id="4" xr3:uid="{8E619C11-51BD-4BEA-8C54-7938D35B2A41}" name="总摄入蛋白质_NRV%" dataDxfId="37" dataCellStyle="百分比">
      <calculatedColumnFormula>T_Log_SUM[总摄入蛋白质_g]/60</calculatedColumnFormula>
    </tableColumn>
    <tableColumn id="5" xr3:uid="{06B9D77B-DDA0-4E37-9237-7ABCBE187F0C}" name="总摄入脂肪_g" dataDxfId="36">
      <calculatedColumnFormula>SUM(T_Log_Weight[摄入脂肪_g], T_Log_Portion[摄入脂肪_g])</calculatedColumnFormula>
    </tableColumn>
    <tableColumn id="6" xr3:uid="{43986054-66BC-419A-9FAD-9007784DE70F}" name="总摄入脂肪_NRV%" dataDxfId="35" dataCellStyle="百分比">
      <calculatedColumnFormula>T_Log_SUM[总摄入脂肪_g]/60</calculatedColumnFormula>
    </tableColumn>
    <tableColumn id="7" xr3:uid="{302E75F0-D47A-426E-97C6-B7989162F6C9}" name="总摄入碳水_g" dataDxfId="34">
      <calculatedColumnFormula>SUM(T_Log_Weight[摄入碳水_g], T_Log_Portion[摄入碳水_g])</calculatedColumnFormula>
    </tableColumn>
    <tableColumn id="8" xr3:uid="{FE24E612-305B-44B4-A549-8577F76563A3}" name="总摄入碳水_NRV%" dataDxfId="33" dataCellStyle="百分比">
      <calculatedColumnFormula>T_Log_SUM[总摄入碳水_g]/300</calculatedColumnFormula>
    </tableColumn>
    <tableColumn id="9" xr3:uid="{09C49232-B5C7-4F33-B3B2-A14FFD9269B1}" name="总摄入钠_mg" dataDxfId="32">
      <calculatedColumnFormula>SUM(T_Log_Weight[摄入钠_mg], T_Log_Portion[摄入钠_mg])</calculatedColumnFormula>
    </tableColumn>
    <tableColumn id="10" xr3:uid="{C0430D29-6756-4794-8B1C-E396143DADA7}" name="总摄入钠_NRV%" dataDxfId="31" dataCellStyle="百分比">
      <calculatedColumnFormula>T_Log_SUM[总摄入钠_mg]/2000</calculatedColumnFormula>
    </tableColumn>
    <tableColumn id="11" xr3:uid="{793B4055-65CA-4A76-B6CA-702FEAC81B5A}" name="总摄入成本_元" dataDxfId="30">
      <calculatedColumnFormula>SUM(T_Log_Weight[摄入成本_元], T_Log_Portion[摄入成本_元])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DFF448-59C4-4353-BD77-11CF6EF801DF}" name="T_Log_Weight" displayName="T_Log_Weight" ref="A7:M9" totalsRowShown="0" headerRowDxfId="29" dataDxfId="28">
  <autoFilter ref="A7:M9" xr:uid="{B3DFF448-59C4-4353-BD77-11CF6EF801DF}"/>
  <tableColumns count="13">
    <tableColumn id="1" xr3:uid="{D2645DFE-3A76-40D5-BE25-FFC82081D070}" name="食物名称" dataDxfId="27"/>
    <tableColumn id="2" xr3:uid="{C3623903-97A3-4E97-A84E-8B3F05D177EC}" name="摄入重量_g" dataDxfId="26"/>
    <tableColumn id="3" xr3:uid="{E729F3FD-C03B-48D9-93D2-21F2F4CEC7AE}" name="摄入能量_Kj" dataDxfId="25">
      <calculatedColumnFormula>IFERROR(IF(T_Log_Weight[[#This Row],[摄入重量_g]]&gt;0,INDEX(T_DB_Weight[能量(kJ/100g)],MATCH(T_Log_Weight[[#This Row],[食物名称]],T_DB_Weight[食物名称],0))/100*T_Log_Weight[[#This Row],[摄入重量_g]]," ")," ")</calculatedColumnFormula>
    </tableColumn>
    <tableColumn id="4" xr3:uid="{022D8759-755E-4E25-B026-FB589A52DE8D}" name="摄入能量_NRV%" dataDxfId="24">
      <calculatedColumnFormula>IFERROR((C8/8400)," ")</calculatedColumnFormula>
    </tableColumn>
    <tableColumn id="5" xr3:uid="{4A09E214-281D-41AC-AAC0-6B9659672233}" name="摄入蛋白质_g" dataDxfId="23">
      <calculatedColumnFormula>IFERROR(IF(T_Log_Weight[[#This Row],[摄入重量_g]]&gt;0,INDEX(T_DB_Weight[蛋白质(g/100g)],MATCH(T_Log_Weight[[#This Row],[食物名称]],T_DB_Weight[食物名称],0))/100*T_Log_Weight[[#This Row],[摄入重量_g]]," ")," ")</calculatedColumnFormula>
    </tableColumn>
    <tableColumn id="6" xr3:uid="{6332961C-7FDA-49FF-BC6D-28FC7C5987EB}" name="摄入蛋白质_NRV%" dataDxfId="22">
      <calculatedColumnFormula>IFERROR((E8/60), " ")</calculatedColumnFormula>
    </tableColumn>
    <tableColumn id="7" xr3:uid="{3C3A8AD2-9083-4DF7-BC81-568FA3858DEB}" name="摄入脂肪_g" dataDxfId="21">
      <calculatedColumnFormula>IFERROR(IF(T_Log_Weight[[#This Row],[摄入重量_g]]&gt;0,INDEX(T_DB_Weight[脂肪(g/100g)],MATCH(T_Log_Weight[[#This Row],[食物名称]],T_DB_Weight[食物名称],0))/100*T_Log_Weight[[#This Row],[摄入重量_g]]," ")," ")</calculatedColumnFormula>
    </tableColumn>
    <tableColumn id="8" xr3:uid="{5B5C36FD-3C7A-456B-881E-551D74C1A794}" name="摄入脂肪_NRV%" dataDxfId="20">
      <calculatedColumnFormula>IFERROR((G8/60), " ")</calculatedColumnFormula>
    </tableColumn>
    <tableColumn id="9" xr3:uid="{D1A3C8BC-476F-4B78-81CA-C5C1515004F4}" name="摄入碳水_g" dataDxfId="19">
      <calculatedColumnFormula>IFERROR(IF(T_Log_Weight[[#This Row],[摄入重量_g]]&gt;0,INDEX(T_DB_Weight[碳水(g/100g)],MATCH(T_Log_Weight[[#This Row],[食物名称]],T_DB_Weight[食物名称],0))/100*T_Log_Weight[[#This Row],[摄入重量_g]]," ")," ")</calculatedColumnFormula>
    </tableColumn>
    <tableColumn id="10" xr3:uid="{50996F5C-7E11-42E5-A5BE-A4EF226C6C44}" name="摄入碳水_NRV%" dataDxfId="18">
      <calculatedColumnFormula>IFERROR((I8/300), " ")</calculatedColumnFormula>
    </tableColumn>
    <tableColumn id="11" xr3:uid="{8FD3AFFF-509F-47C1-85EF-19E6C5C3969E}" name="摄入钠_mg" dataDxfId="17">
      <calculatedColumnFormula>IFERROR(IF(T_Log_Weight[[#This Row],[摄入重量_g]]&gt;0,INDEX(T_DB_Weight[钠(mg/100g)],MATCH(T_Log_Weight[[#This Row],[食物名称]],T_DB_Weight[食物名称],0))/100*T_Log_Weight[[#This Row],[摄入重量_g]]," ")," ")</calculatedColumnFormula>
    </tableColumn>
    <tableColumn id="12" xr3:uid="{2AE24DAF-5EF3-4EF8-9A6C-FD6229946612}" name="摄入钠_NRV%" dataDxfId="16">
      <calculatedColumnFormula>IFERROR((K8/2000), " ")</calculatedColumnFormula>
    </tableColumn>
    <tableColumn id="13" xr3:uid="{B81574BB-F433-47A2-9B92-EAEEBCEB6ECF}" name="摄入成本_元" dataDxfId="15">
      <calculatedColumnFormula>IFERROR(IF(T_Log_Weight[[#This Row],[摄入重量_g]]&gt;0,(INDEX(T_DB_Weight[包装价格(元)],MATCH(T_Log_Weight[[#This Row],[食物名称]],T_DB_Weight[食物名称],0))/INDEX(T_DB_Weight[包装规格(g)],MATCH(T_Log_Weight[[#This Row],[食物名称]],T_DB_Weight[食物名称],0)))*T_Log_Weight[[#This Row],[摄入重量_g]]," "),"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088444-B0ED-4E97-9766-1C4B09790356}" name="T_Log_Portion" displayName="T_Log_Portion" ref="A12:M16" totalsRowShown="0" headerRowDxfId="14" dataDxfId="13">
  <autoFilter ref="A12:M16" xr:uid="{E8088444-B0ED-4E97-9766-1C4B09790356}"/>
  <tableColumns count="13">
    <tableColumn id="1" xr3:uid="{02E1F311-CAFC-412F-B110-1A0F0A134BF3}" name="食物名称" dataDxfId="12"/>
    <tableColumn id="2" xr3:uid="{70227FA3-C69D-41FF-97C0-352654D7051E}" name="摄入份数" dataDxfId="11"/>
    <tableColumn id="3" xr3:uid="{5A8AED45-4B4C-4F07-A244-62DCE9F78A93}" name="摄入能量_Kj" dataDxfId="10">
      <calculatedColumnFormula>IFERROR(IF(T_Log_Portion[[#This Row],[摄入份数]]&gt;0,INDEX(T_DB_Portion[能量(kJ)],MATCH(T_Log_Portion[[#This Row],[食物名称]],T_DB_Portion[食物名称],0))*T_Log_Portion[[#This Row],[摄入份数]]," ")," ")</calculatedColumnFormula>
    </tableColumn>
    <tableColumn id="4" xr3:uid="{91D8BD34-7725-4259-8866-D4B822CC5654}" name="摄入能量_NRV%" dataDxfId="9">
      <calculatedColumnFormula>IFERROR((C13/8400), " ")</calculatedColumnFormula>
    </tableColumn>
    <tableColumn id="5" xr3:uid="{EB469427-3A65-46FE-A773-812F22A66321}" name="摄入蛋白质_g" dataDxfId="8">
      <calculatedColumnFormula>IFERROR(IF(T_Log_Portion[[#This Row],[摄入份数]]&gt;0,INDEX(T_DB_Portion[蛋白质(g)],MATCH(T_Log_Portion[[#This Row],[食物名称]],T_DB_Portion[食物名称],0))*T_Log_Portion[[#This Row],[摄入份数]]," ")," ")</calculatedColumnFormula>
    </tableColumn>
    <tableColumn id="6" xr3:uid="{1F05C848-F700-421E-9110-A1215A0BDE4A}" name="摄入蛋白质_NRV%" dataDxfId="7">
      <calculatedColumnFormula>IFERROR((E13/60), " ")</calculatedColumnFormula>
    </tableColumn>
    <tableColumn id="7" xr3:uid="{64A5F92E-C475-4D24-AFCB-F0AFEA3736BA}" name="摄入脂肪_g" dataDxfId="6">
      <calculatedColumnFormula>IFERROR(IF(T_Log_Portion[[#This Row],[摄入份数]]&gt;0,INDEX(T_DB_Portion[脂肪(g)],MATCH(T_Log_Portion[[#This Row],[食物名称]],T_DB_Portion[食物名称],0))*T_Log_Portion[[#This Row],[摄入份数]]," ")," ")</calculatedColumnFormula>
    </tableColumn>
    <tableColumn id="8" xr3:uid="{AAF7B24B-2AAD-4459-824B-497E4DC382C2}" name="摄入脂肪_NRV%" dataDxfId="5">
      <calculatedColumnFormula>IFERROR((G13/60), " ")</calculatedColumnFormula>
    </tableColumn>
    <tableColumn id="9" xr3:uid="{D5A15186-D4D0-4C0E-8E63-33494B4DF370}" name="摄入碳水_g" dataDxfId="4">
      <calculatedColumnFormula>IFERROR(IF(T_Log_Portion[[#This Row],[摄入份数]]&gt;0,INDEX(T_DB_Portion[碳水(g)],MATCH(T_Log_Portion[[#This Row],[食物名称]],T_DB_Portion[食物名称],0))*T_Log_Portion[[#This Row],[摄入份数]]," ")," ")</calculatedColumnFormula>
    </tableColumn>
    <tableColumn id="10" xr3:uid="{0103D227-74D0-427E-9EB5-60631DCDC195}" name="摄入碳水_NRV%" dataDxfId="3">
      <calculatedColumnFormula>IFERROR((I13/300), " ")</calculatedColumnFormula>
    </tableColumn>
    <tableColumn id="11" xr3:uid="{78922973-5CC3-41B5-89CD-17B3FCC0B028}" name="摄入钠_mg" dataDxfId="2">
      <calculatedColumnFormula>IFERROR(IF(T_Log_Portion[[#This Row],[摄入份数]]&gt;0,INDEX(T_DB_Portion[钠(mg)],MATCH(T_Log_Portion[[#This Row],[食物名称]],T_DB_Portion[食物名称],0))*T_Log_Portion[[#This Row],[摄入份数]]," ")," ")</calculatedColumnFormula>
    </tableColumn>
    <tableColumn id="12" xr3:uid="{2351B543-6048-4C6A-830E-FA5E144AD44F}" name="摄入钠_NRV%" dataDxfId="1">
      <calculatedColumnFormula>IFERROR((K13/2000), " ")</calculatedColumnFormula>
    </tableColumn>
    <tableColumn id="13" xr3:uid="{D9CD3B36-C7E8-4F62-9351-4B27A341F7FD}" name="摄入成本_元" dataDxfId="0">
      <calculatedColumnFormula>IFERROR(IF(T_Log_Portion[[#This Row],[摄入份数]]&gt;0,INDEX(T_DB_Portion[单份价格],MATCH(T_Log_Portion[[#This Row],[食物名称]],T_DB_Portion[食物名称],0))*T_Log_Portion[[#This Row],[摄入份数]]," ")," 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zoomScaleNormal="100" workbookViewId="0">
      <selection activeCell="E38" sqref="E38"/>
    </sheetView>
  </sheetViews>
  <sheetFormatPr defaultRowHeight="14.25" customHeight="1" x14ac:dyDescent="0.2"/>
  <cols>
    <col min="1" max="1" width="25.75" style="11" customWidth="1"/>
    <col min="2" max="2" width="14.625" style="11" customWidth="1"/>
    <col min="3" max="3" width="17.875" style="11" customWidth="1"/>
    <col min="4" max="4" width="16.25" style="11" customWidth="1"/>
    <col min="5" max="5" width="19.75" style="11" customWidth="1"/>
    <col min="6" max="6" width="14.375" style="11" customWidth="1"/>
    <col min="7" max="7" width="18.125" style="11" customWidth="1"/>
    <col min="8" max="8" width="14.125" style="11" customWidth="1"/>
    <col min="9" max="9" width="17.75" style="11" customWidth="1"/>
    <col min="10" max="10" width="14" style="11" customWidth="1"/>
    <col min="11" max="11" width="17.5" style="11" customWidth="1"/>
    <col min="12" max="12" width="13.125" style="11" customWidth="1"/>
    <col min="13" max="13" width="14.125" style="11" customWidth="1"/>
    <col min="14" max="14" width="24.125" style="11" customWidth="1"/>
    <col min="15" max="15" width="17.25" style="11" customWidth="1"/>
    <col min="16" max="16384" width="9" style="11"/>
  </cols>
  <sheetData>
    <row r="1" spans="1:15" ht="14.25" customHeight="1" x14ac:dyDescent="0.2">
      <c r="A1" s="15" t="s">
        <v>1</v>
      </c>
      <c r="B1" s="15"/>
      <c r="C1" s="15"/>
      <c r="D1" s="15"/>
      <c r="E1" s="16" t="s">
        <v>8</v>
      </c>
      <c r="F1" s="16"/>
      <c r="G1" s="16"/>
      <c r="H1" s="16"/>
    </row>
    <row r="2" spans="1:15" ht="14.25" customHeight="1" x14ac:dyDescent="0.2">
      <c r="A2" s="11" t="s">
        <v>3</v>
      </c>
      <c r="B2" s="11" t="s">
        <v>4</v>
      </c>
      <c r="C2" s="11" t="s">
        <v>3</v>
      </c>
      <c r="D2" s="11" t="s">
        <v>4</v>
      </c>
    </row>
    <row r="3" spans="1:15" ht="14.25" customHeight="1" x14ac:dyDescent="0.2">
      <c r="A3" s="11" t="s">
        <v>2</v>
      </c>
      <c r="B3" s="11" t="s">
        <v>5</v>
      </c>
      <c r="C3" s="11" t="s">
        <v>6</v>
      </c>
      <c r="D3" s="11" t="s">
        <v>7</v>
      </c>
    </row>
    <row r="4" spans="1:15" ht="14.25" customHeight="1" x14ac:dyDescent="0.2">
      <c r="A4" s="11" t="s">
        <v>9</v>
      </c>
      <c r="B4" s="11" t="s">
        <v>10</v>
      </c>
      <c r="C4" s="11" t="s">
        <v>11</v>
      </c>
      <c r="D4" s="11" t="s">
        <v>12</v>
      </c>
    </row>
    <row r="5" spans="1:15" ht="14.25" customHeight="1" x14ac:dyDescent="0.2">
      <c r="A5" s="11" t="s">
        <v>13</v>
      </c>
      <c r="B5" s="11" t="s">
        <v>14</v>
      </c>
      <c r="C5" s="11" t="s">
        <v>15</v>
      </c>
      <c r="D5" s="11" t="s">
        <v>16</v>
      </c>
    </row>
    <row r="6" spans="1:15" ht="14.25" customHeight="1" x14ac:dyDescent="0.2">
      <c r="A6" s="11" t="s">
        <v>17</v>
      </c>
      <c r="B6" s="11" t="s">
        <v>18</v>
      </c>
      <c r="C6" s="11" t="s">
        <v>19</v>
      </c>
      <c r="D6" s="11" t="s">
        <v>20</v>
      </c>
    </row>
    <row r="7" spans="1:15" ht="14.25" customHeight="1" x14ac:dyDescent="0.2">
      <c r="A7" s="11" t="s">
        <v>21</v>
      </c>
      <c r="B7" s="11" t="s">
        <v>22</v>
      </c>
      <c r="C7" s="11" t="s">
        <v>23</v>
      </c>
      <c r="D7" s="11" t="s">
        <v>20</v>
      </c>
    </row>
    <row r="10" spans="1:15" ht="14.25" customHeight="1" x14ac:dyDescent="0.2">
      <c r="A10" s="17" t="s">
        <v>98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1:15" ht="14.25" customHeight="1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1:15" ht="14.25" customHeight="1" x14ac:dyDescent="0.2">
      <c r="A12" s="11" t="s">
        <v>42</v>
      </c>
      <c r="B12" s="12" t="s">
        <v>74</v>
      </c>
      <c r="C12" s="12" t="s">
        <v>76</v>
      </c>
      <c r="D12" s="12" t="s">
        <v>75</v>
      </c>
      <c r="E12" s="12" t="s">
        <v>77</v>
      </c>
      <c r="F12" s="12" t="s">
        <v>78</v>
      </c>
      <c r="G12" s="12" t="s">
        <v>79</v>
      </c>
      <c r="H12" s="12" t="s">
        <v>80</v>
      </c>
      <c r="I12" s="12" t="s">
        <v>81</v>
      </c>
      <c r="J12" s="12" t="s">
        <v>82</v>
      </c>
      <c r="K12" s="12" t="s">
        <v>83</v>
      </c>
      <c r="L12" s="12" t="s">
        <v>84</v>
      </c>
      <c r="M12" s="12" t="s">
        <v>85</v>
      </c>
      <c r="N12" s="12" t="s">
        <v>28</v>
      </c>
      <c r="O12" s="12" t="s">
        <v>73</v>
      </c>
    </row>
    <row r="13" spans="1:15" ht="14.25" customHeight="1" x14ac:dyDescent="0.2">
      <c r="A13" s="11" t="s">
        <v>35</v>
      </c>
      <c r="B13" s="11">
        <v>417</v>
      </c>
      <c r="C13" s="13">
        <f>(T_DB_Weight[能量(kJ/100g)]/8400)</f>
        <v>4.9642857142857141E-2</v>
      </c>
      <c r="D13" s="11">
        <v>1.1000000000000001</v>
      </c>
      <c r="E13" s="13">
        <f>(T_DB_Weight[蛋白质(g/100g)]/60)</f>
        <v>1.8333333333333333E-2</v>
      </c>
      <c r="F13" s="11">
        <v>0</v>
      </c>
      <c r="G13" s="13">
        <f>(T_DB_Weight[脂肪(g/100g)]/60)</f>
        <v>0</v>
      </c>
      <c r="H13" s="11">
        <v>23.4</v>
      </c>
      <c r="I13" s="13">
        <f>(T_DB_Weight[碳水(g/100g)]/300)</f>
        <v>7.8E-2</v>
      </c>
      <c r="J13" s="11">
        <v>1060</v>
      </c>
      <c r="K13" s="13">
        <f>(T_DB_Weight[钠(mg/100g)]/2000)</f>
        <v>0.53</v>
      </c>
      <c r="L13" s="11">
        <v>360</v>
      </c>
      <c r="M13" s="11">
        <v>8.1999999999999993</v>
      </c>
      <c r="N13" s="14">
        <f>IFERROR(T_DB_Weight[包装规格(g)]/T_DB_Weight[包装价格(元)], "\")</f>
        <v>43.902439024390247</v>
      </c>
      <c r="O13" s="14" t="str">
        <f>IFERROR(T_DB_Weight[蛋白质(g/100g)]/T_DB_Weight[脂肪(g/100g)], "\")</f>
        <v>\</v>
      </c>
    </row>
    <row r="14" spans="1:15" ht="14.25" customHeight="1" x14ac:dyDescent="0.2">
      <c r="A14" s="11" t="s">
        <v>36</v>
      </c>
      <c r="B14" s="11">
        <v>500</v>
      </c>
      <c r="C14" s="13">
        <f>(T_DB_Weight[能量(kJ/100g)]/8400)</f>
        <v>5.9523809523809521E-2</v>
      </c>
      <c r="D14" s="11">
        <v>12.9</v>
      </c>
      <c r="E14" s="13">
        <f>(T_DB_Weight[蛋白质(g/100g)]/60)</f>
        <v>0.215</v>
      </c>
      <c r="F14" s="11">
        <v>4.5999999999999996</v>
      </c>
      <c r="G14" s="13">
        <f>(T_DB_Weight[脂肪(g/100g)]/60)</f>
        <v>7.6666666666666661E-2</v>
      </c>
      <c r="H14" s="11">
        <v>6.5</v>
      </c>
      <c r="I14" s="13">
        <f>(T_DB_Weight[碳水(g/100g)]/300)</f>
        <v>2.1666666666666667E-2</v>
      </c>
      <c r="J14" s="11">
        <v>640</v>
      </c>
      <c r="K14" s="13">
        <f>(T_DB_Weight[钠(mg/100g)]/2000)</f>
        <v>0.32</v>
      </c>
      <c r="L14" s="11">
        <v>240</v>
      </c>
      <c r="M14" s="11">
        <v>7.39</v>
      </c>
      <c r="N14" s="14">
        <f>IFERROR(T_DB_Weight[包装规格(g)]/T_DB_Weight[包装价格(元)], "\")</f>
        <v>32.476319350473617</v>
      </c>
      <c r="O14" s="14">
        <f>IFERROR(T_DB_Weight[蛋白质(g/100g)]/T_DB_Weight[脂肪(g/100g)], "\")</f>
        <v>2.804347826086957</v>
      </c>
    </row>
    <row r="15" spans="1:15" ht="14.25" customHeight="1" x14ac:dyDescent="0.2">
      <c r="A15" s="11" t="s">
        <v>33</v>
      </c>
      <c r="B15" s="11">
        <v>647</v>
      </c>
      <c r="C15" s="13">
        <f>(T_DB_Weight[能量(kJ/100g)]/8400)</f>
        <v>7.7023809523809522E-2</v>
      </c>
      <c r="D15" s="11">
        <v>2.7</v>
      </c>
      <c r="E15" s="13">
        <f>(T_DB_Weight[蛋白质(g/100g)]/60)</f>
        <v>4.5000000000000005E-2</v>
      </c>
      <c r="F15" s="11">
        <v>4.8</v>
      </c>
      <c r="G15" s="13">
        <f>(T_DB_Weight[脂肪(g/100g)]/60)</f>
        <v>0.08</v>
      </c>
      <c r="H15" s="11">
        <v>24.9</v>
      </c>
      <c r="I15" s="13">
        <f>(T_DB_Weight[碳水(g/100g)]/300)</f>
        <v>8.299999999999999E-2</v>
      </c>
      <c r="J15" s="11">
        <v>155</v>
      </c>
      <c r="K15" s="13">
        <f>(T_DB_Weight[钠(mg/100g)]/2000)</f>
        <v>7.7499999999999999E-2</v>
      </c>
      <c r="L15" s="11">
        <v>350</v>
      </c>
      <c r="M15" s="11">
        <v>6.9</v>
      </c>
      <c r="N15" s="14">
        <f>IFERROR(T_DB_Weight[包装规格(g)]/T_DB_Weight[包装价格(元)], "\")</f>
        <v>50.724637681159415</v>
      </c>
      <c r="O15" s="14">
        <f>IFERROR(T_DB_Weight[蛋白质(g/100g)]/T_DB_Weight[脂肪(g/100g)], "\")</f>
        <v>0.56250000000000011</v>
      </c>
    </row>
    <row r="16" spans="1:15" ht="14.25" customHeight="1" x14ac:dyDescent="0.2">
      <c r="A16" s="11" t="s">
        <v>30</v>
      </c>
      <c r="B16" s="11">
        <v>726</v>
      </c>
      <c r="C16" s="13">
        <f>(T_DB_Weight[能量(kJ/100g)]/8400)</f>
        <v>8.6428571428571424E-2</v>
      </c>
      <c r="D16" s="11">
        <v>3.5</v>
      </c>
      <c r="E16" s="13">
        <f>(T_DB_Weight[蛋白质(g/100g)]/60)</f>
        <v>5.8333333333333334E-2</v>
      </c>
      <c r="F16" s="11">
        <v>5.6</v>
      </c>
      <c r="G16" s="13">
        <f>(T_DB_Weight[脂肪(g/100g)]/60)</f>
        <v>9.3333333333333324E-2</v>
      </c>
      <c r="H16" s="11">
        <v>27</v>
      </c>
      <c r="I16" s="13">
        <f>(T_DB_Weight[碳水(g/100g)]/300)</f>
        <v>0.09</v>
      </c>
      <c r="J16" s="11">
        <v>56</v>
      </c>
      <c r="K16" s="13">
        <f>(T_DB_Weight[钠(mg/100g)]/2000)</f>
        <v>2.8000000000000001E-2</v>
      </c>
      <c r="L16" s="11">
        <v>500</v>
      </c>
      <c r="M16" s="11">
        <v>11.8</v>
      </c>
      <c r="N16" s="14">
        <f>IFERROR(T_DB_Weight[包装规格(g)]/T_DB_Weight[包装价格(元)], "\")</f>
        <v>42.372881355932201</v>
      </c>
      <c r="O16" s="14">
        <f>IFERROR(T_DB_Weight[蛋白质(g/100g)]/T_DB_Weight[脂肪(g/100g)], "\")</f>
        <v>0.625</v>
      </c>
    </row>
    <row r="17" spans="1:15" ht="14.25" customHeight="1" x14ac:dyDescent="0.2">
      <c r="A17" s="11" t="s">
        <v>27</v>
      </c>
      <c r="B17" s="11">
        <v>810</v>
      </c>
      <c r="C17" s="13">
        <f>(T_DB_Weight[能量(kJ/100g)]/8400)</f>
        <v>9.6428571428571433E-2</v>
      </c>
      <c r="D17" s="11">
        <v>7.4</v>
      </c>
      <c r="E17" s="13">
        <f>(T_DB_Weight[蛋白质(g/100g)]/60)</f>
        <v>0.12333333333333334</v>
      </c>
      <c r="F17" s="11">
        <v>6.4</v>
      </c>
      <c r="G17" s="13">
        <f>(T_DB_Weight[脂肪(g/100g)]/60)</f>
        <v>0.10666666666666667</v>
      </c>
      <c r="H17" s="11">
        <v>26.3</v>
      </c>
      <c r="I17" s="13">
        <f>(T_DB_Weight[碳水(g/100g)]/300)</f>
        <v>8.7666666666666671E-2</v>
      </c>
      <c r="J17" s="11">
        <v>374</v>
      </c>
      <c r="K17" s="13">
        <f>(T_DB_Weight[钠(mg/100g)]/2000)</f>
        <v>0.187</v>
      </c>
      <c r="L17" s="11">
        <v>264</v>
      </c>
      <c r="M17" s="11">
        <v>9.9</v>
      </c>
      <c r="N17" s="14">
        <f>IFERROR(T_DB_Weight[包装规格(g)]/T_DB_Weight[包装价格(元)], "\")</f>
        <v>26.666666666666664</v>
      </c>
      <c r="O17" s="14">
        <f>IFERROR(T_DB_Weight[蛋白质(g/100g)]/T_DB_Weight[脂肪(g/100g)], "\")</f>
        <v>1.15625</v>
      </c>
    </row>
    <row r="18" spans="1:15" ht="14.25" customHeight="1" x14ac:dyDescent="0.2">
      <c r="A18" s="11" t="s">
        <v>72</v>
      </c>
      <c r="B18" s="11">
        <v>737</v>
      </c>
      <c r="C18" s="13">
        <f>(T_DB_Weight[能量(kJ/100g)]/8400)</f>
        <v>8.773809523809524E-2</v>
      </c>
      <c r="D18" s="11">
        <v>2.4</v>
      </c>
      <c r="E18" s="13">
        <f>(T_DB_Weight[蛋白质(g/100g)]/60)</f>
        <v>0.04</v>
      </c>
      <c r="F18" s="11">
        <v>7.5</v>
      </c>
      <c r="G18" s="13">
        <f>(T_DB_Weight[脂肪(g/100g)]/60)</f>
        <v>0.125</v>
      </c>
      <c r="H18" s="11">
        <v>24.6</v>
      </c>
      <c r="I18" s="13">
        <f>(T_DB_Weight[碳水(g/100g)]/300)</f>
        <v>8.2000000000000003E-2</v>
      </c>
      <c r="J18" s="11">
        <v>541</v>
      </c>
      <c r="K18" s="13">
        <f>(T_DB_Weight[钠(mg/100g)]/2000)</f>
        <v>0.27050000000000002</v>
      </c>
      <c r="L18" s="11">
        <v>500</v>
      </c>
      <c r="M18" s="11">
        <v>15.9</v>
      </c>
      <c r="N18" s="14">
        <f>IFERROR(T_DB_Weight[包装规格(g)]/T_DB_Weight[包装价格(元)], "\")</f>
        <v>31.446540880503143</v>
      </c>
      <c r="O18" s="14">
        <f>IFERROR(T_DB_Weight[蛋白质(g/100g)]/T_DB_Weight[脂肪(g/100g)], "\")</f>
        <v>0.32</v>
      </c>
    </row>
    <row r="19" spans="1:15" ht="14.25" customHeight="1" x14ac:dyDescent="0.2">
      <c r="A19" s="11" t="s">
        <v>39</v>
      </c>
      <c r="B19" s="11">
        <v>798</v>
      </c>
      <c r="C19" s="13">
        <f>(T_DB_Weight[能量(kJ/100g)]/8400)</f>
        <v>9.5000000000000001E-2</v>
      </c>
      <c r="D19" s="11">
        <v>13.6</v>
      </c>
      <c r="E19" s="13">
        <f>(T_DB_Weight[蛋白质(g/100g)]/60)</f>
        <v>0.22666666666666666</v>
      </c>
      <c r="F19" s="11">
        <v>8.6</v>
      </c>
      <c r="G19" s="13">
        <f>(T_DB_Weight[脂肪(g/100g)]/60)</f>
        <v>0.14333333333333334</v>
      </c>
      <c r="H19" s="11">
        <v>14.6</v>
      </c>
      <c r="I19" s="13">
        <f>(T_DB_Weight[碳水(g/100g)]/300)</f>
        <v>4.8666666666666664E-2</v>
      </c>
      <c r="J19" s="11">
        <v>681</v>
      </c>
      <c r="K19" s="13">
        <f>(T_DB_Weight[钠(mg/100g)]/2000)</f>
        <v>0.34050000000000002</v>
      </c>
      <c r="L19" s="11">
        <v>400</v>
      </c>
      <c r="M19" s="11">
        <v>12.9</v>
      </c>
      <c r="N19" s="14">
        <f>IFERROR(T_DB_Weight[包装规格(g)]/T_DB_Weight[包装价格(元)], "\")</f>
        <v>31.007751937984494</v>
      </c>
      <c r="O19" s="14">
        <f>IFERROR(T_DB_Weight[蛋白质(g/100g)]/T_DB_Weight[脂肪(g/100g)], "\")</f>
        <v>1.5813953488372092</v>
      </c>
    </row>
    <row r="20" spans="1:15" ht="14.25" customHeight="1" x14ac:dyDescent="0.2">
      <c r="A20" s="11" t="s">
        <v>25</v>
      </c>
      <c r="B20" s="11">
        <v>812</v>
      </c>
      <c r="C20" s="13">
        <f>(T_DB_Weight[能量(kJ/100g)]/8400)</f>
        <v>9.6666666666666665E-2</v>
      </c>
      <c r="D20" s="11">
        <v>6.1</v>
      </c>
      <c r="E20" s="13">
        <f>(T_DB_Weight[蛋白质(g/100g)]/60)</f>
        <v>0.10166666666666666</v>
      </c>
      <c r="F20" s="11">
        <v>9.4</v>
      </c>
      <c r="G20" s="13">
        <f>(T_DB_Weight[脂肪(g/100g)]/60)</f>
        <v>0.15666666666666668</v>
      </c>
      <c r="H20" s="11">
        <v>21.2</v>
      </c>
      <c r="I20" s="13">
        <f>(T_DB_Weight[碳水(g/100g)]/300)</f>
        <v>7.0666666666666669E-2</v>
      </c>
      <c r="J20" s="11">
        <v>532</v>
      </c>
      <c r="K20" s="13">
        <f>(T_DB_Weight[钠(mg/100g)]/2000)</f>
        <v>0.26600000000000001</v>
      </c>
      <c r="L20" s="11">
        <v>300</v>
      </c>
      <c r="M20" s="11">
        <v>11.5</v>
      </c>
      <c r="N20" s="14">
        <f>IFERROR(T_DB_Weight[包装规格(g)]/T_DB_Weight[包装价格(元)], "\")</f>
        <v>26.086956521739129</v>
      </c>
      <c r="O20" s="14">
        <f>IFERROR(T_DB_Weight[蛋白质(g/100g)]/T_DB_Weight[脂肪(g/100g)], "\")</f>
        <v>0.64893617021276595</v>
      </c>
    </row>
    <row r="21" spans="1:15" ht="14.25" customHeight="1" x14ac:dyDescent="0.2">
      <c r="A21" s="11" t="s">
        <v>100</v>
      </c>
      <c r="B21" s="11">
        <v>863</v>
      </c>
      <c r="C21" s="13">
        <f>(T_DB_Weight[能量(kJ/100g)]/8400)</f>
        <v>0.10273809523809524</v>
      </c>
      <c r="D21" s="11">
        <v>4.4000000000000004</v>
      </c>
      <c r="E21" s="13">
        <f>(T_DB_Weight[蛋白质(g/100g)]/60)</f>
        <v>7.3333333333333334E-2</v>
      </c>
      <c r="F21" s="11">
        <v>9.5</v>
      </c>
      <c r="G21" s="13">
        <f>(T_DB_Weight[脂肪(g/100g)]/60)</f>
        <v>0.15833333333333333</v>
      </c>
      <c r="H21" s="11">
        <v>25.7</v>
      </c>
      <c r="I21" s="13">
        <f>(T_DB_Weight[碳水(g/100g)]/300)</f>
        <v>8.5666666666666669E-2</v>
      </c>
      <c r="J21" s="11">
        <v>500</v>
      </c>
      <c r="K21" s="13">
        <f>(T_DB_Weight[钠(mg/100g)]/2000)</f>
        <v>0.25</v>
      </c>
      <c r="L21" s="11">
        <v>235</v>
      </c>
      <c r="M21" s="11">
        <v>9.9</v>
      </c>
      <c r="N21" s="14">
        <f>IFERROR(T_DB_Weight[包装规格(g)]/T_DB_Weight[包装价格(元)], "\")</f>
        <v>23.737373737373737</v>
      </c>
      <c r="O21" s="14">
        <f>IFERROR(T_DB_Weight[蛋白质(g/100g)]/T_DB_Weight[脂肪(g/100g)], "\")</f>
        <v>0.46315789473684216</v>
      </c>
    </row>
    <row r="22" spans="1:15" ht="14.25" customHeight="1" x14ac:dyDescent="0.2">
      <c r="A22" s="11" t="s">
        <v>24</v>
      </c>
      <c r="B22" s="11">
        <v>872</v>
      </c>
      <c r="C22" s="13">
        <f>(T_DB_Weight[能量(kJ/100g)]/8400)</f>
        <v>0.10380952380952381</v>
      </c>
      <c r="D22" s="11">
        <v>3.2</v>
      </c>
      <c r="E22" s="13">
        <f>(T_DB_Weight[蛋白质(g/100g)]/60)</f>
        <v>5.3333333333333337E-2</v>
      </c>
      <c r="F22" s="11">
        <v>12.4</v>
      </c>
      <c r="G22" s="13">
        <f>(T_DB_Weight[脂肪(g/100g)]/60)</f>
        <v>0.20666666666666667</v>
      </c>
      <c r="H22" s="11">
        <v>21.1</v>
      </c>
      <c r="I22" s="13">
        <f>(T_DB_Weight[碳水(g/100g)]/300)</f>
        <v>7.0333333333333345E-2</v>
      </c>
      <c r="J22" s="11">
        <v>350</v>
      </c>
      <c r="K22" s="13">
        <f>(T_DB_Weight[钠(mg/100g)]/2000)</f>
        <v>0.17499999999999999</v>
      </c>
      <c r="L22" s="11">
        <v>240</v>
      </c>
      <c r="M22" s="11">
        <v>12.9</v>
      </c>
      <c r="N22" s="14">
        <f>IFERROR(T_DB_Weight[包装规格(g)]/T_DB_Weight[包装价格(元)], "\")</f>
        <v>18.604651162790699</v>
      </c>
      <c r="O22" s="14">
        <f>IFERROR(T_DB_Weight[蛋白质(g/100g)]/T_DB_Weight[脂肪(g/100g)], "\")</f>
        <v>0.25806451612903225</v>
      </c>
    </row>
    <row r="23" spans="1:15" ht="14.25" customHeight="1" x14ac:dyDescent="0.2">
      <c r="A23" s="11" t="s">
        <v>29</v>
      </c>
      <c r="B23" s="11">
        <v>807</v>
      </c>
      <c r="C23" s="13">
        <f>(T_DB_Weight[能量(kJ/100g)]/8400)</f>
        <v>9.6071428571428572E-2</v>
      </c>
      <c r="D23" s="11">
        <v>13.8</v>
      </c>
      <c r="E23" s="13">
        <f>(T_DB_Weight[蛋白质(g/100g)]/60)</f>
        <v>0.23</v>
      </c>
      <c r="F23" s="11">
        <v>13</v>
      </c>
      <c r="G23" s="13">
        <f>(T_DB_Weight[脂肪(g/100g)]/60)</f>
        <v>0.21666666666666667</v>
      </c>
      <c r="H23" s="11">
        <v>5.4</v>
      </c>
      <c r="I23" s="13">
        <f>(T_DB_Weight[碳水(g/100g)]/300)</f>
        <v>1.8000000000000002E-2</v>
      </c>
      <c r="J23" s="11">
        <v>691</v>
      </c>
      <c r="K23" s="13">
        <f>(T_DB_Weight[钠(mg/100g)]/2000)</f>
        <v>0.34549999999999997</v>
      </c>
      <c r="L23" s="11">
        <v>400</v>
      </c>
      <c r="M23" s="11">
        <v>12.9</v>
      </c>
      <c r="N23" s="14">
        <f>IFERROR(T_DB_Weight[包装规格(g)]/T_DB_Weight[包装价格(元)], "\")</f>
        <v>31.007751937984494</v>
      </c>
      <c r="O23" s="14">
        <f>IFERROR(T_DB_Weight[蛋白质(g/100g)]/T_DB_Weight[脂肪(g/100g)], "\")</f>
        <v>1.0615384615384615</v>
      </c>
    </row>
    <row r="24" spans="1:15" ht="14.25" customHeight="1" x14ac:dyDescent="0.2">
      <c r="A24" s="11" t="s">
        <v>26</v>
      </c>
      <c r="B24" s="11">
        <v>920</v>
      </c>
      <c r="C24" s="13">
        <f>(T_DB_Weight[能量(kJ/100g)]/8400)</f>
        <v>0.10952380952380952</v>
      </c>
      <c r="D24" s="11">
        <v>5.8</v>
      </c>
      <c r="E24" s="13">
        <f>(T_DB_Weight[蛋白质(g/100g)]/60)</f>
        <v>9.6666666666666665E-2</v>
      </c>
      <c r="F24" s="11">
        <v>13</v>
      </c>
      <c r="G24" s="13">
        <f>(T_DB_Weight[脂肪(g/100g)]/60)</f>
        <v>0.21666666666666667</v>
      </c>
      <c r="H24" s="11">
        <v>20</v>
      </c>
      <c r="I24" s="13">
        <f>(T_DB_Weight[碳水(g/100g)]/300)</f>
        <v>6.6666666666666666E-2</v>
      </c>
      <c r="J24" s="11">
        <v>565</v>
      </c>
      <c r="K24" s="13">
        <f>(T_DB_Weight[钠(mg/100g)]/2000)</f>
        <v>0.28249999999999997</v>
      </c>
      <c r="L24" s="11">
        <v>330</v>
      </c>
      <c r="M24" s="11">
        <v>13.8</v>
      </c>
      <c r="N24" s="14">
        <f>IFERROR(T_DB_Weight[包装规格(g)]/T_DB_Weight[包装价格(元)], "\")</f>
        <v>23.913043478260867</v>
      </c>
      <c r="O24" s="14">
        <f>IFERROR(T_DB_Weight[蛋白质(g/100g)]/T_DB_Weight[脂肪(g/100g)], "\")</f>
        <v>0.44615384615384612</v>
      </c>
    </row>
    <row r="25" spans="1:15" ht="14.25" customHeight="1" x14ac:dyDescent="0.2">
      <c r="A25" s="11" t="s">
        <v>34</v>
      </c>
      <c r="B25" s="11">
        <v>1052</v>
      </c>
      <c r="C25" s="13">
        <f>(T_DB_Weight[能量(kJ/100g)]/8400)</f>
        <v>0.12523809523809523</v>
      </c>
      <c r="D25" s="11">
        <v>10.9</v>
      </c>
      <c r="E25" s="13">
        <f>(T_DB_Weight[蛋白质(g/100g)]/60)</f>
        <v>0.18166666666666667</v>
      </c>
      <c r="F25" s="11">
        <v>13.4</v>
      </c>
      <c r="G25" s="13">
        <f>(T_DB_Weight[脂肪(g/100g)]/60)</f>
        <v>0.22333333333333333</v>
      </c>
      <c r="H25" s="11">
        <v>21.8</v>
      </c>
      <c r="I25" s="13">
        <f>(T_DB_Weight[碳水(g/100g)]/300)</f>
        <v>7.2666666666666671E-2</v>
      </c>
      <c r="J25" s="11">
        <v>429</v>
      </c>
      <c r="K25" s="13">
        <f>(T_DB_Weight[钠(mg/100g)]/2000)</f>
        <v>0.2145</v>
      </c>
      <c r="L25" s="11">
        <v>400</v>
      </c>
      <c r="M25" s="11">
        <v>9.9</v>
      </c>
      <c r="N25" s="14">
        <f>IFERROR(T_DB_Weight[包装规格(g)]/T_DB_Weight[包装价格(元)], "\")</f>
        <v>40.404040404040401</v>
      </c>
      <c r="O25" s="14">
        <f>IFERROR(T_DB_Weight[蛋白质(g/100g)]/T_DB_Weight[脂肪(g/100g)], "\")</f>
        <v>0.81343283582089554</v>
      </c>
    </row>
    <row r="26" spans="1:15" ht="14.25" customHeight="1" x14ac:dyDescent="0.2">
      <c r="A26" s="11" t="s">
        <v>0</v>
      </c>
      <c r="B26" s="11">
        <v>957</v>
      </c>
      <c r="C26" s="13">
        <f>(T_DB_Weight[能量(kJ/100g)]/8400)</f>
        <v>0.11392857142857143</v>
      </c>
      <c r="D26" s="11">
        <v>12.3</v>
      </c>
      <c r="E26" s="13">
        <f>(T_DB_Weight[蛋白质(g/100g)]/60)</f>
        <v>0.20500000000000002</v>
      </c>
      <c r="F26" s="11">
        <v>13.4</v>
      </c>
      <c r="G26" s="13">
        <f>(T_DB_Weight[脂肪(g/100g)]/60)</f>
        <v>0.22333333333333333</v>
      </c>
      <c r="H26" s="11">
        <v>14.8</v>
      </c>
      <c r="I26" s="13">
        <f>(T_DB_Weight[碳水(g/100g)]/300)</f>
        <v>4.9333333333333333E-2</v>
      </c>
      <c r="J26" s="11">
        <v>675</v>
      </c>
      <c r="K26" s="13">
        <f>(T_DB_Weight[钠(mg/100g)]/2000)</f>
        <v>0.33750000000000002</v>
      </c>
      <c r="L26" s="11">
        <v>300</v>
      </c>
      <c r="M26" s="11">
        <v>9.9</v>
      </c>
      <c r="N26" s="14">
        <f>IFERROR(T_DB_Weight[包装规格(g)]/T_DB_Weight[包装价格(元)], "\")</f>
        <v>30.303030303030301</v>
      </c>
      <c r="O26" s="14">
        <f>IFERROR(T_DB_Weight[蛋白质(g/100g)]/T_DB_Weight[脂肪(g/100g)], "\")</f>
        <v>0.91791044776119401</v>
      </c>
    </row>
    <row r="27" spans="1:15" ht="14.25" customHeight="1" x14ac:dyDescent="0.2">
      <c r="A27" s="11" t="s">
        <v>32</v>
      </c>
      <c r="B27" s="11">
        <v>939</v>
      </c>
      <c r="C27" s="13">
        <f>(T_DB_Weight[能量(kJ/100g)]/8400)</f>
        <v>0.11178571428571428</v>
      </c>
      <c r="D27" s="11">
        <v>13.8</v>
      </c>
      <c r="E27" s="13">
        <f>(T_DB_Weight[蛋白质(g/100g)]/60)</f>
        <v>0.23</v>
      </c>
      <c r="F27" s="11">
        <v>13.8</v>
      </c>
      <c r="G27" s="13">
        <f>(T_DB_Weight[脂肪(g/100g)]/60)</f>
        <v>0.23</v>
      </c>
      <c r="H27" s="11">
        <v>11.4</v>
      </c>
      <c r="I27" s="13">
        <f>(T_DB_Weight[碳水(g/100g)]/300)</f>
        <v>3.7999999999999999E-2</v>
      </c>
      <c r="J27" s="11">
        <v>713</v>
      </c>
      <c r="K27" s="13">
        <f>(T_DB_Weight[钠(mg/100g)]/2000)</f>
        <v>0.35649999999999998</v>
      </c>
      <c r="L27" s="11">
        <v>600</v>
      </c>
      <c r="M27" s="11">
        <v>19.899999999999999</v>
      </c>
      <c r="N27" s="14">
        <f>IFERROR(T_DB_Weight[包装规格(g)]/T_DB_Weight[包装价格(元)], "\")</f>
        <v>30.150753768844222</v>
      </c>
      <c r="O27" s="14">
        <f>IFERROR(T_DB_Weight[蛋白质(g/100g)]/T_DB_Weight[脂肪(g/100g)], "\")</f>
        <v>1</v>
      </c>
    </row>
    <row r="28" spans="1:15" ht="14.25" customHeight="1" x14ac:dyDescent="0.2">
      <c r="A28" s="11" t="s">
        <v>40</v>
      </c>
      <c r="B28" s="11">
        <v>1007</v>
      </c>
      <c r="C28" s="13">
        <f>(T_DB_Weight[能量(kJ/100g)]/8400)</f>
        <v>0.11988095238095238</v>
      </c>
      <c r="D28" s="11">
        <v>11.9</v>
      </c>
      <c r="E28" s="13">
        <f>(T_DB_Weight[蛋白质(g/100g)]/60)</f>
        <v>0.19833333333333333</v>
      </c>
      <c r="F28" s="11">
        <v>14.3</v>
      </c>
      <c r="G28" s="13">
        <f>(T_DB_Weight[脂肪(g/100g)]/60)</f>
        <v>0.23833333333333334</v>
      </c>
      <c r="H28" s="11">
        <v>16.2</v>
      </c>
      <c r="I28" s="13">
        <f>(T_DB_Weight[碳水(g/100g)]/300)</f>
        <v>5.3999999999999999E-2</v>
      </c>
      <c r="J28" s="11">
        <v>626</v>
      </c>
      <c r="K28" s="13">
        <f>(T_DB_Weight[钠(mg/100g)]/2000)</f>
        <v>0.313</v>
      </c>
      <c r="L28" s="11">
        <v>220</v>
      </c>
      <c r="M28" s="11">
        <v>9.9</v>
      </c>
      <c r="N28" s="14">
        <f>IFERROR(T_DB_Weight[包装规格(g)]/T_DB_Weight[包装价格(元)], "\")</f>
        <v>22.222222222222221</v>
      </c>
      <c r="O28" s="14">
        <f>IFERROR(T_DB_Weight[蛋白质(g/100g)]/T_DB_Weight[脂肪(g/100g)], "\")</f>
        <v>0.83216783216783219</v>
      </c>
    </row>
    <row r="29" spans="1:15" ht="14.25" customHeight="1" x14ac:dyDescent="0.2">
      <c r="A29" s="11" t="s">
        <v>101</v>
      </c>
      <c r="B29" s="11">
        <v>1079</v>
      </c>
      <c r="C29" s="13">
        <f>(T_DB_Weight[能量(kJ/100g)]/8400)</f>
        <v>0.12845238095238096</v>
      </c>
      <c r="D29" s="11">
        <v>12.3</v>
      </c>
      <c r="E29" s="13">
        <f>(T_DB_Weight[蛋白质(g/100g)]/60)</f>
        <v>0.20500000000000002</v>
      </c>
      <c r="F29" s="11">
        <v>15.6</v>
      </c>
      <c r="G29" s="13">
        <f>(T_DB_Weight[脂肪(g/100g)]/60)</f>
        <v>0.26</v>
      </c>
      <c r="H29" s="11">
        <v>17.2</v>
      </c>
      <c r="I29" s="13">
        <f>(T_DB_Weight[碳水(g/100g)]/300)</f>
        <v>5.7333333333333333E-2</v>
      </c>
      <c r="J29" s="11">
        <v>556</v>
      </c>
      <c r="K29" s="13">
        <f>(T_DB_Weight[钠(mg/100g)]/2000)</f>
        <v>0.27800000000000002</v>
      </c>
      <c r="L29" s="11">
        <v>200</v>
      </c>
      <c r="M29" s="11">
        <v>7.9</v>
      </c>
      <c r="N29" s="14">
        <f>IFERROR(T_DB_Weight[包装规格(g)]/T_DB_Weight[包装价格(元)], "\")</f>
        <v>25.316455696202532</v>
      </c>
      <c r="O29" s="14">
        <f>IFERROR(T_DB_Weight[蛋白质(g/100g)]/T_DB_Weight[脂肪(g/100g)], "\")</f>
        <v>0.78846153846153855</v>
      </c>
    </row>
    <row r="30" spans="1:15" ht="14.25" customHeight="1" x14ac:dyDescent="0.2">
      <c r="A30" s="11" t="s">
        <v>31</v>
      </c>
      <c r="B30" s="11">
        <v>1359</v>
      </c>
      <c r="C30" s="13">
        <f>(T_DB_Weight[能量(kJ/100g)]/8400)</f>
        <v>0.16178571428571428</v>
      </c>
      <c r="D30" s="11">
        <v>10.199999999999999</v>
      </c>
      <c r="E30" s="13">
        <f>(T_DB_Weight[蛋白质(g/100g)]/60)</f>
        <v>0.16999999999999998</v>
      </c>
      <c r="F30" s="11">
        <v>25.8</v>
      </c>
      <c r="G30" s="13">
        <f>(T_DB_Weight[脂肪(g/100g)]/60)</f>
        <v>0.43</v>
      </c>
      <c r="H30" s="11">
        <v>13.6</v>
      </c>
      <c r="I30" s="13">
        <f>(T_DB_Weight[碳水(g/100g)]/300)</f>
        <v>4.533333333333333E-2</v>
      </c>
      <c r="J30" s="11">
        <v>544</v>
      </c>
      <c r="K30" s="13">
        <f>(T_DB_Weight[钠(mg/100g)]/2000)</f>
        <v>0.27200000000000002</v>
      </c>
      <c r="L30" s="11">
        <v>400</v>
      </c>
      <c r="M30" s="11">
        <v>8.35</v>
      </c>
      <c r="N30" s="14">
        <f>IFERROR(T_DB_Weight[包装规格(g)]/T_DB_Weight[包装价格(元)], "\")</f>
        <v>47.904191616766468</v>
      </c>
      <c r="O30" s="14">
        <f>IFERROR(T_DB_Weight[蛋白质(g/100g)]/T_DB_Weight[脂肪(g/100g)], "\")</f>
        <v>0.39534883720930231</v>
      </c>
    </row>
    <row r="31" spans="1:15" ht="14.25" customHeight="1" x14ac:dyDescent="0.2">
      <c r="C31" s="13"/>
      <c r="E31" s="13"/>
      <c r="G31" s="13"/>
      <c r="I31" s="13"/>
      <c r="K31" s="13"/>
      <c r="N31" s="14"/>
      <c r="O31" s="14"/>
    </row>
    <row r="32" spans="1:15" ht="14.25" customHeight="1" x14ac:dyDescent="0.2">
      <c r="C32" s="13"/>
      <c r="E32" s="13"/>
      <c r="G32" s="13"/>
      <c r="I32" s="13"/>
      <c r="K32" s="13"/>
      <c r="N32" s="14"/>
    </row>
    <row r="33" spans="1:15" ht="14.25" customHeight="1" x14ac:dyDescent="0.2">
      <c r="A33" s="17" t="s">
        <v>97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</row>
    <row r="34" spans="1:15" ht="14.25" customHeight="1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  <row r="35" spans="1:15" ht="14.25" customHeight="1" x14ac:dyDescent="0.2">
      <c r="A35" s="11" t="s">
        <v>42</v>
      </c>
      <c r="B35" s="12" t="s">
        <v>86</v>
      </c>
      <c r="C35" s="12" t="s">
        <v>87</v>
      </c>
      <c r="D35" s="12" t="s">
        <v>88</v>
      </c>
      <c r="E35" s="12" t="s">
        <v>89</v>
      </c>
      <c r="F35" s="12" t="s">
        <v>90</v>
      </c>
      <c r="G35" s="12" t="s">
        <v>91</v>
      </c>
      <c r="H35" s="12" t="s">
        <v>92</v>
      </c>
      <c r="I35" s="12" t="s">
        <v>93</v>
      </c>
      <c r="J35" s="12" t="s">
        <v>94</v>
      </c>
      <c r="K35" s="12" t="s">
        <v>95</v>
      </c>
      <c r="L35" s="12" t="s">
        <v>84</v>
      </c>
      <c r="M35" s="12" t="s">
        <v>85</v>
      </c>
      <c r="N35" s="12" t="s">
        <v>56</v>
      </c>
      <c r="O35" s="12" t="s">
        <v>73</v>
      </c>
    </row>
    <row r="36" spans="1:15" ht="14.25" customHeight="1" x14ac:dyDescent="0.2">
      <c r="A36" s="11" t="s">
        <v>99</v>
      </c>
      <c r="B36" s="11">
        <v>75.361999999999995</v>
      </c>
      <c r="C36" s="13">
        <f>(T_DB_Portion[能量(kJ)]/8400)</f>
        <v>8.971666666666666E-3</v>
      </c>
      <c r="D36" s="11">
        <v>3.48</v>
      </c>
      <c r="E36" s="13">
        <f>(T_DB_Portion[蛋白质(g)]/60)</f>
        <v>5.8000000000000003E-2</v>
      </c>
      <c r="F36" s="11">
        <v>0.03</v>
      </c>
      <c r="G36" s="13">
        <f>(T_DB_Portion[脂肪(g)]/60)</f>
        <v>5.0000000000000001E-4</v>
      </c>
      <c r="H36" s="11">
        <v>0.93</v>
      </c>
      <c r="I36" s="13">
        <f>(T_DB_Portion[碳水(g)]/300)</f>
        <v>3.1000000000000003E-3</v>
      </c>
      <c r="J36" s="11">
        <v>23.82</v>
      </c>
      <c r="K36" s="13">
        <f>(T_DB_Portion[钠(mg)]/2000)</f>
        <v>1.191E-2</v>
      </c>
      <c r="L36" s="11">
        <v>450</v>
      </c>
      <c r="M36" s="11">
        <v>9.9</v>
      </c>
      <c r="N36" s="14">
        <v>0.66</v>
      </c>
      <c r="O36" s="14">
        <f>IFERROR(T_DB_Portion[蛋白质(g)]/T_DB_Portion[脂肪(g)], "/")</f>
        <v>116</v>
      </c>
    </row>
    <row r="37" spans="1:15" ht="14.25" customHeight="1" x14ac:dyDescent="0.2">
      <c r="A37" s="11" t="s">
        <v>37</v>
      </c>
      <c r="B37" s="11">
        <v>933</v>
      </c>
      <c r="C37" s="13">
        <f>(T_DB_Portion[能量(kJ)]/8400)</f>
        <v>0.11107142857142857</v>
      </c>
      <c r="D37" s="11">
        <v>10.1</v>
      </c>
      <c r="E37" s="13">
        <f>(T_DB_Portion[蛋白质(g)]/60)</f>
        <v>0.16833333333333333</v>
      </c>
      <c r="F37" s="11">
        <v>0.5</v>
      </c>
      <c r="G37" s="13">
        <f>(T_DB_Portion[脂肪(g)]/60)</f>
        <v>8.3333333333333332E-3</v>
      </c>
      <c r="H37" s="11">
        <v>43.7</v>
      </c>
      <c r="I37" s="13">
        <f>(T_DB_Portion[碳水(g)]/300)</f>
        <v>0.14566666666666667</v>
      </c>
      <c r="J37" s="11">
        <v>29</v>
      </c>
      <c r="K37" s="13">
        <f>(T_DB_Portion[钠(mg)]/2000)</f>
        <v>1.4500000000000001E-2</v>
      </c>
      <c r="L37" s="11">
        <v>1800</v>
      </c>
      <c r="M37" s="11">
        <v>39.4</v>
      </c>
      <c r="N37" s="14">
        <v>1.32</v>
      </c>
      <c r="O37" s="14">
        <f>IFERROR(T_DB_Portion[蛋白质(g)]/T_DB_Portion[脂肪(g)], "/")</f>
        <v>20.2</v>
      </c>
    </row>
    <row r="38" spans="1:15" ht="14.25" customHeight="1" x14ac:dyDescent="0.2">
      <c r="A38" s="11" t="s">
        <v>71</v>
      </c>
      <c r="B38" s="11">
        <v>62.802</v>
      </c>
      <c r="C38" s="13">
        <f>(T_DB_Portion[能量(kJ)]/8400)</f>
        <v>7.4764285714285714E-3</v>
      </c>
      <c r="D38" s="11">
        <v>2</v>
      </c>
      <c r="E38" s="13">
        <f>(T_DB_Portion[蛋白质(g)]/60)</f>
        <v>3.3333333333333333E-2</v>
      </c>
      <c r="F38" s="11">
        <v>0.5</v>
      </c>
      <c r="G38" s="13">
        <f>(T_DB_Portion[脂肪(g)]/60)</f>
        <v>8.3333333333333332E-3</v>
      </c>
      <c r="H38" s="11">
        <v>1.375</v>
      </c>
      <c r="I38" s="13">
        <f>(T_DB_Portion[碳水(g)]/300)</f>
        <v>4.5833333333333334E-3</v>
      </c>
      <c r="J38" s="11">
        <v>20.125</v>
      </c>
      <c r="K38" s="13">
        <f>(T_DB_Portion[钠(mg)]/2000)</f>
        <v>1.00625E-2</v>
      </c>
      <c r="L38" s="11">
        <v>500</v>
      </c>
      <c r="M38" s="11">
        <v>5.98</v>
      </c>
      <c r="N38" s="14">
        <v>1.5</v>
      </c>
      <c r="O38" s="14">
        <f>IFERROR(T_DB_Portion[蛋白质(g)]/T_DB_Portion[脂肪(g)], "/")</f>
        <v>4</v>
      </c>
    </row>
    <row r="39" spans="1:15" ht="14.25" customHeight="1" x14ac:dyDescent="0.2">
      <c r="A39" s="11" t="s">
        <v>38</v>
      </c>
      <c r="B39" s="11">
        <v>642</v>
      </c>
      <c r="C39" s="13">
        <f>(T_DB_Portion[能量(kJ)]/8400)</f>
        <v>7.6428571428571429E-2</v>
      </c>
      <c r="D39" s="11">
        <v>3.4</v>
      </c>
      <c r="E39" s="13">
        <f>(T_DB_Portion[蛋白质(g)]/60)</f>
        <v>5.6666666666666664E-2</v>
      </c>
      <c r="F39" s="11">
        <v>1.2</v>
      </c>
      <c r="G39" s="13">
        <f>(T_DB_Portion[脂肪(g)]/60)</f>
        <v>0.02</v>
      </c>
      <c r="H39" s="11">
        <v>31.1</v>
      </c>
      <c r="I39" s="13">
        <f>(T_DB_Portion[碳水(g)]/300)</f>
        <v>0.10366666666666667</v>
      </c>
      <c r="J39" s="11">
        <v>0</v>
      </c>
      <c r="K39" s="13">
        <f>(T_DB_Portion[钠(mg)]/2000)</f>
        <v>0</v>
      </c>
      <c r="L39" s="11">
        <v>1800</v>
      </c>
      <c r="M39" s="11">
        <v>35.54</v>
      </c>
      <c r="N39" s="14">
        <v>0.85</v>
      </c>
      <c r="O39" s="14">
        <f>IFERROR(T_DB_Portion[蛋白质(g)]/T_DB_Portion[脂肪(g)], "/")</f>
        <v>2.8333333333333335</v>
      </c>
    </row>
    <row r="40" spans="1:15" ht="14.25" customHeight="1" x14ac:dyDescent="0.2">
      <c r="A40" s="11" t="s">
        <v>41</v>
      </c>
      <c r="B40" s="11">
        <v>291</v>
      </c>
      <c r="C40" s="13">
        <f>(T_DB_Portion[能量(kJ)]/8400)</f>
        <v>3.4642857142857142E-2</v>
      </c>
      <c r="D40" s="11">
        <v>6.5</v>
      </c>
      <c r="E40" s="13">
        <f>(T_DB_Portion[蛋白质(g)]/60)</f>
        <v>0.10833333333333334</v>
      </c>
      <c r="F40" s="11">
        <v>4.3</v>
      </c>
      <c r="G40" s="13">
        <f>(T_DB_Portion[脂肪(g)]/60)</f>
        <v>7.166666666666667E-2</v>
      </c>
      <c r="H40" s="11">
        <v>1.2</v>
      </c>
      <c r="I40" s="13">
        <f>(T_DB_Portion[碳水(g)]/300)</f>
        <v>4.0000000000000001E-3</v>
      </c>
      <c r="J40" s="11">
        <v>65.75</v>
      </c>
      <c r="K40" s="13">
        <f>(T_DB_Portion[钠(mg)]/2000)</f>
        <v>3.2875000000000001E-2</v>
      </c>
      <c r="L40" s="11">
        <v>750</v>
      </c>
      <c r="M40" s="11">
        <v>9.9</v>
      </c>
      <c r="N40" s="14">
        <v>0.66</v>
      </c>
      <c r="O40" s="14">
        <f>IFERROR(T_DB_Portion[蛋白质(g)]/T_DB_Portion[脂肪(g)], "/")</f>
        <v>1.5116279069767442</v>
      </c>
    </row>
    <row r="41" spans="1:15" ht="14.25" customHeight="1" x14ac:dyDescent="0.2">
      <c r="A41" s="11" t="s">
        <v>70</v>
      </c>
      <c r="B41" s="11">
        <v>2465.2199999999998</v>
      </c>
      <c r="C41" s="13">
        <f>(T_DB_Portion[能量(kJ)]/8400)</f>
        <v>0.29347857142857142</v>
      </c>
      <c r="D41" s="11">
        <v>22.14</v>
      </c>
      <c r="E41" s="13">
        <f>(T_DB_Portion[蛋白质(g)]/60)</f>
        <v>0.36899999999999999</v>
      </c>
      <c r="F41" s="11">
        <v>9.68</v>
      </c>
      <c r="G41" s="13">
        <f>(T_DB_Portion[脂肪(g)]/60)</f>
        <v>0.16133333333333333</v>
      </c>
      <c r="H41" s="11">
        <v>101.755</v>
      </c>
      <c r="I41" s="13">
        <f>(T_DB_Portion[碳水(g)]/300)</f>
        <v>0.33918333333333334</v>
      </c>
      <c r="J41" s="14">
        <v>1230.82</v>
      </c>
      <c r="K41" s="13">
        <f>(T_DB_Portion[钠(mg)]/2000)</f>
        <v>0.61541000000000001</v>
      </c>
      <c r="L41" s="11">
        <v>244</v>
      </c>
      <c r="M41" s="11">
        <v>8.9</v>
      </c>
      <c r="N41" s="14">
        <v>8.9</v>
      </c>
      <c r="O41" s="14">
        <f>IFERROR(T_DB_Portion[蛋白质(g)]/T_DB_Portion[脂肪(g)], "/")</f>
        <v>2.2871900826446283</v>
      </c>
    </row>
  </sheetData>
  <sortState xmlns:xlrd2="http://schemas.microsoft.com/office/spreadsheetml/2017/richdata2" ref="A13:N27">
    <sortCondition descending="1" ref="N13:N27"/>
  </sortState>
  <mergeCells count="4">
    <mergeCell ref="A1:D1"/>
    <mergeCell ref="E1:H1"/>
    <mergeCell ref="A33:O34"/>
    <mergeCell ref="A10:O11"/>
  </mergeCells>
  <phoneticPr fontId="1" type="noConversion"/>
  <conditionalFormatting sqref="B13:B25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B31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:B41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N25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6:N41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C25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:C31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6:C41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3:D2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:D3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6:D4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:E2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:E3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6:E4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3:F25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3:F3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6:F41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:G25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:G3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6:G41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3:H25">
    <cfRule type="colorScale" priority="37">
      <colorScale>
        <cfvo type="min"/>
        <cfvo type="max"/>
        <color rgb="FF63BE7B"/>
        <color rgb="FFFFEF9C"/>
      </colorScale>
    </cfRule>
  </conditionalFormatting>
  <conditionalFormatting sqref="H13:H31">
    <cfRule type="colorScale" priority="10">
      <colorScale>
        <cfvo type="min"/>
        <cfvo type="max"/>
        <color rgb="FF63BE7B"/>
        <color rgb="FFFFEF9C"/>
      </colorScale>
    </cfRule>
  </conditionalFormatting>
  <conditionalFormatting sqref="H36:H41">
    <cfRule type="colorScale" priority="23">
      <colorScale>
        <cfvo type="min"/>
        <cfvo type="max"/>
        <color rgb="FF63BE7B"/>
        <color rgb="FFFFEF9C"/>
      </colorScale>
    </cfRule>
  </conditionalFormatting>
  <conditionalFormatting sqref="I13:I25">
    <cfRule type="colorScale" priority="36">
      <colorScale>
        <cfvo type="min"/>
        <cfvo type="max"/>
        <color rgb="FF63BE7B"/>
        <color rgb="FFFFEF9C"/>
      </colorScale>
    </cfRule>
  </conditionalFormatting>
  <conditionalFormatting sqref="I13:I31">
    <cfRule type="colorScale" priority="9">
      <colorScale>
        <cfvo type="min"/>
        <cfvo type="max"/>
        <color rgb="FF63BE7B"/>
        <color rgb="FFFFEF9C"/>
      </colorScale>
    </cfRule>
  </conditionalFormatting>
  <conditionalFormatting sqref="I36:I41">
    <cfRule type="colorScale" priority="22">
      <colorScale>
        <cfvo type="min"/>
        <cfvo type="max"/>
        <color rgb="FF63BE7B"/>
        <color rgb="FFFFEF9C"/>
      </colorScale>
    </cfRule>
  </conditionalFormatting>
  <conditionalFormatting sqref="J13:J25">
    <cfRule type="colorScale" priority="35">
      <colorScale>
        <cfvo type="min"/>
        <cfvo type="max"/>
        <color rgb="FFFCFCFF"/>
        <color rgb="FFF8696B"/>
      </colorScale>
    </cfRule>
  </conditionalFormatting>
  <conditionalFormatting sqref="J13:J31">
    <cfRule type="colorScale" priority="8">
      <colorScale>
        <cfvo type="min"/>
        <cfvo type="max"/>
        <color rgb="FFFCFCFF"/>
        <color rgb="FFF8696B"/>
      </colorScale>
    </cfRule>
  </conditionalFormatting>
  <conditionalFormatting sqref="J36:J41">
    <cfRule type="colorScale" priority="21">
      <colorScale>
        <cfvo type="min"/>
        <cfvo type="max"/>
        <color rgb="FFFCFCFF"/>
        <color rgb="FFF8696B"/>
      </colorScale>
    </cfRule>
  </conditionalFormatting>
  <conditionalFormatting sqref="K13:K25">
    <cfRule type="colorScale" priority="34">
      <colorScale>
        <cfvo type="min"/>
        <cfvo type="max"/>
        <color rgb="FFFCFCFF"/>
        <color rgb="FFF8696B"/>
      </colorScale>
    </cfRule>
  </conditionalFormatting>
  <conditionalFormatting sqref="K13:K31">
    <cfRule type="colorScale" priority="7">
      <colorScale>
        <cfvo type="min"/>
        <cfvo type="max"/>
        <color rgb="FFFCFCFF"/>
        <color rgb="FFF8696B"/>
      </colorScale>
    </cfRule>
  </conditionalFormatting>
  <conditionalFormatting sqref="K36:K41">
    <cfRule type="colorScale" priority="20">
      <colorScale>
        <cfvo type="min"/>
        <cfvo type="max"/>
        <color rgb="FFFCFCFF"/>
        <color rgb="FFF8696B"/>
      </colorScale>
    </cfRule>
  </conditionalFormatting>
  <conditionalFormatting sqref="L13:L25">
    <cfRule type="colorScale" priority="33">
      <colorScale>
        <cfvo type="min"/>
        <cfvo type="max"/>
        <color rgb="FFFCFCFF"/>
        <color rgb="FF63BE7B"/>
      </colorScale>
    </cfRule>
  </conditionalFormatting>
  <conditionalFormatting sqref="L13:L31">
    <cfRule type="colorScale" priority="6">
      <colorScale>
        <cfvo type="min"/>
        <cfvo type="max"/>
        <color rgb="FFFCFCFF"/>
        <color rgb="FF63BE7B"/>
      </colorScale>
    </cfRule>
  </conditionalFormatting>
  <conditionalFormatting sqref="L36:L41">
    <cfRule type="colorScale" priority="19">
      <colorScale>
        <cfvo type="min"/>
        <cfvo type="max"/>
        <color rgb="FFFCFCFF"/>
        <color rgb="FF63BE7B"/>
      </colorScale>
    </cfRule>
  </conditionalFormatting>
  <conditionalFormatting sqref="M13:M25">
    <cfRule type="colorScale" priority="32">
      <colorScale>
        <cfvo type="min"/>
        <cfvo type="max"/>
        <color rgb="FF63BE7B"/>
        <color rgb="FFFCFCFF"/>
      </colorScale>
    </cfRule>
  </conditionalFormatting>
  <conditionalFormatting sqref="M13:M31">
    <cfRule type="colorScale" priority="5">
      <colorScale>
        <cfvo type="min"/>
        <cfvo type="max"/>
        <color rgb="FFFCFCFF"/>
        <color rgb="FFF8696B"/>
      </colorScale>
    </cfRule>
  </conditionalFormatting>
  <conditionalFormatting sqref="M36:M41">
    <cfRule type="colorScale" priority="18">
      <colorScale>
        <cfvo type="min"/>
        <cfvo type="max"/>
        <color rgb="FF63BE7B"/>
        <color rgb="FFFCFCFF"/>
      </colorScale>
    </cfRule>
  </conditionalFormatting>
  <conditionalFormatting sqref="N13:N25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3:N3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6:N4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3:O3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6:O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2F185-BFA4-40B2-88F1-01E22B4C2414}">
  <dimension ref="A2:M20"/>
  <sheetViews>
    <sheetView workbookViewId="0">
      <selection activeCell="I20" sqref="I20"/>
    </sheetView>
  </sheetViews>
  <sheetFormatPr defaultRowHeight="14.25" customHeight="1" x14ac:dyDescent="0.2"/>
  <cols>
    <col min="1" max="1" width="22.75" customWidth="1"/>
    <col min="2" max="2" width="13.375" customWidth="1"/>
    <col min="3" max="3" width="15.75" customWidth="1"/>
    <col min="4" max="4" width="19.375" customWidth="1"/>
    <col min="5" max="5" width="16.125" customWidth="1"/>
    <col min="6" max="6" width="21.75" customWidth="1"/>
    <col min="7" max="7" width="15.125" customWidth="1"/>
    <col min="8" max="8" width="19.5" customWidth="1"/>
    <col min="9" max="9" width="14.5" customWidth="1"/>
    <col min="10" max="10" width="17.75" customWidth="1"/>
    <col min="11" max="11" width="13.75" customWidth="1"/>
    <col min="12" max="12" width="15.875" customWidth="1"/>
    <col min="13" max="13" width="16.25" customWidth="1"/>
  </cols>
  <sheetData>
    <row r="2" spans="1:13" x14ac:dyDescent="0.2"/>
    <row r="3" spans="1:13" ht="14.25" customHeight="1" x14ac:dyDescent="0.2">
      <c r="A3" s="19" t="s">
        <v>69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4.25" customHeight="1" x14ac:dyDescent="0.2">
      <c r="A4" s="20">
        <v>20250804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3" ht="14.25" customHeight="1" x14ac:dyDescent="0.2">
      <c r="A5" s="18" t="s">
        <v>96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1:13" ht="14.25" customHeight="1" x14ac:dyDescent="0.2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ht="14.25" customHeight="1" thickBot="1" x14ac:dyDescent="0.25">
      <c r="A7" s="1" t="s">
        <v>42</v>
      </c>
      <c r="B7" s="4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4" t="s">
        <v>51</v>
      </c>
      <c r="K7" s="4" t="s">
        <v>52</v>
      </c>
      <c r="L7" s="5" t="s">
        <v>53</v>
      </c>
      <c r="M7" s="4" t="s">
        <v>54</v>
      </c>
    </row>
    <row r="8" spans="1:13" ht="14.25" customHeight="1" x14ac:dyDescent="0.2">
      <c r="A8" s="1" t="s">
        <v>40</v>
      </c>
      <c r="B8" s="1">
        <v>100</v>
      </c>
      <c r="C8" s="1">
        <f>IFERROR(IF(T_Log_Weight[[#This Row],[摄入重量_g]]&gt;0,INDEX(T_DB_Weight[能量(kJ/100g)],MATCH(T_Log_Weight[[#This Row],[食物名称]],T_DB_Weight[食物名称],0))/100*T_Log_Weight[[#This Row],[摄入重量_g]]," ")," ")</f>
        <v>1007</v>
      </c>
      <c r="D8" s="2">
        <f>IFERROR((C8/8400)," ")</f>
        <v>0.11988095238095238</v>
      </c>
      <c r="E8" s="1">
        <f>IFERROR(IF(T_Log_Weight[[#This Row],[摄入重量_g]]&gt;0,INDEX(T_DB_Weight[蛋白质(g/100g)],MATCH(T_Log_Weight[[#This Row],[食物名称]],T_DB_Weight[食物名称],0))/100*T_Log_Weight[[#This Row],[摄入重量_g]]," ")," ")</f>
        <v>11.9</v>
      </c>
      <c r="F8" s="2">
        <f>IFERROR((E8/60), " ")</f>
        <v>0.19833333333333333</v>
      </c>
      <c r="G8" s="1">
        <f>IFERROR(IF(T_Log_Weight[[#This Row],[摄入重量_g]]&gt;0,INDEX(T_DB_Weight[脂肪(g/100g)],MATCH(T_Log_Weight[[#This Row],[食物名称]],T_DB_Weight[食物名称],0))/100*T_Log_Weight[[#This Row],[摄入重量_g]]," ")," ")</f>
        <v>14.3</v>
      </c>
      <c r="H8" s="2">
        <f>IFERROR((G8/60), " ")</f>
        <v>0.23833333333333334</v>
      </c>
      <c r="I8" s="1">
        <f>IFERROR(IF(T_Log_Weight[[#This Row],[摄入重量_g]]&gt;0,INDEX(T_DB_Weight[碳水(g/100g)],MATCH(T_Log_Weight[[#This Row],[食物名称]],T_DB_Weight[食物名称],0))/100*T_Log_Weight[[#This Row],[摄入重量_g]]," ")," ")</f>
        <v>16.2</v>
      </c>
      <c r="J8" s="2">
        <f>IFERROR((I8/300), " ")</f>
        <v>5.3999999999999999E-2</v>
      </c>
      <c r="K8" s="1">
        <f>IFERROR(IF(T_Log_Weight[[#This Row],[摄入重量_g]]&gt;0,INDEX(T_DB_Weight[钠(mg/100g)],MATCH(T_Log_Weight[[#This Row],[食物名称]],T_DB_Weight[食物名称],0))/100*T_Log_Weight[[#This Row],[摄入重量_g]]," ")," ")</f>
        <v>626</v>
      </c>
      <c r="L8" s="2">
        <f>IFERROR((K8/2000), " ")</f>
        <v>0.313</v>
      </c>
      <c r="M8" s="3">
        <f>IFERROR(IF(T_Log_Weight[[#This Row],[摄入重量_g]]&gt;0,(INDEX(T_DB_Weight[包装价格(元)],MATCH(T_Log_Weight[[#This Row],[食物名称]],T_DB_Weight[食物名称],0))/INDEX(T_DB_Weight[包装规格(g)],MATCH(T_Log_Weight[[#This Row],[食物名称]],T_DB_Weight[食物名称],0)))*T_Log_Weight[[#This Row],[摄入重量_g]]," ")," ")</f>
        <v>4.5</v>
      </c>
    </row>
    <row r="9" spans="1:13" ht="14.25" customHeight="1" x14ac:dyDescent="0.2">
      <c r="A9" s="1" t="s">
        <v>100</v>
      </c>
      <c r="B9" s="1">
        <v>235</v>
      </c>
      <c r="C9" s="1">
        <f>IFERROR(IF(T_Log_Weight[[#This Row],[摄入重量_g]]&gt;0,INDEX(T_DB_Weight[能量(kJ/100g)],MATCH(T_Log_Weight[[#This Row],[食物名称]],T_DB_Weight[食物名称],0))/100*T_Log_Weight[[#This Row],[摄入重量_g]]," ")," ")</f>
        <v>2028.0500000000002</v>
      </c>
      <c r="D9" s="2">
        <f>IFERROR((C9/8400)," ")</f>
        <v>0.24143452380952382</v>
      </c>
      <c r="E9" s="1">
        <f>IFERROR(IF(T_Log_Weight[[#This Row],[摄入重量_g]]&gt;0,INDEX(T_DB_Weight[蛋白质(g/100g)],MATCH(T_Log_Weight[[#This Row],[食物名称]],T_DB_Weight[食物名称],0))/100*T_Log_Weight[[#This Row],[摄入重量_g]]," ")," ")</f>
        <v>10.340000000000002</v>
      </c>
      <c r="F9" s="2">
        <f>IFERROR((E9/60), " ")</f>
        <v>0.17233333333333337</v>
      </c>
      <c r="G9" s="1">
        <f>IFERROR(IF(T_Log_Weight[[#This Row],[摄入重量_g]]&gt;0,INDEX(T_DB_Weight[脂肪(g/100g)],MATCH(T_Log_Weight[[#This Row],[食物名称]],T_DB_Weight[食物名称],0))/100*T_Log_Weight[[#This Row],[摄入重量_g]]," ")," ")</f>
        <v>22.324999999999999</v>
      </c>
      <c r="H9" s="2">
        <f>IFERROR((G9/60), " ")</f>
        <v>0.37208333333333332</v>
      </c>
      <c r="I9" s="1">
        <f>IFERROR(IF(T_Log_Weight[[#This Row],[摄入重量_g]]&gt;0,INDEX(T_DB_Weight[碳水(g/100g)],MATCH(T_Log_Weight[[#This Row],[食物名称]],T_DB_Weight[食物名称],0))/100*T_Log_Weight[[#This Row],[摄入重量_g]]," ")," ")</f>
        <v>60.395000000000003</v>
      </c>
      <c r="J9" s="2">
        <f>IFERROR((I9/300), " ")</f>
        <v>0.20131666666666667</v>
      </c>
      <c r="K9" s="1">
        <f>IFERROR(IF(T_Log_Weight[[#This Row],[摄入重量_g]]&gt;0,INDEX(T_DB_Weight[钠(mg/100g)],MATCH(T_Log_Weight[[#This Row],[食物名称]],T_DB_Weight[食物名称],0))/100*T_Log_Weight[[#This Row],[摄入重量_g]]," ")," ")</f>
        <v>1175</v>
      </c>
      <c r="L9" s="2">
        <f>IFERROR((K9/2000), " ")</f>
        <v>0.58750000000000002</v>
      </c>
      <c r="M9" s="3">
        <f>IFERROR(IF(T_Log_Weight[[#This Row],[摄入重量_g]]&gt;0,(INDEX(T_DB_Weight[包装价格(元)],MATCH(T_Log_Weight[[#This Row],[食物名称]],T_DB_Weight[食物名称],0))/INDEX(T_DB_Weight[包装规格(g)],MATCH(T_Log_Weight[[#This Row],[食物名称]],T_DB_Weight[食物名称],0)))*T_Log_Weight[[#This Row],[摄入重量_g]]," ")," ")</f>
        <v>9.9</v>
      </c>
    </row>
    <row r="10" spans="1:13" ht="14.25" customHeight="1" x14ac:dyDescent="0.2">
      <c r="A10" s="18" t="s">
        <v>97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3" ht="14.25" customHeight="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spans="1:13" ht="14.25" customHeight="1" thickBot="1" x14ac:dyDescent="0.25">
      <c r="A12" s="1" t="s">
        <v>42</v>
      </c>
      <c r="B12" s="4" t="s">
        <v>55</v>
      </c>
      <c r="C12" s="5" t="s">
        <v>44</v>
      </c>
      <c r="D12" s="5" t="s">
        <v>45</v>
      </c>
      <c r="E12" s="5" t="s">
        <v>46</v>
      </c>
      <c r="F12" s="5" t="s">
        <v>47</v>
      </c>
      <c r="G12" s="5" t="s">
        <v>48</v>
      </c>
      <c r="H12" s="5" t="s">
        <v>49</v>
      </c>
      <c r="I12" s="5" t="s">
        <v>50</v>
      </c>
      <c r="J12" s="4" t="s">
        <v>51</v>
      </c>
      <c r="K12" s="4" t="s">
        <v>52</v>
      </c>
      <c r="L12" s="5" t="s">
        <v>53</v>
      </c>
      <c r="M12" s="4" t="s">
        <v>54</v>
      </c>
    </row>
    <row r="13" spans="1:13" ht="14.25" customHeight="1" x14ac:dyDescent="0.2">
      <c r="A13" s="1" t="s">
        <v>70</v>
      </c>
      <c r="B13" s="1">
        <v>1</v>
      </c>
      <c r="C13" s="1">
        <f>IFERROR(IF(T_Log_Portion[[#This Row],[摄入份数]]&gt;0,INDEX(T_DB_Portion[能量(kJ)],MATCH(T_Log_Portion[[#This Row],[食物名称]],T_DB_Portion[食物名称],0))*T_Log_Portion[[#This Row],[摄入份数]]," ")," ")</f>
        <v>2465.2199999999998</v>
      </c>
      <c r="D13" s="2">
        <f>IFERROR((C13/8400), " ")</f>
        <v>0.29347857142857142</v>
      </c>
      <c r="E13" s="1">
        <f>IFERROR(IF(T_Log_Portion[[#This Row],[摄入份数]]&gt;0,INDEX(T_DB_Portion[蛋白质(g)],MATCH(T_Log_Portion[[#This Row],[食物名称]],T_DB_Portion[食物名称],0))*T_Log_Portion[[#This Row],[摄入份数]]," ")," ")</f>
        <v>22.14</v>
      </c>
      <c r="F13" s="2">
        <f>IFERROR((E13/60), " ")</f>
        <v>0.36899999999999999</v>
      </c>
      <c r="G13" s="1">
        <f>IFERROR(IF(T_Log_Portion[[#This Row],[摄入份数]]&gt;0,INDEX(T_DB_Portion[脂肪(g)],MATCH(T_Log_Portion[[#This Row],[食物名称]],T_DB_Portion[食物名称],0))*T_Log_Portion[[#This Row],[摄入份数]]," ")," ")</f>
        <v>9.68</v>
      </c>
      <c r="H13" s="2">
        <f>IFERROR((G13/60), " ")</f>
        <v>0.16133333333333333</v>
      </c>
      <c r="I13" s="1">
        <f>IFERROR(IF(T_Log_Portion[[#This Row],[摄入份数]]&gt;0,INDEX(T_DB_Portion[碳水(g)],MATCH(T_Log_Portion[[#This Row],[食物名称]],T_DB_Portion[食物名称],0))*T_Log_Portion[[#This Row],[摄入份数]]," ")," ")</f>
        <v>101.755</v>
      </c>
      <c r="J13" s="2">
        <f>IFERROR((I13/300), " ")</f>
        <v>0.33918333333333334</v>
      </c>
      <c r="K13" s="1">
        <f>IFERROR(IF(T_Log_Portion[[#This Row],[摄入份数]]&gt;0,INDEX(T_DB_Portion[钠(mg)],MATCH(T_Log_Portion[[#This Row],[食物名称]],T_DB_Portion[食物名称],0))*T_Log_Portion[[#This Row],[摄入份数]]," ")," ")</f>
        <v>1230.82</v>
      </c>
      <c r="L13" s="2">
        <f>IFERROR((K13/2000), " ")</f>
        <v>0.61541000000000001</v>
      </c>
      <c r="M13" s="3">
        <f>IFERROR(IF(T_Log_Portion[[#This Row],[摄入份数]]&gt;0,INDEX(T_DB_Portion[单份价格],MATCH(T_Log_Portion[[#This Row],[食物名称]],T_DB_Portion[食物名称],0))*T_Log_Portion[[#This Row],[摄入份数]]," ")," ")</f>
        <v>8.9</v>
      </c>
    </row>
    <row r="14" spans="1:13" ht="14.25" customHeight="1" x14ac:dyDescent="0.2">
      <c r="A14" s="1" t="s">
        <v>71</v>
      </c>
      <c r="B14" s="1">
        <v>1</v>
      </c>
      <c r="C14" s="1">
        <f>IFERROR(IF(T_Log_Portion[[#This Row],[摄入份数]]&gt;0,INDEX(T_DB_Portion[能量(kJ)],MATCH(T_Log_Portion[[#This Row],[食物名称]],T_DB_Portion[食物名称],0))*T_Log_Portion[[#This Row],[摄入份数]]," ")," ")</f>
        <v>62.802</v>
      </c>
      <c r="D14" s="2">
        <f>IFERROR((C14/8400), " ")</f>
        <v>7.4764285714285714E-3</v>
      </c>
      <c r="E14" s="1">
        <f>IFERROR(IF(T_Log_Portion[[#This Row],[摄入份数]]&gt;0,INDEX(T_DB_Portion[蛋白质(g)],MATCH(T_Log_Portion[[#This Row],[食物名称]],T_DB_Portion[食物名称],0))*T_Log_Portion[[#This Row],[摄入份数]]," ")," ")</f>
        <v>2</v>
      </c>
      <c r="F14" s="2">
        <f>IFERROR((E14/60), " ")</f>
        <v>3.3333333333333333E-2</v>
      </c>
      <c r="G14" s="1">
        <f>IFERROR(IF(T_Log_Portion[[#This Row],[摄入份数]]&gt;0,INDEX(T_DB_Portion[脂肪(g)],MATCH(T_Log_Portion[[#This Row],[食物名称]],T_DB_Portion[食物名称],0))*T_Log_Portion[[#This Row],[摄入份数]]," ")," ")</f>
        <v>0.5</v>
      </c>
      <c r="H14" s="2">
        <f>IFERROR((G14/60), " ")</f>
        <v>8.3333333333333332E-3</v>
      </c>
      <c r="I14" s="1">
        <f>IFERROR(IF(T_Log_Portion[[#This Row],[摄入份数]]&gt;0,INDEX(T_DB_Portion[碳水(g)],MATCH(T_Log_Portion[[#This Row],[食物名称]],T_DB_Portion[食物名称],0))*T_Log_Portion[[#This Row],[摄入份数]]," ")," ")</f>
        <v>1.375</v>
      </c>
      <c r="J14" s="2">
        <f>IFERROR((I14/300), " ")</f>
        <v>4.5833333333333334E-3</v>
      </c>
      <c r="K14" s="1">
        <f>IFERROR(IF(T_Log_Portion[[#This Row],[摄入份数]]&gt;0,INDEX(T_DB_Portion[钠(mg)],MATCH(T_Log_Portion[[#This Row],[食物名称]],T_DB_Portion[食物名称],0))*T_Log_Portion[[#This Row],[摄入份数]]," ")," ")</f>
        <v>20.125</v>
      </c>
      <c r="L14" s="2">
        <f>IFERROR((K14/2000), " ")</f>
        <v>1.00625E-2</v>
      </c>
      <c r="M14" s="3">
        <f>IFERROR(IF(T_Log_Portion[[#This Row],[摄入份数]]&gt;0,INDEX(T_DB_Portion[单份价格],MATCH(T_Log_Portion[[#This Row],[食物名称]],T_DB_Portion[食物名称],0))*T_Log_Portion[[#This Row],[摄入份数]]," ")," ")</f>
        <v>1.5</v>
      </c>
    </row>
    <row r="15" spans="1:13" ht="14.25" customHeight="1" x14ac:dyDescent="0.2">
      <c r="A15" s="1" t="s">
        <v>99</v>
      </c>
      <c r="B15" s="1">
        <v>2</v>
      </c>
      <c r="C15" s="1">
        <f>IFERROR(IF(T_Log_Portion[[#This Row],[摄入份数]]&gt;0,INDEX(T_DB_Portion[能量(kJ)],MATCH(T_Log_Portion[[#This Row],[食物名称]],T_DB_Portion[食物名称],0))*T_Log_Portion[[#This Row],[摄入份数]]," ")," ")</f>
        <v>150.72399999999999</v>
      </c>
      <c r="D15" s="2">
        <f>IFERROR((C15/8400), " ")</f>
        <v>1.7943333333333332E-2</v>
      </c>
      <c r="E15" s="1">
        <f>IFERROR(IF(T_Log_Portion[[#This Row],[摄入份数]]&gt;0,INDEX(T_DB_Portion[蛋白质(g)],MATCH(T_Log_Portion[[#This Row],[食物名称]],T_DB_Portion[食物名称],0))*T_Log_Portion[[#This Row],[摄入份数]]," ")," ")</f>
        <v>6.96</v>
      </c>
      <c r="F15" s="2">
        <f>IFERROR((E15/60), " ")</f>
        <v>0.11600000000000001</v>
      </c>
      <c r="G15" s="1">
        <f>IFERROR(IF(T_Log_Portion[[#This Row],[摄入份数]]&gt;0,INDEX(T_DB_Portion[脂肪(g)],MATCH(T_Log_Portion[[#This Row],[食物名称]],T_DB_Portion[食物名称],0))*T_Log_Portion[[#This Row],[摄入份数]]," ")," ")</f>
        <v>0.06</v>
      </c>
      <c r="H15" s="2">
        <f>IFERROR((G15/60), " ")</f>
        <v>1E-3</v>
      </c>
      <c r="I15" s="1">
        <f>IFERROR(IF(T_Log_Portion[[#This Row],[摄入份数]]&gt;0,INDEX(T_DB_Portion[碳水(g)],MATCH(T_Log_Portion[[#This Row],[食物名称]],T_DB_Portion[食物名称],0))*T_Log_Portion[[#This Row],[摄入份数]]," ")," ")</f>
        <v>1.86</v>
      </c>
      <c r="J15" s="2">
        <f>IFERROR((I15/300), " ")</f>
        <v>6.2000000000000006E-3</v>
      </c>
      <c r="K15" s="1">
        <f>IFERROR(IF(T_Log_Portion[[#This Row],[摄入份数]]&gt;0,INDEX(T_DB_Portion[钠(mg)],MATCH(T_Log_Portion[[#This Row],[食物名称]],T_DB_Portion[食物名称],0))*T_Log_Portion[[#This Row],[摄入份数]]," ")," ")</f>
        <v>47.64</v>
      </c>
      <c r="L15" s="2">
        <f>IFERROR((K15/2000), " ")</f>
        <v>2.3820000000000001E-2</v>
      </c>
      <c r="M15" s="3">
        <f>IFERROR(IF(T_Log_Portion[[#This Row],[摄入份数]]&gt;0,INDEX(T_DB_Portion[单份价格],MATCH(T_Log_Portion[[#This Row],[食物名称]],T_DB_Portion[食物名称],0))*T_Log_Portion[[#This Row],[摄入份数]]," ")," ")</f>
        <v>1.32</v>
      </c>
    </row>
    <row r="16" spans="1:13" ht="14.25" customHeight="1" x14ac:dyDescent="0.2">
      <c r="A16" s="1" t="s">
        <v>37</v>
      </c>
      <c r="B16" s="1">
        <v>2</v>
      </c>
      <c r="C16" s="1">
        <f>IFERROR(IF(T_Log_Portion[[#This Row],[摄入份数]]&gt;0,INDEX(T_DB_Portion[能量(kJ)],MATCH(T_Log_Portion[[#This Row],[食物名称]],T_DB_Portion[食物名称],0))*T_Log_Portion[[#This Row],[摄入份数]]," ")," ")</f>
        <v>1866</v>
      </c>
      <c r="D16" s="2">
        <f>IFERROR((C16/8400), " ")</f>
        <v>0.22214285714285714</v>
      </c>
      <c r="E16" s="1">
        <f>IFERROR(IF(T_Log_Portion[[#This Row],[摄入份数]]&gt;0,INDEX(T_DB_Portion[蛋白质(g)],MATCH(T_Log_Portion[[#This Row],[食物名称]],T_DB_Portion[食物名称],0))*T_Log_Portion[[#This Row],[摄入份数]]," ")," ")</f>
        <v>20.2</v>
      </c>
      <c r="F16" s="2">
        <f>IFERROR((E16/60), " ")</f>
        <v>0.33666666666666667</v>
      </c>
      <c r="G16" s="1">
        <f>IFERROR(IF(T_Log_Portion[[#This Row],[摄入份数]]&gt;0,INDEX(T_DB_Portion[脂肪(g)],MATCH(T_Log_Portion[[#This Row],[食物名称]],T_DB_Portion[食物名称],0))*T_Log_Portion[[#This Row],[摄入份数]]," ")," ")</f>
        <v>1</v>
      </c>
      <c r="H16" s="2">
        <f>IFERROR((G16/60), " ")</f>
        <v>1.6666666666666666E-2</v>
      </c>
      <c r="I16" s="1">
        <f>IFERROR(IF(T_Log_Portion[[#This Row],[摄入份数]]&gt;0,INDEX(T_DB_Portion[碳水(g)],MATCH(T_Log_Portion[[#This Row],[食物名称]],T_DB_Portion[食物名称],0))*T_Log_Portion[[#This Row],[摄入份数]]," ")," ")</f>
        <v>87.4</v>
      </c>
      <c r="J16" s="2">
        <f>IFERROR((I16/300), " ")</f>
        <v>0.29133333333333333</v>
      </c>
      <c r="K16" s="1">
        <f>IFERROR(IF(T_Log_Portion[[#This Row],[摄入份数]]&gt;0,INDEX(T_DB_Portion[钠(mg)],MATCH(T_Log_Portion[[#This Row],[食物名称]],T_DB_Portion[食物名称],0))*T_Log_Portion[[#This Row],[摄入份数]]," ")," ")</f>
        <v>58</v>
      </c>
      <c r="L16" s="2">
        <f>IFERROR((K16/2000), " ")</f>
        <v>2.9000000000000001E-2</v>
      </c>
      <c r="M16" s="3">
        <f>IFERROR(IF(T_Log_Portion[[#This Row],[摄入份数]]&gt;0,INDEX(T_DB_Portion[单份价格],MATCH(T_Log_Portion[[#This Row],[食物名称]],T_DB_Portion[食物名称],0))*T_Log_Portion[[#This Row],[摄入份数]]," ")," ")</f>
        <v>2.64</v>
      </c>
    </row>
    <row r="17" spans="1:13" ht="14.25" customHeight="1" x14ac:dyDescent="0.2">
      <c r="A17" s="18" t="s">
        <v>57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1:13" ht="14.25" customHeight="1" x14ac:dyDescent="0.2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 spans="1:13" ht="14.25" customHeight="1" thickBot="1" x14ac:dyDescent="0.25">
      <c r="A19" s="9"/>
      <c r="B19" s="9"/>
      <c r="C19" s="6" t="s">
        <v>58</v>
      </c>
      <c r="D19" s="6" t="s">
        <v>59</v>
      </c>
      <c r="E19" s="6" t="s">
        <v>60</v>
      </c>
      <c r="F19" s="6" t="s">
        <v>61</v>
      </c>
      <c r="G19" s="6" t="s">
        <v>62</v>
      </c>
      <c r="H19" s="6" t="s">
        <v>63</v>
      </c>
      <c r="I19" s="6" t="s">
        <v>64</v>
      </c>
      <c r="J19" s="7" t="s">
        <v>65</v>
      </c>
      <c r="K19" s="7" t="s">
        <v>66</v>
      </c>
      <c r="L19" s="6" t="s">
        <v>67</v>
      </c>
      <c r="M19" s="8" t="s">
        <v>68</v>
      </c>
    </row>
    <row r="20" spans="1:13" ht="14.25" customHeight="1" x14ac:dyDescent="0.2">
      <c r="A20" s="9"/>
      <c r="B20" s="9"/>
      <c r="C20" s="1">
        <f>SUM(T_Log_Weight[摄入能量_Kj], T_Log_Portion[摄入能量_Kj])</f>
        <v>7579.7960000000003</v>
      </c>
      <c r="D20" s="10">
        <f>T_Log_SUM[总摄入能量_Kj]/8400</f>
        <v>0.9023566666666667</v>
      </c>
      <c r="E20" s="1">
        <f>SUM(T_Log_Weight[摄入蛋白质_g], T_Log_Portion[摄入蛋白质_g])</f>
        <v>73.540000000000006</v>
      </c>
      <c r="F20" s="10">
        <f>T_Log_SUM[总摄入蛋白质_g]/60</f>
        <v>1.2256666666666667</v>
      </c>
      <c r="G20" s="1">
        <f>SUM(T_Log_Weight[摄入脂肪_g], T_Log_Portion[摄入脂肪_g])</f>
        <v>47.865000000000002</v>
      </c>
      <c r="H20" s="10">
        <f>T_Log_SUM[总摄入脂肪_g]/60</f>
        <v>0.79775000000000007</v>
      </c>
      <c r="I20" s="1">
        <f>SUM(T_Log_Weight[摄入碳水_g], T_Log_Portion[摄入碳水_g])</f>
        <v>268.98500000000001</v>
      </c>
      <c r="J20" s="10">
        <f>T_Log_SUM[总摄入碳水_g]/300</f>
        <v>0.89661666666666673</v>
      </c>
      <c r="K20" s="1">
        <f>SUM(T_Log_Weight[摄入钠_mg], T_Log_Portion[摄入钠_mg])</f>
        <v>3157.5849999999996</v>
      </c>
      <c r="L20" s="10">
        <f>T_Log_SUM[总摄入钠_mg]/2000</f>
        <v>1.5787924999999998</v>
      </c>
      <c r="M20" s="3">
        <f>SUM(T_Log_Weight[摄入成本_元], T_Log_Portion[摄入成本_元])</f>
        <v>28.76</v>
      </c>
    </row>
  </sheetData>
  <mergeCells count="5">
    <mergeCell ref="A5:M6"/>
    <mergeCell ref="A3:M3"/>
    <mergeCell ref="A17:M18"/>
    <mergeCell ref="A4:M4"/>
    <mergeCell ref="A10:M11"/>
  </mergeCells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营养数据库</vt:lpstr>
      <vt:lpstr>每日记录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Film Gamer</dc:creator>
  <cp:lastModifiedBy>Film Gamer</cp:lastModifiedBy>
  <dcterms:created xsi:type="dcterms:W3CDTF">2015-06-05T18:19:34Z</dcterms:created>
  <dcterms:modified xsi:type="dcterms:W3CDTF">2025-08-04T10:26:05Z</dcterms:modified>
</cp:coreProperties>
</file>