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5"/>
  <workbookPr defaultThemeVersion="166925"/>
  <xr:revisionPtr revIDLastSave="0" documentId="8_{2313905F-0C3C-4360-ACBE-AF58ED19439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rt list current" sheetId="5" r:id="rId1"/>
    <sheet name="part list before 20220508" sheetId="6" r:id="rId2"/>
    <sheet name="parts list before 20220123" sheetId="1" r:id="rId3"/>
    <sheet name="Supplier List" sheetId="3" r:id="rId4"/>
    <sheet name="Ref tables" sheetId="2" r:id="rId5"/>
    <sheet name="stocks" sheetId="4" r:id="rId6"/>
  </sheets>
  <definedNames>
    <definedName name="_xlnm._FilterDatabase" localSheetId="0" hidden="1">'part list current'!$A$3:$L$3</definedName>
    <definedName name="_xlnm._FilterDatabase" localSheetId="1" hidden="1">'part list before 20220508'!$A$3:$L$3</definedName>
    <definedName name="_xlnm._FilterDatabase" localSheetId="2" hidden="1">'parts list before 20220123'!$A$3:$L$3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5" l="1"/>
  <c r="K73" i="5"/>
  <c r="K75" i="5"/>
  <c r="K18" i="5"/>
  <c r="K6" i="5"/>
  <c r="K5" i="5"/>
  <c r="L5" i="5" s="1"/>
  <c r="K64" i="5"/>
  <c r="L64" i="5"/>
  <c r="L90" i="5"/>
  <c r="L12" i="5"/>
  <c r="J91" i="5"/>
  <c r="L91" i="5" s="1"/>
  <c r="K40" i="5"/>
  <c r="J40" i="5"/>
  <c r="K45" i="5"/>
  <c r="L45" i="5" s="1"/>
  <c r="K25" i="5"/>
  <c r="L25" i="5" s="1"/>
  <c r="K71" i="5"/>
  <c r="L71" i="5" s="1"/>
  <c r="K70" i="5"/>
  <c r="L70" i="5" s="1"/>
  <c r="K30" i="5"/>
  <c r="L30" i="5" s="1"/>
  <c r="K68" i="5"/>
  <c r="K62" i="5"/>
  <c r="K52" i="5"/>
  <c r="L52" i="5" s="1"/>
  <c r="K42" i="5"/>
  <c r="L42" i="5" s="1"/>
  <c r="K67" i="5"/>
  <c r="K66" i="5"/>
  <c r="K69" i="5"/>
  <c r="K58" i="5"/>
  <c r="K50" i="5"/>
  <c r="K38" i="5"/>
  <c r="K51" i="5"/>
  <c r="L51" i="5" s="1"/>
  <c r="K43" i="5"/>
  <c r="L43" i="5" s="1"/>
  <c r="K53" i="5"/>
  <c r="K56" i="5"/>
  <c r="K57" i="5"/>
  <c r="K55" i="5"/>
  <c r="K54" i="5"/>
  <c r="L73" i="5"/>
  <c r="L8" i="5"/>
  <c r="L10" i="5"/>
  <c r="K77" i="5"/>
  <c r="L77" i="5" s="1"/>
  <c r="L75" i="5"/>
  <c r="K31" i="5"/>
  <c r="L31" i="5" s="1"/>
  <c r="K41" i="5"/>
  <c r="K72" i="5"/>
  <c r="L72" i="5" s="1"/>
  <c r="K65" i="5"/>
  <c r="L20" i="5"/>
  <c r="L33" i="5"/>
  <c r="L65" i="5"/>
  <c r="L68" i="5"/>
  <c r="K26" i="5"/>
  <c r="L26" i="5" s="1"/>
  <c r="K34" i="5"/>
  <c r="L34" i="5" s="1"/>
  <c r="K63" i="5"/>
  <c r="K21" i="5"/>
  <c r="K86" i="6"/>
  <c r="L86" i="6" s="1"/>
  <c r="L85" i="6"/>
  <c r="K84" i="6"/>
  <c r="L84" i="6" s="1"/>
  <c r="K83" i="6"/>
  <c r="L83" i="6" s="1"/>
  <c r="K82" i="6"/>
  <c r="L82" i="6" s="1"/>
  <c r="K81" i="6"/>
  <c r="L81" i="6" s="1"/>
  <c r="K80" i="6"/>
  <c r="L80" i="6" s="1"/>
  <c r="K79" i="6"/>
  <c r="L79" i="6" s="1"/>
  <c r="K78" i="6"/>
  <c r="L78" i="6" s="1"/>
  <c r="K77" i="6"/>
  <c r="L77" i="6" s="1"/>
  <c r="K76" i="6"/>
  <c r="L76" i="6" s="1"/>
  <c r="K75" i="6"/>
  <c r="L75" i="6" s="1"/>
  <c r="K74" i="6"/>
  <c r="L74" i="6" s="1"/>
  <c r="K73" i="6"/>
  <c r="L73" i="6" s="1"/>
  <c r="L72" i="6"/>
  <c r="L71" i="6"/>
  <c r="K70" i="6"/>
  <c r="L70" i="6" s="1"/>
  <c r="K69" i="6"/>
  <c r="L69" i="6" s="1"/>
  <c r="L68" i="6"/>
  <c r="L67" i="6"/>
  <c r="K66" i="6"/>
  <c r="L66" i="6" s="1"/>
  <c r="L65" i="6"/>
  <c r="K64" i="6"/>
  <c r="L64" i="6" s="1"/>
  <c r="K63" i="6"/>
  <c r="L63" i="6" s="1"/>
  <c r="K62" i="6"/>
  <c r="L62" i="6" s="1"/>
  <c r="L61" i="6"/>
  <c r="K60" i="6"/>
  <c r="L60" i="6" s="1"/>
  <c r="K59" i="6"/>
  <c r="L59" i="6" s="1"/>
  <c r="K58" i="6"/>
  <c r="L58" i="6" s="1"/>
  <c r="L57" i="6"/>
  <c r="L56" i="6"/>
  <c r="L55" i="6"/>
  <c r="K54" i="6"/>
  <c r="L54" i="6" s="1"/>
  <c r="L53" i="6"/>
  <c r="L52" i="6"/>
  <c r="L51" i="6"/>
  <c r="L50" i="6"/>
  <c r="L49" i="6"/>
  <c r="L48" i="6"/>
  <c r="K47" i="6"/>
  <c r="L47" i="6" s="1"/>
  <c r="K46" i="6"/>
  <c r="L46" i="6" s="1"/>
  <c r="K45" i="6"/>
  <c r="L45" i="6" s="1"/>
  <c r="L44" i="6"/>
  <c r="L43" i="6"/>
  <c r="L42" i="6"/>
  <c r="L41" i="6"/>
  <c r="L40" i="6"/>
  <c r="L39" i="6"/>
  <c r="L38" i="6"/>
  <c r="L37" i="6"/>
  <c r="L36" i="6"/>
  <c r="L35" i="6"/>
  <c r="L34" i="6"/>
  <c r="Q33" i="6"/>
  <c r="L33" i="6"/>
  <c r="K32" i="6"/>
  <c r="L32" i="6" s="1"/>
  <c r="L31" i="6"/>
  <c r="Q30" i="6"/>
  <c r="L30" i="6"/>
  <c r="K29" i="6"/>
  <c r="L29" i="6" s="1"/>
  <c r="Q28" i="6"/>
  <c r="K28" i="6"/>
  <c r="L28" i="6" s="1"/>
  <c r="L27" i="6"/>
  <c r="L26" i="6"/>
  <c r="L25" i="6"/>
  <c r="L24" i="6"/>
  <c r="L23" i="6"/>
  <c r="L22" i="6"/>
  <c r="L21" i="6"/>
  <c r="L20" i="6"/>
  <c r="L19" i="6"/>
  <c r="L18" i="6"/>
  <c r="L17" i="6"/>
  <c r="L16" i="6"/>
  <c r="Q15" i="6"/>
  <c r="L15" i="6"/>
  <c r="P14" i="6"/>
  <c r="Q14" i="6" s="1"/>
  <c r="L14" i="6"/>
  <c r="P13" i="6"/>
  <c r="Q13" i="6" s="1"/>
  <c r="L13" i="6"/>
  <c r="Q12" i="6"/>
  <c r="L12" i="6"/>
  <c r="P11" i="6"/>
  <c r="Q11" i="6" s="1"/>
  <c r="L11" i="6"/>
  <c r="P10" i="6"/>
  <c r="Q10" i="6" s="1"/>
  <c r="L10" i="6"/>
  <c r="P9" i="6"/>
  <c r="Q9" i="6" s="1"/>
  <c r="L9" i="6"/>
  <c r="L8" i="6"/>
  <c r="L7" i="6"/>
  <c r="L6" i="6"/>
  <c r="P5" i="6"/>
  <c r="Q5" i="6" s="1"/>
  <c r="L5" i="6"/>
  <c r="P4" i="6"/>
  <c r="Q4" i="6" s="1"/>
  <c r="L4" i="6"/>
  <c r="N4" i="6" s="1"/>
  <c r="O44" i="4"/>
  <c r="P6" i="4"/>
  <c r="P7" i="4"/>
  <c r="P8" i="4"/>
  <c r="P9" i="4"/>
  <c r="P11" i="4"/>
  <c r="P14" i="4"/>
  <c r="P15" i="4"/>
  <c r="P16" i="4"/>
  <c r="P17" i="4"/>
  <c r="P18" i="4"/>
  <c r="P19" i="4"/>
  <c r="P20" i="4"/>
  <c r="P21" i="4"/>
  <c r="P22" i="4"/>
  <c r="P23" i="4"/>
  <c r="P24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9" i="4"/>
  <c r="P50" i="4"/>
  <c r="P51" i="4"/>
  <c r="P52" i="4"/>
  <c r="P53" i="4"/>
  <c r="P59" i="4"/>
  <c r="P60" i="4"/>
  <c r="P61" i="4"/>
  <c r="P62" i="4"/>
  <c r="P63" i="4"/>
  <c r="P64" i="4"/>
  <c r="P66" i="4"/>
  <c r="P67" i="4"/>
  <c r="P68" i="4"/>
  <c r="O3" i="4"/>
  <c r="P3" i="4" s="1"/>
  <c r="O4" i="4"/>
  <c r="P4" i="4" s="1"/>
  <c r="O5" i="4"/>
  <c r="P5" i="4" s="1"/>
  <c r="O6" i="4"/>
  <c r="O7" i="4"/>
  <c r="O8" i="4"/>
  <c r="O9" i="4"/>
  <c r="O10" i="4"/>
  <c r="P10" i="4" s="1"/>
  <c r="O11" i="4"/>
  <c r="O12" i="4"/>
  <c r="P12" i="4" s="1"/>
  <c r="O13" i="4"/>
  <c r="P13" i="4" s="1"/>
  <c r="O14" i="4"/>
  <c r="O15" i="4"/>
  <c r="O16" i="4"/>
  <c r="O17" i="4"/>
  <c r="O18" i="4"/>
  <c r="O19" i="4"/>
  <c r="O20" i="4"/>
  <c r="O21" i="4"/>
  <c r="O22" i="4"/>
  <c r="O23" i="4"/>
  <c r="O24" i="4"/>
  <c r="O25" i="4"/>
  <c r="P25" i="4" s="1"/>
  <c r="O26" i="4"/>
  <c r="P26" i="4" s="1"/>
  <c r="O27" i="4"/>
  <c r="P27" i="4" s="1"/>
  <c r="O28" i="4"/>
  <c r="P28" i="4" s="1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P43" i="4" s="1"/>
  <c r="P44" i="4"/>
  <c r="O45" i="4"/>
  <c r="P45" i="4" s="1"/>
  <c r="O46" i="4"/>
  <c r="P46" i="4" s="1"/>
  <c r="O47" i="4"/>
  <c r="P47" i="4" s="1"/>
  <c r="O48" i="4"/>
  <c r="P48" i="4" s="1"/>
  <c r="O49" i="4"/>
  <c r="O50" i="4"/>
  <c r="O51" i="4"/>
  <c r="O52" i="4"/>
  <c r="O53" i="4"/>
  <c r="O54" i="4"/>
  <c r="O55" i="4"/>
  <c r="P55" i="4" s="1"/>
  <c r="O56" i="4"/>
  <c r="P56" i="4" s="1"/>
  <c r="O57" i="4"/>
  <c r="P57" i="4" s="1"/>
  <c r="O58" i="4"/>
  <c r="P58" i="4" s="1"/>
  <c r="O59" i="4"/>
  <c r="O60" i="4"/>
  <c r="O61" i="4"/>
  <c r="O62" i="4"/>
  <c r="O63" i="4"/>
  <c r="O64" i="4"/>
  <c r="O65" i="4"/>
  <c r="P65" i="4" s="1"/>
  <c r="O66" i="4"/>
  <c r="O67" i="4"/>
  <c r="O68" i="4"/>
  <c r="O69" i="4"/>
  <c r="P69" i="4" s="1"/>
  <c r="O2" i="4"/>
  <c r="P2" i="4" s="1"/>
  <c r="E42" i="4"/>
  <c r="E43" i="4"/>
  <c r="N43" i="4" s="1"/>
  <c r="K35" i="5"/>
  <c r="G42" i="4"/>
  <c r="G43" i="4"/>
  <c r="L35" i="5"/>
  <c r="E25" i="4"/>
  <c r="L19" i="5"/>
  <c r="L85" i="5"/>
  <c r="E3" i="4"/>
  <c r="N3" i="4" s="1"/>
  <c r="E4" i="4"/>
  <c r="E5" i="4"/>
  <c r="E6" i="4"/>
  <c r="G6" i="4" s="1"/>
  <c r="H6" i="4" s="1"/>
  <c r="E7" i="4"/>
  <c r="G7" i="4" s="1"/>
  <c r="H7" i="4" s="1"/>
  <c r="E8" i="4"/>
  <c r="E9" i="4"/>
  <c r="E10" i="4"/>
  <c r="N10" i="4" s="1"/>
  <c r="E11" i="4"/>
  <c r="E12" i="4"/>
  <c r="N12" i="4" s="1"/>
  <c r="E13" i="4"/>
  <c r="N13" i="4" s="1"/>
  <c r="E14" i="4"/>
  <c r="E15" i="4"/>
  <c r="E16" i="4"/>
  <c r="E17" i="4"/>
  <c r="E18" i="4"/>
  <c r="E19" i="4"/>
  <c r="E20" i="4"/>
  <c r="E21" i="4"/>
  <c r="E22" i="4"/>
  <c r="E23" i="4"/>
  <c r="E24" i="4"/>
  <c r="E26" i="4"/>
  <c r="E27" i="4"/>
  <c r="N27" i="4" s="1"/>
  <c r="E28" i="4"/>
  <c r="N28" i="4" s="1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N41" i="4" s="1"/>
  <c r="E44" i="4"/>
  <c r="N44" i="4" s="1"/>
  <c r="E45" i="4"/>
  <c r="N45" i="4" s="1"/>
  <c r="E46" i="4"/>
  <c r="E47" i="4"/>
  <c r="N47" i="4" s="1"/>
  <c r="E48" i="4"/>
  <c r="N48" i="4" s="1"/>
  <c r="E49" i="4"/>
  <c r="E50" i="4"/>
  <c r="E51" i="4"/>
  <c r="E52" i="4"/>
  <c r="E53" i="4"/>
  <c r="E54" i="4"/>
  <c r="N54" i="4" s="1"/>
  <c r="E55" i="4"/>
  <c r="N55" i="4" s="1"/>
  <c r="E56" i="4"/>
  <c r="N56" i="4" s="1"/>
  <c r="E57" i="4"/>
  <c r="N57" i="4" s="1"/>
  <c r="E58" i="4"/>
  <c r="N58" i="4" s="1"/>
  <c r="E59" i="4"/>
  <c r="E60" i="4"/>
  <c r="E61" i="4"/>
  <c r="E62" i="4"/>
  <c r="E63" i="4"/>
  <c r="E64" i="4"/>
  <c r="E65" i="4"/>
  <c r="N65" i="4" s="1"/>
  <c r="E66" i="4"/>
  <c r="E67" i="4"/>
  <c r="E68" i="4"/>
  <c r="E69" i="4"/>
  <c r="N69" i="4" s="1"/>
  <c r="E2" i="4"/>
  <c r="N2" i="4" s="1"/>
  <c r="L11" i="5"/>
  <c r="L81" i="5"/>
  <c r="L62" i="5"/>
  <c r="L67" i="5"/>
  <c r="L66" i="5"/>
  <c r="L69" i="5"/>
  <c r="L58" i="5"/>
  <c r="L55" i="5"/>
  <c r="L54" i="5"/>
  <c r="L44" i="5"/>
  <c r="L49" i="5"/>
  <c r="L53" i="5"/>
  <c r="L56" i="5"/>
  <c r="L50" i="5"/>
  <c r="L38" i="5"/>
  <c r="L16" i="5"/>
  <c r="L57" i="5"/>
  <c r="L48" i="5"/>
  <c r="L63" i="5"/>
  <c r="L21" i="5"/>
  <c r="K29" i="5"/>
  <c r="L29" i="5" s="1"/>
  <c r="K23" i="5"/>
  <c r="L23" i="5" s="1"/>
  <c r="L59" i="5"/>
  <c r="L37" i="5"/>
  <c r="L32" i="5"/>
  <c r="L47" i="5"/>
  <c r="L28" i="5"/>
  <c r="L27" i="5"/>
  <c r="L24" i="5"/>
  <c r="L61" i="5"/>
  <c r="L46" i="5"/>
  <c r="L60" i="5"/>
  <c r="L39" i="5"/>
  <c r="L74" i="5"/>
  <c r="L41" i="5"/>
  <c r="L36" i="5"/>
  <c r="Q36" i="5"/>
  <c r="L15" i="5"/>
  <c r="L18" i="5"/>
  <c r="Q34" i="5"/>
  <c r="L6" i="5"/>
  <c r="L78" i="5"/>
  <c r="L79" i="5"/>
  <c r="L80" i="5"/>
  <c r="L89" i="5"/>
  <c r="L88" i="5"/>
  <c r="L87" i="5"/>
  <c r="L83" i="5"/>
  <c r="L84" i="5"/>
  <c r="L86" i="5"/>
  <c r="L82" i="5"/>
  <c r="Q19" i="5"/>
  <c r="P17" i="5"/>
  <c r="Q17" i="5" s="1"/>
  <c r="L13" i="5"/>
  <c r="P16" i="5"/>
  <c r="Q16" i="5" s="1"/>
  <c r="Q12" i="5"/>
  <c r="L76" i="5"/>
  <c r="P11" i="5"/>
  <c r="Q11" i="5" s="1"/>
  <c r="L22" i="5"/>
  <c r="P10" i="5"/>
  <c r="Q10" i="5" s="1"/>
  <c r="L17" i="5"/>
  <c r="P9" i="5"/>
  <c r="Q9" i="5" s="1"/>
  <c r="L4" i="5"/>
  <c r="L9" i="5"/>
  <c r="P5" i="5"/>
  <c r="Q5" i="5" s="1"/>
  <c r="L7" i="5"/>
  <c r="P4" i="5"/>
  <c r="Q4" i="5" s="1"/>
  <c r="R4" i="5" s="1"/>
  <c r="L14" i="5"/>
  <c r="I65" i="4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K44" i="1"/>
  <c r="K43" i="1"/>
  <c r="K27" i="1"/>
  <c r="K2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G24" i="4"/>
  <c r="H24" i="4" s="1"/>
  <c r="G64" i="4"/>
  <c r="H64" i="4" s="1"/>
  <c r="G65" i="4"/>
  <c r="H65" i="4" s="1"/>
  <c r="K75" i="1"/>
  <c r="L75" i="1" s="1"/>
  <c r="C54" i="4"/>
  <c r="C62" i="4"/>
  <c r="G51" i="4"/>
  <c r="H51" i="4" s="1"/>
  <c r="K56" i="1"/>
  <c r="L56" i="1"/>
  <c r="K55" i="1"/>
  <c r="G52" i="4"/>
  <c r="H52" i="4" s="1"/>
  <c r="G2" i="4"/>
  <c r="H2" i="4" s="1"/>
  <c r="G3" i="4"/>
  <c r="H3" i="4" s="1"/>
  <c r="G27" i="4"/>
  <c r="H27" i="4" s="1"/>
  <c r="G28" i="4"/>
  <c r="H28" i="4" s="1"/>
  <c r="G29" i="4"/>
  <c r="H29" i="4" s="1"/>
  <c r="H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6" i="4"/>
  <c r="H66" i="4" s="1"/>
  <c r="G67" i="4"/>
  <c r="H67" i="4" s="1"/>
  <c r="G68" i="4"/>
  <c r="H68" i="4" s="1"/>
  <c r="G69" i="4"/>
  <c r="H69" i="4" s="1"/>
  <c r="K83" i="1"/>
  <c r="L82" i="1"/>
  <c r="L83" i="1"/>
  <c r="K70" i="1"/>
  <c r="K57" i="1"/>
  <c r="L57" i="1" s="1"/>
  <c r="L70" i="1"/>
  <c r="K81" i="1"/>
  <c r="L81" i="1" s="1"/>
  <c r="K80" i="1"/>
  <c r="L80" i="1" s="1"/>
  <c r="K79" i="1"/>
  <c r="L79" i="1"/>
  <c r="K78" i="1"/>
  <c r="L78" i="1" s="1"/>
  <c r="K73" i="1"/>
  <c r="K74" i="1"/>
  <c r="L74" i="1"/>
  <c r="K77" i="1"/>
  <c r="L77" i="1" s="1"/>
  <c r="K76" i="1"/>
  <c r="L76" i="1" s="1"/>
  <c r="K71" i="1"/>
  <c r="L73" i="1"/>
  <c r="K59" i="1"/>
  <c r="L58" i="1"/>
  <c r="L59" i="1"/>
  <c r="K72" i="1"/>
  <c r="L72" i="1" s="1"/>
  <c r="L71" i="1"/>
  <c r="L53" i="1"/>
  <c r="L54" i="1"/>
  <c r="L55" i="1"/>
  <c r="L68" i="1"/>
  <c r="L69" i="1"/>
  <c r="L64" i="1"/>
  <c r="L65" i="1"/>
  <c r="K67" i="1"/>
  <c r="L67" i="1" s="1"/>
  <c r="K66" i="1"/>
  <c r="L66" i="1" s="1"/>
  <c r="K63" i="1"/>
  <c r="L62" i="1"/>
  <c r="L63" i="1"/>
  <c r="K61" i="1"/>
  <c r="L61" i="1" s="1"/>
  <c r="K60" i="1"/>
  <c r="L60" i="1" s="1"/>
  <c r="K30" i="1"/>
  <c r="L30" i="1" s="1"/>
  <c r="L52" i="1"/>
  <c r="K51" i="1"/>
  <c r="L51" i="1" s="1"/>
  <c r="L46" i="1"/>
  <c r="L47" i="1"/>
  <c r="L48" i="1"/>
  <c r="L49" i="1"/>
  <c r="L50" i="1"/>
  <c r="L45" i="1"/>
  <c r="Q28" i="1"/>
  <c r="Q31" i="1"/>
  <c r="Q11" i="1"/>
  <c r="Q14" i="1"/>
  <c r="Q26" i="1"/>
  <c r="P13" i="1"/>
  <c r="Q13" i="1" s="1"/>
  <c r="P12" i="1"/>
  <c r="Q12" i="1" s="1"/>
  <c r="P5" i="1"/>
  <c r="Q5" i="1" s="1"/>
  <c r="P8" i="1"/>
  <c r="Q8" i="1" s="1"/>
  <c r="P9" i="1"/>
  <c r="Q9" i="1" s="1"/>
  <c r="P10" i="1"/>
  <c r="Q10" i="1" s="1"/>
  <c r="P4" i="1"/>
  <c r="Q4" i="1" s="1"/>
  <c r="L4" i="1"/>
  <c r="L5" i="1"/>
  <c r="L40" i="5" l="1"/>
  <c r="N4" i="5" s="1"/>
  <c r="N7" i="5" s="1"/>
  <c r="N9" i="5" s="1"/>
  <c r="N11" i="5" s="1"/>
  <c r="Q90" i="6"/>
  <c r="R4" i="6"/>
  <c r="G26" i="4"/>
  <c r="H26" i="4" s="1"/>
  <c r="N26" i="4"/>
  <c r="G5" i="4"/>
  <c r="H5" i="4" s="1"/>
  <c r="N5" i="4"/>
  <c r="G4" i="4"/>
  <c r="H4" i="4" s="1"/>
  <c r="N4" i="4"/>
  <c r="G25" i="4"/>
  <c r="H25" i="4" s="1"/>
  <c r="N25" i="4"/>
  <c r="P54" i="4"/>
  <c r="Q96" i="5"/>
  <c r="N4" i="1"/>
  <c r="R4" i="1"/>
  <c r="Q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tc={F5465EC2-5BC5-46E6-9540-D2167BD843DF}</author>
    <author>tc={CA35604A-234E-492D-A301-5E7A5BB6C057}</author>
  </authors>
  <commentList>
    <comment ref="B57" authorId="0" shapeId="0" xr:uid="{F5465EC2-5BC5-46E6-9540-D2167BD843D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buying 10</t>
      </text>
    </comment>
    <comment ref="B62" authorId="1" shapeId="0" xr:uid="{CA35604A-234E-492D-A301-5E7A5BB6C057}">
      <text>
        <t>[Threaded comment]
Your version of Excel allows you to read this threaded comment; however, any edits to it will get removed if the file is opened in a newer version of Excel. Learn more: https://go.microsoft.com/fwlink/?linkid=870924
Comment:
    10 order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tc={CE206BB4-732E-4355-A597-CBF099F986E1}</author>
    <author>tc={9662A520-1C06-4669-8D57-8ADD339EB4B0}</author>
    <author>tc={43BDD953-5E7C-4E09-A238-8659B0F61867}</author>
    <author>tc={A26444EA-386D-413E-8350-93616D82A7D4}</author>
    <author>tc={2B20521A-5495-41B1-9733-0A2415EABE79}</author>
    <author>tc={5D1C9961-69D1-4C9C-B648-E0FB37BAA33F}</author>
  </authors>
  <commentList>
    <comment ref="B51" authorId="0" shapeId="0" xr:uid="{CE206BB4-732E-4355-A597-CBF099F986E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buying 10</t>
      </text>
    </comment>
    <comment ref="B58" authorId="1" shapeId="0" xr:uid="{9662A520-1C06-4669-8D57-8ADD339EB4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have to market he solenoid cable, may need to rethink how to reduce the working time on it
</t>
      </text>
    </comment>
    <comment ref="B59" authorId="2" shapeId="0" xr:uid="{43BDD953-5E7C-4E09-A238-8659B0F618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have to market he solenoid cable, may need to rethink how to reduce the working time on it
</t>
      </text>
    </comment>
    <comment ref="B83" authorId="3" shapeId="0" xr:uid="{A26444EA-386D-413E-8350-93616D82A7D4}">
      <text>
        <t>[Threaded comment]
Your version of Excel allows you to read this threaded comment; however, any edits to it will get removed if the file is opened in a newer version of Excel. Learn more: https://go.microsoft.com/fwlink/?linkid=870924
Comment:
    4 order</t>
      </text>
    </comment>
    <comment ref="B84" authorId="4" shapeId="0" xr:uid="{2B20521A-5495-41B1-9733-0A2415EABE79}">
      <text>
        <t>[Threaded comment]
Your version of Excel allows you to read this threaded comment; however, any edits to it will get removed if the file is opened in a newer version of Excel. Learn more: https://go.microsoft.com/fwlink/?linkid=870924
Comment:
    2 order</t>
      </text>
    </comment>
    <comment ref="B86" authorId="5" shapeId="0" xr:uid="{5D1C9961-69D1-4C9C-B648-E0FB37BAA33F}">
      <text>
        <t>[Threaded comment]
Your version of Excel allows you to read this threaded comment; however, any edits to it will get removed if the file is opened in a newer version of Excel. Learn more: https://go.microsoft.com/fwlink/?linkid=870924
Comment:
    10 order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tc={49D16279-3105-4BF5-8981-121046ECF701}</author>
    <author>tc={340564AA-C38E-4AF9-8AE7-6D306E1C2AFF}</author>
    <author>tc={DC9F7AD4-90CE-4BB5-843D-5F28670634EC}</author>
    <author>tc={92161AED-C340-4BD6-8219-5F5AECA7AA99}</author>
    <author>tc={A518AC3B-4EA6-4676-9216-F8A4E29DFF56}</author>
    <author>tc={53C47E86-A5F7-4410-8623-EEACE38F28BA}</author>
  </authors>
  <commentList>
    <comment ref="B48" authorId="0" shapeId="0" xr:uid="{49D16279-3105-4BF5-8981-121046ECF70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buying 10</t>
      </text>
    </comment>
    <comment ref="B55" authorId="1" shapeId="0" xr:uid="{340564AA-C38E-4AF9-8AE7-6D306E1C2A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have to market he solenoid cable, may need to rethink how to reduce the working time on it
</t>
      </text>
    </comment>
    <comment ref="B56" authorId="2" shapeId="0" xr:uid="{DC9F7AD4-90CE-4BB5-843D-5F28670634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have to market he solenoid cable, may need to rethink how to reduce the working time on it
</t>
      </text>
    </comment>
    <comment ref="B80" authorId="3" shapeId="0" xr:uid="{92161AED-C340-4BD6-8219-5F5AECA7AA99}">
      <text>
        <t>[Threaded comment]
Your version of Excel allows you to read this threaded comment; however, any edits to it will get removed if the file is opened in a newer version of Excel. Learn more: https://go.microsoft.com/fwlink/?linkid=870924
Comment:
    4 order</t>
      </text>
    </comment>
    <comment ref="B81" authorId="4" shapeId="0" xr:uid="{A518AC3B-4EA6-4676-9216-F8A4E29DFF56}">
      <text>
        <t>[Threaded comment]
Your version of Excel allows you to read this threaded comment; however, any edits to it will get removed if the file is opened in a newer version of Excel. Learn more: https://go.microsoft.com/fwlink/?linkid=870924
Comment:
    2 order</t>
      </text>
    </comment>
    <comment ref="B83" authorId="5" shapeId="0" xr:uid="{53C47E86-A5F7-4410-8623-EEACE38F28BA}">
      <text>
        <t>[Threaded comment]
Your version of Excel allows you to read this threaded comment; however, any edits to it will get removed if the file is opened in a newer version of Excel. Learn more: https://go.microsoft.com/fwlink/?linkid=870924
Comment:
    10 order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tc={8A216259-0818-45D7-86C7-663FF15BA5F8}</author>
    <author>tc={761E648B-B281-4406-AFD8-EF2F9E9DCE68}</author>
  </authors>
  <commentList>
    <comment ref="B50" authorId="0" shapeId="0" xr:uid="{8A216259-0818-45D7-86C7-663FF15BA5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have to market he solenoid cable, may need to rethink how to reduce the working time on it
</t>
      </text>
    </comment>
    <comment ref="B51" authorId="1" shapeId="0" xr:uid="{761E648B-B281-4406-AFD8-EF2F9E9DCE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have to market he solenoid cable, may need to rethink how to reduce the working time on it
</t>
      </text>
    </comment>
  </commentList>
</comments>
</file>

<file path=xl/sharedStrings.xml><?xml version="1.0" encoding="utf-8"?>
<sst xmlns="http://schemas.openxmlformats.org/spreadsheetml/2006/main" count="617" uniqueCount="231">
  <si>
    <t>number of order in production</t>
  </si>
  <si>
    <t>USD/AUD</t>
  </si>
  <si>
    <t xml:space="preserve">updated pricing </t>
  </si>
  <si>
    <t>part No.1</t>
  </si>
  <si>
    <t>Part Name</t>
  </si>
  <si>
    <t>Assembly</t>
  </si>
  <si>
    <t>Material</t>
  </si>
  <si>
    <t>M-Process</t>
  </si>
  <si>
    <t>Breakage Risk</t>
  </si>
  <si>
    <t>Supplier Name</t>
  </si>
  <si>
    <t>Supplier Location</t>
  </si>
  <si>
    <t xml:space="preserve">Leadtime </t>
  </si>
  <si>
    <t>No. Req</t>
  </si>
  <si>
    <t>Unit Price</t>
  </si>
  <si>
    <t>Net Price</t>
  </si>
  <si>
    <t>Running NET</t>
  </si>
  <si>
    <t>unit price</t>
  </si>
  <si>
    <t>net price</t>
  </si>
  <si>
    <t>total</t>
  </si>
  <si>
    <t>Sheet Metal Assembly</t>
  </si>
  <si>
    <t>3D printed parts</t>
  </si>
  <si>
    <t>Motherboard + Assembly</t>
  </si>
  <si>
    <t>labor</t>
  </si>
  <si>
    <t>Female Quick Connector</t>
  </si>
  <si>
    <t>RS components</t>
  </si>
  <si>
    <t>Self priming Water Pump</t>
  </si>
  <si>
    <t>alibaba official maker</t>
  </si>
  <si>
    <t>packages</t>
  </si>
  <si>
    <t>hose barb  1/4 BSP to 8mm</t>
  </si>
  <si>
    <t>8mm x 5m PVC Tube</t>
  </si>
  <si>
    <t>Bunnings Ltd</t>
  </si>
  <si>
    <t>sale</t>
  </si>
  <si>
    <t>hose barb  1/8 BSP to 6mm</t>
  </si>
  <si>
    <t>profit</t>
  </si>
  <si>
    <t>arduino mega mini pro</t>
  </si>
  <si>
    <t>20 Rpm Motor</t>
  </si>
  <si>
    <t>Male Quick Connector</t>
  </si>
  <si>
    <t>A</t>
  </si>
  <si>
    <t xml:space="preserve">12V PSU </t>
  </si>
  <si>
    <t>XKC-Y26A-V</t>
  </si>
  <si>
    <t>Nylon Rod</t>
  </si>
  <si>
    <t>Master Shanghai Forging</t>
  </si>
  <si>
    <t>Motherboard Shipping</t>
  </si>
  <si>
    <t>stainless steel 1/4 plug</t>
  </si>
  <si>
    <t>XKC-Y25-V</t>
  </si>
  <si>
    <t>LCD screen</t>
  </si>
  <si>
    <t>O-ring 1/4 BSP Connector</t>
  </si>
  <si>
    <t>Shenzhen Yaopeng Metal Products Co., Ltd.</t>
  </si>
  <si>
    <t>Dpad board + assembly</t>
  </si>
  <si>
    <t>M5 x 10mm bolt, stainless, allen key</t>
  </si>
  <si>
    <t>6.3mm spade female crimped wire 20cm</t>
  </si>
  <si>
    <t>XKC-Y26A-V shipping</t>
  </si>
  <si>
    <t>M5 x 10mm bolt and nut set, stainless, allen key</t>
  </si>
  <si>
    <t>M5 x 5mm bolt and nut set, stainless, allen key</t>
  </si>
  <si>
    <t>Dpad board shipping</t>
  </si>
  <si>
    <t>6 core 18AWG cable 50cm</t>
  </si>
  <si>
    <t>20 rpm motor shipping</t>
  </si>
  <si>
    <t>M5 x 5mm bolt stainless, allen key</t>
  </si>
  <si>
    <t>fused IEC socket</t>
  </si>
  <si>
    <t>XKC-Y25-V shipping</t>
  </si>
  <si>
    <t>12 ways jumper ribbon cable f-f</t>
  </si>
  <si>
    <t>buck converter</t>
  </si>
  <si>
    <t>M6 x 10mm bolt and nut set, stainless</t>
  </si>
  <si>
    <t>JST male-female cable pair</t>
  </si>
  <si>
    <t>M3 x 20mm bolt and nut set</t>
  </si>
  <si>
    <t>22-18AWG heat shrink solder connector</t>
  </si>
  <si>
    <t>buck converter shipping</t>
  </si>
  <si>
    <t>18AWG wire 50cm brown</t>
  </si>
  <si>
    <t>JST 6 pin double head</t>
  </si>
  <si>
    <t>IDC 16 way cable crimped</t>
  </si>
  <si>
    <t>6.3mm spadefemale crimped wire shipping</t>
  </si>
  <si>
    <t>M3 x 8mm bolt and nut set</t>
  </si>
  <si>
    <t>M5 x 16mm bolt and nut set, stainless, allen key</t>
  </si>
  <si>
    <t>SD card logger</t>
  </si>
  <si>
    <t>IDC 10 way cable crimped</t>
  </si>
  <si>
    <t>JST male-female cable pair shipping</t>
  </si>
  <si>
    <t>JST 6 pin double head shipping</t>
  </si>
  <si>
    <t>2 core 18AWG cable 30cm</t>
  </si>
  <si>
    <t>JST 10 pin double head shipping</t>
  </si>
  <si>
    <t>IDC 10 way cable crimped shipping</t>
  </si>
  <si>
    <t>IDC 16 way cable crimped shipping</t>
  </si>
  <si>
    <t>JST 10 pin double head</t>
  </si>
  <si>
    <t>SD card logger shipping</t>
  </si>
  <si>
    <t>4.8mm spade female crimped wire 20cm</t>
  </si>
  <si>
    <t xml:space="preserve">8G x 65mm decking screw, stainless </t>
  </si>
  <si>
    <t>M3 x 5mm bolt and nut set</t>
  </si>
  <si>
    <t>M3 x 8mm bolt</t>
  </si>
  <si>
    <t>arduino mega mini pro shipping</t>
  </si>
  <si>
    <t>LCD screen shipping</t>
  </si>
  <si>
    <t>26-24AWG heat shrink solder connector</t>
  </si>
  <si>
    <t>M205 fuse</t>
  </si>
  <si>
    <t>26AWG wire 25cm red</t>
  </si>
  <si>
    <t>26AWG wire 25cm blue</t>
  </si>
  <si>
    <t>fused IEC socket shipping</t>
  </si>
  <si>
    <t>4.8mm spadefemale crimped wire shipping</t>
  </si>
  <si>
    <t>6 core 18AWG cable 50cm shipping</t>
  </si>
  <si>
    <t>2 core 18AWG cable 30cm shipping</t>
  </si>
  <si>
    <t>M205 fuse shipping</t>
  </si>
  <si>
    <t>Self priming Water Pump shipping</t>
  </si>
  <si>
    <t>3D printed Soaking tank</t>
  </si>
  <si>
    <t>3d printed ABS</t>
  </si>
  <si>
    <t>Multi Chamber Solenoid Block</t>
  </si>
  <si>
    <t>Ningbo Xinyi Sunshine Pneumat Science Tech</t>
  </si>
  <si>
    <t>kaomer official</t>
  </si>
  <si>
    <t>displacement body</t>
  </si>
  <si>
    <t>rod head assembly/ light guard</t>
  </si>
  <si>
    <t>Clutch head for motor</t>
  </si>
  <si>
    <t>hose barb  1/4 BSP to 8mm, 90 degree</t>
  </si>
  <si>
    <t>screen Panel</t>
  </si>
  <si>
    <t>3d printed PLA</t>
  </si>
  <si>
    <t>PSU mounting brackets</t>
  </si>
  <si>
    <t>Legs</t>
  </si>
  <si>
    <t>1/4 plug</t>
  </si>
  <si>
    <t>button set: A B joystick</t>
  </si>
  <si>
    <t>Sleepers</t>
  </si>
  <si>
    <t>SD bracket</t>
  </si>
  <si>
    <t>PCB spacer</t>
  </si>
  <si>
    <t>26-24AWG heat shrink solder connector shippin</t>
  </si>
  <si>
    <t>22-18AWG heat shrink solder connector shippin</t>
  </si>
  <si>
    <t>12V PSU shipping</t>
  </si>
  <si>
    <t>updated item</t>
  </si>
  <si>
    <t>assembly cost</t>
  </si>
  <si>
    <t>5V buck converter</t>
  </si>
  <si>
    <t>IEC cable 1.8m</t>
  </si>
  <si>
    <t>3.7mm fork crimp connector red</t>
  </si>
  <si>
    <t>3.7mm fork crimp connector blue</t>
  </si>
  <si>
    <t>6.8mm female spade crimp fully insulated connector</t>
  </si>
  <si>
    <t>4.0mm bullet crimp connector</t>
  </si>
  <si>
    <t>valve rainbow cable  30-35cm</t>
  </si>
  <si>
    <t>4.8mm spade female crimped double head  wire 10cm</t>
  </si>
  <si>
    <t>4.8mm spadefemale crimped doule head wire shipping</t>
  </si>
  <si>
    <t>4.8mm spade female crimp fully insulated</t>
  </si>
  <si>
    <t>10 way rainbow cable 30-35cm</t>
  </si>
  <si>
    <t>26AWG wire 30cm</t>
  </si>
  <si>
    <t>JST XH 4p connector housing</t>
  </si>
  <si>
    <t>JST XH crimp</t>
  </si>
  <si>
    <t>JST XH 4p connector housing shipping</t>
  </si>
  <si>
    <t>JST XH crimp shipping</t>
  </si>
  <si>
    <t>8 way rainbow cable  30-35cm</t>
  </si>
  <si>
    <t>Key Parts Supplied</t>
  </si>
  <si>
    <t>Contact</t>
  </si>
  <si>
    <t>Email</t>
  </si>
  <si>
    <t>Phone</t>
  </si>
  <si>
    <t>WeChat</t>
  </si>
  <si>
    <t>Website</t>
  </si>
  <si>
    <t>China</t>
  </si>
  <si>
    <t>Machined Parts</t>
  </si>
  <si>
    <t>sales@yp-mfg.com</t>
  </si>
  <si>
    <t>https://ypmfg.en.alibaba.com/?spm=a2700.12243863.0.0.11623e5fV0unIC</t>
  </si>
  <si>
    <t>Solenoid Valves</t>
  </si>
  <si>
    <t>https://xysunpc.en.alibaba.com/?spm=a2700.12243863.0.0.11623e5fV0unIC</t>
  </si>
  <si>
    <t xml:space="preserve">Australia </t>
  </si>
  <si>
    <t>Machine Components</t>
  </si>
  <si>
    <t>https://au.rs-online.com/web/</t>
  </si>
  <si>
    <t>Malaysia</t>
  </si>
  <si>
    <t>Sheet metal + Assembly</t>
  </si>
  <si>
    <t>https://www.mastershanghai.com.my/</t>
  </si>
  <si>
    <t>aliexpress - Estardyn</t>
  </si>
  <si>
    <t>lcd screen</t>
  </si>
  <si>
    <t>https://www.aliexpress.com/item/1005001621654895.html?spm=a2g0o.productlist.0.0.6b997180Vrw55Z&amp;algo_pvid=d46b8c6e-899c-4f82-bdd5-67ceb6a305fe&amp;aem_p4p_detail=202201021613169325503757218180026035889&amp;algo_exp_id=d46b8c6e-899c-4f82-bdd5-67ceb6a305fe-4&amp;pdp_ext_f=%7B%22sku_id%22%3A%2212000016846434248%22%7D&amp;pdp_pi=-1%3B6.53%3B-1%3BAUD+5.01%40salePrice%3BAUD%3Bsearch-mainSearch</t>
  </si>
  <si>
    <t>aliexpress - FDKJGECF Module Store</t>
  </si>
  <si>
    <t>https://www.aliexpress.com/item/4001284318978.html?src=google&amp;memo1=freelisting&amp;src=google&amp;albch=shopping&amp;acnt=708-803-3821&amp;slnk=&amp;plac=&amp;mtctp=&amp;albbt=Google_7_shopping&amp;albagn=888888&amp;isSmbAutoCall=false&amp;needSmbHouyi=false&amp;albcp=11482541945&amp;albag=112620152352&amp;trgt=294682000766&amp;crea=en4001284318978&amp;netw=u&amp;device=c&amp;albpg=294682000766&amp;albpd=en4001284318978&amp;gclid=Cj0KCQiAt8WOBhDbARIsANQLp97R9-7aUC3WTTjC_j8j6jUHbICONUXbdynMpjQq1PG6y_R9j9HJn_YaAsk1EALw_wcB&amp;gclsrc=aw.ds&amp;aff_fcid=f3ee734157db44a381eed29555ad4e5f-1641169837988-07127-UneMJZVf&amp;aff_fsk=UneMJZVf&amp;aff_platform=aaf&amp;sk=UneMJZVf&amp;aff_trace_key=f3ee734157db44a381eed29555ad4e5f-1641169837988-07127-UneMJZVf&amp;terminal_id=a50ed635c0f84518bc54b0ae05c1547a</t>
  </si>
  <si>
    <t>aliexpress - Pro powers tools store</t>
  </si>
  <si>
    <t>https://www.aliexpress.com/item/4000623822643.html?spm=a2g0o.productlist.0.0.747e1421fBVfrx&amp;algo_pvid=2568b36f-a180-4c56-94c3-59a238658cb4&amp;algo_exp_id=2568b36f-a180-4c56-94c3-59a238658cb4-3&amp;pdp_ext_f=%7B%22sku_id%22%3A%2210000004275033656%22%7D&amp;pdp_pi=-1%3B14.02%3B-1%3B-1%40salePrice%3BAUD%3Bsearch-mainSearch</t>
  </si>
  <si>
    <t>aliexpress - morden store</t>
  </si>
  <si>
    <t>https://www.aliexpress.com/item/4001259499968.html?src=google&amp;src=google&amp;albch=shopping&amp;acnt=708-803-3821&amp;slnk=&amp;plac=&amp;mtctp=&amp;albbt=Google_7_shopping&amp;albagn=888888&amp;isSmbAutoCall=false&amp;needSmbHouyi=false&amp;albcp=11482541945&amp;albag=112620152352&amp;trgt=294682000766&amp;crea=en4001259499968&amp;netw=u&amp;device=c&amp;albpg=294682000766&amp;albpd=en4001259499968&amp;gclid=Cj0KCQiAt8WOBhDbARIsANQLp972WwvjfJ4ZNJ9hDLnG_Bcse3OfdGcFn3rFvpmVDTMBz3-1hOlSMFIaAohREALw_wcB&amp;gclsrc=aw.ds&amp;aff_fcid=7bd6c8d4ec22428f9653bc6d6582a436-1641170324150-06340-UneMJZVf&amp;aff_fsk=UneMJZVf&amp;aff_platform=aaf&amp;sk=UneMJZVf&amp;aff_trace_key=7bd6c8d4ec22428f9653bc6d6582a436-1641170324150-06340-UneMJZVf&amp;terminal_id=a50ed635c0f84518bc54b0ae05c1547a</t>
  </si>
  <si>
    <t>BUW electron component store</t>
  </si>
  <si>
    <t>https://www.aliexpress.com/item/1005001878092705.html?src=google&amp;src=google&amp;albch=shopping&amp;acnt=708-803-3821&amp;slnk=&amp;plac=&amp;mtctp=&amp;albbt=Google_7_shopping&amp;albagn=888888&amp;isSmbAutoCall=false&amp;needSmbHouyi=false&amp;albcp=11491017839&amp;albag=113655928713&amp;trgt=743612850714&amp;crea=en1005001878092705&amp;netw=u&amp;device=c&amp;albpg=743612850714&amp;albpd=en1005001878092705&amp;gclid=Cj0KCQiAt8WOBhDbARIsANQLp95w9p55M6yWMHPB4EqMQatab8WnVHD92qayrZ9PxRXiKXSuABKMLJMaAgC_EALw_wcB&amp;gclsrc=aw.ds&amp;aff_fcid=0dc8db2a5323422aa094d3479d01fb04-1641195169884-07582-UneMJZVf&amp;aff_fsk=UneMJZVf&amp;aff_platform=aaf&amp;sk=UneMJZVf&amp;aff_trace_key=0dc8db2a5323422aa094d3479d01fb04-1641195169884-07582-UneMJZVf&amp;terminal_id=a50ed635c0f84518bc54b0ae05c1547a</t>
  </si>
  <si>
    <t>Locheuk Connector Store</t>
  </si>
  <si>
    <t>https://www.aliexpress.com/item/4000783917698.html?src=google&amp;src=google&amp;albch=shopping&amp;acnt=708-803-3821&amp;slnk=&amp;plac=&amp;mtctp=&amp;albbt=Google_7_shopping&amp;albagn=888888&amp;isSmbAutoCall=false&amp;needSmbHouyi=false&amp;albcp=11491017839&amp;albag=113655928713&amp;trgt=743612850714&amp;crea=en4000783917698&amp;netw=u&amp;device=c&amp;albpg=743612850714&amp;albpd=en4000783917698&amp;gclid=Cj0KCQiA2sqOBhCGARIsAPuPK0gUMBWOIP8X758GHKDzMzHg0VINZ17j2gzUpaI0vSSGtgfx_xah0jUaAlE-EALw_wcB&amp;gclsrc=aw.ds&amp;aff_fcid=b2c306ce59294ed98db3a1066e67c63e-1641197781437-06246-UneMJZVf&amp;aff_fsk=UneMJZVf&amp;aff_platform=aaf&amp;sk=UneMJZVf&amp;aff_trace_key=b2c306ce59294ed98db3a1066e67c63e-1641197781437-06246-UneMJZVf&amp;terminal_id=a50ed635c0f84518bc54b0ae05c1547a</t>
  </si>
  <si>
    <t>KEZHAN Store</t>
  </si>
  <si>
    <t>https://www.aliexpress.com/item/1005003635570367.html?_randl_currency=AUD&amp;_randl_shipto=AU&amp;src=google&amp;src=google&amp;albch=shopping&amp;acnt=708-803-3821&amp;slnk=&amp;plac=&amp;mtctp=&amp;albbt=Google_7_shopping&amp;albagn=888888&amp;isSmbAutoCall=false&amp;needSmbHouyi=false&amp;albcp=11491017839&amp;albag=113655928713&amp;trgt=743612850714&amp;crea=en1005003635570367&amp;netw=u&amp;device=c&amp;albpg=743612850714&amp;albpd=en1005003635570367&amp;gclid=Cj0KCQiA2sqOBhCGARIsAPuPK0gVImSb371N4ZzA21EzZPLBfSMXEf4y0wabG1WEIdtCoHuS-ZyTgbMaAp4EEALw_wcB&amp;gclsrc=aw.ds&amp;aff_fcid=856414f5e76f42a6bd9114249c21ccad-1641197783053-00717-UneMJZVf&amp;aff_fsk=UneMJZVf&amp;aff_platform=aaf&amp;sk=UneMJZVf&amp;aff_trace_key=856414f5e76f42a6bd9114249c21ccad-1641197783053-00717-UneMJZVf&amp;terminal_id=a50ed635c0f84518bc54b0ae05c1547a</t>
  </si>
  <si>
    <t>JST 10 pin cable</t>
  </si>
  <si>
    <t>https://www.aliexpress.com/item/4001296614713.html?src=google&amp;src=google&amp;albch=shopping&amp;acnt=708-803-3821&amp;slnk=&amp;plac=&amp;mtctp=&amp;albbt=Google_7_shopping&amp;albagn=888888&amp;isSmbAutoCall=false&amp;needSmbHouyi=false&amp;albcp=11491017839&amp;albag=113655928713&amp;trgt=743612850714&amp;crea=en4001296614713&amp;netw=u&amp;device=c&amp;albpg=743612850714&amp;albpd=en4001296614713&amp;gclid=Cj0KCQiA2sqOBhCGARIsAPuPK0jLDHg79hLNWKkRG8ZHDHJL8l3jy-1fdLRcU0xFSB0JNW9uVAHvcOEaAs_FEALw_wcB&amp;gclsrc=aw.ds&amp;aff_fcid=35b3afd651a74dd6a7d346ec99875cd0-1641198341909-04840-UneMJZVf&amp;aff_fsk=UneMJZVf&amp;aff_platform=aaf&amp;sk=UneMJZVf&amp;aff_trace_key=35b3afd651a74dd6a7d346ec99875cd0-1641198341909-04840-UneMJZVf&amp;terminal_id=a50ed635c0f84518bc54b0ae05c1547a</t>
  </si>
  <si>
    <t>excellence electronics</t>
  </si>
  <si>
    <t>IDC 10/16 way cable</t>
  </si>
  <si>
    <t>https://www.aliexpress.com/item/4000080606850.html?spm=a2g0o.detail.1000060.1.6ebe518ew5zAxJ&amp;gps-id=pcDetailBottomMoreThisSeller&amp;scm=1007.13339.169870.0&amp;scm_id=1007.13339.169870.0&amp;scm-url=1007.13339.169870.0&amp;pvid=39ce27b9-bce5-412e-a168-4f3763b2c458&amp;_t=gps-id:pcDetailBottomMoreThisSeller,scm-url:1007.13339.169870.0,pvid:39ce27b9-bce5-412e-a168-4f3763b2c458,tpp_buckets:668%232846%238116%232002&amp;&amp;pdp_ext_f=%7B%22sceneId%22:%223339%22,%22sku_id%22:%2210000000211393680%22%7D</t>
  </si>
  <si>
    <t>automation shop store</t>
  </si>
  <si>
    <t>china</t>
  </si>
  <si>
    <t>spade female crimped wire</t>
  </si>
  <si>
    <t>https://www.aliexpress.com/item/32843745477.html?spm=a2g0o.detail.1000014.4.31b771c628GtBa&amp;gps-id=pcDetailBottomMoreOtherSeller&amp;scm=1007.13338.192131.0&amp;scm_id=1007.13338.192131.0&amp;scm-url=1007.13338.192131.0&amp;pvid=5c06c440-f2c4-4893-ba6a-da842a91016d&amp;_t=gps-id:pcDetailBottomMoreOtherSeller,scm-url:1007.13338.192131.0,pvid:5c06c440-f2c4-4893-ba6a-da842a91016d,tpp_buckets:668%232846%238116%232002&amp;&amp;pdp_ext_f=%7B%22sceneId%22:%2223416%22,%22sku_id%22:%2265158134517%22%7D</t>
  </si>
  <si>
    <t>jaycar</t>
  </si>
  <si>
    <t xml:space="preserve">australia </t>
  </si>
  <si>
    <t>fuse IEC socket</t>
  </si>
  <si>
    <t>https://www.jaycar.com.au/iec-fuse-chassis-male-power-plug-with-switch/p/PP4003</t>
  </si>
  <si>
    <t>M205 fast fuse</t>
  </si>
  <si>
    <t>https://www.jaycar.com.au/10a-m205-quick-blow-fuse/p/SF2168?pos=20&amp;queryId=82d6ed4149de41d938154729e89e80bd&amp;sort=relevance</t>
  </si>
  <si>
    <t>https://www.jaycar.com.au/3pin-mains-plug-to-iec-c13-female-1-8m/p/PS4106?pos=13&amp;queryId=311c10efafbbf6a6a55f916b3f88064c&amp;sort=relevance</t>
  </si>
  <si>
    <t>rainbow cable 16 ways</t>
  </si>
  <si>
    <t>https://www.jaycar.com.au/rainbow-cable-16-core-sold-per-metre/p/WM4516</t>
  </si>
  <si>
    <t>26AWG wire 25cm</t>
  </si>
  <si>
    <t>https://www.jaycar.com.au/orange-light-duty-hook-up-wire-25m/p/WH3003?pos=1&amp;queryId=fbc4d18b169140d566e21a6d98db18c3</t>
  </si>
  <si>
    <t>https://www.jaycar.com.au/7-5-amp-2-core-tinned-dc-power-cable-sold-per-metre/p/WH3057</t>
  </si>
  <si>
    <t>aliexpress - Mtex Connector Store</t>
  </si>
  <si>
    <t>https://www.aliexpress.com/item/1005002211356735.html?spm=a2g0o.detail.1000060.2.15f3748dt89cf2&amp;gps-id=pcDetailBottomMoreThisSeller&amp;scm=1007.13339.169870.0&amp;scm_id=1007.13339.169870.0&amp;scm-url=1007.13339.169870.0&amp;pvid=04c1a4fb-19e3-4512-afd8-e5794505f059&amp;_t=gps-id:pcDetailBottomMoreThisSeller,scm-url:1007.13339.169870.0,pvid:04c1a4fb-19e3-4512-afd8-e5794505f059,tpp_buckets:668%232846%238116%232002&amp;&amp;pdp_ext_f=%7B%22sceneId%22:%223339%22,%22sku_id%22:%2212000019284204211%22%7D</t>
  </si>
  <si>
    <t>https://www.aliexpress.com/item/1005002211947512.html?spm=a2g0o.detail.1000060.1.55ba449c7Gg4l8&amp;gps-id=pcDetailBottomMoreThisSeller&amp;scm=1007.13339.169870.0&amp;scm_id=1007.13339.169870.0&amp;scm-url=1007.13339.169870.0&amp;pvid=2e712589-10dd-4108-a374-2b8682426cf7&amp;_t=gps-id:pcDetailBottomMoreThisSeller,scm-url:1007.13339.169870.0,pvid:2e712589-10dd-4108-a374-2b8682426cf7,tpp_buckets:668%232846%238116%232002&amp;&amp;pdp_ext_f=%7B%22sceneId%22:%223339%22,%22sku_id%22:%2212000019285446875%22%7D</t>
  </si>
  <si>
    <t>altronics</t>
  </si>
  <si>
    <t>https://www.altronics.com.au/p/h1992b-red-4.8mm-female-spade-crimp-pk-100/</t>
  </si>
  <si>
    <t>https://www.aliexpress.com/item/32909887277.html?_randl_currency=AUD&amp;_randl_shipto=AU&amp;src=google&amp;src=google&amp;albch=shopping&amp;acnt=708-803-3821&amp;slnk=&amp;plac=&amp;mtctp=&amp;albbt=Google_7_shopping&amp;albagn=888888&amp;isSmbAutoCall=false&amp;needSmbHouyi=false&amp;albcp=9437580887&amp;albag=98363632680&amp;trgt=743612850714&amp;crea=en32909887277&amp;netw=u&amp;device=c&amp;albpg=743612850714&amp;albpd=en32909887277&amp;gclid=Cj0KCQiA_c-OBhDFARIsAIFg3exexBig5QE9ZYs8i1v560hazddEfGRyzwol_F1olINShplrvu56OGgaAlwNEALw_wcB&amp;gclsrc=aw.ds&amp;aff_fcid=cd03786307824eca8533d1948cfb2034-1641351349981-09691-UneMJZVf&amp;aff_fsk=UneMJZVf&amp;aff_platform=aaf&amp;sk=UneMJZVf&amp;aff_trace_key=cd03786307824eca8533d1948cfb2034-1641351349981-09691-UneMJZVf&amp;terminal_id=a50ed635c0f84518bc54b0ae05c1547a</t>
  </si>
  <si>
    <t xml:space="preserve">Jflex </t>
  </si>
  <si>
    <t>Nylon Nitto Coupling Kit 1/4 BSP</t>
  </si>
  <si>
    <t>https://www.bunnings.com.au/jflex-lightweight-coupling-kit_p6270646?store=6042&amp;gclid=CjwKCAjwu_mSBhAYEiwA5BBmf6EApALbEiNNM24qKuQWBjegJ_34uYqmY_6v8TS3XB47T8j9g0__-xoCZvcQAvD_BwE&amp;gclsrc=aw.ds</t>
  </si>
  <si>
    <t>Assembly List</t>
  </si>
  <si>
    <t>Material List</t>
  </si>
  <si>
    <t xml:space="preserve"> ABS (Printed)</t>
  </si>
  <si>
    <t>B</t>
  </si>
  <si>
    <t>Al Sheet 2mm</t>
  </si>
  <si>
    <t>C</t>
  </si>
  <si>
    <t>Misc</t>
  </si>
  <si>
    <t>D</t>
  </si>
  <si>
    <t>QTY</t>
  </si>
  <si>
    <t xml:space="preserve">wastage </t>
  </si>
  <si>
    <t>required for order</t>
  </si>
  <si>
    <t>need order</t>
  </si>
  <si>
    <t>to order</t>
  </si>
  <si>
    <t>to buy</t>
  </si>
  <si>
    <t>vendor</t>
  </si>
  <si>
    <t>status</t>
  </si>
  <si>
    <t>To sent</t>
  </si>
  <si>
    <t>sorted</t>
  </si>
  <si>
    <t>remain</t>
  </si>
  <si>
    <t>missing</t>
  </si>
  <si>
    <t>2nd shipment</t>
  </si>
  <si>
    <t>aliexpress</t>
  </si>
  <si>
    <t>delivered</t>
  </si>
  <si>
    <t>shipping</t>
  </si>
  <si>
    <t>alibaba</t>
  </si>
  <si>
    <t>cancelled</t>
  </si>
  <si>
    <t>shipping delayed</t>
  </si>
  <si>
    <t>core electronics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</si>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</sst>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rgb="FF333333"/>
      <name val="Calibri"/>
    </font>
    <font>
      <sz val="11"/>
      <color rgb="FF333333"/>
      <name val="ArialMT"/>
      <charset val="1"/>
    </font>
    <font>
      <sz val="11"/>
      <color rgb="FF222222"/>
      <name val="Open Sans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wrapText="1"/>
    </xf>
    <xf numFmtId="0" fontId="7" fillId="0" borderId="0" xfId="0" applyFont="1"/>
    <xf numFmtId="0" fontId="8" fillId="0" borderId="0" xfId="0" applyFont="1"/>
    <xf numFmtId="0" fontId="8" fillId="2" borderId="0" xfId="1" applyFont="1" applyFill="1" applyAlignment="1">
      <alignment wrapText="1"/>
    </xf>
    <xf numFmtId="0" fontId="7" fillId="0" borderId="0" xfId="0" quotePrefix="1" applyFont="1"/>
    <xf numFmtId="0" fontId="0" fillId="3" borderId="0" xfId="0" applyFill="1"/>
    <xf numFmtId="0" fontId="0" fillId="4" borderId="0" xfId="0" applyFill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Stanley" id="{0DA7CC81-638F-476F-B8A8-9467A8E9D0FE}" userId="S::michael@filmneverdie.com::e6100257-fff7-46b5-b638-1efe4470d2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7" dT="2022-01-03T00:32:22.77" personId="{0DA7CC81-638F-476F-B8A8-9467A8E9D0FE}" id="{F5465EC2-5BC5-46E6-9540-D2167BD843DF}">
    <text>assuming buying 10</text>
  </threadedComment>
  <threadedComment ref="B62" dT="2022-01-05T03:00:02.70" personId="{0DA7CC81-638F-476F-B8A8-9467A8E9D0FE}" id="{CA35604A-234E-492D-A301-5E7A5BB6C057}">
    <text>10 order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1" dT="2022-01-03T00:32:22.77" personId="{0DA7CC81-638F-476F-B8A8-9467A8E9D0FE}" id="{CE206BB4-732E-4355-A597-CBF099F986E1}">
    <text>assuming buying 10</text>
  </threadedComment>
  <threadedComment ref="B58" dT="2022-01-03T09:05:59.26" personId="{0DA7CC81-638F-476F-B8A8-9467A8E9D0FE}" id="{9662A520-1C06-4669-8D57-8ADD339EB4B0}">
    <text xml:space="preserve">have to market he solenoid cable, may need to rethink how to reduce the working time on it
</text>
  </threadedComment>
  <threadedComment ref="B59" dT="2022-01-03T09:05:59.26" personId="{0DA7CC81-638F-476F-B8A8-9467A8E9D0FE}" id="{43BDD953-5E7C-4E09-A238-8659B0F61867}">
    <text xml:space="preserve">have to market he solenoid cable, may need to rethink how to reduce the working time on it
</text>
  </threadedComment>
  <threadedComment ref="B83" dT="2022-01-05T01:27:26.41" personId="{0DA7CC81-638F-476F-B8A8-9467A8E9D0FE}" id="{A26444EA-386D-413E-8350-93616D82A7D4}">
    <text>4 order</text>
  </threadedComment>
  <threadedComment ref="B84" dT="2022-01-05T01:27:32.40" personId="{0DA7CC81-638F-476F-B8A8-9467A8E9D0FE}" id="{2B20521A-5495-41B1-9733-0A2415EABE79}">
    <text>2 order</text>
  </threadedComment>
  <threadedComment ref="B86" dT="2022-01-05T03:00:02.70" personId="{0DA7CC81-638F-476F-B8A8-9467A8E9D0FE}" id="{5D1C9961-69D1-4C9C-B648-E0FB37BAA33F}">
    <text>10 order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48" dT="2022-01-03T00:32:22.77" personId="{0DA7CC81-638F-476F-B8A8-9467A8E9D0FE}" id="{49D16279-3105-4BF5-8981-121046ECF701}">
    <text>assuming buying 10</text>
  </threadedComment>
  <threadedComment ref="B55" dT="2022-01-03T09:05:59.26" personId="{0DA7CC81-638F-476F-B8A8-9467A8E9D0FE}" id="{340564AA-C38E-4AF9-8AE7-6D306E1C2AFF}">
    <text xml:space="preserve">have to market he solenoid cable, may need to rethink how to reduce the working time on it
</text>
  </threadedComment>
  <threadedComment ref="B56" dT="2022-01-03T09:05:59.26" personId="{0DA7CC81-638F-476F-B8A8-9467A8E9D0FE}" id="{DC9F7AD4-90CE-4BB5-843D-5F28670634EC}">
    <text xml:space="preserve">have to market he solenoid cable, may need to rethink how to reduce the working time on it
</text>
  </threadedComment>
  <threadedComment ref="B80" dT="2022-01-05T01:27:26.41" personId="{0DA7CC81-638F-476F-B8A8-9467A8E9D0FE}" id="{92161AED-C340-4BD6-8219-5F5AECA7AA99}">
    <text>4 order</text>
  </threadedComment>
  <threadedComment ref="B81" dT="2022-01-05T01:27:32.40" personId="{0DA7CC81-638F-476F-B8A8-9467A8E9D0FE}" id="{A518AC3B-4EA6-4676-9216-F8A4E29DFF56}">
    <text>2 order</text>
  </threadedComment>
  <threadedComment ref="B83" dT="2022-01-05T03:00:02.70" personId="{0DA7CC81-638F-476F-B8A8-9467A8E9D0FE}" id="{53C47E86-A5F7-4410-8623-EEACE38F28BA}">
    <text>10 order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50" dT="2022-01-03T09:05:59.26" personId="{0DA7CC81-638F-476F-B8A8-9467A8E9D0FE}" id="{8A216259-0818-45D7-86C7-663FF15BA5F8}">
    <text xml:space="preserve">have to market he solenoid cable, may need to rethink how to reduce the working time on it
</text>
  </threadedComment>
  <threadedComment ref="B51" dT="2022-01-03T09:05:59.26" personId="{0DA7CC81-638F-476F-B8A8-9467A8E9D0FE}" id="{761E648B-B281-4406-AFD8-EF2F9E9DCE68}">
    <text xml:space="preserve">have to market he solenoid cable, may need to rethink how to reduce the working time on it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4001259499968.html?src=google&amp;src=google&amp;albch=shopping&amp;acnt=708-803-3821&amp;slnk=&amp;plac=&amp;mtctp=&amp;albbt=Google_7_shopping&amp;albagn=888888&amp;isSmbAutoCall=false&amp;needSmbHouyi=false&amp;albcp=11482541945&amp;albag=112620152352&amp;trgt=294682000766&amp;crea=en4001259499968&amp;netw=u&amp;device=c&amp;albpg=294682000766&amp;albpd=en4001259499968&amp;gclid=Cj0KCQiAt8WOBhDbARIsANQLp972WwvjfJ4ZNJ9hDLnG_Bcse3OfdGcFn3rFvpmVDTMBz3-1hOlSMFIaAohREALw_wcB&amp;gclsrc=aw.ds&amp;aff_fcid=7bd6c8d4ec22428f9653bc6d6582a436-1641170324150-06340-UneMJZVf&amp;aff_fsk=UneMJZVf&amp;aff_platform=aaf&amp;sk=UneMJZVf&amp;aff_trace_key=7bd6c8d4ec22428f9653bc6d6582a436-1641170324150-06340-UneMJZVf&amp;terminal_id=a50ed635c0f84518bc54b0ae05c1547a" TargetMode="External"/><Relationship Id="rId13" Type="http://schemas.openxmlformats.org/officeDocument/2006/relationships/hyperlink" Target="https://www.aliexpress.com/item/4001296614713.html?src=google&amp;src=google&amp;albch=shopping&amp;acnt=708-803-3821&amp;slnk=&amp;plac=&amp;mtctp=&amp;albbt=Google_7_shopping&amp;albagn=888888&amp;isSmbAutoCall=false&amp;needSmbHouyi=false&amp;albcp=11491017839&amp;albag=113655928713&amp;trgt=743612850714&amp;crea=en4001296614713&amp;netw=u&amp;device=c&amp;albpg=743612850714&amp;albpd=en4001296614713&amp;gclid=Cj0KCQiA2sqOBhCGARIsAPuPK0jLDHg79hLNWKkRG8ZHDHJL8l3jy-1fdLRcU0xFSB0JNW9uVAHvcOEaAs_FEALw_wcB&amp;gclsrc=aw.ds&amp;aff_fcid=35b3afd651a74dd6a7d346ec99875cd0-1641198341909-04840-UneMJZVf&amp;aff_fsk=UneMJZVf&amp;aff_platform=aaf&amp;sk=UneMJZVf&amp;aff_trace_key=35b3afd651a74dd6a7d346ec99875cd0-1641198341909-04840-UneMJZVf&amp;terminal_id=a50ed635c0f84518bc54b0ae05c1547a" TargetMode="External"/><Relationship Id="rId18" Type="http://schemas.openxmlformats.org/officeDocument/2006/relationships/hyperlink" Target="https://www.jaycar.com.au/3pin-mains-plug-to-iec-c13-female-1-8m/p/PS4106?pos=13&amp;queryId=311c10efafbbf6a6a55f916b3f88064c&amp;sort=relevance" TargetMode="External"/><Relationship Id="rId26" Type="http://schemas.openxmlformats.org/officeDocument/2006/relationships/hyperlink" Target="https://www.bunnings.com.au/jflex-lightweight-coupling-kit_p6270646?store=6042&amp;gclid=CjwKCAjwu_mSBhAYEiwA5BBmf6EApALbEiNNM24qKuQWBjegJ_34uYqmY_6v8TS3XB47T8j9g0__-xoCZvcQAvD_BwE&amp;gclsrc=aw.ds" TargetMode="External"/><Relationship Id="rId3" Type="http://schemas.openxmlformats.org/officeDocument/2006/relationships/hyperlink" Target="https://au.rs-online.com/web/" TargetMode="External"/><Relationship Id="rId21" Type="http://schemas.openxmlformats.org/officeDocument/2006/relationships/hyperlink" Target="https://www.jaycar.com.au/7-5-amp-2-core-tinned-dc-power-cable-sold-per-metre/p/WH3057" TargetMode="External"/><Relationship Id="rId7" Type="http://schemas.openxmlformats.org/officeDocument/2006/relationships/hyperlink" Target="https://www.aliexpress.com/item/4001284318978.html?src=google&amp;memo1=freelisting&amp;src=google&amp;albch=shopping&amp;acnt=708-803-3821&amp;slnk=&amp;plac=&amp;mtctp=&amp;albbt=Google_7_shopping&amp;albagn=888888&amp;isSmbAutoCall=false&amp;needSmbHouyi=false&amp;albcp=11482541945&amp;albag=112620152352&amp;trgt=294682000766&amp;crea=en4001284318978&amp;netw=u&amp;device=c&amp;albpg=294682000766&amp;albpd=en4001284318978&amp;gclid=Cj0KCQiAt8WOBhDbARIsANQLp97R9-7aUC3WTTjC_j8j6jUHbICONUXbdynMpjQq1PG6y_R9j9HJn_YaAsk1EALw_wcB&amp;gclsrc=aw.ds&amp;aff_fcid=f3ee734157db44a381eed29555ad4e5f-1641169837988-07127-UneMJZVf&amp;aff_fsk=UneMJZVf&amp;aff_platform=aaf&amp;sk=UneMJZVf&amp;aff_trace_key=f3ee734157db44a381eed29555ad4e5f-1641169837988-07127-UneMJZVf&amp;terminal_id=a50ed635c0f84518bc54b0ae05c1547a" TargetMode="External"/><Relationship Id="rId12" Type="http://schemas.openxmlformats.org/officeDocument/2006/relationships/hyperlink" Target="https://www.aliexpress.com/item/1005003635570367.html?_randl_currency=AUD&amp;_randl_shipto=AU&amp;src=google&amp;src=google&amp;albch=shopping&amp;acnt=708-803-3821&amp;slnk=&amp;plac=&amp;mtctp=&amp;albbt=Google_7_shopping&amp;albagn=888888&amp;isSmbAutoCall=false&amp;needSmbHouyi=false&amp;albcp=11491017839&amp;albag=113655928713&amp;trgt=743612850714&amp;crea=en1005003635570367&amp;netw=u&amp;device=c&amp;albpg=743612850714&amp;albpd=en1005003635570367&amp;gclid=Cj0KCQiA2sqOBhCGARIsAPuPK0gVImSb371N4ZzA21EzZPLBfSMXEf4y0wabG1WEIdtCoHuS-ZyTgbMaAp4EEALw_wcB&amp;gclsrc=aw.ds&amp;aff_fcid=856414f5e76f42a6bd9114249c21ccad-1641197783053-00717-UneMJZVf&amp;aff_fsk=UneMJZVf&amp;aff_platform=aaf&amp;sk=UneMJZVf&amp;aff_trace_key=856414f5e76f42a6bd9114249c21ccad-1641197783053-00717-UneMJZVf&amp;terminal_id=a50ed635c0f84518bc54b0ae05c1547a" TargetMode="External"/><Relationship Id="rId17" Type="http://schemas.openxmlformats.org/officeDocument/2006/relationships/hyperlink" Target="https://www.jaycar.com.au/10a-m205-quick-blow-fuse/p/SF2168?pos=20&amp;queryId=82d6ed4149de41d938154729e89e80bd&amp;sort=relevance" TargetMode="External"/><Relationship Id="rId25" Type="http://schemas.openxmlformats.org/officeDocument/2006/relationships/hyperlink" Target="https://www.aliexpress.com/item/32909887277.html?_randl_currency=AUD&amp;_randl_shipto=AU&amp;src=google&amp;src=google&amp;albch=shopping&amp;acnt=708-803-3821&amp;slnk=&amp;plac=&amp;mtctp=&amp;albbt=Google_7_shopping&amp;albagn=888888&amp;isSmbAutoCall=false&amp;needSmbHouyi=false&amp;albcp=9437580887&amp;albag=98363632680&amp;trgt=743612850714&amp;crea=en32909887277&amp;netw=u&amp;device=c&amp;albpg=743612850714&amp;albpd=en32909887277&amp;gclid=Cj0KCQiA_c-OBhDFARIsAIFg3exexBig5QE9ZYs8i1v560hazddEfGRyzwol_F1olINShplrvu56OGgaAlwNEALw_wcB&amp;gclsrc=aw.ds&amp;aff_fcid=cd03786307824eca8533d1948cfb2034-1641351349981-09691-UneMJZVf&amp;aff_fsk=UneMJZVf&amp;aff_platform=aaf&amp;sk=UneMJZVf&amp;aff_trace_key=cd03786307824eca8533d1948cfb2034-1641351349981-09691-UneMJZVf&amp;terminal_id=a50ed635c0f84518bc54b0ae05c1547a" TargetMode="External"/><Relationship Id="rId2" Type="http://schemas.openxmlformats.org/officeDocument/2006/relationships/hyperlink" Target="mailto:sales@yp-mfg.com" TargetMode="External"/><Relationship Id="rId16" Type="http://schemas.openxmlformats.org/officeDocument/2006/relationships/hyperlink" Target="https://www.jaycar.com.au/iec-fuse-chassis-male-power-plug-with-switch/p/PP4003" TargetMode="External"/><Relationship Id="rId20" Type="http://schemas.openxmlformats.org/officeDocument/2006/relationships/hyperlink" Target="https://www.jaycar.com.au/orange-light-duty-hook-up-wire-25m/p/WH3003?pos=1&amp;queryId=fbc4d18b169140d566e21a6d98db18c3" TargetMode="External"/><Relationship Id="rId1" Type="http://schemas.openxmlformats.org/officeDocument/2006/relationships/hyperlink" Target="https://xysunpc.en.alibaba.com/?spm=a2700.12243863.0.0.11623e5fV0unIC" TargetMode="External"/><Relationship Id="rId6" Type="http://schemas.openxmlformats.org/officeDocument/2006/relationships/hyperlink" Target="https://www.aliexpress.com/item/1005001621654895.html?spm=a2g0o.productlist.0.0.6b997180Vrw55Z&amp;algo_pvid=d46b8c6e-899c-4f82-bdd5-67ceb6a305fe&amp;aem_p4p_detail=202201021613169325503757218180026035889&amp;algo_exp_id=d46b8c6e-899c-4f82-bdd5-67ceb6a305fe-4&amp;pdp_ext_f=%7B%22sku_id%22%3A%2212000016846434248%22%7D&amp;pdp_pi=-1%3B6.53%3B-1%3BAUD+5.01%40salePrice%3BAUD%3Bsearch-mainSearch" TargetMode="External"/><Relationship Id="rId11" Type="http://schemas.openxmlformats.org/officeDocument/2006/relationships/hyperlink" Target="https://www.aliexpress.com/item/4000783917698.html?src=google&amp;src=google&amp;albch=shopping&amp;acnt=708-803-3821&amp;slnk=&amp;plac=&amp;mtctp=&amp;albbt=Google_7_shopping&amp;albagn=888888&amp;isSmbAutoCall=false&amp;needSmbHouyi=false&amp;albcp=11491017839&amp;albag=113655928713&amp;trgt=743612850714&amp;crea=en4000783917698&amp;netw=u&amp;device=c&amp;albpg=743612850714&amp;albpd=en4000783917698&amp;gclid=Cj0KCQiA2sqOBhCGARIsAPuPK0gUMBWOIP8X758GHKDzMzHg0VINZ17j2gzUpaI0vSSGtgfx_xah0jUaAlE-EALw_wcB&amp;gclsrc=aw.ds&amp;aff_fcid=b2c306ce59294ed98db3a1066e67c63e-1641197781437-06246-UneMJZVf&amp;aff_fsk=UneMJZVf&amp;aff_platform=aaf&amp;sk=UneMJZVf&amp;aff_trace_key=b2c306ce59294ed98db3a1066e67c63e-1641197781437-06246-UneMJZVf&amp;terminal_id=a50ed635c0f84518bc54b0ae05c1547a" TargetMode="External"/><Relationship Id="rId24" Type="http://schemas.openxmlformats.org/officeDocument/2006/relationships/hyperlink" Target="https://www.altronics.com.au/p/h1992b-red-4.8mm-female-spade-crimp-pk-100/" TargetMode="External"/><Relationship Id="rId5" Type="http://schemas.openxmlformats.org/officeDocument/2006/relationships/hyperlink" Target="https://www.mastershanghai.com.my/" TargetMode="External"/><Relationship Id="rId15" Type="http://schemas.openxmlformats.org/officeDocument/2006/relationships/hyperlink" Target="https://www.aliexpress.com/item/32843745477.html?spm=a2g0o.detail.1000014.4.31b771c628GtBa&amp;gps-id=pcDetailBottomMoreOtherSeller&amp;scm=1007.13338.192131.0&amp;scm_id=1007.13338.192131.0&amp;scm-url=1007.13338.192131.0&amp;pvid=5c06c440-f2c4-4893-ba6a-da842a91016d&amp;_t=gps-id:pcDetailBottomMoreOtherSeller,scm-url:1007.13338.192131.0,pvid:5c06c440-f2c4-4893-ba6a-da842a91016d,tpp_buckets:668%232846%238116%232002&amp;&amp;pdp_ext_f=%7B%22sceneId%22:%2223416%22,%22sku_id%22:%2265158134517%22%7D" TargetMode="External"/><Relationship Id="rId23" Type="http://schemas.openxmlformats.org/officeDocument/2006/relationships/hyperlink" Target="https://www.aliexpress.com/item/1005002211947512.html?spm=a2g0o.detail.1000060.1.55ba449c7Gg4l8&amp;gps-id=pcDetailBottomMoreThisSeller&amp;scm=1007.13339.169870.0&amp;scm_id=1007.13339.169870.0&amp;scm-url=1007.13339.169870.0&amp;pvid=2e712589-10dd-4108-a374-2b8682426cf7&amp;_t=gps-id:pcDetailBottomMoreThisSeller,scm-url:1007.13339.169870.0,pvid:2e712589-10dd-4108-a374-2b8682426cf7,tpp_buckets:668%232846%238116%232002&amp;&amp;pdp_ext_f=%7B%22sceneId%22:%223339%22,%22sku_id%22:%2212000019285446875%22%7D" TargetMode="External"/><Relationship Id="rId10" Type="http://schemas.openxmlformats.org/officeDocument/2006/relationships/hyperlink" Target="https://www.aliexpress.com/item/1005001878092705.html?src=google&amp;src=google&amp;albch=shopping&amp;acnt=708-803-3821&amp;slnk=&amp;plac=&amp;mtctp=&amp;albbt=Google_7_shopping&amp;albagn=888888&amp;isSmbAutoCall=false&amp;needSmbHouyi=false&amp;albcp=11491017839&amp;albag=113655928713&amp;trgt=743612850714&amp;crea=en1005001878092705&amp;netw=u&amp;device=c&amp;albpg=743612850714&amp;albpd=en1005001878092705&amp;gclid=Cj0KCQiAt8WOBhDbARIsANQLp95w9p55M6yWMHPB4EqMQatab8WnVHD92qayrZ9PxRXiKXSuABKMLJMaAgC_EALw_wcB&amp;gclsrc=aw.ds&amp;aff_fcid=0dc8db2a5323422aa094d3479d01fb04-1641195169884-07582-UneMJZVf&amp;aff_fsk=UneMJZVf&amp;aff_platform=aaf&amp;sk=UneMJZVf&amp;aff_trace_key=0dc8db2a5323422aa094d3479d01fb04-1641195169884-07582-UneMJZVf&amp;terminal_id=a50ed635c0f84518bc54b0ae05c1547a" TargetMode="External"/><Relationship Id="rId19" Type="http://schemas.openxmlformats.org/officeDocument/2006/relationships/hyperlink" Target="https://www.jaycar.com.au/rainbow-cable-16-core-sold-per-metre/p/WM4516" TargetMode="External"/><Relationship Id="rId4" Type="http://schemas.openxmlformats.org/officeDocument/2006/relationships/hyperlink" Target="https://ypmfg.en.alibaba.com/?spm=a2700.12243863.0.0.11623e5fV0unIC" TargetMode="External"/><Relationship Id="rId9" Type="http://schemas.openxmlformats.org/officeDocument/2006/relationships/hyperlink" Target="https://www.aliexpress.com/item/4000623822643.html?spm=a2g0o.productlist.0.0.747e1421fBVfrx&amp;algo_pvid=2568b36f-a180-4c56-94c3-59a238658cb4&amp;algo_exp_id=2568b36f-a180-4c56-94c3-59a238658cb4-3&amp;pdp_ext_f=%7B%22sku_id%22%3A%2210000004275033656%22%7D&amp;pdp_pi=-1%3B14.02%3B-1%3B-1%40salePrice%3BAUD%3Bsearch-mainSearch" TargetMode="External"/><Relationship Id="rId14" Type="http://schemas.openxmlformats.org/officeDocument/2006/relationships/hyperlink" Target="https://www.aliexpress.com/item/4000080606850.html?spm=a2g0o.detail.1000060.1.6ebe518ew5zAxJ&amp;gps-id=pcDetailBottomMoreThisSeller&amp;scm=1007.13339.169870.0&amp;scm_id=1007.13339.169870.0&amp;scm-url=1007.13339.169870.0&amp;pvid=39ce27b9-bce5-412e-a168-4f3763b2c458&amp;_t=gps-id:pcDetailBottomMoreThisSeller,scm-url:1007.13339.169870.0,pvid:39ce27b9-bce5-412e-a168-4f3763b2c458,tpp_buckets:668%232846%238116%232002&amp;&amp;pdp_ext_f=%7B%22sceneId%22:%223339%22,%22sku_id%22:%2210000000211393680%22%7D" TargetMode="External"/><Relationship Id="rId22" Type="http://schemas.openxmlformats.org/officeDocument/2006/relationships/hyperlink" Target="https://www.aliexpress.com/item/1005002211356735.html?spm=a2g0o.detail.1000060.2.15f3748dt89cf2&amp;gps-id=pcDetailBottomMoreThisSeller&amp;scm=1007.13339.169870.0&amp;scm_id=1007.13339.169870.0&amp;scm-url=1007.13339.169870.0&amp;pvid=04c1a4fb-19e3-4512-afd8-e5794505f059&amp;_t=gps-id:pcDetailBottomMoreThisSeller,scm-url:1007.13339.169870.0,pvid:04c1a4fb-19e3-4512-afd8-e5794505f059,tpp_buckets:668%232846%238116%232002&amp;&amp;pdp_ext_f=%7B%22sceneId%22:%223339%22,%22sku_id%22:%2212000019284204211%22%7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2741-B498-4E6A-911A-9A12F2871E4D}">
  <dimension ref="A1:R96"/>
  <sheetViews>
    <sheetView tabSelected="1" workbookViewId="0">
      <selection activeCell="K9" sqref="K9"/>
    </sheetView>
  </sheetViews>
  <sheetFormatPr defaultRowHeight="15"/>
  <cols>
    <col min="1" max="1" width="13" customWidth="1"/>
    <col min="2" max="2" width="27.5703125" customWidth="1"/>
    <col min="3" max="3" width="12.85546875" customWidth="1"/>
    <col min="4" max="4" width="13.42578125" customWidth="1"/>
    <col min="5" max="5" width="17.140625" customWidth="1"/>
    <col min="6" max="6" width="19.5703125" customWidth="1"/>
    <col min="7" max="7" width="14.42578125" bestFit="1" customWidth="1"/>
    <col min="8" max="8" width="16.5703125" bestFit="1" customWidth="1"/>
    <col min="9" max="9" width="9.85546875" bestFit="1" customWidth="1"/>
    <col min="10" max="10" width="9.85546875" customWidth="1"/>
    <col min="11" max="11" width="11.28515625" customWidth="1"/>
    <col min="14" max="14" width="12.85546875" customWidth="1"/>
    <col min="15" max="15" width="13.42578125" bestFit="1" customWidth="1"/>
  </cols>
  <sheetData>
    <row r="1" spans="1:18">
      <c r="B1" t="s">
        <v>0</v>
      </c>
      <c r="C1">
        <v>10</v>
      </c>
      <c r="E1" t="s">
        <v>1</v>
      </c>
      <c r="F1">
        <v>1.38</v>
      </c>
    </row>
    <row r="2" spans="1:18">
      <c r="P2" t="s">
        <v>2</v>
      </c>
    </row>
    <row r="3" spans="1:18" s="1" customForma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N3" s="1" t="s">
        <v>15</v>
      </c>
      <c r="P3" s="1" t="s">
        <v>16</v>
      </c>
      <c r="Q3" s="1" t="s">
        <v>17</v>
      </c>
      <c r="R3" s="1" t="s">
        <v>18</v>
      </c>
    </row>
    <row r="4" spans="1:18">
      <c r="B4" t="s">
        <v>19</v>
      </c>
      <c r="J4">
        <v>1</v>
      </c>
      <c r="K4">
        <v>900</v>
      </c>
      <c r="L4">
        <f>K4*J4</f>
        <v>900</v>
      </c>
      <c r="N4">
        <f>SUM(L4:L92)</f>
        <v>1717.9190600000002</v>
      </c>
      <c r="P4">
        <f>K4</f>
        <v>900</v>
      </c>
      <c r="Q4">
        <f>J4*P4</f>
        <v>900</v>
      </c>
      <c r="R4">
        <f>SUM(Q4:Q54)</f>
        <v>2073.7166666666667</v>
      </c>
    </row>
    <row r="5" spans="1:18">
      <c r="B5" t="s">
        <v>20</v>
      </c>
      <c r="J5">
        <v>1</v>
      </c>
      <c r="K5" s="3">
        <f>1228.13/3</f>
        <v>409.37666666666672</v>
      </c>
      <c r="L5">
        <f>K5*J5</f>
        <v>409.37666666666672</v>
      </c>
      <c r="P5">
        <f t="shared" ref="P5:P11" si="0">K5</f>
        <v>409.37666666666672</v>
      </c>
      <c r="Q5">
        <f t="shared" ref="Q5:Q36" si="1">J5*P5</f>
        <v>409.37666666666672</v>
      </c>
    </row>
    <row r="6" spans="1:18">
      <c r="B6" t="s">
        <v>21</v>
      </c>
      <c r="J6">
        <v>1</v>
      </c>
      <c r="K6" s="4">
        <f>541.36/10</f>
        <v>54.136000000000003</v>
      </c>
      <c r="L6">
        <f>K6*J6</f>
        <v>54.136000000000003</v>
      </c>
      <c r="M6" t="s">
        <v>22</v>
      </c>
      <c r="N6">
        <v>500</v>
      </c>
    </row>
    <row r="7" spans="1:18">
      <c r="B7" t="s">
        <v>23</v>
      </c>
      <c r="G7" t="s">
        <v>24</v>
      </c>
      <c r="J7">
        <v>2</v>
      </c>
      <c r="K7">
        <v>20.86</v>
      </c>
      <c r="L7">
        <f>K7*J7</f>
        <v>41.72</v>
      </c>
      <c r="N7">
        <f>N6+N4</f>
        <v>2217.9190600000002</v>
      </c>
    </row>
    <row r="8" spans="1:18">
      <c r="B8" t="s">
        <v>25</v>
      </c>
      <c r="G8" t="s">
        <v>26</v>
      </c>
      <c r="J8">
        <v>2</v>
      </c>
      <c r="K8">
        <f>12*$F$1</f>
        <v>16.559999999999999</v>
      </c>
      <c r="L8">
        <f>K8*J8</f>
        <v>33.119999999999997</v>
      </c>
      <c r="M8" t="s">
        <v>27</v>
      </c>
      <c r="N8">
        <v>100</v>
      </c>
    </row>
    <row r="9" spans="1:18">
      <c r="B9" t="s">
        <v>28</v>
      </c>
      <c r="J9">
        <v>8</v>
      </c>
      <c r="K9">
        <v>3.5</v>
      </c>
      <c r="L9">
        <f>K9*J9</f>
        <v>28</v>
      </c>
      <c r="N9">
        <f>N7+N8</f>
        <v>2317.9190600000002</v>
      </c>
      <c r="P9">
        <f t="shared" si="0"/>
        <v>3.5</v>
      </c>
      <c r="Q9">
        <f t="shared" si="1"/>
        <v>28</v>
      </c>
    </row>
    <row r="10" spans="1:18">
      <c r="B10" t="s">
        <v>29</v>
      </c>
      <c r="G10" t="s">
        <v>30</v>
      </c>
      <c r="J10">
        <v>2</v>
      </c>
      <c r="K10" s="3">
        <v>13.88</v>
      </c>
      <c r="L10">
        <f>K10*J10</f>
        <v>27.76</v>
      </c>
      <c r="M10" t="s">
        <v>31</v>
      </c>
      <c r="N10">
        <v>4000</v>
      </c>
      <c r="P10">
        <f t="shared" si="0"/>
        <v>13.88</v>
      </c>
      <c r="Q10">
        <f t="shared" si="1"/>
        <v>27.76</v>
      </c>
    </row>
    <row r="11" spans="1:18">
      <c r="B11" t="s">
        <v>32</v>
      </c>
      <c r="J11">
        <v>6</v>
      </c>
      <c r="K11">
        <v>3.8</v>
      </c>
      <c r="L11">
        <f>K11*J11</f>
        <v>22.799999999999997</v>
      </c>
      <c r="M11" t="s">
        <v>33</v>
      </c>
      <c r="N11">
        <f>N10-N9</f>
        <v>1682.0809399999998</v>
      </c>
      <c r="P11">
        <f t="shared" si="0"/>
        <v>3.8</v>
      </c>
      <c r="Q11">
        <f t="shared" si="1"/>
        <v>22.799999999999997</v>
      </c>
    </row>
    <row r="12" spans="1:18">
      <c r="B12" t="s">
        <v>34</v>
      </c>
      <c r="J12">
        <v>1</v>
      </c>
      <c r="K12">
        <v>21.08</v>
      </c>
      <c r="L12">
        <f>K12*J12</f>
        <v>21.08</v>
      </c>
      <c r="P12">
        <v>60</v>
      </c>
      <c r="Q12">
        <f t="shared" si="1"/>
        <v>60</v>
      </c>
    </row>
    <row r="13" spans="1:18">
      <c r="B13" t="s">
        <v>35</v>
      </c>
      <c r="J13">
        <v>1</v>
      </c>
      <c r="K13" s="3">
        <v>20.49</v>
      </c>
      <c r="L13">
        <f>K13*J13</f>
        <v>20.49</v>
      </c>
    </row>
    <row r="14" spans="1:18">
      <c r="B14" t="s">
        <v>36</v>
      </c>
      <c r="C14" t="s">
        <v>37</v>
      </c>
      <c r="G14" t="s">
        <v>24</v>
      </c>
      <c r="J14">
        <v>2</v>
      </c>
      <c r="K14">
        <v>9.0399999999999991</v>
      </c>
      <c r="L14">
        <f>K14*J14</f>
        <v>18.079999999999998</v>
      </c>
    </row>
    <row r="15" spans="1:18">
      <c r="B15" t="s">
        <v>38</v>
      </c>
      <c r="J15">
        <v>1</v>
      </c>
      <c r="K15" s="3">
        <v>17.2</v>
      </c>
      <c r="L15">
        <f>K15*J15</f>
        <v>17.2</v>
      </c>
    </row>
    <row r="16" spans="1:18">
      <c r="B16" t="s">
        <v>39</v>
      </c>
      <c r="J16">
        <v>2</v>
      </c>
      <c r="K16">
        <v>8.0399999999999991</v>
      </c>
      <c r="L16">
        <f>K16*J16</f>
        <v>16.079999999999998</v>
      </c>
      <c r="P16">
        <f>K16</f>
        <v>8.0399999999999991</v>
      </c>
      <c r="Q16">
        <f t="shared" si="1"/>
        <v>16.079999999999998</v>
      </c>
    </row>
    <row r="17" spans="2:17">
      <c r="B17" t="s">
        <v>40</v>
      </c>
      <c r="G17" t="s">
        <v>41</v>
      </c>
      <c r="J17">
        <v>1</v>
      </c>
      <c r="K17">
        <v>9.6999999999999993</v>
      </c>
      <c r="L17">
        <f>K17*J17</f>
        <v>9.6999999999999993</v>
      </c>
      <c r="P17">
        <f>K17</f>
        <v>9.6999999999999993</v>
      </c>
      <c r="Q17">
        <f t="shared" si="1"/>
        <v>9.6999999999999993</v>
      </c>
    </row>
    <row r="18" spans="2:17">
      <c r="B18" t="s">
        <v>42</v>
      </c>
      <c r="J18">
        <v>1</v>
      </c>
      <c r="K18" s="4">
        <f>74.47/10</f>
        <v>7.4470000000000001</v>
      </c>
      <c r="L18">
        <f>K18*J18</f>
        <v>7.4470000000000001</v>
      </c>
    </row>
    <row r="19" spans="2:17">
      <c r="B19" t="s">
        <v>43</v>
      </c>
      <c r="J19">
        <v>2</v>
      </c>
      <c r="K19" s="3">
        <v>3</v>
      </c>
      <c r="L19">
        <f>K19*J19</f>
        <v>6</v>
      </c>
      <c r="P19">
        <v>120</v>
      </c>
      <c r="Q19">
        <f t="shared" si="1"/>
        <v>240</v>
      </c>
    </row>
    <row r="20" spans="2:17">
      <c r="B20" t="s">
        <v>44</v>
      </c>
      <c r="J20">
        <v>1</v>
      </c>
      <c r="K20">
        <v>5.82</v>
      </c>
      <c r="L20">
        <f>K20*J20</f>
        <v>5.82</v>
      </c>
    </row>
    <row r="21" spans="2:17">
      <c r="B21" t="s">
        <v>45</v>
      </c>
      <c r="J21">
        <v>1</v>
      </c>
      <c r="K21">
        <f>56.7/10</f>
        <v>5.67</v>
      </c>
      <c r="L21">
        <f>K21*J21</f>
        <v>5.67</v>
      </c>
    </row>
    <row r="22" spans="2:17">
      <c r="B22" t="s">
        <v>46</v>
      </c>
      <c r="G22" t="s">
        <v>47</v>
      </c>
      <c r="J22">
        <v>2</v>
      </c>
      <c r="K22">
        <v>2.7</v>
      </c>
      <c r="L22">
        <f>K22*J22</f>
        <v>5.4</v>
      </c>
    </row>
    <row r="23" spans="2:17">
      <c r="B23" t="s">
        <v>48</v>
      </c>
      <c r="J23">
        <v>1</v>
      </c>
      <c r="K23" s="5">
        <f>3.816*$F$1</f>
        <v>5.2660799999999997</v>
      </c>
      <c r="L23">
        <f>K23*J23</f>
        <v>5.2660799999999997</v>
      </c>
    </row>
    <row r="24" spans="2:17">
      <c r="B24" t="s">
        <v>49</v>
      </c>
      <c r="J24">
        <v>26</v>
      </c>
      <c r="K24">
        <v>0.2</v>
      </c>
      <c r="L24">
        <f>K24*J24</f>
        <v>5.2</v>
      </c>
    </row>
    <row r="25" spans="2:17">
      <c r="B25" t="s">
        <v>50</v>
      </c>
      <c r="J25">
        <v>12</v>
      </c>
      <c r="K25">
        <f>4.66/12</f>
        <v>0.38833333333333336</v>
      </c>
      <c r="L25">
        <f>K25*J25</f>
        <v>4.66</v>
      </c>
    </row>
    <row r="26" spans="2:17">
      <c r="B26" t="s">
        <v>51</v>
      </c>
      <c r="J26">
        <v>2</v>
      </c>
      <c r="K26">
        <f>42.49/20</f>
        <v>2.1245000000000003</v>
      </c>
      <c r="L26">
        <f>K26*J26</f>
        <v>4.2490000000000006</v>
      </c>
    </row>
    <row r="27" spans="2:17">
      <c r="B27" t="s">
        <v>52</v>
      </c>
      <c r="J27">
        <v>20</v>
      </c>
      <c r="K27">
        <v>0.2</v>
      </c>
      <c r="L27">
        <f>K27*J27</f>
        <v>4</v>
      </c>
    </row>
    <row r="28" spans="2:17">
      <c r="B28" t="s">
        <v>53</v>
      </c>
      <c r="J28">
        <v>20</v>
      </c>
      <c r="K28">
        <v>0.2</v>
      </c>
      <c r="L28">
        <f>K28*J28</f>
        <v>4</v>
      </c>
    </row>
    <row r="29" spans="2:17">
      <c r="B29" t="s">
        <v>54</v>
      </c>
      <c r="J29">
        <v>1</v>
      </c>
      <c r="K29">
        <f>22.8/10*$F$1</f>
        <v>3.1464000000000003</v>
      </c>
      <c r="L29">
        <f>K29*J29</f>
        <v>3.1464000000000003</v>
      </c>
    </row>
    <row r="30" spans="2:17">
      <c r="B30" t="s">
        <v>55</v>
      </c>
      <c r="J30">
        <v>2</v>
      </c>
      <c r="K30">
        <f>77.64/3000*50</f>
        <v>1.294</v>
      </c>
      <c r="L30">
        <f>K30*J30</f>
        <v>2.5880000000000001</v>
      </c>
    </row>
    <row r="31" spans="2:17">
      <c r="B31" t="s">
        <v>56</v>
      </c>
      <c r="J31">
        <v>1</v>
      </c>
      <c r="K31" s="3">
        <f>25.47/10</f>
        <v>2.5469999999999997</v>
      </c>
      <c r="L31">
        <f>K31*J31</f>
        <v>2.5469999999999997</v>
      </c>
    </row>
    <row r="32" spans="2:17">
      <c r="B32" t="s">
        <v>57</v>
      </c>
      <c r="J32">
        <v>12</v>
      </c>
      <c r="K32">
        <v>0.2</v>
      </c>
      <c r="L32">
        <f>K32*J32</f>
        <v>2.4000000000000004</v>
      </c>
    </row>
    <row r="33" spans="2:17">
      <c r="B33" t="s">
        <v>58</v>
      </c>
      <c r="J33">
        <v>1</v>
      </c>
      <c r="K33">
        <v>2.0699999999999998</v>
      </c>
      <c r="L33">
        <f>K33*J33</f>
        <v>2.0699999999999998</v>
      </c>
    </row>
    <row r="34" spans="2:17">
      <c r="B34" t="s">
        <v>59</v>
      </c>
      <c r="J34">
        <v>1</v>
      </c>
      <c r="K34">
        <f>20.19/10</f>
        <v>2.0190000000000001</v>
      </c>
      <c r="L34">
        <f>K34*J34</f>
        <v>2.0190000000000001</v>
      </c>
      <c r="P34">
        <v>200</v>
      </c>
      <c r="Q34">
        <f t="shared" si="1"/>
        <v>200</v>
      </c>
    </row>
    <row r="35" spans="2:17">
      <c r="B35" t="s">
        <v>60</v>
      </c>
      <c r="J35">
        <v>1</v>
      </c>
      <c r="K35">
        <f>5.95/3</f>
        <v>1.9833333333333334</v>
      </c>
      <c r="L35">
        <f>K35*J35</f>
        <v>1.9833333333333334</v>
      </c>
    </row>
    <row r="36" spans="2:17">
      <c r="B36" t="s">
        <v>61</v>
      </c>
      <c r="J36">
        <v>1</v>
      </c>
      <c r="K36" s="3">
        <v>1.86</v>
      </c>
      <c r="L36">
        <f>K36*J36</f>
        <v>1.86</v>
      </c>
      <c r="P36">
        <v>160</v>
      </c>
      <c r="Q36">
        <f t="shared" si="1"/>
        <v>160</v>
      </c>
    </row>
    <row r="37" spans="2:17">
      <c r="B37" t="s">
        <v>62</v>
      </c>
      <c r="J37">
        <v>4</v>
      </c>
      <c r="K37">
        <v>0.4</v>
      </c>
      <c r="L37">
        <f>K37*J37</f>
        <v>1.6</v>
      </c>
    </row>
    <row r="38" spans="2:17">
      <c r="B38" t="s">
        <v>63</v>
      </c>
      <c r="J38">
        <v>3</v>
      </c>
      <c r="K38">
        <f>5.08/10</f>
        <v>0.50800000000000001</v>
      </c>
      <c r="L38">
        <f>K38*J38</f>
        <v>1.524</v>
      </c>
    </row>
    <row r="39" spans="2:17">
      <c r="B39" t="s">
        <v>64</v>
      </c>
      <c r="J39">
        <v>6</v>
      </c>
      <c r="K39">
        <v>0.2</v>
      </c>
      <c r="L39">
        <f>K39*J39</f>
        <v>1.2000000000000002</v>
      </c>
    </row>
    <row r="40" spans="2:17">
      <c r="B40" t="s">
        <v>65</v>
      </c>
      <c r="J40">
        <f>2+2+6+6+2</f>
        <v>18</v>
      </c>
      <c r="K40">
        <f>32.81/500</f>
        <v>6.5619999999999998E-2</v>
      </c>
      <c r="L40">
        <f>K40*J40</f>
        <v>1.18116</v>
      </c>
    </row>
    <row r="41" spans="2:17">
      <c r="B41" t="s">
        <v>66</v>
      </c>
      <c r="J41">
        <v>1</v>
      </c>
      <c r="K41" s="3">
        <f>11.78/10</f>
        <v>1.1779999999999999</v>
      </c>
      <c r="L41">
        <f>K41*J41</f>
        <v>1.1779999999999999</v>
      </c>
    </row>
    <row r="42" spans="2:17">
      <c r="B42" t="s">
        <v>67</v>
      </c>
      <c r="J42">
        <v>2</v>
      </c>
      <c r="K42">
        <f>15.6/1500*50</f>
        <v>0.52</v>
      </c>
      <c r="L42">
        <f>K42*J42</f>
        <v>1.04</v>
      </c>
    </row>
    <row r="43" spans="2:17">
      <c r="B43" t="s">
        <v>68</v>
      </c>
      <c r="J43">
        <v>2</v>
      </c>
      <c r="K43">
        <f>2.33/5</f>
        <v>0.46600000000000003</v>
      </c>
      <c r="L43">
        <f>K43*J43</f>
        <v>0.93200000000000005</v>
      </c>
    </row>
    <row r="44" spans="2:17">
      <c r="B44" t="s">
        <v>69</v>
      </c>
      <c r="J44">
        <v>1</v>
      </c>
      <c r="K44">
        <v>0.88</v>
      </c>
      <c r="L44">
        <f>K44*J44</f>
        <v>0.88</v>
      </c>
    </row>
    <row r="45" spans="2:17">
      <c r="B45" t="s">
        <v>70</v>
      </c>
      <c r="J45">
        <v>12</v>
      </c>
      <c r="K45">
        <f>8.5/120</f>
        <v>7.0833333333333331E-2</v>
      </c>
      <c r="L45">
        <f>K45*J45</f>
        <v>0.85</v>
      </c>
    </row>
    <row r="46" spans="2:17">
      <c r="B46" t="s">
        <v>71</v>
      </c>
      <c r="J46">
        <v>4</v>
      </c>
      <c r="K46">
        <v>0.2</v>
      </c>
      <c r="L46">
        <f>K46*J46</f>
        <v>0.8</v>
      </c>
    </row>
    <row r="47" spans="2:17">
      <c r="B47" t="s">
        <v>72</v>
      </c>
      <c r="J47">
        <v>4</v>
      </c>
      <c r="K47">
        <v>0.2</v>
      </c>
      <c r="L47">
        <f>K47*J47</f>
        <v>0.8</v>
      </c>
    </row>
    <row r="48" spans="2:17">
      <c r="B48" t="s">
        <v>73</v>
      </c>
      <c r="J48">
        <v>1</v>
      </c>
      <c r="K48">
        <v>0.78</v>
      </c>
      <c r="L48">
        <f>K48*J48</f>
        <v>0.78</v>
      </c>
    </row>
    <row r="49" spans="2:12">
      <c r="B49" t="s">
        <v>74</v>
      </c>
      <c r="J49">
        <v>1</v>
      </c>
      <c r="K49">
        <v>0.73</v>
      </c>
      <c r="L49">
        <f>K49*J49</f>
        <v>0.73</v>
      </c>
    </row>
    <row r="50" spans="2:12">
      <c r="B50" t="s">
        <v>75</v>
      </c>
      <c r="J50">
        <v>3</v>
      </c>
      <c r="K50">
        <f>7.22/30</f>
        <v>0.24066666666666667</v>
      </c>
      <c r="L50">
        <f>K50*J50</f>
        <v>0.72199999999999998</v>
      </c>
    </row>
    <row r="51" spans="2:12">
      <c r="B51" t="s">
        <v>76</v>
      </c>
      <c r="J51">
        <v>2</v>
      </c>
      <c r="K51">
        <f>6.78/20</f>
        <v>0.33900000000000002</v>
      </c>
      <c r="L51">
        <f>K51*J51</f>
        <v>0.67800000000000005</v>
      </c>
    </row>
    <row r="52" spans="2:12">
      <c r="B52" t="s">
        <v>77</v>
      </c>
      <c r="J52">
        <v>2</v>
      </c>
      <c r="K52">
        <f>20.7/2000*30</f>
        <v>0.3105</v>
      </c>
      <c r="L52">
        <f>K52*J52</f>
        <v>0.621</v>
      </c>
    </row>
    <row r="53" spans="2:12">
      <c r="B53" t="s">
        <v>78</v>
      </c>
      <c r="J53">
        <v>1</v>
      </c>
      <c r="K53">
        <f>6.17/10</f>
        <v>0.61699999999999999</v>
      </c>
      <c r="L53">
        <f>K53*J53</f>
        <v>0.61699999999999999</v>
      </c>
    </row>
    <row r="54" spans="2:12">
      <c r="B54" t="s">
        <v>79</v>
      </c>
      <c r="J54">
        <v>1</v>
      </c>
      <c r="K54">
        <f>5.86/10</f>
        <v>0.58600000000000008</v>
      </c>
      <c r="L54">
        <f>K54*J54</f>
        <v>0.58600000000000008</v>
      </c>
    </row>
    <row r="55" spans="2:12">
      <c r="B55" t="s">
        <v>80</v>
      </c>
      <c r="J55">
        <v>1</v>
      </c>
      <c r="K55">
        <f>5.86/10</f>
        <v>0.58600000000000008</v>
      </c>
      <c r="L55">
        <f>K55*J55</f>
        <v>0.58600000000000008</v>
      </c>
    </row>
    <row r="56" spans="2:12">
      <c r="B56" t="s">
        <v>81</v>
      </c>
      <c r="J56">
        <v>1</v>
      </c>
      <c r="K56">
        <f>2.9/5</f>
        <v>0.57999999999999996</v>
      </c>
      <c r="L56">
        <f>K56*J56</f>
        <v>0.57999999999999996</v>
      </c>
    </row>
    <row r="57" spans="2:12">
      <c r="B57" t="s">
        <v>82</v>
      </c>
      <c r="J57">
        <v>1</v>
      </c>
      <c r="K57">
        <f>5.24/10</f>
        <v>0.52400000000000002</v>
      </c>
      <c r="L57">
        <f>K57*J57</f>
        <v>0.52400000000000002</v>
      </c>
    </row>
    <row r="58" spans="2:12">
      <c r="B58" t="s">
        <v>83</v>
      </c>
      <c r="J58">
        <v>3</v>
      </c>
      <c r="K58">
        <f>1.44/10</f>
        <v>0.14399999999999999</v>
      </c>
      <c r="L58">
        <f>K58*J58</f>
        <v>0.43199999999999994</v>
      </c>
    </row>
    <row r="59" spans="2:12">
      <c r="B59" t="s">
        <v>84</v>
      </c>
      <c r="J59">
        <v>1</v>
      </c>
      <c r="K59">
        <v>0.4</v>
      </c>
      <c r="L59">
        <f>K59*J59</f>
        <v>0.4</v>
      </c>
    </row>
    <row r="60" spans="2:12">
      <c r="B60" t="s">
        <v>85</v>
      </c>
      <c r="J60">
        <v>2</v>
      </c>
      <c r="K60">
        <v>0.2</v>
      </c>
      <c r="L60">
        <f>K60*J60</f>
        <v>0.4</v>
      </c>
    </row>
    <row r="61" spans="2:12">
      <c r="B61" t="s">
        <v>86</v>
      </c>
      <c r="J61">
        <v>2</v>
      </c>
      <c r="K61">
        <v>0.2</v>
      </c>
      <c r="L61">
        <f>K61*J61</f>
        <v>0.4</v>
      </c>
    </row>
    <row r="62" spans="2:12">
      <c r="B62" t="s">
        <v>87</v>
      </c>
      <c r="J62">
        <v>1</v>
      </c>
      <c r="K62">
        <f>3.54/10</f>
        <v>0.35399999999999998</v>
      </c>
      <c r="L62">
        <f>K62*J62</f>
        <v>0.35399999999999998</v>
      </c>
    </row>
    <row r="63" spans="2:12">
      <c r="B63" t="s">
        <v>88</v>
      </c>
      <c r="J63">
        <v>1</v>
      </c>
      <c r="K63">
        <f>2.97/10</f>
        <v>0.29700000000000004</v>
      </c>
      <c r="L63">
        <f>K63*J63</f>
        <v>0.29700000000000004</v>
      </c>
    </row>
    <row r="64" spans="2:12">
      <c r="B64" t="s">
        <v>89</v>
      </c>
      <c r="J64">
        <v>4</v>
      </c>
      <c r="K64">
        <f>33.09/500</f>
        <v>6.6180000000000003E-2</v>
      </c>
      <c r="L64">
        <f>K64*J64</f>
        <v>0.26472000000000001</v>
      </c>
    </row>
    <row r="65" spans="2:12">
      <c r="B65" t="s">
        <v>90</v>
      </c>
      <c r="J65">
        <v>2</v>
      </c>
      <c r="K65">
        <f>1/10</f>
        <v>0.1</v>
      </c>
      <c r="L65">
        <f>K65*J65</f>
        <v>0.2</v>
      </c>
    </row>
    <row r="66" spans="2:12">
      <c r="B66" t="s">
        <v>91</v>
      </c>
      <c r="J66">
        <v>2</v>
      </c>
      <c r="K66">
        <f>14.9/4000*25</f>
        <v>9.3124999999999999E-2</v>
      </c>
      <c r="L66">
        <f>K66*J66</f>
        <v>0.18625</v>
      </c>
    </row>
    <row r="67" spans="2:12">
      <c r="B67" t="s">
        <v>92</v>
      </c>
      <c r="J67">
        <v>2</v>
      </c>
      <c r="K67">
        <f>14.9/4000*25</f>
        <v>9.3124999999999999E-2</v>
      </c>
      <c r="L67">
        <f>K67*J67</f>
        <v>0.18625</v>
      </c>
    </row>
    <row r="68" spans="2:12">
      <c r="B68" t="s">
        <v>93</v>
      </c>
      <c r="J68">
        <v>1</v>
      </c>
      <c r="K68">
        <f>1.7/10</f>
        <v>0.16999999999999998</v>
      </c>
      <c r="L68">
        <f>K68*J68</f>
        <v>0.16999999999999998</v>
      </c>
    </row>
    <row r="69" spans="2:12">
      <c r="B69" t="s">
        <v>94</v>
      </c>
      <c r="J69">
        <v>3</v>
      </c>
      <c r="K69">
        <f>0.82/20</f>
        <v>4.0999999999999995E-2</v>
      </c>
      <c r="L69">
        <f>K69*J69</f>
        <v>0.12299999999999998</v>
      </c>
    </row>
    <row r="70" spans="2:12">
      <c r="B70" t="s">
        <v>95</v>
      </c>
      <c r="J70">
        <v>2</v>
      </c>
      <c r="K70">
        <f>2.94/3000*50</f>
        <v>4.9000000000000002E-2</v>
      </c>
      <c r="L70">
        <f>K70*J70</f>
        <v>9.8000000000000004E-2</v>
      </c>
    </row>
    <row r="71" spans="2:12">
      <c r="B71" t="s">
        <v>96</v>
      </c>
      <c r="J71">
        <v>2</v>
      </c>
      <c r="K71">
        <f>2.94/2000*30</f>
        <v>4.41E-2</v>
      </c>
      <c r="L71">
        <f>K71*J71</f>
        <v>8.8200000000000001E-2</v>
      </c>
    </row>
    <row r="72" spans="2:12">
      <c r="B72" t="s">
        <v>97</v>
      </c>
      <c r="J72">
        <v>1</v>
      </c>
      <c r="K72">
        <f>0.84/20</f>
        <v>4.1999999999999996E-2</v>
      </c>
      <c r="L72">
        <f>K72*J72</f>
        <v>4.1999999999999996E-2</v>
      </c>
    </row>
    <row r="73" spans="2:12">
      <c r="B73" t="s">
        <v>98</v>
      </c>
      <c r="G73" t="s">
        <v>26</v>
      </c>
      <c r="J73">
        <v>2</v>
      </c>
      <c r="K73">
        <f>150/20*F69</f>
        <v>0</v>
      </c>
      <c r="L73">
        <f>K73*J73</f>
        <v>0</v>
      </c>
    </row>
    <row r="74" spans="2:12">
      <c r="B74" t="s">
        <v>99</v>
      </c>
      <c r="G74" t="s">
        <v>100</v>
      </c>
      <c r="J74">
        <v>0</v>
      </c>
      <c r="K74">
        <v>250</v>
      </c>
      <c r="L74">
        <f>K74*J74</f>
        <v>0</v>
      </c>
    </row>
    <row r="75" spans="2:12">
      <c r="B75" t="s">
        <v>101</v>
      </c>
      <c r="G75" t="s">
        <v>102</v>
      </c>
      <c r="J75">
        <v>2</v>
      </c>
      <c r="K75" s="3">
        <f>88*F70</f>
        <v>0</v>
      </c>
      <c r="L75">
        <f>K75*J75</f>
        <v>0</v>
      </c>
    </row>
    <row r="76" spans="2:12">
      <c r="B76" t="s">
        <v>25</v>
      </c>
      <c r="G76" t="s">
        <v>103</v>
      </c>
      <c r="J76">
        <v>0</v>
      </c>
      <c r="K76">
        <v>38.520000000000003</v>
      </c>
      <c r="L76">
        <f>K76*J76</f>
        <v>0</v>
      </c>
    </row>
    <row r="77" spans="2:12">
      <c r="B77" t="s">
        <v>98</v>
      </c>
      <c r="G77" t="s">
        <v>103</v>
      </c>
      <c r="J77">
        <v>0</v>
      </c>
      <c r="K77">
        <f>584.8/20</f>
        <v>29.24</v>
      </c>
      <c r="L77">
        <f>K77*J77</f>
        <v>0</v>
      </c>
    </row>
    <row r="78" spans="2:12">
      <c r="B78" t="s">
        <v>104</v>
      </c>
      <c r="G78" t="s">
        <v>100</v>
      </c>
      <c r="J78">
        <v>0</v>
      </c>
      <c r="K78" s="3">
        <v>25</v>
      </c>
      <c r="L78">
        <f>K78*J78</f>
        <v>0</v>
      </c>
    </row>
    <row r="79" spans="2:12">
      <c r="B79" t="s">
        <v>105</v>
      </c>
      <c r="G79" t="s">
        <v>100</v>
      </c>
      <c r="J79">
        <v>0</v>
      </c>
      <c r="K79" s="3">
        <v>15</v>
      </c>
      <c r="L79">
        <f>K79*J79</f>
        <v>0</v>
      </c>
    </row>
    <row r="80" spans="2:12">
      <c r="B80" t="s">
        <v>106</v>
      </c>
      <c r="G80" t="s">
        <v>100</v>
      </c>
      <c r="J80">
        <v>0</v>
      </c>
      <c r="K80" s="3">
        <v>10</v>
      </c>
      <c r="L80">
        <f>K80*J80</f>
        <v>0</v>
      </c>
    </row>
    <row r="81" spans="2:17">
      <c r="B81" t="s">
        <v>107</v>
      </c>
      <c r="J81">
        <v>0</v>
      </c>
      <c r="K81">
        <v>8.2899999999999991</v>
      </c>
      <c r="L81">
        <f>K81*J81</f>
        <v>0</v>
      </c>
    </row>
    <row r="82" spans="2:17">
      <c r="B82" t="s">
        <v>108</v>
      </c>
      <c r="G82" t="s">
        <v>109</v>
      </c>
      <c r="J82">
        <v>0</v>
      </c>
      <c r="K82" s="3">
        <v>5</v>
      </c>
      <c r="L82">
        <f>K82*J82</f>
        <v>0</v>
      </c>
    </row>
    <row r="83" spans="2:17">
      <c r="B83" t="s">
        <v>110</v>
      </c>
      <c r="G83" t="s">
        <v>109</v>
      </c>
      <c r="J83">
        <v>0</v>
      </c>
      <c r="K83" s="3">
        <v>4</v>
      </c>
      <c r="L83">
        <f>K83*J83</f>
        <v>0</v>
      </c>
    </row>
    <row r="84" spans="2:17">
      <c r="B84" t="s">
        <v>111</v>
      </c>
      <c r="G84" t="s">
        <v>109</v>
      </c>
      <c r="J84">
        <v>0</v>
      </c>
      <c r="K84" s="3">
        <v>2</v>
      </c>
      <c r="L84">
        <f>K84*J84</f>
        <v>0</v>
      </c>
    </row>
    <row r="85" spans="2:17">
      <c r="B85" t="s">
        <v>112</v>
      </c>
      <c r="J85">
        <v>0</v>
      </c>
      <c r="K85" s="3">
        <v>2</v>
      </c>
      <c r="L85">
        <f>K85*J85</f>
        <v>0</v>
      </c>
    </row>
    <row r="86" spans="2:17">
      <c r="B86" t="s">
        <v>113</v>
      </c>
      <c r="G86" t="s">
        <v>109</v>
      </c>
      <c r="J86">
        <v>0</v>
      </c>
      <c r="K86" s="3">
        <v>1</v>
      </c>
      <c r="L86">
        <f>K86*J86</f>
        <v>0</v>
      </c>
    </row>
    <row r="87" spans="2:17">
      <c r="B87" t="s">
        <v>114</v>
      </c>
      <c r="G87" t="s">
        <v>109</v>
      </c>
      <c r="J87">
        <v>0</v>
      </c>
      <c r="K87" s="3">
        <v>1</v>
      </c>
      <c r="L87">
        <f>K87*J87</f>
        <v>0</v>
      </c>
    </row>
    <row r="88" spans="2:17">
      <c r="B88" t="s">
        <v>115</v>
      </c>
      <c r="G88" t="s">
        <v>109</v>
      </c>
      <c r="J88">
        <v>0</v>
      </c>
      <c r="K88" s="3">
        <v>1</v>
      </c>
      <c r="L88">
        <f>K88*J88</f>
        <v>0</v>
      </c>
    </row>
    <row r="89" spans="2:17">
      <c r="B89" t="s">
        <v>116</v>
      </c>
      <c r="G89" t="s">
        <v>109</v>
      </c>
      <c r="J89">
        <v>0</v>
      </c>
      <c r="K89" s="3">
        <v>0.5</v>
      </c>
      <c r="L89">
        <f>K89*J89</f>
        <v>0</v>
      </c>
    </row>
    <row r="90" spans="2:17">
      <c r="B90" t="s">
        <v>117</v>
      </c>
      <c r="J90">
        <v>4</v>
      </c>
      <c r="K90">
        <v>0</v>
      </c>
      <c r="L90">
        <f>K90*J90</f>
        <v>0</v>
      </c>
    </row>
    <row r="91" spans="2:17">
      <c r="B91" t="s">
        <v>118</v>
      </c>
      <c r="J91">
        <f>2+2+6+6+2</f>
        <v>18</v>
      </c>
      <c r="K91">
        <v>0</v>
      </c>
      <c r="L91">
        <f>K91*J91</f>
        <v>0</v>
      </c>
    </row>
    <row r="92" spans="2:17">
      <c r="B92" t="s">
        <v>119</v>
      </c>
      <c r="J92">
        <v>1</v>
      </c>
      <c r="K92" s="3">
        <v>0</v>
      </c>
    </row>
    <row r="93" spans="2:17">
      <c r="O93" t="s">
        <v>120</v>
      </c>
    </row>
    <row r="94" spans="2:17">
      <c r="O94" t="s">
        <v>121</v>
      </c>
      <c r="P94">
        <v>70</v>
      </c>
    </row>
    <row r="96" spans="2:17">
      <c r="Q96">
        <f>SUM(Q4:Q39)</f>
        <v>2073.7166666666667</v>
      </c>
    </row>
  </sheetData>
  <autoFilter ref="A3:L3" xr:uid="{00000000-0001-0000-0000-000000000000}">
    <sortState xmlns:xlrd2="http://schemas.microsoft.com/office/spreadsheetml/2017/richdata2" ref="A4:L94">
      <sortCondition descending="1" ref="L3"/>
    </sortState>
  </autoFilter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03FAB3F-C1B5-4674-8E32-0D68146FB4C7}">
          <x14:formula1>
            <xm:f>'Ref tables'!$C$3:$C$16</xm:f>
          </x14:formula1>
          <xm:sqref>D4</xm:sqref>
        </x14:dataValidation>
        <x14:dataValidation type="list" allowBlank="1" showInputMessage="1" showErrorMessage="1" xr:uid="{A2F1CAFE-403C-4167-BF5D-5BE0B7A859F0}">
          <x14:formula1>
            <xm:f>'Ref tables'!$A$3:$A$5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DFB-94CE-4E4B-8303-ADB8BEF0EA22}">
  <dimension ref="A1:R90"/>
  <sheetViews>
    <sheetView topLeftCell="C1" workbookViewId="0">
      <selection activeCell="N4" sqref="N4"/>
    </sheetView>
  </sheetViews>
  <sheetFormatPr defaultRowHeight="15"/>
  <cols>
    <col min="1" max="1" width="13" customWidth="1"/>
    <col min="2" max="2" width="27.5703125" customWidth="1"/>
    <col min="3" max="3" width="12.85546875" customWidth="1"/>
    <col min="4" max="4" width="13.42578125" customWidth="1"/>
    <col min="5" max="5" width="17.140625" customWidth="1"/>
    <col min="6" max="6" width="19.5703125" customWidth="1"/>
    <col min="7" max="7" width="14.42578125" bestFit="1" customWidth="1"/>
    <col min="8" max="8" width="16.5703125" bestFit="1" customWidth="1"/>
    <col min="9" max="9" width="9.85546875" bestFit="1" customWidth="1"/>
    <col min="10" max="10" width="9.85546875" customWidth="1"/>
    <col min="11" max="11" width="11.28515625" customWidth="1"/>
    <col min="14" max="14" width="12.85546875" customWidth="1"/>
    <col min="15" max="15" width="13.42578125" bestFit="1" customWidth="1"/>
  </cols>
  <sheetData>
    <row r="1" spans="1:18">
      <c r="B1" t="s">
        <v>0</v>
      </c>
      <c r="C1">
        <v>5</v>
      </c>
      <c r="E1" t="s">
        <v>1</v>
      </c>
      <c r="F1">
        <v>1.38</v>
      </c>
    </row>
    <row r="2" spans="1:18">
      <c r="P2" t="s">
        <v>2</v>
      </c>
    </row>
    <row r="3" spans="1:18" s="1" customForma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N3" s="1" t="s">
        <v>15</v>
      </c>
      <c r="P3" s="1" t="s">
        <v>16</v>
      </c>
      <c r="Q3" s="1" t="s">
        <v>17</v>
      </c>
      <c r="R3" s="1" t="s">
        <v>18</v>
      </c>
    </row>
    <row r="4" spans="1:18">
      <c r="B4" t="s">
        <v>36</v>
      </c>
      <c r="C4" t="s">
        <v>37</v>
      </c>
      <c r="G4" t="s">
        <v>24</v>
      </c>
      <c r="J4">
        <v>2</v>
      </c>
      <c r="K4">
        <v>9.0399999999999991</v>
      </c>
      <c r="L4">
        <f t="shared" ref="L4:L70" si="0">K4*J4</f>
        <v>18.079999999999998</v>
      </c>
      <c r="N4">
        <f>SUM(L4:L87)</f>
        <v>1833.5167666666671</v>
      </c>
      <c r="P4">
        <f>K4</f>
        <v>9.0399999999999991</v>
      </c>
      <c r="Q4">
        <f>J4*P4</f>
        <v>18.079999999999998</v>
      </c>
      <c r="R4">
        <f>SUM(Q4:Q48)</f>
        <v>1992.0500000000002</v>
      </c>
    </row>
    <row r="5" spans="1:18">
      <c r="B5" t="s">
        <v>23</v>
      </c>
      <c r="G5" t="s">
        <v>24</v>
      </c>
      <c r="J5">
        <v>2</v>
      </c>
      <c r="K5">
        <v>20.86</v>
      </c>
      <c r="L5">
        <f t="shared" si="0"/>
        <v>41.72</v>
      </c>
      <c r="P5">
        <f t="shared" ref="P5:P11" si="1">K5</f>
        <v>20.86</v>
      </c>
      <c r="Q5">
        <f t="shared" ref="Q5:Q33" si="2">J5*P5</f>
        <v>41.72</v>
      </c>
    </row>
    <row r="6" spans="1:18">
      <c r="B6" t="s">
        <v>28</v>
      </c>
      <c r="J6">
        <v>8</v>
      </c>
      <c r="K6">
        <v>3.5</v>
      </c>
      <c r="L6">
        <f t="shared" si="0"/>
        <v>28</v>
      </c>
    </row>
    <row r="7" spans="1:18">
      <c r="B7" t="s">
        <v>32</v>
      </c>
      <c r="J7">
        <v>6</v>
      </c>
      <c r="K7">
        <v>3.8</v>
      </c>
      <c r="L7">
        <f t="shared" si="0"/>
        <v>22.799999999999997</v>
      </c>
    </row>
    <row r="8" spans="1:18">
      <c r="B8" t="s">
        <v>107</v>
      </c>
      <c r="J8">
        <v>0</v>
      </c>
      <c r="K8">
        <v>8.2899999999999991</v>
      </c>
      <c r="L8">
        <f t="shared" si="0"/>
        <v>0</v>
      </c>
    </row>
    <row r="9" spans="1:18">
      <c r="B9" t="s">
        <v>19</v>
      </c>
      <c r="J9">
        <v>1</v>
      </c>
      <c r="K9">
        <v>900</v>
      </c>
      <c r="L9">
        <f t="shared" si="0"/>
        <v>900</v>
      </c>
      <c r="P9">
        <f t="shared" si="1"/>
        <v>900</v>
      </c>
      <c r="Q9">
        <f t="shared" si="2"/>
        <v>900</v>
      </c>
    </row>
    <row r="10" spans="1:18">
      <c r="B10" t="s">
        <v>40</v>
      </c>
      <c r="G10" t="s">
        <v>41</v>
      </c>
      <c r="J10">
        <v>1</v>
      </c>
      <c r="K10">
        <v>9.6999999999999993</v>
      </c>
      <c r="L10">
        <f t="shared" si="0"/>
        <v>9.6999999999999993</v>
      </c>
      <c r="P10">
        <f t="shared" si="1"/>
        <v>9.6999999999999993</v>
      </c>
      <c r="Q10">
        <f t="shared" si="2"/>
        <v>9.6999999999999993</v>
      </c>
    </row>
    <row r="11" spans="1:18">
      <c r="B11" t="s">
        <v>46</v>
      </c>
      <c r="G11" t="s">
        <v>47</v>
      </c>
      <c r="J11">
        <v>2</v>
      </c>
      <c r="K11">
        <v>2.7</v>
      </c>
      <c r="L11">
        <f t="shared" si="0"/>
        <v>5.4</v>
      </c>
      <c r="P11">
        <f t="shared" si="1"/>
        <v>2.7</v>
      </c>
      <c r="Q11">
        <f t="shared" si="2"/>
        <v>5.4</v>
      </c>
    </row>
    <row r="12" spans="1:18">
      <c r="B12" t="s">
        <v>25</v>
      </c>
      <c r="J12">
        <v>2</v>
      </c>
      <c r="K12">
        <v>30.6</v>
      </c>
      <c r="L12">
        <f t="shared" si="0"/>
        <v>61.2</v>
      </c>
      <c r="P12">
        <v>60</v>
      </c>
      <c r="Q12">
        <f t="shared" si="2"/>
        <v>120</v>
      </c>
    </row>
    <row r="13" spans="1:18">
      <c r="B13" t="s">
        <v>29</v>
      </c>
      <c r="G13" t="s">
        <v>30</v>
      </c>
      <c r="J13">
        <v>2</v>
      </c>
      <c r="K13" s="3">
        <v>13.88</v>
      </c>
      <c r="L13">
        <f t="shared" si="0"/>
        <v>27.76</v>
      </c>
      <c r="P13">
        <f>K13</f>
        <v>13.88</v>
      </c>
      <c r="Q13">
        <f t="shared" si="2"/>
        <v>27.76</v>
      </c>
    </row>
    <row r="14" spans="1:18">
      <c r="B14" t="s">
        <v>35</v>
      </c>
      <c r="J14">
        <v>1</v>
      </c>
      <c r="K14" s="3">
        <v>19.39</v>
      </c>
      <c r="L14">
        <f t="shared" si="0"/>
        <v>19.39</v>
      </c>
      <c r="P14">
        <f>K14</f>
        <v>19.39</v>
      </c>
      <c r="Q14">
        <f t="shared" si="2"/>
        <v>19.39</v>
      </c>
    </row>
    <row r="15" spans="1:18">
      <c r="B15" t="s">
        <v>101</v>
      </c>
      <c r="G15" t="s">
        <v>102</v>
      </c>
      <c r="J15">
        <v>2</v>
      </c>
      <c r="K15" s="3">
        <v>58.53</v>
      </c>
      <c r="L15">
        <f t="shared" si="0"/>
        <v>117.06</v>
      </c>
      <c r="P15">
        <v>120</v>
      </c>
      <c r="Q15">
        <f t="shared" si="2"/>
        <v>240</v>
      </c>
    </row>
    <row r="16" spans="1:18">
      <c r="B16" t="s">
        <v>108</v>
      </c>
      <c r="G16" t="s">
        <v>109</v>
      </c>
      <c r="J16">
        <v>1</v>
      </c>
      <c r="K16" s="3">
        <v>5</v>
      </c>
      <c r="L16">
        <f t="shared" si="0"/>
        <v>5</v>
      </c>
    </row>
    <row r="17" spans="2:17">
      <c r="B17" t="s">
        <v>113</v>
      </c>
      <c r="G17" t="s">
        <v>109</v>
      </c>
      <c r="J17">
        <v>1</v>
      </c>
      <c r="K17" s="3">
        <v>1</v>
      </c>
      <c r="L17">
        <f t="shared" si="0"/>
        <v>1</v>
      </c>
    </row>
    <row r="18" spans="2:17">
      <c r="B18" t="s">
        <v>111</v>
      </c>
      <c r="G18" t="s">
        <v>109</v>
      </c>
      <c r="J18">
        <v>4</v>
      </c>
      <c r="K18" s="3">
        <v>2</v>
      </c>
      <c r="L18">
        <f t="shared" si="0"/>
        <v>8</v>
      </c>
    </row>
    <row r="19" spans="2:17">
      <c r="B19" t="s">
        <v>110</v>
      </c>
      <c r="G19" t="s">
        <v>109</v>
      </c>
      <c r="J19">
        <v>1</v>
      </c>
      <c r="K19" s="3">
        <v>4</v>
      </c>
      <c r="L19">
        <f t="shared" si="0"/>
        <v>4</v>
      </c>
    </row>
    <row r="20" spans="2:17">
      <c r="B20" t="s">
        <v>114</v>
      </c>
      <c r="G20" t="s">
        <v>109</v>
      </c>
      <c r="J20">
        <v>6</v>
      </c>
      <c r="K20" s="3">
        <v>1</v>
      </c>
      <c r="L20">
        <f t="shared" si="0"/>
        <v>6</v>
      </c>
    </row>
    <row r="21" spans="2:17">
      <c r="B21" t="s">
        <v>115</v>
      </c>
      <c r="G21" t="s">
        <v>109</v>
      </c>
      <c r="J21">
        <v>1</v>
      </c>
      <c r="K21" s="3">
        <v>1</v>
      </c>
      <c r="L21">
        <f t="shared" si="0"/>
        <v>1</v>
      </c>
    </row>
    <row r="22" spans="2:17">
      <c r="B22" t="s">
        <v>116</v>
      </c>
      <c r="G22" t="s">
        <v>109</v>
      </c>
      <c r="J22">
        <v>4</v>
      </c>
      <c r="K22" s="3">
        <v>0.5</v>
      </c>
      <c r="L22">
        <f t="shared" si="0"/>
        <v>2</v>
      </c>
    </row>
    <row r="23" spans="2:17">
      <c r="B23" t="s">
        <v>106</v>
      </c>
      <c r="G23" t="s">
        <v>100</v>
      </c>
      <c r="J23">
        <v>1</v>
      </c>
      <c r="K23" s="3">
        <v>10</v>
      </c>
      <c r="L23">
        <f t="shared" si="0"/>
        <v>10</v>
      </c>
    </row>
    <row r="24" spans="2:17">
      <c r="B24" t="s">
        <v>105</v>
      </c>
      <c r="G24" t="s">
        <v>100</v>
      </c>
      <c r="J24">
        <v>1</v>
      </c>
      <c r="K24" s="3">
        <v>15</v>
      </c>
      <c r="L24">
        <f t="shared" si="0"/>
        <v>15</v>
      </c>
    </row>
    <row r="25" spans="2:17">
      <c r="B25" t="s">
        <v>104</v>
      </c>
      <c r="G25" t="s">
        <v>100</v>
      </c>
      <c r="J25">
        <v>1</v>
      </c>
      <c r="K25" s="3">
        <v>25</v>
      </c>
      <c r="L25">
        <f t="shared" si="0"/>
        <v>25</v>
      </c>
    </row>
    <row r="26" spans="2:17">
      <c r="B26" t="s">
        <v>43</v>
      </c>
      <c r="J26">
        <v>2</v>
      </c>
      <c r="K26" s="3">
        <v>3</v>
      </c>
      <c r="L26">
        <f t="shared" si="0"/>
        <v>6</v>
      </c>
    </row>
    <row r="27" spans="2:17">
      <c r="B27" t="s">
        <v>112</v>
      </c>
      <c r="J27">
        <v>0</v>
      </c>
      <c r="K27" s="3">
        <v>2</v>
      </c>
      <c r="L27">
        <f t="shared" si="0"/>
        <v>0</v>
      </c>
    </row>
    <row r="28" spans="2:17">
      <c r="B28" t="s">
        <v>21</v>
      </c>
      <c r="J28">
        <v>1</v>
      </c>
      <c r="K28" s="4">
        <f>47.636*$F$1</f>
        <v>65.737679999999997</v>
      </c>
      <c r="L28">
        <f t="shared" si="0"/>
        <v>65.737679999999997</v>
      </c>
      <c r="P28">
        <v>200</v>
      </c>
      <c r="Q28">
        <f t="shared" si="2"/>
        <v>200</v>
      </c>
    </row>
    <row r="29" spans="2:17">
      <c r="B29" t="s">
        <v>42</v>
      </c>
      <c r="J29">
        <v>1</v>
      </c>
      <c r="K29" s="4">
        <f>38.54/5*$F$1</f>
        <v>10.637039999999999</v>
      </c>
      <c r="L29">
        <f t="shared" si="0"/>
        <v>10.637039999999999</v>
      </c>
    </row>
    <row r="30" spans="2:17">
      <c r="B30" t="s">
        <v>38</v>
      </c>
      <c r="J30">
        <v>1</v>
      </c>
      <c r="K30" s="3">
        <v>30</v>
      </c>
      <c r="L30">
        <f t="shared" si="0"/>
        <v>30</v>
      </c>
      <c r="P30">
        <v>160</v>
      </c>
      <c r="Q30">
        <f t="shared" si="2"/>
        <v>160</v>
      </c>
    </row>
    <row r="31" spans="2:17">
      <c r="B31" t="s">
        <v>122</v>
      </c>
      <c r="J31">
        <v>1</v>
      </c>
      <c r="K31" s="3">
        <v>1.82</v>
      </c>
      <c r="L31">
        <f t="shared" si="0"/>
        <v>1.82</v>
      </c>
    </row>
    <row r="32" spans="2:17">
      <c r="B32" t="s">
        <v>66</v>
      </c>
      <c r="J32">
        <v>1</v>
      </c>
      <c r="K32" s="3">
        <f>10.25/10</f>
        <v>1.0249999999999999</v>
      </c>
      <c r="L32">
        <f t="shared" si="0"/>
        <v>1.0249999999999999</v>
      </c>
    </row>
    <row r="33" spans="2:17">
      <c r="B33" t="s">
        <v>99</v>
      </c>
      <c r="G33" t="s">
        <v>100</v>
      </c>
      <c r="J33">
        <v>1</v>
      </c>
      <c r="K33">
        <v>250</v>
      </c>
      <c r="L33">
        <f t="shared" si="0"/>
        <v>250</v>
      </c>
      <c r="P33">
        <v>250</v>
      </c>
      <c r="Q33">
        <f t="shared" si="2"/>
        <v>250</v>
      </c>
    </row>
    <row r="34" spans="2:17">
      <c r="B34" t="s">
        <v>64</v>
      </c>
      <c r="J34">
        <v>6</v>
      </c>
      <c r="K34">
        <v>0.2</v>
      </c>
      <c r="L34">
        <f t="shared" si="0"/>
        <v>1.2000000000000002</v>
      </c>
    </row>
    <row r="35" spans="2:17">
      <c r="B35" t="s">
        <v>85</v>
      </c>
      <c r="J35">
        <v>2</v>
      </c>
      <c r="K35">
        <v>0.2</v>
      </c>
      <c r="L35">
        <f t="shared" si="0"/>
        <v>0.4</v>
      </c>
    </row>
    <row r="36" spans="2:17">
      <c r="B36" t="s">
        <v>71</v>
      </c>
      <c r="J36">
        <v>4</v>
      </c>
      <c r="K36">
        <v>0.2</v>
      </c>
      <c r="L36">
        <f t="shared" si="0"/>
        <v>0.8</v>
      </c>
    </row>
    <row r="37" spans="2:17">
      <c r="B37" t="s">
        <v>86</v>
      </c>
      <c r="J37">
        <v>2</v>
      </c>
      <c r="K37">
        <v>0.2</v>
      </c>
      <c r="L37">
        <f t="shared" si="0"/>
        <v>0.4</v>
      </c>
    </row>
    <row r="38" spans="2:17">
      <c r="B38" t="s">
        <v>49</v>
      </c>
      <c r="J38">
        <v>26</v>
      </c>
      <c r="K38">
        <v>0.2</v>
      </c>
      <c r="L38">
        <f t="shared" si="0"/>
        <v>5.2</v>
      </c>
    </row>
    <row r="39" spans="2:17">
      <c r="B39" t="s">
        <v>52</v>
      </c>
      <c r="J39">
        <v>20</v>
      </c>
      <c r="K39">
        <v>0.2</v>
      </c>
      <c r="L39">
        <f t="shared" si="0"/>
        <v>4</v>
      </c>
    </row>
    <row r="40" spans="2:17">
      <c r="B40" t="s">
        <v>53</v>
      </c>
      <c r="J40">
        <v>20</v>
      </c>
      <c r="K40">
        <v>0.2</v>
      </c>
      <c r="L40">
        <f t="shared" si="0"/>
        <v>4</v>
      </c>
    </row>
    <row r="41" spans="2:17">
      <c r="B41" t="s">
        <v>72</v>
      </c>
      <c r="J41">
        <v>4</v>
      </c>
      <c r="K41">
        <v>0.2</v>
      </c>
      <c r="L41">
        <f t="shared" si="0"/>
        <v>0.8</v>
      </c>
    </row>
    <row r="42" spans="2:17">
      <c r="B42" t="s">
        <v>57</v>
      </c>
      <c r="J42">
        <v>12</v>
      </c>
      <c r="K42">
        <v>0.2</v>
      </c>
      <c r="L42">
        <f t="shared" si="0"/>
        <v>2.4000000000000004</v>
      </c>
    </row>
    <row r="43" spans="2:17">
      <c r="B43" t="s">
        <v>62</v>
      </c>
      <c r="J43">
        <v>4</v>
      </c>
      <c r="K43">
        <v>0.4</v>
      </c>
      <c r="L43">
        <f t="shared" si="0"/>
        <v>1.6</v>
      </c>
    </row>
    <row r="44" spans="2:17">
      <c r="B44" t="s">
        <v>84</v>
      </c>
      <c r="J44">
        <v>1</v>
      </c>
      <c r="K44">
        <v>0.4</v>
      </c>
      <c r="L44">
        <f t="shared" si="0"/>
        <v>0.4</v>
      </c>
    </row>
    <row r="45" spans="2:17">
      <c r="B45" t="s">
        <v>48</v>
      </c>
      <c r="J45">
        <v>1</v>
      </c>
      <c r="K45" s="5">
        <f>3.816*$F$1</f>
        <v>5.2660799999999997</v>
      </c>
      <c r="L45">
        <f t="shared" si="0"/>
        <v>5.2660799999999997</v>
      </c>
    </row>
    <row r="46" spans="2:17">
      <c r="B46" t="s">
        <v>54</v>
      </c>
      <c r="J46">
        <v>1</v>
      </c>
      <c r="K46">
        <f>22.8/10*$F$1</f>
        <v>3.1464000000000003</v>
      </c>
      <c r="L46">
        <f t="shared" si="0"/>
        <v>3.1464000000000003</v>
      </c>
    </row>
    <row r="47" spans="2:17">
      <c r="B47" t="s">
        <v>60</v>
      </c>
      <c r="J47">
        <v>1</v>
      </c>
      <c r="K47">
        <f>5.95/3</f>
        <v>1.9833333333333334</v>
      </c>
      <c r="L47">
        <f t="shared" si="0"/>
        <v>1.9833333333333334</v>
      </c>
    </row>
    <row r="48" spans="2:17">
      <c r="B48" t="s">
        <v>45</v>
      </c>
      <c r="J48">
        <v>1</v>
      </c>
      <c r="K48">
        <v>4.3</v>
      </c>
      <c r="L48">
        <f t="shared" si="0"/>
        <v>4.3</v>
      </c>
    </row>
    <row r="49" spans="2:12">
      <c r="B49" t="s">
        <v>88</v>
      </c>
      <c r="J49">
        <v>1</v>
      </c>
      <c r="K49">
        <v>0.72199999999999998</v>
      </c>
      <c r="L49">
        <f t="shared" si="0"/>
        <v>0.72199999999999998</v>
      </c>
    </row>
    <row r="50" spans="2:12">
      <c r="B50" t="s">
        <v>73</v>
      </c>
      <c r="J50">
        <v>1</v>
      </c>
      <c r="K50">
        <v>0.45</v>
      </c>
      <c r="L50">
        <f t="shared" si="0"/>
        <v>0.45</v>
      </c>
    </row>
    <row r="51" spans="2:12">
      <c r="B51" t="s">
        <v>82</v>
      </c>
      <c r="J51">
        <v>1</v>
      </c>
      <c r="K51">
        <v>0.747</v>
      </c>
      <c r="L51">
        <f t="shared" si="0"/>
        <v>0.747</v>
      </c>
    </row>
    <row r="52" spans="2:12">
      <c r="B52" t="s">
        <v>39</v>
      </c>
      <c r="J52">
        <v>2</v>
      </c>
      <c r="K52">
        <v>14.02</v>
      </c>
      <c r="L52">
        <f t="shared" si="0"/>
        <v>28.04</v>
      </c>
    </row>
    <row r="53" spans="2:12">
      <c r="B53" t="s">
        <v>44</v>
      </c>
      <c r="J53">
        <v>1</v>
      </c>
      <c r="K53">
        <v>5.67</v>
      </c>
      <c r="L53">
        <f t="shared" si="0"/>
        <v>5.67</v>
      </c>
    </row>
    <row r="54" spans="2:12">
      <c r="B54" t="s">
        <v>59</v>
      </c>
      <c r="J54">
        <v>1</v>
      </c>
      <c r="K54">
        <f>20.64/10</f>
        <v>2.0640000000000001</v>
      </c>
      <c r="L54">
        <f t="shared" si="0"/>
        <v>2.0640000000000001</v>
      </c>
    </row>
    <row r="55" spans="2:12">
      <c r="B55" t="s">
        <v>58</v>
      </c>
      <c r="J55">
        <v>1</v>
      </c>
      <c r="K55">
        <v>7.95</v>
      </c>
      <c r="L55">
        <f t="shared" si="0"/>
        <v>7.95</v>
      </c>
    </row>
    <row r="56" spans="2:12">
      <c r="B56" t="s">
        <v>90</v>
      </c>
      <c r="J56">
        <v>2</v>
      </c>
      <c r="K56">
        <v>0.75</v>
      </c>
      <c r="L56">
        <f t="shared" si="0"/>
        <v>1.5</v>
      </c>
    </row>
    <row r="57" spans="2:12">
      <c r="B57" t="s">
        <v>123</v>
      </c>
      <c r="J57">
        <v>1</v>
      </c>
      <c r="K57">
        <v>9.9499999999999993</v>
      </c>
      <c r="L57">
        <f t="shared" si="0"/>
        <v>9.9499999999999993</v>
      </c>
    </row>
    <row r="58" spans="2:12">
      <c r="B58" t="s">
        <v>124</v>
      </c>
      <c r="J58">
        <v>19</v>
      </c>
      <c r="K58">
        <f>13.95/100</f>
        <v>0.13949999999999999</v>
      </c>
      <c r="L58">
        <f t="shared" si="0"/>
        <v>2.6504999999999996</v>
      </c>
    </row>
    <row r="59" spans="2:12">
      <c r="B59" t="s">
        <v>125</v>
      </c>
      <c r="J59">
        <v>3</v>
      </c>
      <c r="K59" s="10">
        <f>13.95/100</f>
        <v>0.13949999999999999</v>
      </c>
      <c r="L59">
        <f t="shared" si="0"/>
        <v>0.41849999999999998</v>
      </c>
    </row>
    <row r="60" spans="2:12">
      <c r="B60" t="s">
        <v>126</v>
      </c>
      <c r="J60">
        <v>14</v>
      </c>
      <c r="K60">
        <f>8.95/50</f>
        <v>0.17899999999999999</v>
      </c>
      <c r="L60">
        <f t="shared" si="0"/>
        <v>2.5059999999999998</v>
      </c>
    </row>
    <row r="61" spans="2:12">
      <c r="B61" t="s">
        <v>127</v>
      </c>
      <c r="J61">
        <v>2</v>
      </c>
      <c r="K61">
        <v>0.13950000000000001</v>
      </c>
      <c r="L61">
        <f t="shared" si="0"/>
        <v>0.27900000000000003</v>
      </c>
    </row>
    <row r="62" spans="2:12">
      <c r="B62" t="s">
        <v>128</v>
      </c>
      <c r="J62">
        <v>2</v>
      </c>
      <c r="K62">
        <f>5.95/2/3</f>
        <v>0.9916666666666667</v>
      </c>
      <c r="L62">
        <f t="shared" si="0"/>
        <v>1.9833333333333334</v>
      </c>
    </row>
    <row r="63" spans="2:12">
      <c r="B63" t="s">
        <v>63</v>
      </c>
      <c r="J63">
        <v>2</v>
      </c>
      <c r="K63">
        <f>5.02</f>
        <v>5.0199999999999996</v>
      </c>
      <c r="L63">
        <f t="shared" si="0"/>
        <v>10.039999999999999</v>
      </c>
    </row>
    <row r="64" spans="2:12">
      <c r="B64" t="s">
        <v>75</v>
      </c>
      <c r="J64">
        <v>2</v>
      </c>
      <c r="K64">
        <f>5.54/10</f>
        <v>0.55400000000000005</v>
      </c>
      <c r="L64">
        <f t="shared" si="0"/>
        <v>1.1080000000000001</v>
      </c>
    </row>
    <row r="65" spans="2:12">
      <c r="B65" t="s">
        <v>81</v>
      </c>
      <c r="J65">
        <v>1</v>
      </c>
      <c r="K65">
        <v>5.04</v>
      </c>
      <c r="L65">
        <f t="shared" si="0"/>
        <v>5.04</v>
      </c>
    </row>
    <row r="66" spans="2:12">
      <c r="B66" t="s">
        <v>78</v>
      </c>
      <c r="J66">
        <v>1</v>
      </c>
      <c r="K66">
        <f>6.74/10</f>
        <v>0.67400000000000004</v>
      </c>
      <c r="L66">
        <f t="shared" si="0"/>
        <v>0.67400000000000004</v>
      </c>
    </row>
    <row r="67" spans="2:12">
      <c r="B67" t="s">
        <v>74</v>
      </c>
      <c r="J67">
        <v>1</v>
      </c>
      <c r="K67">
        <v>1.06</v>
      </c>
      <c r="L67">
        <f t="shared" si="0"/>
        <v>1.06</v>
      </c>
    </row>
    <row r="68" spans="2:12">
      <c r="B68" t="s">
        <v>69</v>
      </c>
      <c r="J68">
        <v>1</v>
      </c>
      <c r="K68">
        <v>1.55</v>
      </c>
      <c r="L68">
        <f t="shared" si="0"/>
        <v>1.55</v>
      </c>
    </row>
    <row r="69" spans="2:12">
      <c r="B69" t="s">
        <v>79</v>
      </c>
      <c r="J69">
        <v>1</v>
      </c>
      <c r="K69">
        <f>5.6/10</f>
        <v>0.55999999999999994</v>
      </c>
      <c r="L69">
        <f t="shared" si="0"/>
        <v>0.55999999999999994</v>
      </c>
    </row>
    <row r="70" spans="2:12">
      <c r="B70" t="s">
        <v>80</v>
      </c>
      <c r="J70">
        <v>1</v>
      </c>
      <c r="K70">
        <f>5.6/10</f>
        <v>0.55999999999999994</v>
      </c>
      <c r="L70">
        <f t="shared" si="0"/>
        <v>0.55999999999999994</v>
      </c>
    </row>
    <row r="71" spans="2:12">
      <c r="B71" t="s">
        <v>129</v>
      </c>
      <c r="J71">
        <v>0</v>
      </c>
      <c r="L71">
        <f t="shared" ref="L71:L116" si="3">K71*J71</f>
        <v>0</v>
      </c>
    </row>
    <row r="72" spans="2:12">
      <c r="B72" t="s">
        <v>130</v>
      </c>
      <c r="J72">
        <v>0</v>
      </c>
      <c r="L72">
        <f t="shared" si="3"/>
        <v>0</v>
      </c>
    </row>
    <row r="73" spans="2:12">
      <c r="B73" t="s">
        <v>131</v>
      </c>
      <c r="J73">
        <v>1</v>
      </c>
      <c r="K73">
        <f>25.5/100</f>
        <v>0.255</v>
      </c>
      <c r="L73">
        <f t="shared" si="3"/>
        <v>0.255</v>
      </c>
    </row>
    <row r="74" spans="2:12">
      <c r="B74" t="s">
        <v>83</v>
      </c>
      <c r="J74">
        <v>3</v>
      </c>
      <c r="K74">
        <f>1.09/10</f>
        <v>0.10900000000000001</v>
      </c>
      <c r="L74">
        <f t="shared" si="3"/>
        <v>0.32700000000000007</v>
      </c>
    </row>
    <row r="75" spans="2:12">
      <c r="B75" t="s">
        <v>94</v>
      </c>
      <c r="J75">
        <v>3</v>
      </c>
      <c r="K75">
        <f>5.62/10/10</f>
        <v>5.6200000000000007E-2</v>
      </c>
      <c r="L75">
        <f t="shared" si="3"/>
        <v>0.16860000000000003</v>
      </c>
    </row>
    <row r="76" spans="2:12">
      <c r="B76" t="s">
        <v>132</v>
      </c>
      <c r="J76">
        <v>1</v>
      </c>
      <c r="K76">
        <f>5.95/3</f>
        <v>1.9833333333333334</v>
      </c>
      <c r="L76">
        <f t="shared" si="3"/>
        <v>1.9833333333333334</v>
      </c>
    </row>
    <row r="77" spans="2:12">
      <c r="B77" t="s">
        <v>91</v>
      </c>
      <c r="J77">
        <v>2</v>
      </c>
      <c r="K77">
        <f>5.95/25/4</f>
        <v>5.9500000000000004E-2</v>
      </c>
      <c r="L77">
        <f t="shared" si="3"/>
        <v>0.11900000000000001</v>
      </c>
    </row>
    <row r="78" spans="2:12">
      <c r="B78" t="s">
        <v>92</v>
      </c>
      <c r="J78">
        <v>2</v>
      </c>
      <c r="K78">
        <f>5.95/25/4</f>
        <v>5.9500000000000004E-2</v>
      </c>
      <c r="L78">
        <f t="shared" si="3"/>
        <v>0.11900000000000001</v>
      </c>
    </row>
    <row r="79" spans="2:12">
      <c r="B79" t="s">
        <v>77</v>
      </c>
      <c r="J79">
        <v>3</v>
      </c>
      <c r="K79">
        <f>1.8/3</f>
        <v>0.6</v>
      </c>
      <c r="L79">
        <f t="shared" si="3"/>
        <v>1.7999999999999998</v>
      </c>
    </row>
    <row r="80" spans="2:12">
      <c r="B80" t="s">
        <v>133</v>
      </c>
      <c r="J80">
        <v>2</v>
      </c>
      <c r="K80">
        <f>5.95/25/3</f>
        <v>7.9333333333333339E-2</v>
      </c>
      <c r="L80">
        <f t="shared" si="3"/>
        <v>0.15866666666666668</v>
      </c>
    </row>
    <row r="81" spans="2:17">
      <c r="B81" t="s">
        <v>134</v>
      </c>
      <c r="J81">
        <v>2</v>
      </c>
      <c r="K81">
        <f>0.83/50</f>
        <v>1.66E-2</v>
      </c>
      <c r="L81">
        <f t="shared" si="3"/>
        <v>3.32E-2</v>
      </c>
    </row>
    <row r="82" spans="2:17">
      <c r="B82" t="s">
        <v>135</v>
      </c>
      <c r="J82">
        <v>8</v>
      </c>
      <c r="K82">
        <f>1.02/100</f>
        <v>1.0200000000000001E-2</v>
      </c>
      <c r="L82">
        <f t="shared" si="3"/>
        <v>8.1600000000000006E-2</v>
      </c>
    </row>
    <row r="83" spans="2:17">
      <c r="B83" t="s">
        <v>136</v>
      </c>
      <c r="J83">
        <v>1</v>
      </c>
      <c r="K83">
        <f>2.45/4</f>
        <v>0.61250000000000004</v>
      </c>
      <c r="L83">
        <f t="shared" si="3"/>
        <v>0.61250000000000004</v>
      </c>
    </row>
    <row r="84" spans="2:17">
      <c r="B84" t="s">
        <v>137</v>
      </c>
      <c r="J84">
        <v>1</v>
      </c>
      <c r="K84">
        <f>2/2</f>
        <v>1</v>
      </c>
      <c r="L84">
        <f t="shared" si="3"/>
        <v>1</v>
      </c>
    </row>
    <row r="85" spans="2:17">
      <c r="B85" t="s">
        <v>34</v>
      </c>
      <c r="J85">
        <v>1</v>
      </c>
      <c r="K85">
        <v>11.77</v>
      </c>
      <c r="L85">
        <f t="shared" si="3"/>
        <v>11.77</v>
      </c>
    </row>
    <row r="86" spans="2:17">
      <c r="B86" t="s">
        <v>87</v>
      </c>
      <c r="J86">
        <v>1</v>
      </c>
      <c r="K86">
        <f>3.41/10</f>
        <v>0.34100000000000003</v>
      </c>
      <c r="L86">
        <f t="shared" si="3"/>
        <v>0.34100000000000003</v>
      </c>
    </row>
    <row r="87" spans="2:17">
      <c r="O87" t="s">
        <v>120</v>
      </c>
    </row>
    <row r="88" spans="2:17">
      <c r="O88" t="s">
        <v>121</v>
      </c>
      <c r="P88">
        <v>70</v>
      </c>
    </row>
    <row r="90" spans="2:17">
      <c r="Q90">
        <f>SUM(Q4:Q33)</f>
        <v>1992.0500000000002</v>
      </c>
    </row>
  </sheetData>
  <autoFilter ref="A3:L3" xr:uid="{00000000-0001-0000-0000-000000000000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62B984F-8FF5-49AA-B8F0-2F327F393401}">
          <x14:formula1>
            <xm:f>'Ref tables'!$A$3:$A$5</xm:f>
          </x14:formula1>
          <xm:sqref>C4</xm:sqref>
        </x14:dataValidation>
        <x14:dataValidation type="list" allowBlank="1" showInputMessage="1" showErrorMessage="1" xr:uid="{F23E8D7A-D066-4802-8B1F-EDB7D3B510E2}">
          <x14:formula1>
            <xm:f>'Ref tables'!$C$3:$C$16</xm:f>
          </x14:formula1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workbookViewId="0">
      <selection activeCell="B7" sqref="B7"/>
    </sheetView>
  </sheetViews>
  <sheetFormatPr defaultRowHeight="15"/>
  <cols>
    <col min="1" max="1" width="13" customWidth="1"/>
    <col min="2" max="2" width="27.5703125" customWidth="1"/>
    <col min="3" max="3" width="12.85546875" customWidth="1"/>
    <col min="4" max="4" width="13.42578125" customWidth="1"/>
    <col min="5" max="5" width="17.140625" customWidth="1"/>
    <col min="6" max="6" width="19.5703125" customWidth="1"/>
    <col min="7" max="7" width="14.42578125" bestFit="1" customWidth="1"/>
    <col min="8" max="8" width="16.5703125" bestFit="1" customWidth="1"/>
    <col min="9" max="9" width="9.85546875" bestFit="1" customWidth="1"/>
    <col min="10" max="10" width="9.85546875" customWidth="1"/>
    <col min="11" max="11" width="11.28515625" customWidth="1"/>
    <col min="14" max="14" width="12.85546875" customWidth="1"/>
    <col min="15" max="15" width="13.42578125" bestFit="1" customWidth="1"/>
  </cols>
  <sheetData>
    <row r="1" spans="1:18">
      <c r="B1" t="s">
        <v>0</v>
      </c>
      <c r="C1">
        <v>5</v>
      </c>
      <c r="E1" t="s">
        <v>1</v>
      </c>
      <c r="F1">
        <v>1.38</v>
      </c>
    </row>
    <row r="2" spans="1:18">
      <c r="P2" t="s">
        <v>2</v>
      </c>
    </row>
    <row r="3" spans="1:18" s="1" customForma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N3" s="1" t="s">
        <v>15</v>
      </c>
      <c r="P3" s="1" t="s">
        <v>16</v>
      </c>
      <c r="Q3" s="1" t="s">
        <v>17</v>
      </c>
      <c r="R3" s="1" t="s">
        <v>18</v>
      </c>
    </row>
    <row r="4" spans="1:18">
      <c r="B4" t="s">
        <v>36</v>
      </c>
      <c r="C4" t="s">
        <v>37</v>
      </c>
      <c r="G4" t="s">
        <v>24</v>
      </c>
      <c r="J4">
        <v>2</v>
      </c>
      <c r="K4">
        <v>9.0399999999999991</v>
      </c>
      <c r="L4">
        <f t="shared" ref="L4:L44" si="0">K4*J4</f>
        <v>18.079999999999998</v>
      </c>
      <c r="N4">
        <f>SUM(L4:L84)</f>
        <v>1844.3134333333339</v>
      </c>
      <c r="P4">
        <f>K4</f>
        <v>9.0399999999999991</v>
      </c>
      <c r="Q4">
        <f>J4*P4</f>
        <v>18.079999999999998</v>
      </c>
      <c r="R4">
        <f>SUM(Q4:Q45)</f>
        <v>1992.0500000000002</v>
      </c>
    </row>
    <row r="5" spans="1:18">
      <c r="B5" t="s">
        <v>23</v>
      </c>
      <c r="G5" t="s">
        <v>24</v>
      </c>
      <c r="J5">
        <v>2</v>
      </c>
      <c r="K5">
        <v>20.86</v>
      </c>
      <c r="L5">
        <f t="shared" si="0"/>
        <v>41.72</v>
      </c>
      <c r="P5">
        <f t="shared" ref="P5:P10" si="1">K5</f>
        <v>20.86</v>
      </c>
      <c r="Q5">
        <f t="shared" ref="Q5:Q31" si="2">J5*P5</f>
        <v>41.72</v>
      </c>
    </row>
    <row r="6" spans="1:18">
      <c r="B6" t="s">
        <v>28</v>
      </c>
      <c r="J6">
        <v>14</v>
      </c>
      <c r="K6">
        <v>3.5</v>
      </c>
      <c r="L6">
        <f t="shared" si="0"/>
        <v>49</v>
      </c>
    </row>
    <row r="7" spans="1:18">
      <c r="B7" t="s">
        <v>107</v>
      </c>
      <c r="J7">
        <v>2</v>
      </c>
      <c r="K7">
        <v>8.2899999999999991</v>
      </c>
      <c r="L7">
        <f t="shared" si="0"/>
        <v>16.579999999999998</v>
      </c>
    </row>
    <row r="8" spans="1:18">
      <c r="B8" t="s">
        <v>19</v>
      </c>
      <c r="J8">
        <v>1</v>
      </c>
      <c r="K8">
        <v>900</v>
      </c>
      <c r="L8">
        <f t="shared" si="0"/>
        <v>900</v>
      </c>
      <c r="P8">
        <f t="shared" si="1"/>
        <v>900</v>
      </c>
      <c r="Q8">
        <f t="shared" si="2"/>
        <v>900</v>
      </c>
    </row>
    <row r="9" spans="1:18">
      <c r="B9" t="s">
        <v>40</v>
      </c>
      <c r="G9" t="s">
        <v>41</v>
      </c>
      <c r="J9">
        <v>1</v>
      </c>
      <c r="K9">
        <v>9.6999999999999993</v>
      </c>
      <c r="L9">
        <f t="shared" si="0"/>
        <v>9.6999999999999993</v>
      </c>
      <c r="P9">
        <f t="shared" si="1"/>
        <v>9.6999999999999993</v>
      </c>
      <c r="Q9">
        <f t="shared" si="2"/>
        <v>9.6999999999999993</v>
      </c>
    </row>
    <row r="10" spans="1:18">
      <c r="B10" t="s">
        <v>46</v>
      </c>
      <c r="G10" t="s">
        <v>47</v>
      </c>
      <c r="J10">
        <v>2</v>
      </c>
      <c r="K10">
        <v>2.7</v>
      </c>
      <c r="L10">
        <f t="shared" si="0"/>
        <v>5.4</v>
      </c>
      <c r="P10">
        <f t="shared" si="1"/>
        <v>2.7</v>
      </c>
      <c r="Q10">
        <f t="shared" si="2"/>
        <v>5.4</v>
      </c>
    </row>
    <row r="11" spans="1:18">
      <c r="B11" t="s">
        <v>25</v>
      </c>
      <c r="J11">
        <v>2</v>
      </c>
      <c r="K11">
        <v>30.6</v>
      </c>
      <c r="L11">
        <f t="shared" si="0"/>
        <v>61.2</v>
      </c>
      <c r="P11">
        <v>60</v>
      </c>
      <c r="Q11">
        <f t="shared" si="2"/>
        <v>120</v>
      </c>
    </row>
    <row r="12" spans="1:18">
      <c r="B12" t="s">
        <v>29</v>
      </c>
      <c r="G12" t="s">
        <v>30</v>
      </c>
      <c r="J12">
        <v>2</v>
      </c>
      <c r="K12" s="3">
        <v>13.88</v>
      </c>
      <c r="L12">
        <f t="shared" si="0"/>
        <v>27.76</v>
      </c>
      <c r="P12">
        <f>K12</f>
        <v>13.88</v>
      </c>
      <c r="Q12">
        <f t="shared" si="2"/>
        <v>27.76</v>
      </c>
    </row>
    <row r="13" spans="1:18">
      <c r="B13" t="s">
        <v>35</v>
      </c>
      <c r="J13">
        <v>1</v>
      </c>
      <c r="K13" s="3">
        <v>19.39</v>
      </c>
      <c r="L13">
        <f t="shared" si="0"/>
        <v>19.39</v>
      </c>
      <c r="P13">
        <f>K13</f>
        <v>19.39</v>
      </c>
      <c r="Q13">
        <f t="shared" si="2"/>
        <v>19.39</v>
      </c>
    </row>
    <row r="14" spans="1:18">
      <c r="B14" t="s">
        <v>101</v>
      </c>
      <c r="G14" t="s">
        <v>102</v>
      </c>
      <c r="J14">
        <v>2</v>
      </c>
      <c r="K14" s="3">
        <v>58.53</v>
      </c>
      <c r="L14">
        <f t="shared" si="0"/>
        <v>117.06</v>
      </c>
      <c r="P14">
        <v>120</v>
      </c>
      <c r="Q14">
        <f t="shared" si="2"/>
        <v>240</v>
      </c>
    </row>
    <row r="15" spans="1:18">
      <c r="B15" t="s">
        <v>108</v>
      </c>
      <c r="G15" t="s">
        <v>109</v>
      </c>
      <c r="J15">
        <v>1</v>
      </c>
      <c r="K15" s="3">
        <v>5</v>
      </c>
      <c r="L15">
        <f t="shared" si="0"/>
        <v>5</v>
      </c>
    </row>
    <row r="16" spans="1:18">
      <c r="B16" t="s">
        <v>113</v>
      </c>
      <c r="G16" t="s">
        <v>109</v>
      </c>
      <c r="J16">
        <v>1</v>
      </c>
      <c r="K16" s="3">
        <v>1</v>
      </c>
      <c r="L16">
        <f t="shared" si="0"/>
        <v>1</v>
      </c>
    </row>
    <row r="17" spans="2:17">
      <c r="B17" t="s">
        <v>111</v>
      </c>
      <c r="G17" t="s">
        <v>109</v>
      </c>
      <c r="J17">
        <v>4</v>
      </c>
      <c r="K17" s="3">
        <v>2</v>
      </c>
      <c r="L17">
        <f t="shared" si="0"/>
        <v>8</v>
      </c>
    </row>
    <row r="18" spans="2:17">
      <c r="B18" t="s">
        <v>110</v>
      </c>
      <c r="G18" t="s">
        <v>109</v>
      </c>
      <c r="J18">
        <v>1</v>
      </c>
      <c r="K18" s="3">
        <v>4</v>
      </c>
      <c r="L18">
        <f t="shared" si="0"/>
        <v>4</v>
      </c>
    </row>
    <row r="19" spans="2:17">
      <c r="B19" t="s">
        <v>114</v>
      </c>
      <c r="G19" t="s">
        <v>109</v>
      </c>
      <c r="J19">
        <v>6</v>
      </c>
      <c r="K19" s="3">
        <v>1</v>
      </c>
      <c r="L19">
        <f t="shared" si="0"/>
        <v>6</v>
      </c>
    </row>
    <row r="20" spans="2:17">
      <c r="B20" t="s">
        <v>115</v>
      </c>
      <c r="G20" t="s">
        <v>109</v>
      </c>
      <c r="J20">
        <v>1</v>
      </c>
      <c r="K20" s="3">
        <v>1</v>
      </c>
      <c r="L20">
        <f t="shared" si="0"/>
        <v>1</v>
      </c>
    </row>
    <row r="21" spans="2:17">
      <c r="B21" t="s">
        <v>116</v>
      </c>
      <c r="G21" t="s">
        <v>109</v>
      </c>
      <c r="J21">
        <v>4</v>
      </c>
      <c r="K21" s="3">
        <v>0.5</v>
      </c>
      <c r="L21">
        <f t="shared" si="0"/>
        <v>2</v>
      </c>
    </row>
    <row r="22" spans="2:17">
      <c r="B22" t="s">
        <v>106</v>
      </c>
      <c r="G22" t="s">
        <v>100</v>
      </c>
      <c r="J22">
        <v>1</v>
      </c>
      <c r="K22" s="3">
        <v>10</v>
      </c>
      <c r="L22">
        <f t="shared" si="0"/>
        <v>10</v>
      </c>
    </row>
    <row r="23" spans="2:17">
      <c r="B23" t="s">
        <v>105</v>
      </c>
      <c r="G23" t="s">
        <v>100</v>
      </c>
      <c r="J23">
        <v>1</v>
      </c>
      <c r="K23" s="3">
        <v>15</v>
      </c>
      <c r="L23">
        <f t="shared" si="0"/>
        <v>15</v>
      </c>
    </row>
    <row r="24" spans="2:17">
      <c r="B24" t="s">
        <v>104</v>
      </c>
      <c r="G24" t="s">
        <v>100</v>
      </c>
      <c r="J24">
        <v>1</v>
      </c>
      <c r="K24" s="3">
        <v>25</v>
      </c>
      <c r="L24">
        <f t="shared" si="0"/>
        <v>25</v>
      </c>
    </row>
    <row r="25" spans="2:17">
      <c r="B25" t="s">
        <v>112</v>
      </c>
      <c r="J25">
        <v>2</v>
      </c>
      <c r="K25" s="3">
        <v>2</v>
      </c>
      <c r="L25">
        <f t="shared" si="0"/>
        <v>4</v>
      </c>
    </row>
    <row r="26" spans="2:17">
      <c r="B26" t="s">
        <v>21</v>
      </c>
      <c r="J26">
        <v>1</v>
      </c>
      <c r="K26" s="4">
        <f>47.636*$F$1</f>
        <v>65.737679999999997</v>
      </c>
      <c r="L26">
        <f t="shared" si="0"/>
        <v>65.737679999999997</v>
      </c>
      <c r="P26">
        <v>200</v>
      </c>
      <c r="Q26">
        <f t="shared" si="2"/>
        <v>200</v>
      </c>
    </row>
    <row r="27" spans="2:17">
      <c r="B27" t="s">
        <v>42</v>
      </c>
      <c r="J27">
        <v>1</v>
      </c>
      <c r="K27" s="4">
        <f>38.54/5*$F$1</f>
        <v>10.637039999999999</v>
      </c>
      <c r="L27">
        <f t="shared" si="0"/>
        <v>10.637039999999999</v>
      </c>
    </row>
    <row r="28" spans="2:17">
      <c r="B28" t="s">
        <v>38</v>
      </c>
      <c r="J28">
        <v>1</v>
      </c>
      <c r="K28" s="3">
        <v>30</v>
      </c>
      <c r="L28">
        <f t="shared" si="0"/>
        <v>30</v>
      </c>
      <c r="P28">
        <v>160</v>
      </c>
      <c r="Q28">
        <f t="shared" si="2"/>
        <v>160</v>
      </c>
    </row>
    <row r="29" spans="2:17">
      <c r="B29" t="s">
        <v>122</v>
      </c>
      <c r="J29">
        <v>1</v>
      </c>
      <c r="K29" s="3">
        <v>1.82</v>
      </c>
      <c r="L29">
        <f t="shared" si="0"/>
        <v>1.82</v>
      </c>
    </row>
    <row r="30" spans="2:17">
      <c r="B30" t="s">
        <v>66</v>
      </c>
      <c r="J30">
        <v>1</v>
      </c>
      <c r="K30" s="3">
        <f>10.25/10</f>
        <v>1.0249999999999999</v>
      </c>
      <c r="L30">
        <f t="shared" si="0"/>
        <v>1.0249999999999999</v>
      </c>
    </row>
    <row r="31" spans="2:17">
      <c r="B31" t="s">
        <v>99</v>
      </c>
      <c r="G31" t="s">
        <v>100</v>
      </c>
      <c r="J31">
        <v>1</v>
      </c>
      <c r="K31">
        <v>250</v>
      </c>
      <c r="L31">
        <f t="shared" si="0"/>
        <v>250</v>
      </c>
      <c r="P31">
        <v>250</v>
      </c>
      <c r="Q31">
        <f t="shared" si="2"/>
        <v>250</v>
      </c>
    </row>
    <row r="32" spans="2:17">
      <c r="B32" t="s">
        <v>64</v>
      </c>
      <c r="J32">
        <v>6</v>
      </c>
      <c r="K32">
        <v>0.2</v>
      </c>
      <c r="L32">
        <f t="shared" si="0"/>
        <v>1.2000000000000002</v>
      </c>
    </row>
    <row r="33" spans="2:12">
      <c r="B33" t="s">
        <v>85</v>
      </c>
      <c r="J33">
        <v>2</v>
      </c>
      <c r="K33">
        <v>0.2</v>
      </c>
      <c r="L33">
        <f t="shared" si="0"/>
        <v>0.4</v>
      </c>
    </row>
    <row r="34" spans="2:12">
      <c r="B34" t="s">
        <v>71</v>
      </c>
      <c r="J34">
        <v>4</v>
      </c>
      <c r="K34">
        <v>0.2</v>
      </c>
      <c r="L34">
        <f t="shared" si="0"/>
        <v>0.8</v>
      </c>
    </row>
    <row r="35" spans="2:12">
      <c r="B35" t="s">
        <v>86</v>
      </c>
      <c r="J35">
        <v>2</v>
      </c>
      <c r="K35">
        <v>0.2</v>
      </c>
      <c r="L35">
        <f t="shared" si="0"/>
        <v>0.4</v>
      </c>
    </row>
    <row r="36" spans="2:12">
      <c r="B36" t="s">
        <v>49</v>
      </c>
      <c r="J36">
        <v>26</v>
      </c>
      <c r="K36">
        <v>0.2</v>
      </c>
      <c r="L36">
        <f t="shared" si="0"/>
        <v>5.2</v>
      </c>
    </row>
    <row r="37" spans="2:12">
      <c r="B37" t="s">
        <v>52</v>
      </c>
      <c r="J37">
        <v>20</v>
      </c>
      <c r="K37">
        <v>0.2</v>
      </c>
      <c r="L37">
        <f t="shared" si="0"/>
        <v>4</v>
      </c>
    </row>
    <row r="38" spans="2:12">
      <c r="B38" t="s">
        <v>53</v>
      </c>
      <c r="J38">
        <v>20</v>
      </c>
      <c r="K38">
        <v>0.2</v>
      </c>
      <c r="L38">
        <f t="shared" si="0"/>
        <v>4</v>
      </c>
    </row>
    <row r="39" spans="2:12">
      <c r="B39" t="s">
        <v>72</v>
      </c>
      <c r="J39">
        <v>4</v>
      </c>
      <c r="K39">
        <v>0.2</v>
      </c>
      <c r="L39">
        <f t="shared" si="0"/>
        <v>0.8</v>
      </c>
    </row>
    <row r="40" spans="2:12">
      <c r="B40" t="s">
        <v>57</v>
      </c>
      <c r="J40">
        <v>12</v>
      </c>
      <c r="K40">
        <v>0.2</v>
      </c>
      <c r="L40">
        <f t="shared" si="0"/>
        <v>2.4000000000000004</v>
      </c>
    </row>
    <row r="41" spans="2:12">
      <c r="B41" t="s">
        <v>62</v>
      </c>
      <c r="J41">
        <v>4</v>
      </c>
      <c r="K41">
        <v>0.4</v>
      </c>
      <c r="L41">
        <f t="shared" si="0"/>
        <v>1.6</v>
      </c>
    </row>
    <row r="42" spans="2:12">
      <c r="B42" t="s">
        <v>84</v>
      </c>
      <c r="J42">
        <v>1</v>
      </c>
      <c r="K42">
        <v>0.4</v>
      </c>
      <c r="L42">
        <f t="shared" si="0"/>
        <v>0.4</v>
      </c>
    </row>
    <row r="43" spans="2:12">
      <c r="B43" t="s">
        <v>48</v>
      </c>
      <c r="J43">
        <v>1</v>
      </c>
      <c r="K43" s="5">
        <f>3.816*$F$1</f>
        <v>5.2660799999999997</v>
      </c>
      <c r="L43">
        <f t="shared" si="0"/>
        <v>5.2660799999999997</v>
      </c>
    </row>
    <row r="44" spans="2:12">
      <c r="B44" t="s">
        <v>54</v>
      </c>
      <c r="J44">
        <v>1</v>
      </c>
      <c r="K44">
        <f>22.8/10*$F$1</f>
        <v>3.1464000000000003</v>
      </c>
      <c r="L44">
        <f t="shared" si="0"/>
        <v>3.1464000000000003</v>
      </c>
    </row>
    <row r="45" spans="2:12">
      <c r="B45" t="s">
        <v>45</v>
      </c>
      <c r="J45">
        <v>1</v>
      </c>
      <c r="K45">
        <v>4.3</v>
      </c>
      <c r="L45">
        <f t="shared" ref="L26:L71" si="3">K45*J45</f>
        <v>4.3</v>
      </c>
    </row>
    <row r="46" spans="2:12">
      <c r="B46" t="s">
        <v>88</v>
      </c>
      <c r="J46">
        <v>1</v>
      </c>
      <c r="K46">
        <v>0.72199999999999998</v>
      </c>
      <c r="L46">
        <f t="shared" si="3"/>
        <v>0.72199999999999998</v>
      </c>
    </row>
    <row r="47" spans="2:12">
      <c r="B47" t="s">
        <v>73</v>
      </c>
      <c r="J47">
        <v>1</v>
      </c>
      <c r="K47">
        <v>0.45</v>
      </c>
      <c r="L47">
        <f t="shared" si="3"/>
        <v>0.45</v>
      </c>
    </row>
    <row r="48" spans="2:12">
      <c r="B48" t="s">
        <v>82</v>
      </c>
      <c r="J48">
        <v>1</v>
      </c>
      <c r="K48">
        <v>0.747</v>
      </c>
      <c r="L48">
        <f t="shared" si="3"/>
        <v>0.747</v>
      </c>
    </row>
    <row r="49" spans="2:12">
      <c r="B49" t="s">
        <v>39</v>
      </c>
      <c r="J49">
        <v>2</v>
      </c>
      <c r="K49">
        <v>14.02</v>
      </c>
      <c r="L49">
        <f t="shared" si="3"/>
        <v>28.04</v>
      </c>
    </row>
    <row r="50" spans="2:12">
      <c r="B50" t="s">
        <v>44</v>
      </c>
      <c r="J50">
        <v>1</v>
      </c>
      <c r="K50">
        <v>5.67</v>
      </c>
      <c r="L50">
        <f t="shared" si="3"/>
        <v>5.67</v>
      </c>
    </row>
    <row r="51" spans="2:12">
      <c r="B51" t="s">
        <v>59</v>
      </c>
      <c r="J51">
        <v>1</v>
      </c>
      <c r="K51">
        <f>20.64/10</f>
        <v>2.0640000000000001</v>
      </c>
      <c r="L51">
        <f t="shared" si="3"/>
        <v>2.0640000000000001</v>
      </c>
    </row>
    <row r="52" spans="2:12">
      <c r="B52" t="s">
        <v>58</v>
      </c>
      <c r="J52">
        <v>1</v>
      </c>
      <c r="K52">
        <v>7.95</v>
      </c>
      <c r="L52">
        <f t="shared" si="3"/>
        <v>7.95</v>
      </c>
    </row>
    <row r="53" spans="2:12">
      <c r="B53" t="s">
        <v>90</v>
      </c>
      <c r="J53">
        <v>2</v>
      </c>
      <c r="K53">
        <v>0.75</v>
      </c>
      <c r="L53">
        <f t="shared" si="3"/>
        <v>1.5</v>
      </c>
    </row>
    <row r="54" spans="2:12">
      <c r="B54" t="s">
        <v>123</v>
      </c>
      <c r="J54">
        <v>1</v>
      </c>
      <c r="K54">
        <v>9.9499999999999993</v>
      </c>
      <c r="L54">
        <f t="shared" si="3"/>
        <v>9.9499999999999993</v>
      </c>
    </row>
    <row r="55" spans="2:12">
      <c r="B55" t="s">
        <v>124</v>
      </c>
      <c r="J55">
        <v>19</v>
      </c>
      <c r="K55">
        <f>13.95/100</f>
        <v>0.13949999999999999</v>
      </c>
      <c r="L55">
        <f t="shared" si="3"/>
        <v>2.6504999999999996</v>
      </c>
    </row>
    <row r="56" spans="2:12">
      <c r="B56" t="s">
        <v>125</v>
      </c>
      <c r="J56">
        <v>3</v>
      </c>
      <c r="K56" s="10">
        <f>13.95/100</f>
        <v>0.13949999999999999</v>
      </c>
      <c r="L56">
        <f t="shared" si="3"/>
        <v>0.41849999999999998</v>
      </c>
    </row>
    <row r="57" spans="2:12">
      <c r="B57" t="s">
        <v>126</v>
      </c>
      <c r="J57">
        <v>14</v>
      </c>
      <c r="K57">
        <f>8.95/50</f>
        <v>0.17899999999999999</v>
      </c>
      <c r="L57">
        <f t="shared" si="3"/>
        <v>2.5059999999999998</v>
      </c>
    </row>
    <row r="58" spans="2:12">
      <c r="B58" t="s">
        <v>127</v>
      </c>
      <c r="J58">
        <v>2</v>
      </c>
      <c r="K58">
        <v>0.13950000000000001</v>
      </c>
      <c r="L58">
        <f t="shared" si="3"/>
        <v>0.27900000000000003</v>
      </c>
    </row>
    <row r="59" spans="2:12">
      <c r="B59" t="s">
        <v>138</v>
      </c>
      <c r="J59">
        <v>2</v>
      </c>
      <c r="K59">
        <f>5.95/2/3</f>
        <v>0.9916666666666667</v>
      </c>
      <c r="L59">
        <f t="shared" si="3"/>
        <v>1.9833333333333334</v>
      </c>
    </row>
    <row r="60" spans="2:12">
      <c r="B60" t="s">
        <v>63</v>
      </c>
      <c r="J60">
        <v>2</v>
      </c>
      <c r="K60">
        <f>5.02</f>
        <v>5.0199999999999996</v>
      </c>
      <c r="L60">
        <f t="shared" si="3"/>
        <v>10.039999999999999</v>
      </c>
    </row>
    <row r="61" spans="2:12">
      <c r="B61" t="s">
        <v>75</v>
      </c>
      <c r="J61">
        <v>2</v>
      </c>
      <c r="K61">
        <f>5.54/10</f>
        <v>0.55400000000000005</v>
      </c>
      <c r="L61">
        <f t="shared" si="3"/>
        <v>1.1080000000000001</v>
      </c>
    </row>
    <row r="62" spans="2:12">
      <c r="B62" t="s">
        <v>81</v>
      </c>
      <c r="J62">
        <v>1</v>
      </c>
      <c r="K62">
        <v>5.04</v>
      </c>
      <c r="L62">
        <f t="shared" si="3"/>
        <v>5.04</v>
      </c>
    </row>
    <row r="63" spans="2:12">
      <c r="B63" t="s">
        <v>78</v>
      </c>
      <c r="J63">
        <v>1</v>
      </c>
      <c r="K63">
        <f>6.74/10</f>
        <v>0.67400000000000004</v>
      </c>
      <c r="L63">
        <f t="shared" si="3"/>
        <v>0.67400000000000004</v>
      </c>
    </row>
    <row r="64" spans="2:12">
      <c r="B64" t="s">
        <v>74</v>
      </c>
      <c r="J64">
        <v>1</v>
      </c>
      <c r="K64">
        <v>1.06</v>
      </c>
      <c r="L64">
        <f t="shared" si="3"/>
        <v>1.06</v>
      </c>
    </row>
    <row r="65" spans="2:12">
      <c r="B65" t="s">
        <v>69</v>
      </c>
      <c r="J65">
        <v>1</v>
      </c>
      <c r="K65">
        <v>1.55</v>
      </c>
      <c r="L65">
        <f t="shared" si="3"/>
        <v>1.55</v>
      </c>
    </row>
    <row r="66" spans="2:12">
      <c r="B66" t="s">
        <v>79</v>
      </c>
      <c r="J66">
        <v>1</v>
      </c>
      <c r="K66">
        <f>5.6/10</f>
        <v>0.55999999999999994</v>
      </c>
      <c r="L66">
        <f t="shared" si="3"/>
        <v>0.55999999999999994</v>
      </c>
    </row>
    <row r="67" spans="2:12">
      <c r="B67" t="s">
        <v>80</v>
      </c>
      <c r="J67">
        <v>1</v>
      </c>
      <c r="K67">
        <f>5.6/10</f>
        <v>0.55999999999999994</v>
      </c>
      <c r="L67">
        <f t="shared" si="3"/>
        <v>0.55999999999999994</v>
      </c>
    </row>
    <row r="68" spans="2:12">
      <c r="B68" t="s">
        <v>129</v>
      </c>
      <c r="J68">
        <v>0</v>
      </c>
      <c r="L68">
        <f t="shared" si="3"/>
        <v>0</v>
      </c>
    </row>
    <row r="69" spans="2:12">
      <c r="B69" t="s">
        <v>130</v>
      </c>
      <c r="J69">
        <v>0</v>
      </c>
      <c r="L69">
        <f t="shared" si="3"/>
        <v>0</v>
      </c>
    </row>
    <row r="70" spans="2:12">
      <c r="B70" t="s">
        <v>131</v>
      </c>
      <c r="J70">
        <v>1</v>
      </c>
      <c r="K70">
        <f>25.5/100</f>
        <v>0.255</v>
      </c>
      <c r="L70">
        <f t="shared" si="3"/>
        <v>0.255</v>
      </c>
    </row>
    <row r="71" spans="2:12">
      <c r="B71" t="s">
        <v>83</v>
      </c>
      <c r="J71">
        <v>3</v>
      </c>
      <c r="K71">
        <f>1.09/10</f>
        <v>0.10900000000000001</v>
      </c>
      <c r="L71">
        <f t="shared" si="3"/>
        <v>0.32700000000000007</v>
      </c>
    </row>
    <row r="72" spans="2:12">
      <c r="B72" t="s">
        <v>94</v>
      </c>
      <c r="J72">
        <v>3</v>
      </c>
      <c r="K72">
        <f>5.62/10/10</f>
        <v>5.6200000000000007E-2</v>
      </c>
      <c r="L72">
        <f t="shared" ref="L72:L83" si="4">K72*J72</f>
        <v>0.16860000000000003</v>
      </c>
    </row>
    <row r="73" spans="2:12">
      <c r="B73" t="s">
        <v>132</v>
      </c>
      <c r="J73">
        <v>1</v>
      </c>
      <c r="K73">
        <f>5.95/3</f>
        <v>1.9833333333333334</v>
      </c>
      <c r="L73">
        <f t="shared" si="4"/>
        <v>1.9833333333333334</v>
      </c>
    </row>
    <row r="74" spans="2:12">
      <c r="B74" t="s">
        <v>91</v>
      </c>
      <c r="J74">
        <v>2</v>
      </c>
      <c r="K74">
        <f>5.95/25/4</f>
        <v>5.9500000000000004E-2</v>
      </c>
      <c r="L74">
        <f t="shared" si="4"/>
        <v>0.11900000000000001</v>
      </c>
    </row>
    <row r="75" spans="2:12">
      <c r="B75" t="s">
        <v>92</v>
      </c>
      <c r="J75">
        <v>2</v>
      </c>
      <c r="K75">
        <f>5.95/25/4</f>
        <v>5.9500000000000004E-2</v>
      </c>
      <c r="L75">
        <f t="shared" si="4"/>
        <v>0.11900000000000001</v>
      </c>
    </row>
    <row r="76" spans="2:12">
      <c r="B76" t="s">
        <v>77</v>
      </c>
      <c r="J76">
        <v>3</v>
      </c>
      <c r="K76">
        <f>1.8/3</f>
        <v>0.6</v>
      </c>
      <c r="L76">
        <f t="shared" si="4"/>
        <v>1.7999999999999998</v>
      </c>
    </row>
    <row r="77" spans="2:12">
      <c r="B77" t="s">
        <v>133</v>
      </c>
      <c r="J77">
        <v>2</v>
      </c>
      <c r="K77">
        <f>5.95/25/3</f>
        <v>7.9333333333333339E-2</v>
      </c>
      <c r="L77">
        <f t="shared" si="4"/>
        <v>0.15866666666666668</v>
      </c>
    </row>
    <row r="78" spans="2:12">
      <c r="B78" t="s">
        <v>134</v>
      </c>
      <c r="J78">
        <v>2</v>
      </c>
      <c r="K78">
        <f>0.83/50</f>
        <v>1.66E-2</v>
      </c>
      <c r="L78">
        <f t="shared" si="4"/>
        <v>3.32E-2</v>
      </c>
    </row>
    <row r="79" spans="2:12">
      <c r="B79" t="s">
        <v>135</v>
      </c>
      <c r="J79">
        <v>8</v>
      </c>
      <c r="K79">
        <f>1.02/100</f>
        <v>1.0200000000000001E-2</v>
      </c>
      <c r="L79">
        <f t="shared" si="4"/>
        <v>8.1600000000000006E-2</v>
      </c>
    </row>
    <row r="80" spans="2:12">
      <c r="B80" t="s">
        <v>136</v>
      </c>
      <c r="J80">
        <v>1</v>
      </c>
      <c r="K80">
        <f>2.45/4</f>
        <v>0.61250000000000004</v>
      </c>
      <c r="L80">
        <f t="shared" si="4"/>
        <v>0.61250000000000004</v>
      </c>
    </row>
    <row r="81" spans="2:17">
      <c r="B81" t="s">
        <v>137</v>
      </c>
      <c r="J81">
        <v>1</v>
      </c>
      <c r="K81">
        <f>2/2</f>
        <v>1</v>
      </c>
      <c r="L81">
        <f t="shared" si="4"/>
        <v>1</v>
      </c>
    </row>
    <row r="82" spans="2:17">
      <c r="B82" t="s">
        <v>34</v>
      </c>
      <c r="J82">
        <v>1</v>
      </c>
      <c r="K82">
        <v>11.77</v>
      </c>
      <c r="L82">
        <f t="shared" si="4"/>
        <v>11.77</v>
      </c>
    </row>
    <row r="83" spans="2:17">
      <c r="B83" t="s">
        <v>87</v>
      </c>
      <c r="J83">
        <v>1</v>
      </c>
      <c r="K83">
        <f>3.41/10</f>
        <v>0.34100000000000003</v>
      </c>
      <c r="L83">
        <f t="shared" si="4"/>
        <v>0.34100000000000003</v>
      </c>
    </row>
    <row r="84" spans="2:17">
      <c r="O84" t="s">
        <v>120</v>
      </c>
    </row>
    <row r="85" spans="2:17">
      <c r="O85" t="s">
        <v>121</v>
      </c>
      <c r="P85">
        <v>70</v>
      </c>
    </row>
    <row r="87" spans="2:17">
      <c r="Q87">
        <f>SUM(Q4:Q31)</f>
        <v>1992.0500000000002</v>
      </c>
    </row>
  </sheetData>
  <autoFilter ref="A3:L3" xr:uid="{00000000-0001-0000-0000-000000000000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B477D22-4664-44DF-8ACE-AC2D3FC74B8A}">
          <x14:formula1>
            <xm:f>'Ref tables'!$A$3:$A$5</xm:f>
          </x14:formula1>
          <xm:sqref>C4</xm:sqref>
        </x14:dataValidation>
        <x14:dataValidation type="list" allowBlank="1" showInputMessage="1" showErrorMessage="1" xr:uid="{208A2C2F-CF78-4C65-BD2C-C60B1B93786C}">
          <x14:formula1>
            <xm:f>'Ref tables'!$C$3:$C$16</xm:f>
          </x14:formula1>
          <xm:sqref>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0EB2-E4D5-4AE4-A730-4D732C9D5FA8}">
  <dimension ref="A2:H28"/>
  <sheetViews>
    <sheetView workbookViewId="0">
      <selection activeCell="H27" sqref="H27"/>
    </sheetView>
  </sheetViews>
  <sheetFormatPr defaultRowHeight="15"/>
  <cols>
    <col min="1" max="1" width="38" customWidth="1"/>
    <col min="2" max="3" width="19.5703125" customWidth="1"/>
    <col min="5" max="5" width="18.7109375" customWidth="1"/>
  </cols>
  <sheetData>
    <row r="2" spans="1:8">
      <c r="A2" s="1" t="s">
        <v>9</v>
      </c>
      <c r="B2" s="1" t="s">
        <v>10</v>
      </c>
      <c r="C2" s="1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</row>
    <row r="3" spans="1:8">
      <c r="A3" t="s">
        <v>47</v>
      </c>
      <c r="B3" t="s">
        <v>145</v>
      </c>
      <c r="C3" t="s">
        <v>146</v>
      </c>
      <c r="E3" s="2" t="s">
        <v>147</v>
      </c>
      <c r="H3" s="2" t="s">
        <v>148</v>
      </c>
    </row>
    <row r="4" spans="1:8">
      <c r="A4" t="s">
        <v>102</v>
      </c>
      <c r="B4" t="s">
        <v>145</v>
      </c>
      <c r="C4" t="s">
        <v>149</v>
      </c>
      <c r="H4" s="2" t="s">
        <v>150</v>
      </c>
    </row>
    <row r="5" spans="1:8">
      <c r="A5" t="s">
        <v>30</v>
      </c>
    </row>
    <row r="6" spans="1:8">
      <c r="A6" t="s">
        <v>24</v>
      </c>
      <c r="B6" t="s">
        <v>151</v>
      </c>
      <c r="C6" t="s">
        <v>152</v>
      </c>
      <c r="H6" s="2" t="s">
        <v>153</v>
      </c>
    </row>
    <row r="7" spans="1:8">
      <c r="A7" t="s">
        <v>41</v>
      </c>
      <c r="B7" t="s">
        <v>154</v>
      </c>
      <c r="C7" t="s">
        <v>155</v>
      </c>
      <c r="H7" s="2" t="s">
        <v>156</v>
      </c>
    </row>
    <row r="8" spans="1:8">
      <c r="A8" t="s">
        <v>157</v>
      </c>
      <c r="B8" t="s">
        <v>145</v>
      </c>
      <c r="C8" t="s">
        <v>158</v>
      </c>
      <c r="H8" s="2" t="s">
        <v>159</v>
      </c>
    </row>
    <row r="9" spans="1:8">
      <c r="A9" t="s">
        <v>160</v>
      </c>
      <c r="B9" t="s">
        <v>145</v>
      </c>
      <c r="C9" t="s">
        <v>73</v>
      </c>
      <c r="H9" s="2" t="s">
        <v>161</v>
      </c>
    </row>
    <row r="10" spans="1:8" ht="16.5">
      <c r="A10" t="s">
        <v>162</v>
      </c>
      <c r="B10" t="s">
        <v>145</v>
      </c>
      <c r="C10" s="6" t="s">
        <v>39</v>
      </c>
      <c r="H10" s="2" t="s">
        <v>163</v>
      </c>
    </row>
    <row r="11" spans="1:8" ht="16.5">
      <c r="A11" s="7" t="s">
        <v>164</v>
      </c>
      <c r="B11" t="s">
        <v>145</v>
      </c>
      <c r="C11" s="6" t="s">
        <v>44</v>
      </c>
      <c r="H11" s="2" t="s">
        <v>165</v>
      </c>
    </row>
    <row r="12" spans="1:8">
      <c r="A12" t="s">
        <v>166</v>
      </c>
      <c r="B12" t="s">
        <v>145</v>
      </c>
      <c r="C12" t="s">
        <v>122</v>
      </c>
      <c r="H12" s="2" t="s">
        <v>167</v>
      </c>
    </row>
    <row r="13" spans="1:8">
      <c r="A13" s="8" t="s">
        <v>168</v>
      </c>
      <c r="B13" t="s">
        <v>145</v>
      </c>
      <c r="C13" t="s">
        <v>63</v>
      </c>
      <c r="H13" s="2" t="s">
        <v>169</v>
      </c>
    </row>
    <row r="14" spans="1:8">
      <c r="A14" s="8" t="s">
        <v>170</v>
      </c>
      <c r="B14" t="s">
        <v>145</v>
      </c>
      <c r="C14" t="s">
        <v>63</v>
      </c>
      <c r="H14" s="2" t="s">
        <v>171</v>
      </c>
    </row>
    <row r="15" spans="1:8">
      <c r="A15" s="8"/>
      <c r="B15" t="s">
        <v>145</v>
      </c>
      <c r="C15" t="s">
        <v>172</v>
      </c>
      <c r="H15" s="2" t="s">
        <v>173</v>
      </c>
    </row>
    <row r="16" spans="1:8">
      <c r="A16" s="9" t="s">
        <v>174</v>
      </c>
      <c r="B16" t="s">
        <v>145</v>
      </c>
      <c r="C16" t="s">
        <v>175</v>
      </c>
      <c r="H16" s="2" t="s">
        <v>176</v>
      </c>
    </row>
    <row r="17" spans="1:8">
      <c r="A17" s="8" t="s">
        <v>177</v>
      </c>
      <c r="B17" t="s">
        <v>178</v>
      </c>
      <c r="C17" t="s">
        <v>179</v>
      </c>
      <c r="H17" s="2" t="s">
        <v>180</v>
      </c>
    </row>
    <row r="18" spans="1:8">
      <c r="A18" t="s">
        <v>181</v>
      </c>
      <c r="B18" t="s">
        <v>182</v>
      </c>
      <c r="C18" t="s">
        <v>183</v>
      </c>
      <c r="H18" s="2" t="s">
        <v>184</v>
      </c>
    </row>
    <row r="19" spans="1:8">
      <c r="A19" t="s">
        <v>181</v>
      </c>
      <c r="B19" t="s">
        <v>182</v>
      </c>
      <c r="C19" t="s">
        <v>185</v>
      </c>
      <c r="H19" s="2" t="s">
        <v>186</v>
      </c>
    </row>
    <row r="20" spans="1:8">
      <c r="A20" t="s">
        <v>181</v>
      </c>
      <c r="B20" t="s">
        <v>182</v>
      </c>
      <c r="C20" t="s">
        <v>123</v>
      </c>
      <c r="H20" s="2" t="s">
        <v>187</v>
      </c>
    </row>
    <row r="21" spans="1:8">
      <c r="A21" t="s">
        <v>181</v>
      </c>
      <c r="B21" t="s">
        <v>182</v>
      </c>
      <c r="C21" t="s">
        <v>188</v>
      </c>
      <c r="H21" s="2" t="s">
        <v>189</v>
      </c>
    </row>
    <row r="22" spans="1:8">
      <c r="A22" t="s">
        <v>181</v>
      </c>
      <c r="B22" t="s">
        <v>182</v>
      </c>
      <c r="C22" t="s">
        <v>190</v>
      </c>
      <c r="H22" s="2" t="s">
        <v>191</v>
      </c>
    </row>
    <row r="23" spans="1:8">
      <c r="A23" t="s">
        <v>181</v>
      </c>
      <c r="B23" t="s">
        <v>182</v>
      </c>
      <c r="C23" t="s">
        <v>77</v>
      </c>
      <c r="H23" s="2" t="s">
        <v>192</v>
      </c>
    </row>
    <row r="24" spans="1:8">
      <c r="A24" t="s">
        <v>193</v>
      </c>
      <c r="B24" t="s">
        <v>145</v>
      </c>
      <c r="C24" t="s">
        <v>134</v>
      </c>
      <c r="H24" s="2" t="s">
        <v>194</v>
      </c>
    </row>
    <row r="25" spans="1:8">
      <c r="A25" t="s">
        <v>193</v>
      </c>
      <c r="B25" t="s">
        <v>145</v>
      </c>
      <c r="C25" t="s">
        <v>135</v>
      </c>
      <c r="H25" s="2" t="s">
        <v>195</v>
      </c>
    </row>
    <row r="26" spans="1:8">
      <c r="A26" t="s">
        <v>196</v>
      </c>
      <c r="B26" t="s">
        <v>182</v>
      </c>
      <c r="C26" t="s">
        <v>131</v>
      </c>
      <c r="H26" s="2" t="s">
        <v>197</v>
      </c>
    </row>
    <row r="27" spans="1:8">
      <c r="B27" t="s">
        <v>145</v>
      </c>
      <c r="C27" t="s">
        <v>34</v>
      </c>
      <c r="H27" s="2" t="s">
        <v>198</v>
      </c>
    </row>
    <row r="28" spans="1:8">
      <c r="A28" t="s">
        <v>199</v>
      </c>
      <c r="B28" t="s">
        <v>151</v>
      </c>
      <c r="C28" t="s">
        <v>200</v>
      </c>
      <c r="H28" s="2" t="s">
        <v>201</v>
      </c>
    </row>
  </sheetData>
  <hyperlinks>
    <hyperlink ref="H4" r:id="rId1" xr:uid="{1C4C6D6F-4A4A-4169-97F2-E229C80BF582}"/>
    <hyperlink ref="E3" r:id="rId2" xr:uid="{C9EE251C-F37A-43A9-A906-52D6112A9E37}"/>
    <hyperlink ref="H6" r:id="rId3" xr:uid="{A8A055C1-D00E-4906-8B73-3C704B7F11AC}"/>
    <hyperlink ref="H3" r:id="rId4" xr:uid="{E754A792-508A-4B6E-8C11-F808FB34BED2}"/>
    <hyperlink ref="H7" r:id="rId5" xr:uid="{B17B2930-27D5-4091-8721-E9AAFDEFC180}"/>
    <hyperlink ref="H8" r:id="rId6" display="https://www.aliexpress.com/item/1005001621654895.html?spm=a2g0o.productlist.0.0.6b997180Vrw55Z&amp;algo_pvid=d46b8c6e-899c-4f82-bdd5-67ceb6a305fe&amp;aem_p4p_detail=202201021613169325503757218180026035889&amp;algo_exp_id=d46b8c6e-899c-4f82-bdd5-67ceb6a305fe-4&amp;pdp_ext_f=%7B%22sku_id%22%3A%2212000016846434248%22%7D&amp;pdp_pi=-1%3B6.53%3B-1%3BAUD+5.01%40salePrice%3BAUD%3Bsearch-mainSearch" xr:uid="{884AD5F3-DC78-4FC3-B2EE-8CD907655C16}"/>
    <hyperlink ref="H9" r:id="rId7" display="https://www.aliexpress.com/item/4001284318978.html?src=google&amp;memo1=freelisting&amp;src=google&amp;albch=shopping&amp;acnt=708-803-3821&amp;slnk=&amp;plac=&amp;mtctp=&amp;albbt=Google_7_shopping&amp;albagn=888888&amp;isSmbAutoCall=false&amp;needSmbHouyi=false&amp;albcp=11482541945&amp;albag=112620152352&amp;trgt=294682000766&amp;crea=en4001284318978&amp;netw=u&amp;device=c&amp;albpg=294682000766&amp;albpd=en4001284318978&amp;gclid=Cj0KCQiAt8WOBhDbARIsANQLp97R9-7aUC3WTTjC_j8j6jUHbICONUXbdynMpjQq1PG6y_R9j9HJn_YaAsk1EALw_wcB&amp;gclsrc=aw.ds&amp;aff_fcid=f3ee734157db44a381eed29555ad4e5f-1641169837988-07127-UneMJZVf&amp;aff_fsk=UneMJZVf&amp;aff_platform=aaf&amp;sk=UneMJZVf&amp;aff_trace_key=f3ee734157db44a381eed29555ad4e5f-1641169837988-07127-UneMJZVf&amp;terminal_id=a50ed635c0f84518bc54b0ae05c1547a" xr:uid="{0B360880-8ED4-4132-A73F-846E6D4C7DD1}"/>
    <hyperlink ref="H11" r:id="rId8" display="https://www.aliexpress.com/item/4001259499968.html?src=google&amp;src=google&amp;albch=shopping&amp;acnt=708-803-3821&amp;slnk=&amp;plac=&amp;mtctp=&amp;albbt=Google_7_shopping&amp;albagn=888888&amp;isSmbAutoCall=false&amp;needSmbHouyi=false&amp;albcp=11482541945&amp;albag=112620152352&amp;trgt=294682000766&amp;crea=en4001259499968&amp;netw=u&amp;device=c&amp;albpg=294682000766&amp;albpd=en4001259499968&amp;gclid=Cj0KCQiAt8WOBhDbARIsANQLp972WwvjfJ4ZNJ9hDLnG_Bcse3OfdGcFn3rFvpmVDTMBz3-1hOlSMFIaAohREALw_wcB&amp;gclsrc=aw.ds&amp;aff_fcid=7bd6c8d4ec22428f9653bc6d6582a436-1641170324150-06340-UneMJZVf&amp;aff_fsk=UneMJZVf&amp;aff_platform=aaf&amp;sk=UneMJZVf&amp;aff_trace_key=7bd6c8d4ec22428f9653bc6d6582a436-1641170324150-06340-UneMJZVf&amp;terminal_id=a50ed635c0f84518bc54b0ae05c1547a" xr:uid="{6D17EDE9-43E6-47A4-8551-F15C7270C99D}"/>
    <hyperlink ref="H10" r:id="rId9" display="https://www.aliexpress.com/item/4000623822643.html?spm=a2g0o.productlist.0.0.747e1421fBVfrx&amp;algo_pvid=2568b36f-a180-4c56-94c3-59a238658cb4&amp;algo_exp_id=2568b36f-a180-4c56-94c3-59a238658cb4-3&amp;pdp_ext_f=%7B%22sku_id%22%3A%2210000004275033656%22%7D&amp;pdp_pi=-1%3B14.02%3B-1%3B-1%40salePrice%3BAUD%3Bsearch-mainSearch" xr:uid="{878FB5BA-6622-4782-9C12-D5CB05C54EB5}"/>
    <hyperlink ref="H12" r:id="rId10" display="https://www.aliexpress.com/item/1005001878092705.html?src=google&amp;src=google&amp;albch=shopping&amp;acnt=708-803-3821&amp;slnk=&amp;plac=&amp;mtctp=&amp;albbt=Google_7_shopping&amp;albagn=888888&amp;isSmbAutoCall=false&amp;needSmbHouyi=false&amp;albcp=11491017839&amp;albag=113655928713&amp;trgt=743612850714&amp;crea=en1005001878092705&amp;netw=u&amp;device=c&amp;albpg=743612850714&amp;albpd=en1005001878092705&amp;gclid=Cj0KCQiAt8WOBhDbARIsANQLp95w9p55M6yWMHPB4EqMQatab8WnVHD92qayrZ9PxRXiKXSuABKMLJMaAgC_EALw_wcB&amp;gclsrc=aw.ds&amp;aff_fcid=0dc8db2a5323422aa094d3479d01fb04-1641195169884-07582-UneMJZVf&amp;aff_fsk=UneMJZVf&amp;aff_platform=aaf&amp;sk=UneMJZVf&amp;aff_trace_key=0dc8db2a5323422aa094d3479d01fb04-1641195169884-07582-UneMJZVf&amp;terminal_id=a50ed635c0f84518bc54b0ae05c1547a" xr:uid="{7B529BA5-7D9E-4E09-819C-74B30656074F}"/>
    <hyperlink ref="H13" r:id="rId11" display="https://www.aliexpress.com/item/4000783917698.html?src=google&amp;src=google&amp;albch=shopping&amp;acnt=708-803-3821&amp;slnk=&amp;plac=&amp;mtctp=&amp;albbt=Google_7_shopping&amp;albagn=888888&amp;isSmbAutoCall=false&amp;needSmbHouyi=false&amp;albcp=11491017839&amp;albag=113655928713&amp;trgt=743612850714&amp;crea=en4000783917698&amp;netw=u&amp;device=c&amp;albpg=743612850714&amp;albpd=en4000783917698&amp;gclid=Cj0KCQiA2sqOBhCGARIsAPuPK0gUMBWOIP8X758GHKDzMzHg0VINZ17j2gzUpaI0vSSGtgfx_xah0jUaAlE-EALw_wcB&amp;gclsrc=aw.ds&amp;aff_fcid=b2c306ce59294ed98db3a1066e67c63e-1641197781437-06246-UneMJZVf&amp;aff_fsk=UneMJZVf&amp;aff_platform=aaf&amp;sk=UneMJZVf&amp;aff_trace_key=b2c306ce59294ed98db3a1066e67c63e-1641197781437-06246-UneMJZVf&amp;terminal_id=a50ed635c0f84518bc54b0ae05c1547a" xr:uid="{0A5D3256-E7B8-48A3-BD54-1BFDC23477E8}"/>
    <hyperlink ref="H14" r:id="rId12" display="https://www.aliexpress.com/item/1005003635570367.html?_randl_currency=AUD&amp;_randl_shipto=AU&amp;src=google&amp;src=google&amp;albch=shopping&amp;acnt=708-803-3821&amp;slnk=&amp;plac=&amp;mtctp=&amp;albbt=Google_7_shopping&amp;albagn=888888&amp;isSmbAutoCall=false&amp;needSmbHouyi=false&amp;albcp=11491017839&amp;albag=113655928713&amp;trgt=743612850714&amp;crea=en1005003635570367&amp;netw=u&amp;device=c&amp;albpg=743612850714&amp;albpd=en1005003635570367&amp;gclid=Cj0KCQiA2sqOBhCGARIsAPuPK0gVImSb371N4ZzA21EzZPLBfSMXEf4y0wabG1WEIdtCoHuS-ZyTgbMaAp4EEALw_wcB&amp;gclsrc=aw.ds&amp;aff_fcid=856414f5e76f42a6bd9114249c21ccad-1641197783053-00717-UneMJZVf&amp;aff_fsk=UneMJZVf&amp;aff_platform=aaf&amp;sk=UneMJZVf&amp;aff_trace_key=856414f5e76f42a6bd9114249c21ccad-1641197783053-00717-UneMJZVf&amp;terminal_id=a50ed635c0f84518bc54b0ae05c1547a" xr:uid="{11D60584-118F-4DB9-8E25-0A6611E78DAD}"/>
    <hyperlink ref="H15" r:id="rId13" display="https://www.aliexpress.com/item/4001296614713.html?src=google&amp;src=google&amp;albch=shopping&amp;acnt=708-803-3821&amp;slnk=&amp;plac=&amp;mtctp=&amp;albbt=Google_7_shopping&amp;albagn=888888&amp;isSmbAutoCall=false&amp;needSmbHouyi=false&amp;albcp=11491017839&amp;albag=113655928713&amp;trgt=743612850714&amp;crea=en4001296614713&amp;netw=u&amp;device=c&amp;albpg=743612850714&amp;albpd=en4001296614713&amp;gclid=Cj0KCQiA2sqOBhCGARIsAPuPK0jLDHg79hLNWKkRG8ZHDHJL8l3jy-1fdLRcU0xFSB0JNW9uVAHvcOEaAs_FEALw_wcB&amp;gclsrc=aw.ds&amp;aff_fcid=35b3afd651a74dd6a7d346ec99875cd0-1641198341909-04840-UneMJZVf&amp;aff_fsk=UneMJZVf&amp;aff_platform=aaf&amp;sk=UneMJZVf&amp;aff_trace_key=35b3afd651a74dd6a7d346ec99875cd0-1641198341909-04840-UneMJZVf&amp;terminal_id=a50ed635c0f84518bc54b0ae05c1547a" xr:uid="{3FF7AFF3-BA3D-4407-A0DC-0715D1B32D59}"/>
    <hyperlink ref="H16" r:id="rId14" display="https://www.aliexpress.com/item/4000080606850.html?spm=a2g0o.detail.1000060.1.6ebe518ew5zAxJ&amp;gps-id=pcDetailBottomMoreThisSeller&amp;scm=1007.13339.169870.0&amp;scm_id=1007.13339.169870.0&amp;scm-url=1007.13339.169870.0&amp;pvid=39ce27b9-bce5-412e-a168-4f3763b2c458&amp;_t=gps-id:pcDetailBottomMoreThisSeller,scm-url:1007.13339.169870.0,pvid:39ce27b9-bce5-412e-a168-4f3763b2c458,tpp_buckets:668%232846%238116%232002&amp;&amp;pdp_ext_f=%7B%22sceneId%22:%223339%22,%22sku_id%22:%2210000000211393680%22%7D" xr:uid="{7B4D7AA0-3E34-47C1-BE77-1205718C39CD}"/>
    <hyperlink ref="H17" r:id="rId15" display="https://www.aliexpress.com/item/32843745477.html?spm=a2g0o.detail.1000014.4.31b771c628GtBa&amp;gps-id=pcDetailBottomMoreOtherSeller&amp;scm=1007.13338.192131.0&amp;scm_id=1007.13338.192131.0&amp;scm-url=1007.13338.192131.0&amp;pvid=5c06c440-f2c4-4893-ba6a-da842a91016d&amp;_t=gps-id:pcDetailBottomMoreOtherSeller,scm-url:1007.13338.192131.0,pvid:5c06c440-f2c4-4893-ba6a-da842a91016d,tpp_buckets:668%232846%238116%232002&amp;&amp;pdp_ext_f=%7B%22sceneId%22:%2223416%22,%22sku_id%22:%2265158134517%22%7D" xr:uid="{4D92E868-3671-43F5-AFA2-AB8E4B42A73C}"/>
    <hyperlink ref="H18" r:id="rId16" xr:uid="{533387DA-D18F-40D2-B88A-C74A349ADC96}"/>
    <hyperlink ref="H19" r:id="rId17" xr:uid="{63CF9265-C698-4DCC-A52D-7497EE0A50FD}"/>
    <hyperlink ref="H20" r:id="rId18" xr:uid="{312E1F9F-CA36-4251-A7E5-CDE6A4F82836}"/>
    <hyperlink ref="H21" r:id="rId19" xr:uid="{98599C22-FF71-4975-B68A-CDC1D3005702}"/>
    <hyperlink ref="H22" r:id="rId20" xr:uid="{DE2466DB-7B49-4A17-9531-BA3DAE4A821B}"/>
    <hyperlink ref="H23" r:id="rId21" xr:uid="{608C23AE-45DB-4D23-84C9-343AD30B1258}"/>
    <hyperlink ref="H24" r:id="rId22" display="https://www.aliexpress.com/item/1005002211356735.html?spm=a2g0o.detail.1000060.2.15f3748dt89cf2&amp;gps-id=pcDetailBottomMoreThisSeller&amp;scm=1007.13339.169870.0&amp;scm_id=1007.13339.169870.0&amp;scm-url=1007.13339.169870.0&amp;pvid=04c1a4fb-19e3-4512-afd8-e5794505f059&amp;_t=gps-id:pcDetailBottomMoreThisSeller,scm-url:1007.13339.169870.0,pvid:04c1a4fb-19e3-4512-afd8-e5794505f059,tpp_buckets:668%232846%238116%232002&amp;&amp;pdp_ext_f=%7B%22sceneId%22:%223339%22,%22sku_id%22:%2212000019284204211%22%7D" xr:uid="{3DA6D04C-8F41-4FB7-9E96-2B0DC2B10B85}"/>
    <hyperlink ref="H25" r:id="rId23" display="https://www.aliexpress.com/item/1005002211947512.html?spm=a2g0o.detail.1000060.1.55ba449c7Gg4l8&amp;gps-id=pcDetailBottomMoreThisSeller&amp;scm=1007.13339.169870.0&amp;scm_id=1007.13339.169870.0&amp;scm-url=1007.13339.169870.0&amp;pvid=2e712589-10dd-4108-a374-2b8682426cf7&amp;_t=gps-id:pcDetailBottomMoreThisSeller,scm-url:1007.13339.169870.0,pvid:2e712589-10dd-4108-a374-2b8682426cf7,tpp_buckets:668%232846%238116%232002&amp;&amp;pdp_ext_f=%7B%22sceneId%22:%223339%22,%22sku_id%22:%2212000019285446875%22%7D" xr:uid="{597987BE-DF50-4C87-B15D-95B74FCC1B03}"/>
    <hyperlink ref="H26" r:id="rId24" xr:uid="{6FF83CC4-A498-478A-8DCA-DBE26D96BCD6}"/>
    <hyperlink ref="H27" r:id="rId25" display="https://www.aliexpress.com/item/32909887277.html?_randl_currency=AUD&amp;_randl_shipto=AU&amp;src=google&amp;src=google&amp;albch=shopping&amp;acnt=708-803-3821&amp;slnk=&amp;plac=&amp;mtctp=&amp;albbt=Google_7_shopping&amp;albagn=888888&amp;isSmbAutoCall=false&amp;needSmbHouyi=false&amp;albcp=9437580887&amp;albag=98363632680&amp;trgt=743612850714&amp;crea=en32909887277&amp;netw=u&amp;device=c&amp;albpg=743612850714&amp;albpd=en32909887277&amp;gclid=Cj0KCQiA_c-OBhDFARIsAIFg3exexBig5QE9ZYs8i1v560hazddEfGRyzwol_F1olINShplrvu56OGgaAlwNEALw_wcB&amp;gclsrc=aw.ds&amp;aff_fcid=cd03786307824eca8533d1948cfb2034-1641351349981-09691-UneMJZVf&amp;aff_fsk=UneMJZVf&amp;aff_platform=aaf&amp;sk=UneMJZVf&amp;aff_trace_key=cd03786307824eca8533d1948cfb2034-1641351349981-09691-UneMJZVf&amp;terminal_id=a50ed635c0f84518bc54b0ae05c1547a" xr:uid="{87E7A981-1818-4169-875A-004043EC5087}"/>
    <hyperlink ref="H28" r:id="rId26" xr:uid="{E93542EA-6B47-4393-85A8-3FF5B7B933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1D13-EA8C-4DEE-94BE-8849ADE17150}">
  <dimension ref="A2:C6"/>
  <sheetViews>
    <sheetView workbookViewId="0">
      <selection activeCell="A3" sqref="A3"/>
    </sheetView>
  </sheetViews>
  <sheetFormatPr defaultRowHeight="15"/>
  <cols>
    <col min="1" max="1" width="13.28515625" bestFit="1" customWidth="1"/>
    <col min="3" max="3" width="14.5703125" customWidth="1"/>
  </cols>
  <sheetData>
    <row r="2" spans="1:3">
      <c r="A2" s="1" t="s">
        <v>202</v>
      </c>
      <c r="C2" s="1" t="s">
        <v>203</v>
      </c>
    </row>
    <row r="3" spans="1:3">
      <c r="A3" t="s">
        <v>37</v>
      </c>
      <c r="C3" t="s">
        <v>204</v>
      </c>
    </row>
    <row r="4" spans="1:3">
      <c r="A4" t="s">
        <v>205</v>
      </c>
      <c r="C4" t="s">
        <v>206</v>
      </c>
    </row>
    <row r="5" spans="1:3">
      <c r="A5" t="s">
        <v>207</v>
      </c>
      <c r="C5" t="s">
        <v>208</v>
      </c>
    </row>
    <row r="6" spans="1:3">
      <c r="A6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85A1-BF08-461D-8538-7F11B3F8294F}">
  <dimension ref="A1:Q69"/>
  <sheetViews>
    <sheetView workbookViewId="0">
      <selection activeCell="B62" sqref="B62"/>
    </sheetView>
  </sheetViews>
  <sheetFormatPr defaultRowHeight="15"/>
  <cols>
    <col min="2" max="2" width="49.85546875" bestFit="1" customWidth="1"/>
    <col min="11" max="11" width="14.140625" customWidth="1"/>
  </cols>
  <sheetData>
    <row r="1" spans="1:16">
      <c r="A1" s="1" t="s">
        <v>3</v>
      </c>
      <c r="B1" s="1" t="s">
        <v>4</v>
      </c>
      <c r="C1" t="s">
        <v>210</v>
      </c>
      <c r="D1" t="s">
        <v>211</v>
      </c>
      <c r="E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</row>
    <row r="2" spans="1:16">
      <c r="B2" t="s">
        <v>36</v>
      </c>
      <c r="C2">
        <v>10</v>
      </c>
      <c r="E2">
        <f>_xlfn.XLOOKUP(B2,'part list current'!$B$4:$B$91,'part list current'!$J$4:$J$91)*('part list current'!$C$1+1)*(1+D2)</f>
        <v>22</v>
      </c>
      <c r="G2" t="b">
        <f>E2&gt;C2</f>
        <v>1</v>
      </c>
      <c r="H2">
        <f>IF(G2,E2-C2,0)</f>
        <v>12</v>
      </c>
      <c r="I2">
        <v>1</v>
      </c>
      <c r="L2">
        <v>6</v>
      </c>
      <c r="M2">
        <v>6</v>
      </c>
      <c r="N2">
        <f t="shared" ref="N2:N65" si="0">C2+I2-M2-E2</f>
        <v>-17</v>
      </c>
      <c r="O2">
        <f>M2</f>
        <v>6</v>
      </c>
      <c r="P2" s="13">
        <f>IF(ISBLANK(M2),0,O2-C2)</f>
        <v>-4</v>
      </c>
    </row>
    <row r="3" spans="1:16">
      <c r="B3" t="s">
        <v>23</v>
      </c>
      <c r="C3">
        <v>10</v>
      </c>
      <c r="E3">
        <f>_xlfn.XLOOKUP(B3,'part list current'!$B$4:$B$91,'part list current'!$J$4:$J$91)*('part list current'!$C$1+1)*(1+D3)</f>
        <v>22</v>
      </c>
      <c r="G3" t="b">
        <f t="shared" ref="G3:G26" si="1">E3&gt;C3</f>
        <v>1</v>
      </c>
      <c r="H3">
        <f t="shared" ref="H3:H69" si="2">IF(G3,E3-C3,0)</f>
        <v>12</v>
      </c>
      <c r="I3">
        <v>1</v>
      </c>
      <c r="L3">
        <v>6</v>
      </c>
      <c r="M3">
        <v>6</v>
      </c>
      <c r="N3">
        <f t="shared" si="0"/>
        <v>-17</v>
      </c>
      <c r="O3">
        <f t="shared" ref="O3:O66" si="3">M3</f>
        <v>6</v>
      </c>
      <c r="P3" s="13">
        <f>IF(ISBLANK(M3),0,O3-C3)</f>
        <v>-4</v>
      </c>
    </row>
    <row r="4" spans="1:16">
      <c r="B4" t="s">
        <v>28</v>
      </c>
      <c r="C4">
        <v>36</v>
      </c>
      <c r="E4">
        <f>_xlfn.XLOOKUP(B4,'part list current'!$B$4:$B$91,'part list current'!$J$4:$J$91)*('part list current'!$C$1+1)*(1+D4)</f>
        <v>88</v>
      </c>
      <c r="G4" t="b">
        <f t="shared" si="1"/>
        <v>1</v>
      </c>
      <c r="H4">
        <f t="shared" si="2"/>
        <v>52</v>
      </c>
      <c r="L4">
        <v>24</v>
      </c>
      <c r="M4">
        <v>24</v>
      </c>
      <c r="N4">
        <f t="shared" si="0"/>
        <v>-76</v>
      </c>
      <c r="O4">
        <f t="shared" si="3"/>
        <v>24</v>
      </c>
      <c r="P4" s="13">
        <f>IF(ISBLANK(M4),0,O4-C4)</f>
        <v>-12</v>
      </c>
    </row>
    <row r="5" spans="1:16">
      <c r="B5" t="s">
        <v>32</v>
      </c>
      <c r="C5">
        <v>36</v>
      </c>
      <c r="E5">
        <f>_xlfn.XLOOKUP(B5,'part list current'!$B$4:$B$91,'part list current'!$J$4:$J$91)*('part list current'!$C$1+1)*(1+D5)</f>
        <v>66</v>
      </c>
      <c r="G5" t="b">
        <f t="shared" si="1"/>
        <v>1</v>
      </c>
      <c r="H5">
        <f t="shared" si="2"/>
        <v>30</v>
      </c>
      <c r="L5">
        <v>18</v>
      </c>
      <c r="M5">
        <v>18</v>
      </c>
      <c r="N5">
        <f t="shared" si="0"/>
        <v>-48</v>
      </c>
      <c r="O5">
        <f t="shared" si="3"/>
        <v>18</v>
      </c>
      <c r="P5" s="13">
        <f>IF(ISBLANK(M5),0,O5-C5)</f>
        <v>-18</v>
      </c>
    </row>
    <row r="6" spans="1:16">
      <c r="B6" t="s">
        <v>107</v>
      </c>
      <c r="E6">
        <f>_xlfn.XLOOKUP(B6,'part list current'!$B$4:$B$91,'part list current'!$J$4:$J$91)*('part list current'!$C$1+1)*(1+D6)</f>
        <v>0</v>
      </c>
      <c r="G6" t="b">
        <f t="shared" si="1"/>
        <v>0</v>
      </c>
      <c r="H6">
        <f t="shared" si="2"/>
        <v>0</v>
      </c>
      <c r="L6">
        <v>0</v>
      </c>
      <c r="O6">
        <f t="shared" si="3"/>
        <v>0</v>
      </c>
      <c r="P6" s="13">
        <f>IF(ISBLANK(M6),0,O6-C6)</f>
        <v>0</v>
      </c>
    </row>
    <row r="7" spans="1:16">
      <c r="B7" t="s">
        <v>19</v>
      </c>
      <c r="E7">
        <f>_xlfn.XLOOKUP(B7,'part list current'!$B$4:$B$91,'part list current'!$J$4:$J$91)*('part list current'!$C$1+1)*(1+D7)</f>
        <v>11</v>
      </c>
      <c r="G7" t="b">
        <f t="shared" si="1"/>
        <v>1</v>
      </c>
      <c r="H7">
        <f t="shared" si="2"/>
        <v>11</v>
      </c>
      <c r="L7">
        <v>0</v>
      </c>
      <c r="O7">
        <f t="shared" si="3"/>
        <v>0</v>
      </c>
      <c r="P7" s="13">
        <f>IF(ISBLANK(M7),0,O7-C7)</f>
        <v>0</v>
      </c>
    </row>
    <row r="8" spans="1:16">
      <c r="B8" t="s">
        <v>40</v>
      </c>
      <c r="E8">
        <f>_xlfn.XLOOKUP(B8,'part list current'!$B$4:$B$91,'part list current'!$J$4:$J$91)*('part list current'!$C$1+1)*(1+D8)</f>
        <v>11</v>
      </c>
      <c r="G8" t="b">
        <f t="shared" si="1"/>
        <v>1</v>
      </c>
      <c r="H8">
        <f t="shared" si="2"/>
        <v>11</v>
      </c>
      <c r="L8">
        <v>0</v>
      </c>
      <c r="O8">
        <f t="shared" si="3"/>
        <v>0</v>
      </c>
      <c r="P8" s="13">
        <f>IF(ISBLANK(M8),0,O8-C8)</f>
        <v>0</v>
      </c>
    </row>
    <row r="9" spans="1:16">
      <c r="B9" t="s">
        <v>46</v>
      </c>
      <c r="E9">
        <f>_xlfn.XLOOKUP(B9,'part list current'!$B$4:$B$91,'part list current'!$J$4:$J$91)*('part list current'!$C$1+1)*(1+D9)</f>
        <v>22</v>
      </c>
      <c r="G9" t="b">
        <f t="shared" si="1"/>
        <v>1</v>
      </c>
      <c r="H9">
        <f t="shared" si="2"/>
        <v>22</v>
      </c>
      <c r="L9">
        <v>6</v>
      </c>
      <c r="O9">
        <f t="shared" si="3"/>
        <v>0</v>
      </c>
      <c r="P9" s="13">
        <f>IF(ISBLANK(M9),0,O9-C9)</f>
        <v>0</v>
      </c>
    </row>
    <row r="10" spans="1:16">
      <c r="B10" t="s">
        <v>25</v>
      </c>
      <c r="C10">
        <v>10</v>
      </c>
      <c r="E10">
        <f>_xlfn.XLOOKUP(B10,'part list current'!$B$4:$B$91,'part list current'!$J$4:$J$91)*('part list current'!$C$1+1)*(1+D10)</f>
        <v>22</v>
      </c>
      <c r="G10" t="b">
        <f t="shared" si="1"/>
        <v>1</v>
      </c>
      <c r="H10">
        <f t="shared" si="2"/>
        <v>12</v>
      </c>
      <c r="I10">
        <v>4</v>
      </c>
      <c r="J10" t="s">
        <v>223</v>
      </c>
      <c r="K10" t="s">
        <v>224</v>
      </c>
      <c r="L10">
        <v>2</v>
      </c>
      <c r="M10">
        <v>2</v>
      </c>
      <c r="N10">
        <f t="shared" si="0"/>
        <v>-10</v>
      </c>
      <c r="O10">
        <f t="shared" si="3"/>
        <v>2</v>
      </c>
      <c r="P10" s="13">
        <f>IF(ISBLANK(M10),0,O10-C10)</f>
        <v>-8</v>
      </c>
    </row>
    <row r="11" spans="1:16">
      <c r="B11" t="s">
        <v>29</v>
      </c>
      <c r="E11">
        <f>_xlfn.XLOOKUP(B11,'part list current'!$B$4:$B$91,'part list current'!$J$4:$J$91)*('part list current'!$C$1+1)*(1+D11)</f>
        <v>22</v>
      </c>
      <c r="G11" t="b">
        <f t="shared" si="1"/>
        <v>1</v>
      </c>
      <c r="H11">
        <f t="shared" si="2"/>
        <v>22</v>
      </c>
      <c r="L11">
        <v>0</v>
      </c>
      <c r="O11">
        <f t="shared" si="3"/>
        <v>0</v>
      </c>
      <c r="P11" s="13">
        <f>IF(ISBLANK(M11),0,O11-C11)</f>
        <v>0</v>
      </c>
    </row>
    <row r="12" spans="1:16">
      <c r="B12" t="s">
        <v>35</v>
      </c>
      <c r="C12">
        <v>2</v>
      </c>
      <c r="E12">
        <f>_xlfn.XLOOKUP(B12,'part list current'!$B$4:$B$91,'part list current'!$J$4:$J$91)*('part list current'!$C$1+1)*(1+D12)</f>
        <v>11</v>
      </c>
      <c r="G12" t="b">
        <f t="shared" si="1"/>
        <v>1</v>
      </c>
      <c r="H12">
        <f t="shared" si="2"/>
        <v>9</v>
      </c>
      <c r="I12">
        <v>5</v>
      </c>
      <c r="J12" t="s">
        <v>223</v>
      </c>
      <c r="K12" t="s">
        <v>225</v>
      </c>
      <c r="L12">
        <v>3</v>
      </c>
      <c r="M12">
        <v>2</v>
      </c>
      <c r="N12">
        <f t="shared" si="0"/>
        <v>-6</v>
      </c>
      <c r="O12">
        <f t="shared" si="3"/>
        <v>2</v>
      </c>
      <c r="P12" s="13">
        <f>IF(ISBLANK(M12),0,O12-C12)</f>
        <v>0</v>
      </c>
    </row>
    <row r="13" spans="1:16">
      <c r="B13" t="s">
        <v>101</v>
      </c>
      <c r="C13">
        <v>6</v>
      </c>
      <c r="E13">
        <f>_xlfn.XLOOKUP(B13,'part list current'!$B$4:$B$91,'part list current'!$J$4:$J$91)*('part list current'!$C$1+1)*(1+D13)</f>
        <v>22</v>
      </c>
      <c r="G13" t="b">
        <f t="shared" si="1"/>
        <v>1</v>
      </c>
      <c r="H13">
        <f t="shared" si="2"/>
        <v>16</v>
      </c>
      <c r="I13">
        <v>6</v>
      </c>
      <c r="J13" t="s">
        <v>226</v>
      </c>
      <c r="K13" t="s">
        <v>227</v>
      </c>
      <c r="L13">
        <v>5</v>
      </c>
      <c r="M13">
        <v>5</v>
      </c>
      <c r="N13">
        <f t="shared" si="0"/>
        <v>-15</v>
      </c>
      <c r="O13">
        <f t="shared" si="3"/>
        <v>5</v>
      </c>
      <c r="P13" s="13">
        <f>IF(ISBLANK(M13),0,O13-C13)</f>
        <v>-1</v>
      </c>
    </row>
    <row r="14" spans="1:16" s="11" customFormat="1">
      <c r="B14" s="12" t="s">
        <v>108</v>
      </c>
      <c r="E14" s="11">
        <f>_xlfn.XLOOKUP(B14,'part list current'!$B$4:$B$91,'part list current'!$J$4:$J$91)*('part list current'!$C$1+1)*(1+D14)</f>
        <v>0</v>
      </c>
      <c r="G14" s="11" t="b">
        <f t="shared" si="1"/>
        <v>0</v>
      </c>
      <c r="H14" s="11">
        <f t="shared" si="2"/>
        <v>0</v>
      </c>
      <c r="L14" s="11">
        <v>0</v>
      </c>
      <c r="N14"/>
      <c r="O14">
        <f t="shared" si="3"/>
        <v>0</v>
      </c>
      <c r="P14" s="13">
        <f>IF(ISBLANK(M14),0,O14-C14)</f>
        <v>0</v>
      </c>
    </row>
    <row r="15" spans="1:16" s="11" customFormat="1">
      <c r="B15" s="12" t="s">
        <v>113</v>
      </c>
      <c r="E15" s="11">
        <f>_xlfn.XLOOKUP(B15,'part list current'!$B$4:$B$91,'part list current'!$J$4:$J$91)*('part list current'!$C$1+1)*(1+D15)</f>
        <v>0</v>
      </c>
      <c r="G15" s="11" t="b">
        <f t="shared" si="1"/>
        <v>0</v>
      </c>
      <c r="H15" s="11">
        <f t="shared" si="2"/>
        <v>0</v>
      </c>
      <c r="L15" s="11">
        <v>0</v>
      </c>
      <c r="N15"/>
      <c r="O15">
        <f t="shared" si="3"/>
        <v>0</v>
      </c>
      <c r="P15" s="13">
        <f>IF(ISBLANK(M15),0,O15-C15)</f>
        <v>0</v>
      </c>
    </row>
    <row r="16" spans="1:16" s="11" customFormat="1">
      <c r="B16" s="12" t="s">
        <v>111</v>
      </c>
      <c r="E16" s="11">
        <f>_xlfn.XLOOKUP(B16,'part list current'!$B$4:$B$91,'part list current'!$J$4:$J$91)*('part list current'!$C$1+1)*(1+D16)</f>
        <v>0</v>
      </c>
      <c r="G16" s="11" t="b">
        <f t="shared" si="1"/>
        <v>0</v>
      </c>
      <c r="H16" s="11">
        <f t="shared" si="2"/>
        <v>0</v>
      </c>
      <c r="L16" s="11">
        <v>0</v>
      </c>
      <c r="N16"/>
      <c r="O16">
        <f t="shared" si="3"/>
        <v>0</v>
      </c>
      <c r="P16" s="13">
        <f>IF(ISBLANK(M16),0,O16-C16)</f>
        <v>0</v>
      </c>
    </row>
    <row r="17" spans="2:17" s="11" customFormat="1">
      <c r="B17" s="12" t="s">
        <v>110</v>
      </c>
      <c r="E17" s="11">
        <f>_xlfn.XLOOKUP(B17,'part list current'!$B$4:$B$91,'part list current'!$J$4:$J$91)*('part list current'!$C$1+1)*(1+D17)</f>
        <v>0</v>
      </c>
      <c r="G17" s="11" t="b">
        <f t="shared" si="1"/>
        <v>0</v>
      </c>
      <c r="H17" s="11">
        <f t="shared" si="2"/>
        <v>0</v>
      </c>
      <c r="L17" s="11">
        <v>0</v>
      </c>
      <c r="N17"/>
      <c r="O17">
        <f t="shared" si="3"/>
        <v>0</v>
      </c>
      <c r="P17" s="13">
        <f>IF(ISBLANK(M17),0,O17-C17)</f>
        <v>0</v>
      </c>
    </row>
    <row r="18" spans="2:17" s="11" customFormat="1">
      <c r="B18" s="12" t="s">
        <v>114</v>
      </c>
      <c r="E18" s="11">
        <f>_xlfn.XLOOKUP(B18,'part list current'!$B$4:$B$91,'part list current'!$J$4:$J$91)*('part list current'!$C$1+1)*(1+D18)</f>
        <v>0</v>
      </c>
      <c r="G18" s="11" t="b">
        <f t="shared" si="1"/>
        <v>0</v>
      </c>
      <c r="H18" s="11">
        <f t="shared" si="2"/>
        <v>0</v>
      </c>
      <c r="L18" s="11">
        <v>0</v>
      </c>
      <c r="N18"/>
      <c r="O18">
        <f t="shared" si="3"/>
        <v>0</v>
      </c>
      <c r="P18" s="13">
        <f>IF(ISBLANK(M18),0,O18-C18)</f>
        <v>0</v>
      </c>
    </row>
    <row r="19" spans="2:17" s="11" customFormat="1">
      <c r="B19" s="12" t="s">
        <v>115</v>
      </c>
      <c r="E19" s="11">
        <f>_xlfn.XLOOKUP(B19,'part list current'!$B$4:$B$91,'part list current'!$J$4:$J$91)*('part list current'!$C$1+1)*(1+D19)</f>
        <v>0</v>
      </c>
      <c r="G19" s="11" t="b">
        <f t="shared" si="1"/>
        <v>0</v>
      </c>
      <c r="H19" s="11">
        <f t="shared" si="2"/>
        <v>0</v>
      </c>
      <c r="L19" s="11">
        <v>0</v>
      </c>
      <c r="N19"/>
      <c r="O19">
        <f t="shared" si="3"/>
        <v>0</v>
      </c>
      <c r="P19" s="13">
        <f>IF(ISBLANK(M19),0,O19-C19)</f>
        <v>0</v>
      </c>
    </row>
    <row r="20" spans="2:17" s="11" customFormat="1">
      <c r="B20" s="12" t="s">
        <v>116</v>
      </c>
      <c r="E20" s="11">
        <f>_xlfn.XLOOKUP(B20,'part list current'!$B$4:$B$91,'part list current'!$J$4:$J$91)*('part list current'!$C$1+1)*(1+D20)</f>
        <v>0</v>
      </c>
      <c r="G20" s="11" t="b">
        <f t="shared" si="1"/>
        <v>0</v>
      </c>
      <c r="H20" s="11">
        <f t="shared" si="2"/>
        <v>0</v>
      </c>
      <c r="L20" s="11">
        <v>0</v>
      </c>
      <c r="N20"/>
      <c r="O20">
        <f t="shared" si="3"/>
        <v>0</v>
      </c>
      <c r="P20" s="13">
        <f>IF(ISBLANK(M20),0,O20-C20)</f>
        <v>0</v>
      </c>
    </row>
    <row r="21" spans="2:17" s="11" customFormat="1">
      <c r="B21" s="12" t="s">
        <v>106</v>
      </c>
      <c r="E21" s="11">
        <f>_xlfn.XLOOKUP(B21,'part list current'!$B$4:$B$91,'part list current'!$J$4:$J$91)*('part list current'!$C$1+1)*(1+D21)</f>
        <v>0</v>
      </c>
      <c r="G21" s="11" t="b">
        <f t="shared" si="1"/>
        <v>0</v>
      </c>
      <c r="H21" s="11">
        <f t="shared" si="2"/>
        <v>0</v>
      </c>
      <c r="L21" s="11">
        <v>0</v>
      </c>
      <c r="N21"/>
      <c r="O21">
        <f t="shared" si="3"/>
        <v>0</v>
      </c>
      <c r="P21" s="13">
        <f>IF(ISBLANK(M21),0,O21-C21)</f>
        <v>0</v>
      </c>
    </row>
    <row r="22" spans="2:17" s="11" customFormat="1">
      <c r="B22" s="12" t="s">
        <v>105</v>
      </c>
      <c r="E22" s="11">
        <f>_xlfn.XLOOKUP(B22,'part list current'!$B$4:$B$91,'part list current'!$J$4:$J$91)*('part list current'!$C$1+1)*(1+D22)</f>
        <v>0</v>
      </c>
      <c r="G22" s="11" t="b">
        <f t="shared" si="1"/>
        <v>0</v>
      </c>
      <c r="H22" s="11">
        <f t="shared" si="2"/>
        <v>0</v>
      </c>
      <c r="L22" s="11">
        <v>0</v>
      </c>
      <c r="N22"/>
      <c r="O22">
        <f t="shared" si="3"/>
        <v>0</v>
      </c>
      <c r="P22" s="13">
        <f>IF(ISBLANK(M22),0,O22-C22)</f>
        <v>0</v>
      </c>
    </row>
    <row r="23" spans="2:17" s="11" customFormat="1">
      <c r="B23" s="12" t="s">
        <v>104</v>
      </c>
      <c r="E23" s="11">
        <f>_xlfn.XLOOKUP(B23,'part list current'!$B$4:$B$91,'part list current'!$J$4:$J$91)*('part list current'!$C$1+1)*(1+D23)</f>
        <v>0</v>
      </c>
      <c r="G23" s="11" t="b">
        <f t="shared" si="1"/>
        <v>0</v>
      </c>
      <c r="H23" s="11">
        <f t="shared" si="2"/>
        <v>0</v>
      </c>
      <c r="L23" s="11">
        <v>0</v>
      </c>
      <c r="N23"/>
      <c r="O23">
        <f t="shared" si="3"/>
        <v>0</v>
      </c>
      <c r="P23" s="13">
        <f>IF(ISBLANK(M23),0,O23-C23)</f>
        <v>0</v>
      </c>
    </row>
    <row r="24" spans="2:17">
      <c r="B24" t="s">
        <v>112</v>
      </c>
      <c r="C24">
        <v>10</v>
      </c>
      <c r="D24">
        <v>0</v>
      </c>
      <c r="E24">
        <f>_xlfn.XLOOKUP(B24,'part list current'!$B$4:$B$91,'part list current'!$J$4:$J$91)*('part list current'!$C$1+1)*(1+D24)</f>
        <v>0</v>
      </c>
      <c r="G24" t="b">
        <f t="shared" si="1"/>
        <v>0</v>
      </c>
      <c r="H24">
        <f t="shared" si="2"/>
        <v>0</v>
      </c>
      <c r="L24">
        <v>0</v>
      </c>
      <c r="O24">
        <f t="shared" si="3"/>
        <v>0</v>
      </c>
      <c r="P24" s="13">
        <f>IF(ISBLANK(M24),0,O24-C24)</f>
        <v>0</v>
      </c>
    </row>
    <row r="25" spans="2:17">
      <c r="B25" t="s">
        <v>43</v>
      </c>
      <c r="C25">
        <v>10</v>
      </c>
      <c r="E25">
        <f>_xlfn.XLOOKUP(B25,'part list current'!$B$4:$B$91,'part list current'!$J$4:$J$91)*('part list current'!$C$1+1)*(1+D25)</f>
        <v>22</v>
      </c>
      <c r="G25" t="b">
        <f t="shared" si="1"/>
        <v>1</v>
      </c>
      <c r="H25">
        <f t="shared" si="2"/>
        <v>12</v>
      </c>
      <c r="L25">
        <v>6</v>
      </c>
      <c r="M25">
        <v>6</v>
      </c>
      <c r="N25">
        <f>C25+I25-M25-E25</f>
        <v>-18</v>
      </c>
      <c r="O25">
        <f t="shared" si="3"/>
        <v>6</v>
      </c>
      <c r="P25" s="13">
        <f>IF(ISBLANK(M25),0,O25-C25)</f>
        <v>-4</v>
      </c>
    </row>
    <row r="26" spans="2:17">
      <c r="B26" t="s">
        <v>21</v>
      </c>
      <c r="C26">
        <v>5</v>
      </c>
      <c r="D26">
        <v>0</v>
      </c>
      <c r="E26">
        <f>_xlfn.XLOOKUP(B26,'part list current'!$B$4:$B$91,'part list current'!$J$4:$J$91)*('part list current'!$C$1+1)*(1+D26)</f>
        <v>11</v>
      </c>
      <c r="G26" t="b">
        <f t="shared" si="1"/>
        <v>1</v>
      </c>
      <c r="H26">
        <f t="shared" si="2"/>
        <v>6</v>
      </c>
      <c r="L26">
        <v>3</v>
      </c>
      <c r="M26">
        <v>3</v>
      </c>
      <c r="N26">
        <f t="shared" si="0"/>
        <v>-9</v>
      </c>
      <c r="O26">
        <f t="shared" si="3"/>
        <v>3</v>
      </c>
      <c r="P26" s="13">
        <f>IF(ISBLANK(M26),0,O26-C26)</f>
        <v>-2</v>
      </c>
      <c r="Q26">
        <v>5</v>
      </c>
    </row>
    <row r="27" spans="2:17">
      <c r="B27" t="s">
        <v>38</v>
      </c>
      <c r="C27">
        <v>6</v>
      </c>
      <c r="D27">
        <v>0</v>
      </c>
      <c r="E27">
        <f>_xlfn.XLOOKUP(B27,'part list current'!$B$4:$B$91,'part list current'!$J$4:$J$91)*('part list current'!$C$1+1)*(1+D27)</f>
        <v>11</v>
      </c>
      <c r="G27" t="b">
        <f>E27&gt;C27</f>
        <v>1</v>
      </c>
      <c r="H27">
        <f t="shared" si="2"/>
        <v>5</v>
      </c>
      <c r="L27">
        <v>3</v>
      </c>
      <c r="M27">
        <v>3</v>
      </c>
      <c r="N27">
        <f t="shared" si="0"/>
        <v>-8</v>
      </c>
      <c r="O27">
        <f t="shared" si="3"/>
        <v>3</v>
      </c>
      <c r="P27" s="13">
        <f>IF(ISBLANK(M27),0,O27-C27)</f>
        <v>-3</v>
      </c>
      <c r="Q27">
        <v>4</v>
      </c>
    </row>
    <row r="28" spans="2:17">
      <c r="B28" t="s">
        <v>122</v>
      </c>
      <c r="C28">
        <v>6</v>
      </c>
      <c r="D28">
        <v>0</v>
      </c>
      <c r="E28" t="e">
        <f>_xlfn.XLOOKUP(B28,'part list current'!$B$4:$B$91,'part list current'!$J$4:$J$91)*('part list current'!$C$1+1)*(1+D28)</f>
        <v>#N/A</v>
      </c>
      <c r="G28" t="e">
        <f>E28&gt;C28</f>
        <v>#N/A</v>
      </c>
      <c r="H28" t="e">
        <f t="shared" si="2"/>
        <v>#N/A</v>
      </c>
      <c r="L28">
        <v>3</v>
      </c>
      <c r="M28">
        <v>3</v>
      </c>
      <c r="N28" t="e">
        <f t="shared" si="0"/>
        <v>#N/A</v>
      </c>
      <c r="O28">
        <f t="shared" si="3"/>
        <v>3</v>
      </c>
      <c r="P28" s="13">
        <f>IF(ISBLANK(M28),0,O28-C28)</f>
        <v>-3</v>
      </c>
      <c r="Q28">
        <v>10</v>
      </c>
    </row>
    <row r="29" spans="2:17">
      <c r="B29" s="12" t="s">
        <v>99</v>
      </c>
      <c r="E29">
        <f>_xlfn.XLOOKUP(B29,'part list current'!$B$4:$B$91,'part list current'!$J$4:$J$91)*('part list current'!$C$1+1)*(1+D29)</f>
        <v>0</v>
      </c>
      <c r="G29" t="b">
        <f>E29&gt;C29</f>
        <v>0</v>
      </c>
      <c r="H29">
        <f t="shared" si="2"/>
        <v>0</v>
      </c>
      <c r="L29">
        <v>0</v>
      </c>
      <c r="O29">
        <f t="shared" si="3"/>
        <v>0</v>
      </c>
      <c r="P29" s="13">
        <f>IF(ISBLANK(M29),0,O29-C29)</f>
        <v>0</v>
      </c>
    </row>
    <row r="30" spans="2:17">
      <c r="B30" t="s">
        <v>64</v>
      </c>
      <c r="E30">
        <f>_xlfn.XLOOKUP(B30,'part list current'!$B$4:$B$91,'part list current'!$J$4:$J$91)*('part list current'!$C$1+1)*(1+D30)</f>
        <v>66</v>
      </c>
      <c r="G30" t="b">
        <f t="shared" ref="G30:G43" si="4">E30&gt;C30</f>
        <v>1</v>
      </c>
      <c r="H30">
        <f t="shared" si="2"/>
        <v>66</v>
      </c>
      <c r="L30">
        <v>0</v>
      </c>
      <c r="O30">
        <f t="shared" si="3"/>
        <v>0</v>
      </c>
      <c r="P30" s="13">
        <f>IF(ISBLANK(M30),0,O30-C30)</f>
        <v>0</v>
      </c>
    </row>
    <row r="31" spans="2:17">
      <c r="B31" t="s">
        <v>85</v>
      </c>
      <c r="E31">
        <f>_xlfn.XLOOKUP(B31,'part list current'!$B$4:$B$91,'part list current'!$J$4:$J$91)*('part list current'!$C$1+1)*(1+D31)</f>
        <v>22</v>
      </c>
      <c r="G31" t="b">
        <f t="shared" si="4"/>
        <v>1</v>
      </c>
      <c r="H31">
        <f t="shared" si="2"/>
        <v>22</v>
      </c>
      <c r="L31">
        <v>0</v>
      </c>
      <c r="O31">
        <f t="shared" si="3"/>
        <v>0</v>
      </c>
      <c r="P31" s="13">
        <f>IF(ISBLANK(M31),0,O31-C31)</f>
        <v>0</v>
      </c>
    </row>
    <row r="32" spans="2:17">
      <c r="B32" t="s">
        <v>71</v>
      </c>
      <c r="E32">
        <f>_xlfn.XLOOKUP(B32,'part list current'!$B$4:$B$91,'part list current'!$J$4:$J$91)*('part list current'!$C$1+1)*(1+D32)</f>
        <v>44</v>
      </c>
      <c r="G32" t="b">
        <f t="shared" si="4"/>
        <v>1</v>
      </c>
      <c r="H32">
        <f t="shared" si="2"/>
        <v>44</v>
      </c>
      <c r="L32">
        <v>0</v>
      </c>
      <c r="O32">
        <f t="shared" si="3"/>
        <v>0</v>
      </c>
      <c r="P32" s="13">
        <f>IF(ISBLANK(M32),0,O32-C32)</f>
        <v>0</v>
      </c>
    </row>
    <row r="33" spans="2:17">
      <c r="B33" t="s">
        <v>86</v>
      </c>
      <c r="E33">
        <f>_xlfn.XLOOKUP(B33,'part list current'!$B$4:$B$91,'part list current'!$J$4:$J$91)*('part list current'!$C$1+1)*(1+D33)</f>
        <v>22</v>
      </c>
      <c r="G33" t="b">
        <f t="shared" si="4"/>
        <v>1</v>
      </c>
      <c r="H33">
        <f t="shared" si="2"/>
        <v>22</v>
      </c>
      <c r="L33">
        <v>0</v>
      </c>
      <c r="O33">
        <f t="shared" si="3"/>
        <v>0</v>
      </c>
      <c r="P33" s="13">
        <f>IF(ISBLANK(M33),0,O33-C33)</f>
        <v>0</v>
      </c>
    </row>
    <row r="34" spans="2:17">
      <c r="B34" t="s">
        <v>49</v>
      </c>
      <c r="E34">
        <f>_xlfn.XLOOKUP(B34,'part list current'!$B$4:$B$91,'part list current'!$J$4:$J$91)*('part list current'!$C$1+1)*(1+D34)</f>
        <v>286</v>
      </c>
      <c r="G34" t="b">
        <f t="shared" si="4"/>
        <v>1</v>
      </c>
      <c r="H34">
        <f t="shared" si="2"/>
        <v>286</v>
      </c>
      <c r="L34">
        <v>0</v>
      </c>
      <c r="O34">
        <f t="shared" si="3"/>
        <v>0</v>
      </c>
      <c r="P34" s="13">
        <f>IF(ISBLANK(M34),0,O34-C34)</f>
        <v>0</v>
      </c>
    </row>
    <row r="35" spans="2:17">
      <c r="B35" t="s">
        <v>52</v>
      </c>
      <c r="E35">
        <f>_xlfn.XLOOKUP(B35,'part list current'!$B$4:$B$91,'part list current'!$J$4:$J$91)*('part list current'!$C$1+1)*(1+D35)</f>
        <v>220</v>
      </c>
      <c r="G35" t="b">
        <f t="shared" si="4"/>
        <v>1</v>
      </c>
      <c r="H35">
        <f t="shared" si="2"/>
        <v>220</v>
      </c>
      <c r="L35">
        <v>0</v>
      </c>
      <c r="O35">
        <f t="shared" si="3"/>
        <v>0</v>
      </c>
      <c r="P35" s="13">
        <f>IF(ISBLANK(M35),0,O35-C35)</f>
        <v>0</v>
      </c>
    </row>
    <row r="36" spans="2:17">
      <c r="B36" t="s">
        <v>53</v>
      </c>
      <c r="E36">
        <f>_xlfn.XLOOKUP(B36,'part list current'!$B$4:$B$91,'part list current'!$J$4:$J$91)*('part list current'!$C$1+1)*(1+D36)</f>
        <v>220</v>
      </c>
      <c r="G36" t="b">
        <f t="shared" si="4"/>
        <v>1</v>
      </c>
      <c r="H36">
        <f t="shared" si="2"/>
        <v>220</v>
      </c>
      <c r="L36">
        <v>0</v>
      </c>
      <c r="O36">
        <f t="shared" si="3"/>
        <v>0</v>
      </c>
      <c r="P36" s="13">
        <f>IF(ISBLANK(M36),0,O36-C36)</f>
        <v>0</v>
      </c>
    </row>
    <row r="37" spans="2:17">
      <c r="B37" t="s">
        <v>72</v>
      </c>
      <c r="E37">
        <f>_xlfn.XLOOKUP(B37,'part list current'!$B$4:$B$91,'part list current'!$J$4:$J$91)*('part list current'!$C$1+1)*(1+D37)</f>
        <v>44</v>
      </c>
      <c r="G37" t="b">
        <f t="shared" si="4"/>
        <v>1</v>
      </c>
      <c r="H37">
        <f t="shared" si="2"/>
        <v>44</v>
      </c>
      <c r="L37">
        <v>0</v>
      </c>
      <c r="O37">
        <f t="shared" si="3"/>
        <v>0</v>
      </c>
      <c r="P37" s="13">
        <f>IF(ISBLANK(M37),0,O37-C37)</f>
        <v>0</v>
      </c>
    </row>
    <row r="38" spans="2:17">
      <c r="B38" t="s">
        <v>57</v>
      </c>
      <c r="E38">
        <f>_xlfn.XLOOKUP(B38,'part list current'!$B$4:$B$91,'part list current'!$J$4:$J$91)*('part list current'!$C$1+1)*(1+D38)</f>
        <v>132</v>
      </c>
      <c r="G38" t="b">
        <f t="shared" si="4"/>
        <v>1</v>
      </c>
      <c r="H38">
        <f t="shared" si="2"/>
        <v>132</v>
      </c>
      <c r="L38">
        <v>0</v>
      </c>
      <c r="O38">
        <f t="shared" si="3"/>
        <v>0</v>
      </c>
      <c r="P38" s="13">
        <f>IF(ISBLANK(M38),0,O38-C38)</f>
        <v>0</v>
      </c>
    </row>
    <row r="39" spans="2:17">
      <c r="B39" t="s">
        <v>62</v>
      </c>
      <c r="E39">
        <f>_xlfn.XLOOKUP(B39,'part list current'!$B$4:$B$91,'part list current'!$J$4:$J$91)*('part list current'!$C$1+1)*(1+D39)</f>
        <v>44</v>
      </c>
      <c r="G39" t="b">
        <f t="shared" si="4"/>
        <v>1</v>
      </c>
      <c r="H39">
        <f t="shared" si="2"/>
        <v>44</v>
      </c>
      <c r="L39">
        <v>0</v>
      </c>
      <c r="O39">
        <f t="shared" si="3"/>
        <v>0</v>
      </c>
      <c r="P39" s="13">
        <f>IF(ISBLANK(M39),0,O39-C39)</f>
        <v>0</v>
      </c>
    </row>
    <row r="40" spans="2:17">
      <c r="B40" t="s">
        <v>84</v>
      </c>
      <c r="E40">
        <f>_xlfn.XLOOKUP(B40,'part list current'!$B$4:$B$91,'part list current'!$J$4:$J$91)*('part list current'!$C$1+1)*(1+D40)</f>
        <v>11</v>
      </c>
      <c r="G40" t="b">
        <f t="shared" si="4"/>
        <v>1</v>
      </c>
      <c r="H40">
        <f t="shared" si="2"/>
        <v>11</v>
      </c>
      <c r="L40">
        <v>0</v>
      </c>
      <c r="O40">
        <f t="shared" si="3"/>
        <v>0</v>
      </c>
      <c r="P40" s="13">
        <f>IF(ISBLANK(M40),0,O40-C40)</f>
        <v>0</v>
      </c>
    </row>
    <row r="41" spans="2:17">
      <c r="B41" t="s">
        <v>48</v>
      </c>
      <c r="C41">
        <v>10</v>
      </c>
      <c r="D41">
        <v>0.1</v>
      </c>
      <c r="E41">
        <f>_xlfn.XLOOKUP(B41,'part list current'!$B$4:$B$91,'part list current'!$J$4:$J$91)*('part list current'!$C$1+1)*(1+D41)</f>
        <v>12.100000000000001</v>
      </c>
      <c r="G41" t="b">
        <f t="shared" si="4"/>
        <v>1</v>
      </c>
      <c r="H41">
        <f t="shared" si="2"/>
        <v>2.1000000000000014</v>
      </c>
      <c r="L41">
        <v>3</v>
      </c>
      <c r="N41">
        <f t="shared" si="0"/>
        <v>-2.1000000000000014</v>
      </c>
      <c r="O41">
        <f t="shared" si="3"/>
        <v>0</v>
      </c>
      <c r="P41" s="13">
        <f>IF(ISBLANK(M41),0,O41-C41)</f>
        <v>0</v>
      </c>
    </row>
    <row r="42" spans="2:17">
      <c r="B42" t="s">
        <v>60</v>
      </c>
      <c r="C42">
        <v>3</v>
      </c>
      <c r="E42">
        <f>_xlfn.XLOOKUP(B42,'part list current'!$B$4:$B$91,'part list current'!$J$4:$J$91)*('part list current'!$C$1+1)*(1+D42)</f>
        <v>11</v>
      </c>
      <c r="G42" t="b">
        <f t="shared" si="4"/>
        <v>1</v>
      </c>
      <c r="H42">
        <v>3</v>
      </c>
      <c r="L42">
        <v>0</v>
      </c>
      <c r="O42">
        <f t="shared" si="3"/>
        <v>0</v>
      </c>
      <c r="P42" s="13">
        <f>IF(ISBLANK(M42),0,O42-C42)</f>
        <v>0</v>
      </c>
    </row>
    <row r="43" spans="2:17">
      <c r="B43" t="s">
        <v>45</v>
      </c>
      <c r="C43">
        <v>3</v>
      </c>
      <c r="D43">
        <v>0</v>
      </c>
      <c r="E43">
        <f>_xlfn.XLOOKUP(B43,'part list current'!$B$4:$B$91,'part list current'!$J$4:$J$91)*('part list current'!$C$1+1)*(1+D43)</f>
        <v>11</v>
      </c>
      <c r="G43" t="b">
        <f t="shared" si="4"/>
        <v>1</v>
      </c>
      <c r="H43">
        <f t="shared" si="2"/>
        <v>8</v>
      </c>
      <c r="I43">
        <v>6</v>
      </c>
      <c r="J43" t="s">
        <v>223</v>
      </c>
      <c r="K43" t="s">
        <v>228</v>
      </c>
      <c r="L43">
        <v>3</v>
      </c>
      <c r="M43">
        <v>2</v>
      </c>
      <c r="N43">
        <f t="shared" si="0"/>
        <v>-4</v>
      </c>
      <c r="O43">
        <f t="shared" si="3"/>
        <v>2</v>
      </c>
      <c r="P43" s="13">
        <f>IF(ISBLANK(M43),0,O43-C43)</f>
        <v>-1</v>
      </c>
    </row>
    <row r="44" spans="2:17">
      <c r="B44" t="s">
        <v>73</v>
      </c>
      <c r="C44">
        <v>4</v>
      </c>
      <c r="D44">
        <v>0.1</v>
      </c>
      <c r="E44">
        <f>_xlfn.XLOOKUP(B44,'part list current'!$B$4:$B$91,'part list current'!$J$4:$J$91)*('part list current'!$C$1+1)*(1+D44)</f>
        <v>12.100000000000001</v>
      </c>
      <c r="G44" t="b">
        <f>E44&gt;C44</f>
        <v>1</v>
      </c>
      <c r="H44">
        <f t="shared" si="2"/>
        <v>8.1000000000000014</v>
      </c>
      <c r="I44">
        <v>3</v>
      </c>
      <c r="J44" t="s">
        <v>229</v>
      </c>
      <c r="K44" t="s">
        <v>224</v>
      </c>
      <c r="L44">
        <v>3</v>
      </c>
      <c r="M44">
        <v>3</v>
      </c>
      <c r="N44">
        <f t="shared" si="0"/>
        <v>-8.1000000000000014</v>
      </c>
      <c r="O44">
        <f t="shared" si="3"/>
        <v>3</v>
      </c>
      <c r="P44" s="13">
        <f>IF(ISBLANK(M44),0,O44-C44)</f>
        <v>-1</v>
      </c>
      <c r="Q44">
        <v>6</v>
      </c>
    </row>
    <row r="45" spans="2:17">
      <c r="B45" t="s">
        <v>39</v>
      </c>
      <c r="C45">
        <v>4</v>
      </c>
      <c r="D45">
        <v>0</v>
      </c>
      <c r="E45">
        <f>_xlfn.XLOOKUP(B45,'part list current'!$B$4:$B$91,'part list current'!$J$4:$J$91)*('part list current'!$C$1+1)*(1+D45)</f>
        <v>22</v>
      </c>
      <c r="G45" t="b">
        <f>E45&gt;C45</f>
        <v>1</v>
      </c>
      <c r="H45">
        <f t="shared" si="2"/>
        <v>18</v>
      </c>
      <c r="I45">
        <v>10</v>
      </c>
      <c r="J45" t="s">
        <v>223</v>
      </c>
      <c r="K45" t="s">
        <v>224</v>
      </c>
      <c r="L45">
        <v>6</v>
      </c>
      <c r="M45">
        <v>6</v>
      </c>
      <c r="N45">
        <f t="shared" si="0"/>
        <v>-14</v>
      </c>
      <c r="O45">
        <f t="shared" si="3"/>
        <v>6</v>
      </c>
      <c r="P45" s="13">
        <f>IF(ISBLANK(M45),0,O45-C45)</f>
        <v>2</v>
      </c>
      <c r="Q45">
        <v>10</v>
      </c>
    </row>
    <row r="46" spans="2:17">
      <c r="B46" t="s">
        <v>44</v>
      </c>
      <c r="C46">
        <v>3</v>
      </c>
      <c r="D46">
        <v>0</v>
      </c>
      <c r="E46">
        <f>_xlfn.XLOOKUP(B46,'part list current'!$B$4:$B$91,'part list current'!$J$4:$J$91)*('part list current'!$C$1+1)*(1+D46)</f>
        <v>11</v>
      </c>
      <c r="G46" t="b">
        <f>E46&gt;C46</f>
        <v>1</v>
      </c>
      <c r="H46">
        <f t="shared" si="2"/>
        <v>8</v>
      </c>
      <c r="I46">
        <v>6</v>
      </c>
      <c r="J46" t="s">
        <v>223</v>
      </c>
      <c r="K46" t="s">
        <v>225</v>
      </c>
      <c r="L46">
        <v>3</v>
      </c>
      <c r="M46">
        <v>0</v>
      </c>
      <c r="N46">
        <v>0</v>
      </c>
      <c r="O46">
        <f t="shared" si="3"/>
        <v>0</v>
      </c>
      <c r="P46" s="13">
        <f>IF(ISBLANK(M46),0,O46-C46)</f>
        <v>-3</v>
      </c>
      <c r="Q46">
        <v>0</v>
      </c>
    </row>
    <row r="47" spans="2:17">
      <c r="B47" t="s">
        <v>58</v>
      </c>
      <c r="C47">
        <v>3</v>
      </c>
      <c r="D47">
        <v>0</v>
      </c>
      <c r="E47">
        <f>_xlfn.XLOOKUP(B47,'part list current'!$B$4:$B$91,'part list current'!$J$4:$J$91)*('part list current'!$C$1+1)*(1+D47)</f>
        <v>11</v>
      </c>
      <c r="G47" t="b">
        <f>E47&gt;C47</f>
        <v>1</v>
      </c>
      <c r="H47">
        <f t="shared" si="2"/>
        <v>8</v>
      </c>
      <c r="I47">
        <v>4</v>
      </c>
      <c r="J47" t="s">
        <v>181</v>
      </c>
      <c r="K47" t="s">
        <v>224</v>
      </c>
      <c r="L47">
        <v>3</v>
      </c>
      <c r="M47">
        <v>3</v>
      </c>
      <c r="N47">
        <f t="shared" si="0"/>
        <v>-7</v>
      </c>
      <c r="O47">
        <f t="shared" si="3"/>
        <v>3</v>
      </c>
      <c r="P47" s="13">
        <f>IF(ISBLANK(M47),0,O47-C47)</f>
        <v>0</v>
      </c>
      <c r="Q47">
        <v>10</v>
      </c>
    </row>
    <row r="48" spans="2:17">
      <c r="B48" t="s">
        <v>90</v>
      </c>
      <c r="C48">
        <v>6</v>
      </c>
      <c r="D48">
        <v>0</v>
      </c>
      <c r="E48">
        <f>_xlfn.XLOOKUP(B48,'part list current'!$B$4:$B$91,'part list current'!$J$4:$J$91)*('part list current'!$C$1+1)*(1+D48)</f>
        <v>22</v>
      </c>
      <c r="G48" t="b">
        <f>E48&gt;C48</f>
        <v>1</v>
      </c>
      <c r="H48">
        <f t="shared" si="2"/>
        <v>16</v>
      </c>
      <c r="I48">
        <v>10</v>
      </c>
      <c r="J48" t="s">
        <v>181</v>
      </c>
      <c r="K48" t="s">
        <v>224</v>
      </c>
      <c r="L48">
        <v>6</v>
      </c>
      <c r="M48">
        <v>6</v>
      </c>
      <c r="N48">
        <f t="shared" si="0"/>
        <v>-12</v>
      </c>
      <c r="O48">
        <f t="shared" si="3"/>
        <v>6</v>
      </c>
      <c r="P48" s="13">
        <f>IF(ISBLANK(M48),0,O48-C48)</f>
        <v>0</v>
      </c>
      <c r="Q48">
        <v>10</v>
      </c>
    </row>
    <row r="49" spans="2:17">
      <c r="B49" t="s">
        <v>123</v>
      </c>
      <c r="C49">
        <v>1</v>
      </c>
      <c r="D49">
        <v>0</v>
      </c>
      <c r="E49" t="e">
        <f>_xlfn.XLOOKUP(B49,'part list current'!$B$4:$B$91,'part list current'!$J$4:$J$91)*('part list current'!$C$1+1)*(1+D49)</f>
        <v>#N/A</v>
      </c>
      <c r="G49" t="e">
        <f>E49&gt;C49</f>
        <v>#N/A</v>
      </c>
      <c r="H49" t="e">
        <f t="shared" si="2"/>
        <v>#N/A</v>
      </c>
      <c r="I49">
        <v>6</v>
      </c>
      <c r="J49" t="s">
        <v>181</v>
      </c>
      <c r="K49" t="s">
        <v>227</v>
      </c>
      <c r="L49">
        <v>0</v>
      </c>
      <c r="O49">
        <f t="shared" si="3"/>
        <v>0</v>
      </c>
      <c r="P49" s="13">
        <f>IF(ISBLANK(M49),0,O49-C49)</f>
        <v>0</v>
      </c>
    </row>
    <row r="50" spans="2:17">
      <c r="B50" t="s">
        <v>124</v>
      </c>
      <c r="C50">
        <v>18</v>
      </c>
      <c r="D50">
        <v>0.25</v>
      </c>
      <c r="E50" t="e">
        <f>_xlfn.XLOOKUP(B50,'part list current'!$B$4:$B$91,'part list current'!$J$4:$J$91)*('part list current'!$C$1+1)*(1+D50)</f>
        <v>#N/A</v>
      </c>
      <c r="G50" t="e">
        <f>E50&gt;C50</f>
        <v>#N/A</v>
      </c>
      <c r="H50" t="e">
        <f t="shared" si="2"/>
        <v>#N/A</v>
      </c>
      <c r="I50">
        <v>100</v>
      </c>
      <c r="J50" t="s">
        <v>181</v>
      </c>
      <c r="K50" t="s">
        <v>224</v>
      </c>
      <c r="L50">
        <v>0</v>
      </c>
      <c r="O50">
        <f t="shared" si="3"/>
        <v>0</v>
      </c>
      <c r="P50" s="13">
        <f>IF(ISBLANK(M50),0,O50-C50)</f>
        <v>0</v>
      </c>
    </row>
    <row r="51" spans="2:17">
      <c r="B51" t="s">
        <v>125</v>
      </c>
      <c r="C51">
        <v>90</v>
      </c>
      <c r="D51">
        <v>0.25</v>
      </c>
      <c r="E51" t="e">
        <f>_xlfn.XLOOKUP(B51,'part list current'!$B$4:$B$91,'part list current'!$J$4:$J$91)*('part list current'!$C$1+1)*(1+D51)</f>
        <v>#N/A</v>
      </c>
      <c r="G51" t="e">
        <f>E51&gt;C51</f>
        <v>#N/A</v>
      </c>
      <c r="H51" t="e">
        <f t="shared" si="2"/>
        <v>#N/A</v>
      </c>
      <c r="L51">
        <v>0</v>
      </c>
      <c r="O51">
        <f t="shared" si="3"/>
        <v>0</v>
      </c>
      <c r="P51" s="13">
        <f>IF(ISBLANK(M51),0,O51-C51)</f>
        <v>0</v>
      </c>
    </row>
    <row r="52" spans="2:17">
      <c r="B52" t="s">
        <v>126</v>
      </c>
      <c r="C52">
        <v>25</v>
      </c>
      <c r="D52">
        <v>0.25</v>
      </c>
      <c r="E52" t="e">
        <f>_xlfn.XLOOKUP(B52,'part list current'!$B$4:$B$91,'part list current'!$J$4:$J$91)*('part list current'!$C$1+1)*(1+D52)</f>
        <v>#N/A</v>
      </c>
      <c r="G52" t="e">
        <f>E52&gt;C52</f>
        <v>#N/A</v>
      </c>
      <c r="H52" t="e">
        <f t="shared" si="2"/>
        <v>#N/A</v>
      </c>
      <c r="I52">
        <v>100</v>
      </c>
      <c r="J52" t="s">
        <v>181</v>
      </c>
      <c r="K52" t="s">
        <v>224</v>
      </c>
      <c r="L52">
        <v>0</v>
      </c>
      <c r="O52">
        <f t="shared" si="3"/>
        <v>0</v>
      </c>
      <c r="P52" s="13">
        <f>IF(ISBLANK(M52),0,O52-C52)</f>
        <v>0</v>
      </c>
    </row>
    <row r="53" spans="2:17">
      <c r="B53" t="s">
        <v>127</v>
      </c>
      <c r="C53">
        <v>40</v>
      </c>
      <c r="D53">
        <v>0.25</v>
      </c>
      <c r="E53" t="e">
        <f>_xlfn.XLOOKUP(B53,'part list current'!$B$4:$B$91,'part list current'!$J$4:$J$91)*('part list current'!$C$1+1)*(1+D53)</f>
        <v>#N/A</v>
      </c>
      <c r="G53" t="e">
        <f>E53&gt;C53</f>
        <v>#N/A</v>
      </c>
      <c r="H53" t="e">
        <f t="shared" si="2"/>
        <v>#N/A</v>
      </c>
      <c r="L53">
        <v>0</v>
      </c>
      <c r="O53">
        <f t="shared" si="3"/>
        <v>0</v>
      </c>
      <c r="P53" s="13">
        <f>IF(ISBLANK(M53),0,O53-C53)</f>
        <v>0</v>
      </c>
    </row>
    <row r="54" spans="2:17">
      <c r="B54" t="s">
        <v>128</v>
      </c>
      <c r="C54">
        <f>500/35*5</f>
        <v>71.428571428571431</v>
      </c>
      <c r="D54">
        <v>0.1</v>
      </c>
      <c r="E54" t="e">
        <f>_xlfn.XLOOKUP(B54,'part list current'!$B$4:$B$91,'part list current'!$J$4:$J$91)*('part list current'!$C$1+1)*(1+D54)</f>
        <v>#N/A</v>
      </c>
      <c r="G54" t="e">
        <f>E54&gt;C54</f>
        <v>#N/A</v>
      </c>
      <c r="H54" t="e">
        <f t="shared" si="2"/>
        <v>#N/A</v>
      </c>
      <c r="L54">
        <v>6</v>
      </c>
      <c r="M54">
        <v>0</v>
      </c>
      <c r="N54" t="e">
        <f t="shared" si="0"/>
        <v>#N/A</v>
      </c>
      <c r="O54">
        <f t="shared" si="3"/>
        <v>0</v>
      </c>
      <c r="P54" s="13">
        <f>IF(ISBLANK(M54),0,O54-C54)</f>
        <v>-71.428571428571431</v>
      </c>
      <c r="Q54">
        <v>0</v>
      </c>
    </row>
    <row r="55" spans="2:17">
      <c r="B55" t="s">
        <v>63</v>
      </c>
      <c r="C55">
        <v>2</v>
      </c>
      <c r="D55">
        <v>0</v>
      </c>
      <c r="E55">
        <f>_xlfn.XLOOKUP(B55,'part list current'!$B$4:$B$91,'part list current'!$J$4:$J$91)*('part list current'!$C$1+1)*(1+D55)</f>
        <v>33</v>
      </c>
      <c r="G55" t="b">
        <f>E55&gt;C55</f>
        <v>1</v>
      </c>
      <c r="H55">
        <f t="shared" si="2"/>
        <v>31</v>
      </c>
      <c r="I55">
        <v>30</v>
      </c>
      <c r="J55" t="s">
        <v>223</v>
      </c>
      <c r="K55" t="s">
        <v>225</v>
      </c>
      <c r="L55">
        <v>3</v>
      </c>
      <c r="M55">
        <v>0</v>
      </c>
      <c r="N55">
        <f t="shared" si="0"/>
        <v>-1</v>
      </c>
      <c r="O55">
        <f t="shared" si="3"/>
        <v>0</v>
      </c>
      <c r="P55" s="13">
        <f>IF(ISBLANK(M55),0,O55-C55)</f>
        <v>-2</v>
      </c>
      <c r="Q55">
        <v>0</v>
      </c>
    </row>
    <row r="56" spans="2:17">
      <c r="B56" t="s">
        <v>81</v>
      </c>
      <c r="C56">
        <v>3</v>
      </c>
      <c r="D56">
        <v>0</v>
      </c>
      <c r="E56">
        <f>_xlfn.XLOOKUP(B56,'part list current'!$B$4:$B$91,'part list current'!$J$4:$J$91)*('part list current'!$C$1+1)*(1+D56)</f>
        <v>11</v>
      </c>
      <c r="G56" t="b">
        <f>E56&gt;C56</f>
        <v>1</v>
      </c>
      <c r="H56">
        <f t="shared" si="2"/>
        <v>8</v>
      </c>
      <c r="I56">
        <v>10</v>
      </c>
      <c r="J56" t="s">
        <v>223</v>
      </c>
      <c r="K56" t="s">
        <v>225</v>
      </c>
      <c r="L56">
        <v>3</v>
      </c>
      <c r="M56">
        <v>0</v>
      </c>
      <c r="N56">
        <f t="shared" si="0"/>
        <v>2</v>
      </c>
      <c r="O56">
        <f t="shared" si="3"/>
        <v>0</v>
      </c>
      <c r="P56" s="13">
        <f>IF(ISBLANK(M56),0,O56-C56)</f>
        <v>-3</v>
      </c>
      <c r="Q56">
        <v>0</v>
      </c>
    </row>
    <row r="57" spans="2:17">
      <c r="B57" t="s">
        <v>74</v>
      </c>
      <c r="C57">
        <v>8</v>
      </c>
      <c r="D57">
        <v>0</v>
      </c>
      <c r="E57">
        <f>_xlfn.XLOOKUP(B57,'part list current'!$B$4:$B$91,'part list current'!$J$4:$J$91)*('part list current'!$C$1+1)*(1+D57)</f>
        <v>11</v>
      </c>
      <c r="G57" t="b">
        <f>E57&gt;C57</f>
        <v>1</v>
      </c>
      <c r="H57">
        <f t="shared" si="2"/>
        <v>3</v>
      </c>
      <c r="L57">
        <v>3</v>
      </c>
      <c r="M57">
        <v>3</v>
      </c>
      <c r="N57">
        <f t="shared" si="0"/>
        <v>-6</v>
      </c>
      <c r="O57">
        <f t="shared" si="3"/>
        <v>3</v>
      </c>
      <c r="P57" s="13">
        <f>IF(ISBLANK(M57),0,O57-C57)</f>
        <v>-5</v>
      </c>
      <c r="Q57">
        <v>1</v>
      </c>
    </row>
    <row r="58" spans="2:17">
      <c r="B58" t="s">
        <v>69</v>
      </c>
      <c r="C58">
        <v>3</v>
      </c>
      <c r="D58">
        <v>0.1</v>
      </c>
      <c r="E58">
        <f>_xlfn.XLOOKUP(B58,'part list current'!$B$4:$B$91,'part list current'!$J$4:$J$91)*('part list current'!$C$1+1)*(1+D58)</f>
        <v>12.100000000000001</v>
      </c>
      <c r="G58" t="b">
        <f>E58&gt;C58</f>
        <v>1</v>
      </c>
      <c r="H58">
        <f t="shared" si="2"/>
        <v>9.1000000000000014</v>
      </c>
      <c r="I58">
        <v>6</v>
      </c>
      <c r="J58" t="s">
        <v>181</v>
      </c>
      <c r="K58" t="s">
        <v>224</v>
      </c>
      <c r="L58">
        <v>3</v>
      </c>
      <c r="M58">
        <v>3</v>
      </c>
      <c r="N58">
        <f t="shared" si="0"/>
        <v>-6.1000000000000014</v>
      </c>
      <c r="O58">
        <f t="shared" si="3"/>
        <v>3</v>
      </c>
      <c r="P58" s="13">
        <f>IF(ISBLANK(M58),0,O58-C58)</f>
        <v>0</v>
      </c>
    </row>
    <row r="59" spans="2:17">
      <c r="B59" t="s">
        <v>129</v>
      </c>
      <c r="C59">
        <v>0</v>
      </c>
      <c r="D59">
        <v>0</v>
      </c>
      <c r="E59" t="e">
        <f>_xlfn.XLOOKUP(B59,'part list current'!$B$4:$B$91,'part list current'!$J$4:$J$91)*('part list current'!$C$1+1)*(1+D59)</f>
        <v>#N/A</v>
      </c>
      <c r="G59" t="e">
        <f>E59&gt;C59</f>
        <v>#N/A</v>
      </c>
      <c r="H59" t="e">
        <f t="shared" si="2"/>
        <v>#N/A</v>
      </c>
      <c r="L59">
        <v>0</v>
      </c>
      <c r="O59">
        <f t="shared" si="3"/>
        <v>0</v>
      </c>
      <c r="P59" s="13">
        <f>IF(ISBLANK(M59),0,O59-C59)</f>
        <v>0</v>
      </c>
    </row>
    <row r="60" spans="2:17">
      <c r="B60" t="s">
        <v>131</v>
      </c>
      <c r="C60">
        <v>0</v>
      </c>
      <c r="D60">
        <v>0.25</v>
      </c>
      <c r="E60" t="e">
        <f>_xlfn.XLOOKUP(B60,'part list current'!$B$4:$B$91,'part list current'!$J$4:$J$91)*('part list current'!$C$1+1)*(1+D60)</f>
        <v>#N/A</v>
      </c>
      <c r="G60" t="e">
        <f>E60&gt;C60</f>
        <v>#N/A</v>
      </c>
      <c r="H60" t="e">
        <f t="shared" si="2"/>
        <v>#N/A</v>
      </c>
      <c r="I60">
        <v>10</v>
      </c>
      <c r="J60" t="s">
        <v>196</v>
      </c>
      <c r="K60" t="s">
        <v>224</v>
      </c>
      <c r="L60">
        <v>0</v>
      </c>
      <c r="O60">
        <f t="shared" si="3"/>
        <v>0</v>
      </c>
      <c r="P60" s="13">
        <f>IF(ISBLANK(M60),0,O60-C60)</f>
        <v>0</v>
      </c>
    </row>
    <row r="61" spans="2:17">
      <c r="B61" t="s">
        <v>83</v>
      </c>
      <c r="C61">
        <v>0</v>
      </c>
      <c r="D61">
        <v>0</v>
      </c>
      <c r="E61">
        <f>_xlfn.XLOOKUP(B61,'part list current'!$B$4:$B$91,'part list current'!$J$4:$J$91)*('part list current'!$C$1+1)*(1+D61)</f>
        <v>33</v>
      </c>
      <c r="G61" t="b">
        <f>E61&gt;C61</f>
        <v>1</v>
      </c>
      <c r="H61">
        <f t="shared" si="2"/>
        <v>33</v>
      </c>
      <c r="I61">
        <v>10</v>
      </c>
      <c r="J61" t="s">
        <v>223</v>
      </c>
      <c r="K61" t="s">
        <v>224</v>
      </c>
      <c r="L61">
        <v>0</v>
      </c>
      <c r="O61">
        <f t="shared" si="3"/>
        <v>0</v>
      </c>
      <c r="P61" s="13">
        <f>IF(ISBLANK(M61),0,O61-C61)</f>
        <v>0</v>
      </c>
    </row>
    <row r="62" spans="2:17">
      <c r="B62" t="s">
        <v>132</v>
      </c>
      <c r="C62">
        <f>500/35*4</f>
        <v>57.142857142857146</v>
      </c>
      <c r="D62">
        <v>0.1</v>
      </c>
      <c r="E62" t="e">
        <f>_xlfn.XLOOKUP(B62,'part list current'!$B$4:$B$91,'part list current'!$J$4:$J$91)*('part list current'!$C$1+1)*(1+D62)</f>
        <v>#N/A</v>
      </c>
      <c r="G62" t="e">
        <f>E62&gt;C62</f>
        <v>#N/A</v>
      </c>
      <c r="H62" t="e">
        <f t="shared" si="2"/>
        <v>#N/A</v>
      </c>
      <c r="L62">
        <v>0</v>
      </c>
      <c r="O62">
        <f t="shared" si="3"/>
        <v>0</v>
      </c>
      <c r="P62" s="13">
        <f>IF(ISBLANK(M62),0,O62-C62)</f>
        <v>0</v>
      </c>
    </row>
    <row r="63" spans="2:17">
      <c r="B63" t="s">
        <v>91</v>
      </c>
      <c r="C63">
        <v>8</v>
      </c>
      <c r="D63">
        <v>0.1</v>
      </c>
      <c r="E63">
        <f>_xlfn.XLOOKUP(B63,'part list current'!$B$4:$B$91,'part list current'!$J$4:$J$91)*('part list current'!$C$1+1)*(1+D63)</f>
        <v>24.200000000000003</v>
      </c>
      <c r="G63" t="b">
        <f>E63&gt;C63</f>
        <v>1</v>
      </c>
      <c r="H63">
        <f t="shared" si="2"/>
        <v>16.200000000000003</v>
      </c>
      <c r="I63">
        <v>25</v>
      </c>
      <c r="J63" t="s">
        <v>181</v>
      </c>
      <c r="K63" t="s">
        <v>230</v>
      </c>
      <c r="L63">
        <v>0</v>
      </c>
      <c r="O63">
        <f t="shared" si="3"/>
        <v>0</v>
      </c>
      <c r="P63" s="13">
        <f>IF(ISBLANK(M63),0,O63-C63)</f>
        <v>0</v>
      </c>
    </row>
    <row r="64" spans="2:17">
      <c r="B64" t="s">
        <v>92</v>
      </c>
      <c r="C64">
        <v>4</v>
      </c>
      <c r="D64">
        <v>0.1</v>
      </c>
      <c r="E64">
        <f>_xlfn.XLOOKUP(B64,'part list current'!$B$4:$B$91,'part list current'!$J$4:$J$91)*('part list current'!$C$1+1)*(1+D64)</f>
        <v>24.200000000000003</v>
      </c>
      <c r="G64" t="b">
        <f>E64&gt;C64</f>
        <v>1</v>
      </c>
      <c r="H64">
        <f t="shared" si="2"/>
        <v>20.200000000000003</v>
      </c>
      <c r="I64">
        <v>25</v>
      </c>
      <c r="J64" t="s">
        <v>181</v>
      </c>
      <c r="K64" t="s">
        <v>230</v>
      </c>
      <c r="L64">
        <v>0</v>
      </c>
      <c r="O64">
        <f t="shared" si="3"/>
        <v>0</v>
      </c>
      <c r="P64" s="13">
        <f>IF(ISBLANK(M64),0,O64-C64)</f>
        <v>0</v>
      </c>
    </row>
    <row r="65" spans="2:17">
      <c r="B65" t="s">
        <v>77</v>
      </c>
      <c r="C65">
        <v>0</v>
      </c>
      <c r="D65">
        <v>0.1</v>
      </c>
      <c r="E65">
        <f>_xlfn.XLOOKUP(B65,'part list current'!$B$4:$B$91,'part list current'!$J$4:$J$91)*('part list current'!$C$1+1)*(1+D65)</f>
        <v>24.200000000000003</v>
      </c>
      <c r="G65" t="b">
        <f>E65&gt;C65</f>
        <v>1</v>
      </c>
      <c r="H65">
        <f t="shared" si="2"/>
        <v>24.200000000000003</v>
      </c>
      <c r="I65">
        <f>7*3</f>
        <v>21</v>
      </c>
      <c r="J65" t="s">
        <v>181</v>
      </c>
      <c r="K65" t="s">
        <v>230</v>
      </c>
      <c r="L65">
        <v>6</v>
      </c>
      <c r="M65">
        <v>0</v>
      </c>
      <c r="N65">
        <f t="shared" si="0"/>
        <v>-3.2000000000000028</v>
      </c>
      <c r="O65">
        <f t="shared" si="3"/>
        <v>0</v>
      </c>
      <c r="P65" s="13">
        <f>IF(ISBLANK(M65),0,O65-C65)</f>
        <v>0</v>
      </c>
    </row>
    <row r="66" spans="2:17">
      <c r="B66" t="s">
        <v>133</v>
      </c>
      <c r="C66">
        <v>16</v>
      </c>
      <c r="D66">
        <v>0.1</v>
      </c>
      <c r="E66" t="e">
        <f>_xlfn.XLOOKUP(B66,'part list current'!$B$4:$B$91,'part list current'!$J$4:$J$91)*('part list current'!$C$1+1)*(1+D66)</f>
        <v>#N/A</v>
      </c>
      <c r="G66" t="e">
        <f>E66&gt;C66</f>
        <v>#N/A</v>
      </c>
      <c r="H66" t="e">
        <f t="shared" si="2"/>
        <v>#N/A</v>
      </c>
      <c r="L66">
        <v>0</v>
      </c>
      <c r="O66">
        <f t="shared" si="3"/>
        <v>0</v>
      </c>
      <c r="P66" s="13">
        <f>IF(ISBLANK(M66),0,O66-C66)</f>
        <v>0</v>
      </c>
    </row>
    <row r="67" spans="2:17">
      <c r="B67" t="s">
        <v>134</v>
      </c>
      <c r="C67">
        <v>60</v>
      </c>
      <c r="D67">
        <v>0.25</v>
      </c>
      <c r="E67" t="e">
        <f>_xlfn.XLOOKUP(B67,'part list current'!$B$4:$B$91,'part list current'!$J$4:$J$91)*('part list current'!$C$1+1)*(1+D67)</f>
        <v>#N/A</v>
      </c>
      <c r="G67" t="e">
        <f>E67&gt;C67</f>
        <v>#N/A</v>
      </c>
      <c r="H67" t="e">
        <f t="shared" si="2"/>
        <v>#N/A</v>
      </c>
      <c r="L67">
        <v>0</v>
      </c>
      <c r="O67">
        <f t="shared" ref="O67:O69" si="5">M67</f>
        <v>0</v>
      </c>
      <c r="P67" s="13">
        <f t="shared" ref="P67:P69" si="6">IF(ISBLANK(M67),0,O67-C67)</f>
        <v>0</v>
      </c>
    </row>
    <row r="68" spans="2:17">
      <c r="B68" t="s">
        <v>135</v>
      </c>
      <c r="C68">
        <v>80</v>
      </c>
      <c r="D68">
        <v>0.25</v>
      </c>
      <c r="E68" t="e">
        <f>_xlfn.XLOOKUP(B68,'part list current'!$B$4:$B$91,'part list current'!$J$4:$J$91)*('part list current'!$C$1+1)*(1+D68)</f>
        <v>#N/A</v>
      </c>
      <c r="G68" t="e">
        <f>E68&gt;C68</f>
        <v>#N/A</v>
      </c>
      <c r="H68" t="e">
        <f t="shared" si="2"/>
        <v>#N/A</v>
      </c>
      <c r="L68">
        <v>0</v>
      </c>
      <c r="O68">
        <f t="shared" si="5"/>
        <v>0</v>
      </c>
      <c r="P68" s="13">
        <f t="shared" si="6"/>
        <v>0</v>
      </c>
    </row>
    <row r="69" spans="2:17">
      <c r="B69" t="s">
        <v>34</v>
      </c>
      <c r="C69">
        <v>6</v>
      </c>
      <c r="D69">
        <v>0</v>
      </c>
      <c r="E69">
        <f>_xlfn.XLOOKUP(B69,'part list current'!$B$4:$B$91,'part list current'!$J$4:$J$91)*('part list current'!$C$1+1)*(1+D69)</f>
        <v>11</v>
      </c>
      <c r="G69" t="b">
        <f>E69&gt;C69</f>
        <v>1</v>
      </c>
      <c r="H69">
        <f t="shared" si="2"/>
        <v>5</v>
      </c>
      <c r="L69">
        <v>3</v>
      </c>
      <c r="M69">
        <v>3</v>
      </c>
      <c r="N69">
        <f>C69+I69-M69-E69</f>
        <v>-8</v>
      </c>
      <c r="O69">
        <f t="shared" si="5"/>
        <v>3</v>
      </c>
      <c r="P69" s="13">
        <f t="shared" si="6"/>
        <v>-3</v>
      </c>
      <c r="Q69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2021-08-24T05:22:25Z</dcterms:created>
  <dcterms:modified xsi:type="dcterms:W3CDTF">2022-06-26T08:18:55Z</dcterms:modified>
  <cp:category/>
  <cp:contentStatus/>
</cp:coreProperties>
</file>