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cebe5c3e6ecec6fb/Documents/Imperial/Dissertation/Evaluation/"/>
    </mc:Choice>
  </mc:AlternateContent>
  <xr:revisionPtr revIDLastSave="7184" documentId="13_ncr:1_{F63D2CD4-15DB-49E3-95C2-F2D115B4B989}" xr6:coauthVersionLast="47" xr6:coauthVersionMax="47" xr10:uidLastSave="{F0286DC3-46D8-45D4-AE4A-2F55940A74D4}"/>
  <bookViews>
    <workbookView xWindow="-108" yWindow="-108" windowWidth="27288" windowHeight="17544" tabRatio="738" activeTab="3" xr2:uid="{50167E9C-961D-44F9-8434-796448AA55AB}"/>
  </bookViews>
  <sheets>
    <sheet name="Summary" sheetId="4" r:id="rId1"/>
    <sheet name="Application" sheetId="67" r:id="rId2"/>
    <sheet name="Single Generic Prompt" sheetId="65" r:id="rId3"/>
    <sheet name="Two Generic Prompts" sheetId="66" r:id="rId4"/>
    <sheet name="BAC" sheetId="27" r:id="rId5"/>
    <sheet name="BAC Manual" sheetId="26" r:id="rId6"/>
    <sheet name="BAC LLM API" sheetId="18" r:id="rId7"/>
    <sheet name="BAC Script" sheetId="28" r:id="rId8"/>
    <sheet name="JPM" sheetId="29" r:id="rId9"/>
    <sheet name="JPM Manual" sheetId="31" r:id="rId10"/>
    <sheet name="JPM LLM API" sheetId="25" r:id="rId11"/>
    <sheet name="JPM Script" sheetId="32" r:id="rId12"/>
    <sheet name="WFC" sheetId="33" r:id="rId13"/>
    <sheet name="WFC Manual" sheetId="41" r:id="rId14"/>
    <sheet name="WFC LLM API" sheetId="24" r:id="rId15"/>
    <sheet name="WFC Script" sheetId="42" r:id="rId16"/>
    <sheet name="KEY" sheetId="35" r:id="rId17"/>
    <sheet name="KEY Manual" sheetId="44" r:id="rId18"/>
    <sheet name="KEY LLM API" sheetId="21" r:id="rId19"/>
    <sheet name="KEY Script" sheetId="46" r:id="rId20"/>
    <sheet name="HBAN" sheetId="39" r:id="rId21"/>
    <sheet name="HBAN Manual" sheetId="47" r:id="rId22"/>
    <sheet name="HBAN LLM API" sheetId="16" r:id="rId23"/>
    <sheet name="HBAN Script" sheetId="49" r:id="rId24"/>
    <sheet name="CFG" sheetId="38" r:id="rId25"/>
    <sheet name="CFG Manual" sheetId="50" r:id="rId26"/>
    <sheet name="CFG LLM API" sheetId="19" r:id="rId27"/>
    <sheet name="CFG Script" sheetId="52" r:id="rId28"/>
    <sheet name="SNV" sheetId="37" r:id="rId29"/>
    <sheet name="SNV Manual" sheetId="53" r:id="rId30"/>
    <sheet name="SNV LLM API" sheetId="20" r:id="rId31"/>
    <sheet name="SNV Script" sheetId="55" r:id="rId32"/>
    <sheet name="FCNCA" sheetId="40" r:id="rId33"/>
    <sheet name="FCNCA Manual" sheetId="56" r:id="rId34"/>
    <sheet name="FCNCA LLM API" sheetId="17" r:id="rId35"/>
    <sheet name="FCNCA Script " sheetId="58" r:id="rId36"/>
    <sheet name="PNC" sheetId="36" r:id="rId37"/>
    <sheet name="PNC Manual" sheetId="59" r:id="rId38"/>
    <sheet name="PNC LLM API" sheetId="23" r:id="rId39"/>
    <sheet name="PNC Script " sheetId="61" r:id="rId40"/>
    <sheet name="RF" sheetId="34" r:id="rId41"/>
    <sheet name="RF Manual" sheetId="62" r:id="rId42"/>
    <sheet name="RF LLM API" sheetId="22" r:id="rId43"/>
    <sheet name="RF Script" sheetId="64" r:id="rId44"/>
    <sheet name="LLM Interface Prompts" sheetId="30" r:id="rId45"/>
    <sheet name="BAC LLM Interface" sheetId="3" r:id="rId46"/>
    <sheet name="JPM LLM Interface" sheetId="6" r:id="rId47"/>
    <sheet name="WFC LLM Interface" sheetId="5" r:id="rId48"/>
    <sheet name="KEY LLM Interface" sheetId="9" r:id="rId49"/>
    <sheet name="HBAN LLM Interface" sheetId="11" r:id="rId50"/>
    <sheet name="CFG LLM Interface" sheetId="12" r:id="rId51"/>
    <sheet name="SNV LLM Interface" sheetId="14" r:id="rId52"/>
    <sheet name="FCNCA LLM Interface" sheetId="13" r:id="rId53"/>
    <sheet name="PNC LLM Interface" sheetId="7" r:id="rId54"/>
    <sheet name="RF LLM Interface" sheetId="15" r:id="rId5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3" i="4" l="1"/>
  <c r="AB33" i="4"/>
  <c r="AC46" i="4"/>
  <c r="AB46" i="4"/>
  <c r="AC61" i="4"/>
  <c r="AB61" i="4"/>
  <c r="AC78" i="4"/>
  <c r="AB78" i="4"/>
  <c r="AC94" i="4"/>
  <c r="AB94" i="4"/>
  <c r="AC112" i="4"/>
  <c r="AB112" i="4"/>
  <c r="AC130" i="4"/>
  <c r="AB130" i="4"/>
  <c r="AC146" i="4"/>
  <c r="AB146" i="4"/>
  <c r="AC166" i="4"/>
  <c r="AB166" i="4"/>
  <c r="AB187" i="4"/>
  <c r="AC187" i="4"/>
  <c r="V190" i="4"/>
  <c r="W191" i="4"/>
  <c r="K361" i="66" l="1"/>
  <c r="BU183" i="4" l="1"/>
  <c r="BU182" i="4"/>
  <c r="BU181" i="4"/>
  <c r="BU180" i="4"/>
  <c r="BU162" i="4"/>
  <c r="BU161" i="4"/>
  <c r="BU160" i="4"/>
  <c r="BU159" i="4"/>
  <c r="BU142" i="4"/>
  <c r="BU141" i="4"/>
  <c r="BU140" i="4"/>
  <c r="BU139" i="4"/>
  <c r="BU126" i="4"/>
  <c r="BU125" i="4"/>
  <c r="BU124" i="4"/>
  <c r="BU123" i="4"/>
  <c r="BU108" i="4"/>
  <c r="BU107" i="4"/>
  <c r="BU106" i="4"/>
  <c r="BU105" i="4"/>
  <c r="BU90" i="4"/>
  <c r="BU89" i="4"/>
  <c r="BU88" i="4"/>
  <c r="BU87" i="4"/>
  <c r="BU74" i="4"/>
  <c r="BU73" i="4"/>
  <c r="BU72" i="4"/>
  <c r="BU71" i="4"/>
  <c r="BU57" i="4"/>
  <c r="BU56" i="4"/>
  <c r="BU55" i="4"/>
  <c r="BU54" i="4"/>
  <c r="BU42" i="4"/>
  <c r="BU41" i="4"/>
  <c r="BU40" i="4"/>
  <c r="BU39" i="4"/>
  <c r="BU27" i="4"/>
  <c r="BU28" i="4"/>
  <c r="BU29" i="4"/>
  <c r="BU26" i="4"/>
  <c r="D38" i="22" l="1"/>
  <c r="D37" i="22"/>
  <c r="D36" i="22"/>
  <c r="D35" i="22"/>
  <c r="D34" i="22"/>
  <c r="D33" i="22"/>
  <c r="D32" i="22"/>
  <c r="T36" i="65"/>
  <c r="D39" i="22" l="1"/>
  <c r="C32" i="22"/>
  <c r="AV182" i="4"/>
  <c r="AV141" i="4"/>
  <c r="AV108" i="4"/>
  <c r="AV107" i="4"/>
  <c r="AV90" i="4"/>
  <c r="AV89" i="4"/>
  <c r="AV57" i="4"/>
  <c r="AV56" i="4"/>
  <c r="AV42" i="4"/>
  <c r="AV41" i="4"/>
  <c r="AD27" i="4"/>
  <c r="AD183" i="4"/>
  <c r="AV183" i="4" s="1"/>
  <c r="AD182" i="4"/>
  <c r="AD161" i="4"/>
  <c r="AD142" i="4"/>
  <c r="AV142" i="4" s="1"/>
  <c r="AD141" i="4"/>
  <c r="AD140" i="4"/>
  <c r="AV140" i="4" s="1"/>
  <c r="AD139" i="4"/>
  <c r="AV139" i="4" s="1"/>
  <c r="AD126" i="4"/>
  <c r="AV123" i="4" s="1"/>
  <c r="AD125" i="4"/>
  <c r="AV125" i="4" s="1"/>
  <c r="AD124" i="4"/>
  <c r="AV124" i="4" s="1"/>
  <c r="AD123" i="4"/>
  <c r="AD108" i="4"/>
  <c r="AD107" i="4"/>
  <c r="AD90" i="4"/>
  <c r="AD89" i="4"/>
  <c r="AD88" i="4"/>
  <c r="AV88" i="4" s="1"/>
  <c r="AD87" i="4"/>
  <c r="AV87" i="4" s="1"/>
  <c r="AD74" i="4"/>
  <c r="AV74" i="4" s="1"/>
  <c r="AD73" i="4"/>
  <c r="AV73" i="4" s="1"/>
  <c r="AD72" i="4"/>
  <c r="AV71" i="4" s="1"/>
  <c r="AD71" i="4"/>
  <c r="AD57" i="4"/>
  <c r="AD56" i="4"/>
  <c r="AD55" i="4"/>
  <c r="AV55" i="4" s="1"/>
  <c r="AD54" i="4"/>
  <c r="Y183" i="4"/>
  <c r="BJ183" i="4" s="1"/>
  <c r="Y182" i="4"/>
  <c r="BJ182" i="4" s="1"/>
  <c r="Y181" i="4"/>
  <c r="BJ180" i="4" s="1"/>
  <c r="Y180" i="4"/>
  <c r="Y162" i="4"/>
  <c r="BJ162" i="4" s="1"/>
  <c r="Y161" i="4"/>
  <c r="BJ161" i="4" s="1"/>
  <c r="Y160" i="4"/>
  <c r="BJ159" i="4" s="1"/>
  <c r="Y159" i="4"/>
  <c r="Y142" i="4"/>
  <c r="BJ142" i="4" s="1"/>
  <c r="Y141" i="4"/>
  <c r="BJ141" i="4" s="1"/>
  <c r="Y140" i="4"/>
  <c r="BJ139" i="4" s="1"/>
  <c r="Y139" i="4"/>
  <c r="Y126" i="4"/>
  <c r="BJ126" i="4" s="1"/>
  <c r="Y125" i="4"/>
  <c r="BJ125" i="4" s="1"/>
  <c r="Y124" i="4"/>
  <c r="BJ123" i="4" s="1"/>
  <c r="Y123" i="4"/>
  <c r="Y108" i="4"/>
  <c r="BJ108" i="4" s="1"/>
  <c r="Y107" i="4"/>
  <c r="BJ106" i="4" s="1"/>
  <c r="Y106" i="4"/>
  <c r="BJ105" i="4" s="1"/>
  <c r="Y105" i="4"/>
  <c r="Y90" i="4"/>
  <c r="BJ90" i="4" s="1"/>
  <c r="Y89" i="4"/>
  <c r="BJ89" i="4" s="1"/>
  <c r="Y88" i="4"/>
  <c r="BJ87" i="4" s="1"/>
  <c r="Y87" i="4"/>
  <c r="Y74" i="4"/>
  <c r="BJ74" i="4" s="1"/>
  <c r="Y73" i="4"/>
  <c r="BJ73" i="4" s="1"/>
  <c r="Y72" i="4"/>
  <c r="BJ71" i="4" s="1"/>
  <c r="Y71" i="4"/>
  <c r="Y57" i="4"/>
  <c r="BJ57" i="4" s="1"/>
  <c r="Y56" i="4"/>
  <c r="BJ56" i="4" s="1"/>
  <c r="Y55" i="4"/>
  <c r="BJ54" i="4" s="1"/>
  <c r="Y54" i="4"/>
  <c r="Y42" i="4"/>
  <c r="BJ42" i="4" s="1"/>
  <c r="Y41" i="4"/>
  <c r="BJ41" i="4" s="1"/>
  <c r="Y40" i="4"/>
  <c r="BJ39" i="4" s="1"/>
  <c r="Y39" i="4"/>
  <c r="Y27" i="4"/>
  <c r="AB42" i="4"/>
  <c r="AD42" i="4" s="1"/>
  <c r="AB41" i="4"/>
  <c r="AD41" i="4" s="1"/>
  <c r="BJ55" i="4" l="1"/>
  <c r="BJ107" i="4"/>
  <c r="AV126" i="4"/>
  <c r="BJ72" i="4"/>
  <c r="BJ124" i="4"/>
  <c r="BJ181" i="4"/>
  <c r="AV72" i="4"/>
  <c r="BJ160" i="4"/>
  <c r="AD127" i="4"/>
  <c r="BJ40" i="4"/>
  <c r="BJ88" i="4"/>
  <c r="BJ140" i="4"/>
  <c r="AV54" i="4"/>
  <c r="Y58" i="4"/>
  <c r="Y109" i="4"/>
  <c r="Y163" i="4"/>
  <c r="AD75" i="4"/>
  <c r="Y127" i="4"/>
  <c r="Y184" i="4"/>
  <c r="AD91" i="4"/>
  <c r="AD58" i="4"/>
  <c r="AD143" i="4"/>
  <c r="Y75" i="4"/>
  <c r="Y43" i="4"/>
  <c r="Y91" i="4"/>
  <c r="Y143" i="4"/>
  <c r="S50" i="66" l="1"/>
  <c r="R50" i="66"/>
  <c r="S43" i="66"/>
  <c r="R43" i="66"/>
  <c r="T50" i="66"/>
  <c r="X42" i="66"/>
  <c r="T49" i="65"/>
  <c r="H550" i="66"/>
  <c r="U41" i="66" s="1"/>
  <c r="H510" i="66"/>
  <c r="U40" i="66" s="1"/>
  <c r="X40" i="66" s="1"/>
  <c r="E507" i="66"/>
  <c r="K507" i="66" s="1"/>
  <c r="W33" i="66"/>
  <c r="W34" i="66"/>
  <c r="W35" i="66"/>
  <c r="W36" i="66"/>
  <c r="W37" i="66"/>
  <c r="W38" i="66"/>
  <c r="W39" i="66"/>
  <c r="W32" i="66"/>
  <c r="W48" i="66"/>
  <c r="W47" i="66"/>
  <c r="W46" i="66"/>
  <c r="W45" i="66"/>
  <c r="W44" i="66"/>
  <c r="E230" i="66"/>
  <c r="H232" i="66"/>
  <c r="H364" i="66"/>
  <c r="U36" i="66" s="1"/>
  <c r="AI36" i="66" s="1"/>
  <c r="U48" i="66"/>
  <c r="X48" i="66" s="1"/>
  <c r="U47" i="66"/>
  <c r="X47" i="66" s="1"/>
  <c r="U46" i="66"/>
  <c r="X46" i="66" s="1"/>
  <c r="U45" i="66"/>
  <c r="X45" i="66" s="1"/>
  <c r="U44" i="66"/>
  <c r="X44" i="66" s="1"/>
  <c r="U39" i="66"/>
  <c r="X39" i="66" s="1"/>
  <c r="U38" i="66"/>
  <c r="AI38" i="66" s="1"/>
  <c r="U37" i="66"/>
  <c r="X37" i="66" s="1"/>
  <c r="U35" i="66"/>
  <c r="AR35" i="66" s="1"/>
  <c r="U34" i="66"/>
  <c r="X34" i="66" s="1"/>
  <c r="U33" i="66"/>
  <c r="X33" i="66" s="1"/>
  <c r="U32" i="66"/>
  <c r="X32" i="66" s="1"/>
  <c r="J543" i="66"/>
  <c r="J544" i="66"/>
  <c r="J545" i="66"/>
  <c r="J546" i="66"/>
  <c r="J547" i="66"/>
  <c r="J548" i="66"/>
  <c r="J502" i="66"/>
  <c r="J503" i="66"/>
  <c r="J504" i="66"/>
  <c r="J505" i="66"/>
  <c r="J506" i="66"/>
  <c r="J507" i="66"/>
  <c r="J508" i="66"/>
  <c r="J461" i="66"/>
  <c r="J462" i="66"/>
  <c r="J463" i="66"/>
  <c r="J464" i="66"/>
  <c r="J465" i="66"/>
  <c r="J466" i="66"/>
  <c r="K412" i="66"/>
  <c r="K413" i="66"/>
  <c r="K414" i="66"/>
  <c r="K415" i="66"/>
  <c r="K416" i="66"/>
  <c r="J418" i="66"/>
  <c r="K385" i="66"/>
  <c r="K386" i="66"/>
  <c r="K387" i="66"/>
  <c r="K388" i="66"/>
  <c r="K389" i="66"/>
  <c r="J391" i="66"/>
  <c r="J356" i="66"/>
  <c r="J357" i="66"/>
  <c r="J358" i="66"/>
  <c r="J359" i="66"/>
  <c r="J360" i="66"/>
  <c r="J361" i="66"/>
  <c r="J362" i="66"/>
  <c r="K309" i="66"/>
  <c r="K310" i="66"/>
  <c r="K311" i="66"/>
  <c r="K312" i="66"/>
  <c r="K313" i="66"/>
  <c r="J314" i="66"/>
  <c r="K282" i="66"/>
  <c r="K283" i="66"/>
  <c r="K284" i="66"/>
  <c r="K285" i="66"/>
  <c r="J287" i="66"/>
  <c r="J223" i="66"/>
  <c r="K223" i="66"/>
  <c r="J224" i="66"/>
  <c r="K224" i="66"/>
  <c r="J225" i="66"/>
  <c r="K225" i="66"/>
  <c r="J226" i="66"/>
  <c r="K226" i="66"/>
  <c r="J227" i="66"/>
  <c r="K227" i="66"/>
  <c r="J228" i="66"/>
  <c r="K228" i="66"/>
  <c r="J229" i="66"/>
  <c r="K229" i="66"/>
  <c r="J230" i="66"/>
  <c r="J189" i="66"/>
  <c r="J190" i="66"/>
  <c r="J191" i="66"/>
  <c r="J192" i="66"/>
  <c r="J193" i="66"/>
  <c r="J194" i="66"/>
  <c r="J195" i="66"/>
  <c r="J93" i="66"/>
  <c r="J94" i="66"/>
  <c r="J95" i="66"/>
  <c r="J96" i="66"/>
  <c r="J97" i="66"/>
  <c r="J98" i="66"/>
  <c r="J542" i="66"/>
  <c r="E537" i="66"/>
  <c r="G536" i="66"/>
  <c r="E546" i="66" s="1"/>
  <c r="G535" i="66"/>
  <c r="E545" i="66" s="1"/>
  <c r="G534" i="66"/>
  <c r="G533" i="66"/>
  <c r="E544" i="66" s="1"/>
  <c r="G532" i="66"/>
  <c r="G531" i="66"/>
  <c r="E543" i="66" s="1"/>
  <c r="G530" i="66"/>
  <c r="E542" i="66" s="1"/>
  <c r="E506" i="66"/>
  <c r="K506" i="66" s="1"/>
  <c r="E505" i="66"/>
  <c r="K505" i="66" s="1"/>
  <c r="E504" i="66"/>
  <c r="K504" i="66" s="1"/>
  <c r="E503" i="66"/>
  <c r="K503" i="66" s="1"/>
  <c r="E502" i="66"/>
  <c r="K502" i="66" s="1"/>
  <c r="J501" i="66"/>
  <c r="E501" i="66"/>
  <c r="K501" i="66" s="1"/>
  <c r="E496" i="66"/>
  <c r="E465" i="66"/>
  <c r="K465" i="66" s="1"/>
  <c r="E464" i="66"/>
  <c r="K464" i="66" s="1"/>
  <c r="E463" i="66"/>
  <c r="K463" i="66" s="1"/>
  <c r="E462" i="66"/>
  <c r="K462" i="66" s="1"/>
  <c r="E461" i="66"/>
  <c r="K461" i="66" s="1"/>
  <c r="J460" i="66"/>
  <c r="E460" i="66"/>
  <c r="K460" i="66" s="1"/>
  <c r="E455" i="66"/>
  <c r="G417" i="66"/>
  <c r="J417" i="66" s="1"/>
  <c r="E417" i="66"/>
  <c r="E418" i="66" s="1"/>
  <c r="K418" i="66" s="1"/>
  <c r="G416" i="66"/>
  <c r="J416" i="66" s="1"/>
  <c r="G415" i="66"/>
  <c r="J415" i="66" s="1"/>
  <c r="G414" i="66"/>
  <c r="J414" i="66" s="1"/>
  <c r="G413" i="66"/>
  <c r="J413" i="66" s="1"/>
  <c r="G412" i="66"/>
  <c r="J412" i="66" s="1"/>
  <c r="K411" i="66"/>
  <c r="G411" i="66"/>
  <c r="J411" i="66" s="1"/>
  <c r="G390" i="66"/>
  <c r="J390" i="66" s="1"/>
  <c r="E390" i="66"/>
  <c r="K390" i="66" s="1"/>
  <c r="G389" i="66"/>
  <c r="J389" i="66" s="1"/>
  <c r="G388" i="66"/>
  <c r="J388" i="66" s="1"/>
  <c r="G387" i="66"/>
  <c r="J387" i="66" s="1"/>
  <c r="G386" i="66"/>
  <c r="J386" i="66" s="1"/>
  <c r="G385" i="66"/>
  <c r="J385" i="66" s="1"/>
  <c r="K384" i="66"/>
  <c r="G384" i="66"/>
  <c r="J384" i="66" s="1"/>
  <c r="J355" i="66"/>
  <c r="E350" i="66"/>
  <c r="F349" i="66"/>
  <c r="G349" i="66" s="1"/>
  <c r="F348" i="66"/>
  <c r="G348" i="66" s="1"/>
  <c r="E359" i="66" s="1"/>
  <c r="F347" i="66"/>
  <c r="G347" i="66" s="1"/>
  <c r="F346" i="66"/>
  <c r="G346" i="66" s="1"/>
  <c r="E357" i="66" s="1"/>
  <c r="F345" i="66"/>
  <c r="G345" i="66" s="1"/>
  <c r="F344" i="66"/>
  <c r="G344" i="66" s="1"/>
  <c r="E358" i="66" s="1"/>
  <c r="F343" i="66"/>
  <c r="G343" i="66" s="1"/>
  <c r="F342" i="66"/>
  <c r="G342" i="66" s="1"/>
  <c r="F341" i="66"/>
  <c r="G341" i="66" s="1"/>
  <c r="E355" i="66" s="1"/>
  <c r="K355" i="66" s="1"/>
  <c r="F340" i="66"/>
  <c r="G340" i="66" s="1"/>
  <c r="F339" i="66"/>
  <c r="G339" i="66" s="1"/>
  <c r="F338" i="66"/>
  <c r="G338" i="66" s="1"/>
  <c r="E356" i="66" s="1"/>
  <c r="F337" i="66"/>
  <c r="G337" i="66" s="1"/>
  <c r="E314" i="66"/>
  <c r="K314" i="66" s="1"/>
  <c r="G313" i="66"/>
  <c r="J313" i="66" s="1"/>
  <c r="G312" i="66"/>
  <c r="J312" i="66" s="1"/>
  <c r="G311" i="66"/>
  <c r="J311" i="66" s="1"/>
  <c r="G310" i="66"/>
  <c r="J310" i="66" s="1"/>
  <c r="G309" i="66"/>
  <c r="J309" i="66" s="1"/>
  <c r="K308" i="66"/>
  <c r="G308" i="66"/>
  <c r="J308" i="66" s="1"/>
  <c r="G286" i="66"/>
  <c r="J286" i="66" s="1"/>
  <c r="E286" i="66"/>
  <c r="E287" i="66" s="1"/>
  <c r="K287" i="66" s="1"/>
  <c r="G285" i="66"/>
  <c r="J285" i="66" s="1"/>
  <c r="G284" i="66"/>
  <c r="J284" i="66" s="1"/>
  <c r="G283" i="66"/>
  <c r="J283" i="66" s="1"/>
  <c r="G282" i="66"/>
  <c r="J282" i="66" s="1"/>
  <c r="K281" i="66"/>
  <c r="G281" i="66"/>
  <c r="J281" i="66" s="1"/>
  <c r="J259" i="66"/>
  <c r="J258" i="66"/>
  <c r="E258" i="66"/>
  <c r="K258" i="66" s="1"/>
  <c r="K257" i="66"/>
  <c r="J257" i="66"/>
  <c r="J256" i="66"/>
  <c r="E256" i="66"/>
  <c r="K256" i="66" s="1"/>
  <c r="J255" i="66"/>
  <c r="E255" i="66"/>
  <c r="K255" i="66" s="1"/>
  <c r="J254" i="66"/>
  <c r="E254" i="66"/>
  <c r="J253" i="66"/>
  <c r="E253" i="66"/>
  <c r="K253" i="66" s="1"/>
  <c r="K230" i="66"/>
  <c r="K222" i="66"/>
  <c r="J222" i="66"/>
  <c r="J188" i="66"/>
  <c r="E183" i="66"/>
  <c r="F182" i="66"/>
  <c r="G182" i="66" s="1"/>
  <c r="E193" i="66" s="1"/>
  <c r="K193" i="66" s="1"/>
  <c r="F181" i="66"/>
  <c r="G181" i="66" s="1"/>
  <c r="F180" i="66"/>
  <c r="G180" i="66" s="1"/>
  <c r="E191" i="66" s="1"/>
  <c r="K191" i="66" s="1"/>
  <c r="F179" i="66"/>
  <c r="G179" i="66" s="1"/>
  <c r="E188" i="66" s="1"/>
  <c r="K188" i="66" s="1"/>
  <c r="F178" i="66"/>
  <c r="G178" i="66" s="1"/>
  <c r="E192" i="66" s="1"/>
  <c r="K192" i="66" s="1"/>
  <c r="F177" i="66"/>
  <c r="G177" i="66" s="1"/>
  <c r="F176" i="66"/>
  <c r="G176" i="66" s="1"/>
  <c r="E190" i="66" s="1"/>
  <c r="K190" i="66" s="1"/>
  <c r="F175" i="66"/>
  <c r="J152" i="66"/>
  <c r="J151" i="66"/>
  <c r="E151" i="66"/>
  <c r="E152" i="66" s="1"/>
  <c r="K152" i="66" s="1"/>
  <c r="K150" i="66"/>
  <c r="J150" i="66"/>
  <c r="K149" i="66"/>
  <c r="J149" i="66"/>
  <c r="K148" i="66"/>
  <c r="J148" i="66"/>
  <c r="K147" i="66"/>
  <c r="J147" i="66"/>
  <c r="K146" i="66"/>
  <c r="J146" i="66"/>
  <c r="J125" i="66"/>
  <c r="J124" i="66"/>
  <c r="E124" i="66"/>
  <c r="K124" i="66" s="1"/>
  <c r="K123" i="66"/>
  <c r="J123" i="66"/>
  <c r="K122" i="66"/>
  <c r="J122" i="66"/>
  <c r="K121" i="66"/>
  <c r="J121" i="66"/>
  <c r="K120" i="66"/>
  <c r="J120" i="66"/>
  <c r="K119" i="66"/>
  <c r="J119" i="66"/>
  <c r="K118" i="66"/>
  <c r="J118" i="66"/>
  <c r="J92" i="66"/>
  <c r="E87" i="66"/>
  <c r="F86" i="66"/>
  <c r="G86" i="66" s="1"/>
  <c r="E93" i="66" s="1"/>
  <c r="K93" i="66" s="1"/>
  <c r="F85" i="66"/>
  <c r="G85" i="66" s="1"/>
  <c r="F84" i="66"/>
  <c r="G84" i="66" s="1"/>
  <c r="F83" i="66"/>
  <c r="G83" i="66" s="1"/>
  <c r="E92" i="66" s="1"/>
  <c r="F82" i="66"/>
  <c r="G82" i="66" s="1"/>
  <c r="F81" i="66"/>
  <c r="F80" i="66"/>
  <c r="G80" i="66" s="1"/>
  <c r="E96" i="66" s="1"/>
  <c r="K96" i="66" s="1"/>
  <c r="F79" i="66"/>
  <c r="G79" i="66" s="1"/>
  <c r="J55" i="66"/>
  <c r="J54" i="66"/>
  <c r="J53" i="66"/>
  <c r="J52" i="66"/>
  <c r="J51" i="66"/>
  <c r="J50" i="66"/>
  <c r="S49" i="66"/>
  <c r="R49" i="66"/>
  <c r="J49" i="66"/>
  <c r="T48" i="66"/>
  <c r="J48" i="66"/>
  <c r="T47" i="66"/>
  <c r="T46" i="66"/>
  <c r="T45" i="66"/>
  <c r="T44" i="66"/>
  <c r="E43" i="66"/>
  <c r="AX42" i="66"/>
  <c r="AO42" i="66"/>
  <c r="S42" i="66"/>
  <c r="R42" i="66"/>
  <c r="F42" i="66"/>
  <c r="G42" i="66" s="1"/>
  <c r="AV41" i="66"/>
  <c r="AU41" i="66"/>
  <c r="AM41" i="66"/>
  <c r="AL41" i="66"/>
  <c r="AD41" i="66"/>
  <c r="AC41" i="66"/>
  <c r="T41" i="66"/>
  <c r="W41" i="66" s="1"/>
  <c r="F41" i="66"/>
  <c r="G41" i="66" s="1"/>
  <c r="E53" i="66" s="1"/>
  <c r="K53" i="66" s="1"/>
  <c r="AV40" i="66"/>
  <c r="AU40" i="66"/>
  <c r="AL40" i="66"/>
  <c r="AD40" i="66"/>
  <c r="AC40" i="66"/>
  <c r="T40" i="66"/>
  <c r="W40" i="66" s="1"/>
  <c r="F40" i="66"/>
  <c r="G40" i="66" s="1"/>
  <c r="AV39" i="66"/>
  <c r="AU39" i="66"/>
  <c r="AM39" i="66"/>
  <c r="AL39" i="66"/>
  <c r="AD39" i="66"/>
  <c r="AC39" i="66"/>
  <c r="T39" i="66"/>
  <c r="F39" i="66"/>
  <c r="G39" i="66" s="1"/>
  <c r="E52" i="66" s="1"/>
  <c r="K52" i="66" s="1"/>
  <c r="AV38" i="66"/>
  <c r="AU38" i="66"/>
  <c r="AL38" i="66"/>
  <c r="AD38" i="66"/>
  <c r="AC38" i="66"/>
  <c r="T38" i="66"/>
  <c r="F38" i="66"/>
  <c r="G38" i="66" s="1"/>
  <c r="E51" i="66" s="1"/>
  <c r="K51" i="66" s="1"/>
  <c r="AV37" i="66"/>
  <c r="AU37" i="66"/>
  <c r="AM37" i="66"/>
  <c r="AL37" i="66"/>
  <c r="AD37" i="66"/>
  <c r="AC37" i="66"/>
  <c r="T37" i="66"/>
  <c r="F37" i="66"/>
  <c r="G37" i="66" s="1"/>
  <c r="E50" i="66" s="1"/>
  <c r="K50" i="66" s="1"/>
  <c r="AV36" i="66"/>
  <c r="AU36" i="66"/>
  <c r="AL36" i="66"/>
  <c r="AD36" i="66"/>
  <c r="AC36" i="66"/>
  <c r="T36" i="66"/>
  <c r="F36" i="66"/>
  <c r="G36" i="66" s="1"/>
  <c r="AV35" i="66"/>
  <c r="AU35" i="66"/>
  <c r="AL35" i="66"/>
  <c r="AD35" i="66"/>
  <c r="AC35" i="66"/>
  <c r="T35" i="66"/>
  <c r="F35" i="66"/>
  <c r="G35" i="66" s="1"/>
  <c r="E49" i="66" s="1"/>
  <c r="K49" i="66" s="1"/>
  <c r="AV34" i="66"/>
  <c r="AU34" i="66"/>
  <c r="AM34" i="66"/>
  <c r="AL34" i="66"/>
  <c r="AD34" i="66"/>
  <c r="AC34" i="66"/>
  <c r="T34" i="66"/>
  <c r="F34" i="66"/>
  <c r="AV33" i="66"/>
  <c r="AU33" i="66"/>
  <c r="AM33" i="66"/>
  <c r="AL33" i="66"/>
  <c r="AD33" i="66"/>
  <c r="AC33" i="66"/>
  <c r="T33" i="66"/>
  <c r="AV32" i="66"/>
  <c r="AU32" i="66"/>
  <c r="AM32" i="66"/>
  <c r="AL32" i="66"/>
  <c r="AD32" i="66"/>
  <c r="AC32" i="66"/>
  <c r="T32" i="66"/>
  <c r="E184" i="65"/>
  <c r="H54" i="26"/>
  <c r="C54" i="26"/>
  <c r="H40" i="26"/>
  <c r="C40" i="26"/>
  <c r="H13" i="26"/>
  <c r="C13" i="26"/>
  <c r="H549" i="65"/>
  <c r="U41" i="65" s="1"/>
  <c r="J542" i="65"/>
  <c r="J543" i="65"/>
  <c r="J544" i="65"/>
  <c r="J545" i="65"/>
  <c r="J546" i="65"/>
  <c r="J547" i="65"/>
  <c r="J541" i="65"/>
  <c r="E536" i="65"/>
  <c r="G535" i="65"/>
  <c r="E545" i="65" s="1"/>
  <c r="G534" i="65"/>
  <c r="E544" i="65" s="1"/>
  <c r="G533" i="65"/>
  <c r="G532" i="65"/>
  <c r="E543" i="65" s="1"/>
  <c r="K543" i="65" s="1"/>
  <c r="G531" i="65"/>
  <c r="G530" i="65"/>
  <c r="E542" i="65" s="1"/>
  <c r="G529" i="65"/>
  <c r="E541" i="65" s="1"/>
  <c r="H509" i="65"/>
  <c r="U40" i="65" s="1"/>
  <c r="E506" i="65"/>
  <c r="K506" i="65" s="1"/>
  <c r="E504" i="65"/>
  <c r="K504" i="65" s="1"/>
  <c r="J505" i="65"/>
  <c r="J506" i="65"/>
  <c r="E505" i="65"/>
  <c r="K505" i="65" s="1"/>
  <c r="E503" i="65"/>
  <c r="K503" i="65" s="1"/>
  <c r="E502" i="65"/>
  <c r="K502" i="65" s="1"/>
  <c r="E501" i="65"/>
  <c r="K501" i="65" s="1"/>
  <c r="E500" i="65"/>
  <c r="K500" i="65" s="1"/>
  <c r="E495" i="65"/>
  <c r="J501" i="65"/>
  <c r="J502" i="65"/>
  <c r="J503" i="65"/>
  <c r="J504" i="65"/>
  <c r="J507" i="65"/>
  <c r="J500" i="65"/>
  <c r="H197" i="65"/>
  <c r="U47" i="65" s="1"/>
  <c r="J189" i="65"/>
  <c r="J190" i="65"/>
  <c r="J191" i="65"/>
  <c r="J192" i="65"/>
  <c r="J193" i="65"/>
  <c r="J194" i="65"/>
  <c r="J195" i="65"/>
  <c r="F182" i="65"/>
  <c r="G182" i="65" s="1"/>
  <c r="E193" i="65" s="1"/>
  <c r="K193" i="65" s="1"/>
  <c r="F181" i="65"/>
  <c r="G181" i="65" s="1"/>
  <c r="F180" i="65"/>
  <c r="G180" i="65" s="1"/>
  <c r="E191" i="65" s="1"/>
  <c r="K191" i="65" s="1"/>
  <c r="F179" i="65"/>
  <c r="G179" i="65" s="1"/>
  <c r="E188" i="65" s="1"/>
  <c r="F178" i="65"/>
  <c r="G178" i="65" s="1"/>
  <c r="E192" i="65" s="1"/>
  <c r="K192" i="65" s="1"/>
  <c r="F177" i="65"/>
  <c r="G177" i="65" s="1"/>
  <c r="F176" i="65"/>
  <c r="G176" i="65" s="1"/>
  <c r="E190" i="65" s="1"/>
  <c r="K190" i="65" s="1"/>
  <c r="F175" i="65"/>
  <c r="G175" i="65" s="1"/>
  <c r="E189" i="65" s="1"/>
  <c r="K189" i="65" s="1"/>
  <c r="E183" i="65"/>
  <c r="J188" i="65"/>
  <c r="H154" i="65"/>
  <c r="U48" i="65" s="1"/>
  <c r="E151" i="65"/>
  <c r="K151" i="65" s="1"/>
  <c r="J152" i="65"/>
  <c r="J151" i="65"/>
  <c r="K150" i="65"/>
  <c r="J150" i="65"/>
  <c r="K149" i="65"/>
  <c r="J149" i="65"/>
  <c r="K148" i="65"/>
  <c r="J148" i="65"/>
  <c r="K147" i="65"/>
  <c r="J147" i="65"/>
  <c r="K146" i="65"/>
  <c r="J146" i="65"/>
  <c r="H127" i="65"/>
  <c r="U46" i="65" s="1"/>
  <c r="E124" i="65"/>
  <c r="E125" i="65" s="1"/>
  <c r="K125" i="65" s="1"/>
  <c r="J119" i="65"/>
  <c r="K119" i="65"/>
  <c r="J120" i="65"/>
  <c r="K120" i="65"/>
  <c r="J121" i="65"/>
  <c r="K121" i="65"/>
  <c r="J122" i="65"/>
  <c r="K122" i="65"/>
  <c r="J123" i="65"/>
  <c r="K123" i="65"/>
  <c r="J124" i="65"/>
  <c r="J125" i="65"/>
  <c r="K118" i="65"/>
  <c r="J118" i="65"/>
  <c r="AT41" i="65"/>
  <c r="AS41" i="65"/>
  <c r="AT40" i="65"/>
  <c r="AS40" i="65"/>
  <c r="AT39" i="65"/>
  <c r="AS39" i="65"/>
  <c r="AT38" i="65"/>
  <c r="AS38" i="65"/>
  <c r="AT37" i="65"/>
  <c r="AS37" i="65"/>
  <c r="AT36" i="65"/>
  <c r="AS36" i="65"/>
  <c r="AT35" i="65"/>
  <c r="AS35" i="65"/>
  <c r="AT34" i="65"/>
  <c r="AS34" i="65"/>
  <c r="AT33" i="65"/>
  <c r="AS33" i="65"/>
  <c r="AT32" i="65"/>
  <c r="AS32" i="65"/>
  <c r="T40" i="65"/>
  <c r="T41" i="65"/>
  <c r="AK41" i="65"/>
  <c r="AJ41" i="65"/>
  <c r="AJ40" i="65"/>
  <c r="AK39" i="65"/>
  <c r="AJ39" i="65"/>
  <c r="AJ38" i="65"/>
  <c r="AK37" i="65"/>
  <c r="AJ37" i="65"/>
  <c r="AJ36" i="65"/>
  <c r="AJ35" i="65"/>
  <c r="AK34" i="65"/>
  <c r="AJ34" i="65"/>
  <c r="AK33" i="65"/>
  <c r="AJ33" i="65"/>
  <c r="AK32" i="65"/>
  <c r="AJ32" i="65"/>
  <c r="AV42" i="65"/>
  <c r="AM42" i="65"/>
  <c r="T48" i="65"/>
  <c r="T47" i="65"/>
  <c r="T46" i="65"/>
  <c r="T45" i="65"/>
  <c r="H100" i="65"/>
  <c r="U45" i="65" s="1"/>
  <c r="J93" i="65"/>
  <c r="J94" i="65"/>
  <c r="J95" i="65"/>
  <c r="J96" i="65"/>
  <c r="J97" i="65"/>
  <c r="J98" i="65"/>
  <c r="J92" i="65"/>
  <c r="F86" i="65"/>
  <c r="G86" i="65" s="1"/>
  <c r="E93" i="65" s="1"/>
  <c r="K93" i="65" s="1"/>
  <c r="F85" i="65"/>
  <c r="G85" i="65" s="1"/>
  <c r="F84" i="65"/>
  <c r="G84" i="65" s="1"/>
  <c r="F83" i="65"/>
  <c r="G83" i="65" s="1"/>
  <c r="E92" i="65" s="1"/>
  <c r="F82" i="65"/>
  <c r="G82" i="65" s="1"/>
  <c r="F81" i="65"/>
  <c r="G81" i="65" s="1"/>
  <c r="F80" i="65"/>
  <c r="G80" i="65" s="1"/>
  <c r="E96" i="65" s="1"/>
  <c r="K96" i="65" s="1"/>
  <c r="F79" i="65"/>
  <c r="E87" i="65"/>
  <c r="S42" i="65"/>
  <c r="R42" i="65"/>
  <c r="H467" i="65"/>
  <c r="U39" i="65" s="1"/>
  <c r="AG39" i="65" s="1"/>
  <c r="E464" i="65"/>
  <c r="K464" i="65" s="1"/>
  <c r="E462" i="65"/>
  <c r="K462" i="65" s="1"/>
  <c r="E463" i="65"/>
  <c r="K463" i="65" s="1"/>
  <c r="E461" i="65"/>
  <c r="K461" i="65" s="1"/>
  <c r="E460" i="65"/>
  <c r="K460" i="65" s="1"/>
  <c r="E459" i="65"/>
  <c r="E454" i="65"/>
  <c r="J460" i="65"/>
  <c r="J461" i="65"/>
  <c r="J462" i="65"/>
  <c r="J463" i="65"/>
  <c r="J464" i="65"/>
  <c r="J465" i="65"/>
  <c r="J459" i="65"/>
  <c r="S49" i="65"/>
  <c r="R49" i="65"/>
  <c r="T39" i="65"/>
  <c r="T38" i="65"/>
  <c r="H420" i="65"/>
  <c r="U38" i="65" s="1"/>
  <c r="AP38" i="65" s="1"/>
  <c r="E417" i="65"/>
  <c r="K417" i="65" s="1"/>
  <c r="K416" i="65"/>
  <c r="G416" i="65"/>
  <c r="J416" i="65" s="1"/>
  <c r="J418" i="65"/>
  <c r="G417" i="65"/>
  <c r="J417" i="65" s="1"/>
  <c r="K415" i="65"/>
  <c r="G415" i="65"/>
  <c r="J415" i="65" s="1"/>
  <c r="K414" i="65"/>
  <c r="G414" i="65"/>
  <c r="J414" i="65" s="1"/>
  <c r="K413" i="65"/>
  <c r="G413" i="65"/>
  <c r="J413" i="65" s="1"/>
  <c r="K412" i="65"/>
  <c r="G412" i="65"/>
  <c r="J412" i="65" s="1"/>
  <c r="K411" i="65"/>
  <c r="G411" i="65"/>
  <c r="J411" i="65" s="1"/>
  <c r="U37" i="65"/>
  <c r="AP37" i="65" s="1"/>
  <c r="T37" i="65"/>
  <c r="K389" i="65"/>
  <c r="G389" i="65"/>
  <c r="J389" i="65" s="1"/>
  <c r="E390" i="65"/>
  <c r="E391" i="65" s="1"/>
  <c r="K391" i="65" s="1"/>
  <c r="J391" i="65"/>
  <c r="G390" i="65"/>
  <c r="J390" i="65" s="1"/>
  <c r="K388" i="65"/>
  <c r="G388" i="65"/>
  <c r="J388" i="65" s="1"/>
  <c r="K387" i="65"/>
  <c r="G387" i="65"/>
  <c r="J387" i="65" s="1"/>
  <c r="K386" i="65"/>
  <c r="G386" i="65"/>
  <c r="J386" i="65" s="1"/>
  <c r="K385" i="65"/>
  <c r="G385" i="65"/>
  <c r="J385" i="65" s="1"/>
  <c r="K384" i="65"/>
  <c r="G384" i="65"/>
  <c r="J384" i="65" s="1"/>
  <c r="H364" i="65"/>
  <c r="U36" i="65" s="1"/>
  <c r="AG36" i="65" s="1"/>
  <c r="C41" i="22"/>
  <c r="H316" i="65"/>
  <c r="U35" i="65" s="1"/>
  <c r="AP35" i="65" s="1"/>
  <c r="H289" i="65"/>
  <c r="U34" i="65" s="1"/>
  <c r="AG34" i="65" s="1"/>
  <c r="H261" i="65"/>
  <c r="U33" i="65" s="1"/>
  <c r="AG33" i="65" s="1"/>
  <c r="H232" i="65"/>
  <c r="U32" i="65" s="1"/>
  <c r="AP32" i="65" s="1"/>
  <c r="H57" i="65"/>
  <c r="U44" i="65" s="1"/>
  <c r="J355" i="65"/>
  <c r="J356" i="65"/>
  <c r="J357" i="65"/>
  <c r="J358" i="65"/>
  <c r="J359" i="65"/>
  <c r="J360" i="65"/>
  <c r="J361" i="65"/>
  <c r="J362" i="65"/>
  <c r="E350" i="65"/>
  <c r="F349" i="65"/>
  <c r="G349" i="65" s="1"/>
  <c r="F348" i="65"/>
  <c r="G348" i="65" s="1"/>
  <c r="E359" i="65" s="1"/>
  <c r="F338" i="65"/>
  <c r="G338" i="65" s="1"/>
  <c r="E356" i="65" s="1"/>
  <c r="F339" i="65"/>
  <c r="G339" i="65" s="1"/>
  <c r="F340" i="65"/>
  <c r="G340" i="65" s="1"/>
  <c r="F341" i="65"/>
  <c r="G341" i="65" s="1"/>
  <c r="E355" i="65" s="1"/>
  <c r="K355" i="65" s="1"/>
  <c r="F342" i="65"/>
  <c r="G342" i="65" s="1"/>
  <c r="F343" i="65"/>
  <c r="G343" i="65" s="1"/>
  <c r="F344" i="65"/>
  <c r="G344" i="65" s="1"/>
  <c r="E358" i="65" s="1"/>
  <c r="K358" i="65" s="1"/>
  <c r="F345" i="65"/>
  <c r="G345" i="65" s="1"/>
  <c r="F346" i="65"/>
  <c r="G346" i="65" s="1"/>
  <c r="E357" i="65" s="1"/>
  <c r="F347" i="65"/>
  <c r="G347" i="65" s="1"/>
  <c r="F337" i="65"/>
  <c r="K308" i="65"/>
  <c r="K309" i="65"/>
  <c r="K310" i="65"/>
  <c r="K311" i="65"/>
  <c r="K312" i="65"/>
  <c r="K313" i="65"/>
  <c r="J314" i="65"/>
  <c r="E314" i="65"/>
  <c r="K314" i="65" s="1"/>
  <c r="G313" i="65"/>
  <c r="J313" i="65" s="1"/>
  <c r="G312" i="65"/>
  <c r="J312" i="65" s="1"/>
  <c r="G311" i="65"/>
  <c r="J311" i="65" s="1"/>
  <c r="G310" i="65"/>
  <c r="J310" i="65" s="1"/>
  <c r="G309" i="65"/>
  <c r="J309" i="65" s="1"/>
  <c r="G308" i="65"/>
  <c r="J308" i="65" s="1"/>
  <c r="E286" i="65"/>
  <c r="K286" i="65" s="1"/>
  <c r="G282" i="65"/>
  <c r="J282" i="65" s="1"/>
  <c r="G283" i="65"/>
  <c r="J283" i="65" s="1"/>
  <c r="G284" i="65"/>
  <c r="J284" i="65" s="1"/>
  <c r="G285" i="65"/>
  <c r="J285" i="65" s="1"/>
  <c r="G286" i="65"/>
  <c r="J286" i="65" s="1"/>
  <c r="G281" i="65"/>
  <c r="J281" i="65" s="1"/>
  <c r="K281" i="65"/>
  <c r="K282" i="65"/>
  <c r="K283" i="65"/>
  <c r="K284" i="65"/>
  <c r="K285" i="65"/>
  <c r="J287" i="65"/>
  <c r="K257" i="65"/>
  <c r="J253" i="65"/>
  <c r="J254" i="65"/>
  <c r="J255" i="65"/>
  <c r="J256" i="65"/>
  <c r="J257" i="65"/>
  <c r="J258" i="65"/>
  <c r="J259" i="65"/>
  <c r="E258" i="65"/>
  <c r="K258" i="65" s="1"/>
  <c r="E256" i="65"/>
  <c r="K256" i="65" s="1"/>
  <c r="E254" i="65"/>
  <c r="K254" i="65" s="1"/>
  <c r="E253" i="65"/>
  <c r="K253" i="65" s="1"/>
  <c r="E255" i="65"/>
  <c r="K255" i="65" s="1"/>
  <c r="F34" i="65"/>
  <c r="G34" i="65" s="1"/>
  <c r="E48" i="65" s="1"/>
  <c r="K48" i="65" s="1"/>
  <c r="A53" i="15"/>
  <c r="A54" i="15"/>
  <c r="A55" i="15"/>
  <c r="A56" i="15"/>
  <c r="A57" i="15"/>
  <c r="A58" i="15"/>
  <c r="J62" i="15"/>
  <c r="K62" i="15"/>
  <c r="L62" i="15"/>
  <c r="J63" i="15"/>
  <c r="K63" i="15"/>
  <c r="L63" i="15"/>
  <c r="C16" i="62"/>
  <c r="F9" i="62"/>
  <c r="K9" i="62" s="1"/>
  <c r="F8" i="62"/>
  <c r="K8" i="62" s="1"/>
  <c r="F7" i="62"/>
  <c r="K7" i="62" s="1"/>
  <c r="F6" i="62"/>
  <c r="K6" i="62" s="1"/>
  <c r="F5" i="62"/>
  <c r="K5" i="62" s="1"/>
  <c r="F4" i="62"/>
  <c r="K4" i="62" s="1"/>
  <c r="F3" i="62"/>
  <c r="K3" i="62" s="1"/>
  <c r="C70" i="62"/>
  <c r="F64" i="62"/>
  <c r="K64" i="62" s="1"/>
  <c r="F63" i="62"/>
  <c r="F62" i="62"/>
  <c r="K62" i="62" s="1"/>
  <c r="F61" i="62"/>
  <c r="K61" i="62" s="1"/>
  <c r="F60" i="62"/>
  <c r="K60" i="62" s="1"/>
  <c r="F59" i="62"/>
  <c r="K59" i="62" s="1"/>
  <c r="F58" i="62"/>
  <c r="K58" i="62" s="1"/>
  <c r="C53" i="62"/>
  <c r="F47" i="62"/>
  <c r="K47" i="62" s="1"/>
  <c r="F46" i="62"/>
  <c r="K46" i="62" s="1"/>
  <c r="F45" i="62"/>
  <c r="K45" i="62" s="1"/>
  <c r="F44" i="62"/>
  <c r="K44" i="62" s="1"/>
  <c r="F43" i="62"/>
  <c r="K43" i="62" s="1"/>
  <c r="F42" i="62"/>
  <c r="K42" i="62" s="1"/>
  <c r="F41" i="62"/>
  <c r="C35" i="62"/>
  <c r="F28" i="62"/>
  <c r="F27" i="62"/>
  <c r="F26" i="62"/>
  <c r="F25" i="62"/>
  <c r="F24" i="62"/>
  <c r="F23" i="62"/>
  <c r="F22" i="62"/>
  <c r="C13" i="59"/>
  <c r="F11" i="59"/>
  <c r="K11" i="59" s="1"/>
  <c r="F10" i="59"/>
  <c r="K10" i="59" s="1"/>
  <c r="F9" i="59"/>
  <c r="K9" i="59" s="1"/>
  <c r="F8" i="59"/>
  <c r="K8" i="59" s="1"/>
  <c r="F7" i="59"/>
  <c r="K7" i="59" s="1"/>
  <c r="F6" i="59"/>
  <c r="K6" i="59" s="1"/>
  <c r="F5" i="59"/>
  <c r="K5" i="59" s="1"/>
  <c r="C72" i="59"/>
  <c r="F70" i="59"/>
  <c r="K70" i="59" s="1"/>
  <c r="F69" i="59"/>
  <c r="K69" i="59" s="1"/>
  <c r="F68" i="59"/>
  <c r="K68" i="59" s="1"/>
  <c r="F67" i="59"/>
  <c r="K67" i="59" s="1"/>
  <c r="F66" i="59"/>
  <c r="K66" i="59" s="1"/>
  <c r="F65" i="59"/>
  <c r="K65" i="59" s="1"/>
  <c r="F64" i="59"/>
  <c r="K64" i="59" s="1"/>
  <c r="C54" i="59"/>
  <c r="F52" i="59"/>
  <c r="K52" i="59" s="1"/>
  <c r="F51" i="59"/>
  <c r="K51" i="59" s="1"/>
  <c r="F50" i="59"/>
  <c r="K50" i="59" s="1"/>
  <c r="F49" i="59"/>
  <c r="F48" i="59"/>
  <c r="K48" i="59" s="1"/>
  <c r="F47" i="59"/>
  <c r="K47" i="59" s="1"/>
  <c r="F46" i="59"/>
  <c r="K46" i="59" s="1"/>
  <c r="F32" i="59"/>
  <c r="F33" i="59" s="1"/>
  <c r="K18" i="53"/>
  <c r="K17" i="53"/>
  <c r="K16" i="53"/>
  <c r="K15" i="53"/>
  <c r="K14" i="53"/>
  <c r="K13" i="53"/>
  <c r="K12" i="53"/>
  <c r="K19" i="53" s="1"/>
  <c r="F18" i="53"/>
  <c r="C18" i="53"/>
  <c r="C21" i="53" s="1"/>
  <c r="F17" i="53"/>
  <c r="F16" i="53"/>
  <c r="F15" i="53"/>
  <c r="F14" i="53"/>
  <c r="F13" i="53"/>
  <c r="F12" i="53"/>
  <c r="K86" i="53"/>
  <c r="K84" i="53"/>
  <c r="K83" i="53"/>
  <c r="F80" i="53"/>
  <c r="K80" i="53" s="1"/>
  <c r="F81" i="53"/>
  <c r="K81" i="53" s="1"/>
  <c r="F82" i="53"/>
  <c r="K82" i="53" s="1"/>
  <c r="F83" i="53"/>
  <c r="F84" i="53"/>
  <c r="F85" i="53"/>
  <c r="C86" i="53"/>
  <c r="F86" i="53"/>
  <c r="F87" i="53" s="1"/>
  <c r="C89" i="53"/>
  <c r="F62" i="53"/>
  <c r="K61" i="53" s="1"/>
  <c r="C62" i="53"/>
  <c r="C65" i="53" s="1"/>
  <c r="F61" i="53"/>
  <c r="K62" i="53" s="1"/>
  <c r="F60" i="53"/>
  <c r="K60" i="53" s="1"/>
  <c r="F59" i="53"/>
  <c r="K59" i="53" s="1"/>
  <c r="F58" i="53"/>
  <c r="K58" i="53" s="1"/>
  <c r="F57" i="53"/>
  <c r="K57" i="53" s="1"/>
  <c r="F56" i="53"/>
  <c r="K56" i="53" s="1"/>
  <c r="K42" i="53"/>
  <c r="F41" i="53"/>
  <c r="F42" i="53" s="1"/>
  <c r="C41" i="53"/>
  <c r="C44" i="53" s="1"/>
  <c r="K29" i="56"/>
  <c r="K24" i="56"/>
  <c r="K25" i="56"/>
  <c r="K26" i="56"/>
  <c r="K27" i="56"/>
  <c r="K28" i="56"/>
  <c r="K23" i="56"/>
  <c r="K50" i="56"/>
  <c r="K45" i="56"/>
  <c r="K46" i="56"/>
  <c r="K47" i="56"/>
  <c r="K48" i="56"/>
  <c r="K49" i="56"/>
  <c r="K44" i="56"/>
  <c r="C51" i="56"/>
  <c r="F49" i="56"/>
  <c r="F48" i="56"/>
  <c r="F47" i="56"/>
  <c r="F46" i="56"/>
  <c r="F45" i="56"/>
  <c r="F44" i="56"/>
  <c r="F50" i="56" s="1"/>
  <c r="F24" i="56"/>
  <c r="C30" i="56"/>
  <c r="C73" i="56"/>
  <c r="F71" i="56"/>
  <c r="K71" i="56" s="1"/>
  <c r="F70" i="56"/>
  <c r="K70" i="56" s="1"/>
  <c r="F69" i="56"/>
  <c r="K69" i="56" s="1"/>
  <c r="F68" i="56"/>
  <c r="K68" i="56" s="1"/>
  <c r="F67" i="56"/>
  <c r="K67" i="56" s="1"/>
  <c r="F66" i="56"/>
  <c r="K66" i="56" s="1"/>
  <c r="K4" i="56"/>
  <c r="C10" i="56"/>
  <c r="F8" i="56"/>
  <c r="K8" i="56" s="1"/>
  <c r="F7" i="56"/>
  <c r="K7" i="56" s="1"/>
  <c r="F6" i="56"/>
  <c r="K6" i="56" s="1"/>
  <c r="F5" i="56"/>
  <c r="K5" i="56" s="1"/>
  <c r="F4" i="56"/>
  <c r="F3" i="56"/>
  <c r="K3" i="56" s="1"/>
  <c r="C64" i="50"/>
  <c r="F59" i="50"/>
  <c r="K59" i="50" s="1"/>
  <c r="F58" i="50"/>
  <c r="K58" i="50" s="1"/>
  <c r="F57" i="50"/>
  <c r="K57" i="50" s="1"/>
  <c r="F56" i="50"/>
  <c r="K56" i="50" s="1"/>
  <c r="F55" i="50"/>
  <c r="K55" i="50" s="1"/>
  <c r="F54" i="50"/>
  <c r="K54" i="50" s="1"/>
  <c r="C15" i="50"/>
  <c r="F10" i="50"/>
  <c r="K10" i="50" s="1"/>
  <c r="F9" i="50"/>
  <c r="K9" i="50" s="1"/>
  <c r="F8" i="50"/>
  <c r="K8" i="50" s="1"/>
  <c r="F7" i="50"/>
  <c r="K7" i="50" s="1"/>
  <c r="F6" i="50"/>
  <c r="K6" i="50" s="1"/>
  <c r="F5" i="50"/>
  <c r="C48" i="50"/>
  <c r="F43" i="50"/>
  <c r="K43" i="50" s="1"/>
  <c r="F42" i="50"/>
  <c r="K42" i="50" s="1"/>
  <c r="F41" i="50"/>
  <c r="K41" i="50" s="1"/>
  <c r="F40" i="50"/>
  <c r="K40" i="50" s="1"/>
  <c r="F39" i="50"/>
  <c r="K39" i="50" s="1"/>
  <c r="F38" i="50"/>
  <c r="K38" i="50" s="1"/>
  <c r="C33" i="50"/>
  <c r="F28" i="50"/>
  <c r="F27" i="50"/>
  <c r="F26" i="50"/>
  <c r="F25" i="50"/>
  <c r="F24" i="50"/>
  <c r="F23" i="50"/>
  <c r="H10" i="47"/>
  <c r="H5" i="47"/>
  <c r="H6" i="47"/>
  <c r="H7" i="47"/>
  <c r="H8" i="47"/>
  <c r="H9" i="47"/>
  <c r="H4" i="47"/>
  <c r="H21" i="47"/>
  <c r="H16" i="47"/>
  <c r="H17" i="47"/>
  <c r="H18" i="47"/>
  <c r="H19" i="47"/>
  <c r="H20" i="47"/>
  <c r="H15" i="47"/>
  <c r="C10" i="47"/>
  <c r="H43" i="47"/>
  <c r="H42" i="47"/>
  <c r="H41" i="47"/>
  <c r="H40" i="47"/>
  <c r="H39" i="47"/>
  <c r="H38" i="47"/>
  <c r="C44" i="47"/>
  <c r="H32" i="47"/>
  <c r="H31" i="47"/>
  <c r="H30" i="47"/>
  <c r="H29" i="47"/>
  <c r="H28" i="47"/>
  <c r="H27" i="47"/>
  <c r="C33" i="47"/>
  <c r="C21" i="47"/>
  <c r="AB36" i="65"/>
  <c r="AA36" i="65"/>
  <c r="AB38" i="65"/>
  <c r="AA38" i="65"/>
  <c r="AB33" i="65"/>
  <c r="AA33" i="65"/>
  <c r="AB34" i="65"/>
  <c r="AA34" i="65"/>
  <c r="AB35" i="65"/>
  <c r="AA35" i="65"/>
  <c r="AB39" i="65"/>
  <c r="AA39" i="65"/>
  <c r="AB37" i="65"/>
  <c r="AA37" i="65"/>
  <c r="AB41" i="65"/>
  <c r="AA41" i="65"/>
  <c r="AB40" i="65"/>
  <c r="AA40" i="65"/>
  <c r="AB32" i="65"/>
  <c r="AA32" i="65"/>
  <c r="E230" i="65"/>
  <c r="J222" i="65"/>
  <c r="K222" i="65"/>
  <c r="J223" i="65"/>
  <c r="K223" i="65"/>
  <c r="J224" i="65"/>
  <c r="K224" i="65"/>
  <c r="J225" i="65"/>
  <c r="K225" i="65"/>
  <c r="J226" i="65"/>
  <c r="K226" i="65"/>
  <c r="J227" i="65"/>
  <c r="K227" i="65"/>
  <c r="J228" i="65"/>
  <c r="K228" i="65"/>
  <c r="J229" i="65"/>
  <c r="K229" i="65"/>
  <c r="J230" i="65"/>
  <c r="T35" i="65"/>
  <c r="T34" i="65"/>
  <c r="T33" i="65"/>
  <c r="T32" i="65"/>
  <c r="T44" i="65"/>
  <c r="H55" i="65"/>
  <c r="J48" i="65"/>
  <c r="J49" i="65"/>
  <c r="J50" i="65"/>
  <c r="J51" i="65"/>
  <c r="J52" i="65"/>
  <c r="J53" i="65"/>
  <c r="J54" i="65"/>
  <c r="J55" i="65"/>
  <c r="F35" i="65"/>
  <c r="G35" i="65" s="1"/>
  <c r="E49" i="65" s="1"/>
  <c r="K49" i="65" s="1"/>
  <c r="F36" i="65"/>
  <c r="G36" i="65" s="1"/>
  <c r="F37" i="65"/>
  <c r="G37" i="65" s="1"/>
  <c r="E50" i="65" s="1"/>
  <c r="K50" i="65" s="1"/>
  <c r="F38" i="65"/>
  <c r="G38" i="65" s="1"/>
  <c r="E51" i="65" s="1"/>
  <c r="K51" i="65" s="1"/>
  <c r="F39" i="65"/>
  <c r="G39" i="65" s="1"/>
  <c r="E52" i="65" s="1"/>
  <c r="K52" i="65" s="1"/>
  <c r="F40" i="65"/>
  <c r="G40" i="65" s="1"/>
  <c r="F41" i="65"/>
  <c r="G41" i="65" s="1"/>
  <c r="E53" i="65" s="1"/>
  <c r="K53" i="65" s="1"/>
  <c r="F42" i="65"/>
  <c r="G42" i="65" s="1"/>
  <c r="E43" i="65"/>
  <c r="C38" i="21"/>
  <c r="D82" i="44"/>
  <c r="C82" i="44"/>
  <c r="E81" i="44"/>
  <c r="E80" i="44"/>
  <c r="E79" i="44"/>
  <c r="E78" i="44"/>
  <c r="E77" i="44"/>
  <c r="E76" i="44"/>
  <c r="H73" i="44" s="1"/>
  <c r="E75" i="44"/>
  <c r="H72" i="44" s="1"/>
  <c r="H74" i="44"/>
  <c r="E74" i="44"/>
  <c r="E73" i="44"/>
  <c r="E72" i="44"/>
  <c r="H71" i="44"/>
  <c r="E71" i="44"/>
  <c r="H70" i="44"/>
  <c r="E70" i="44"/>
  <c r="H69" i="44"/>
  <c r="E69" i="44"/>
  <c r="E82" i="44" s="1"/>
  <c r="D60" i="44"/>
  <c r="C60" i="44"/>
  <c r="E59" i="44"/>
  <c r="E58" i="44"/>
  <c r="E57" i="44"/>
  <c r="E56" i="44"/>
  <c r="E55" i="44"/>
  <c r="E54" i="44"/>
  <c r="H51" i="44" s="1"/>
  <c r="E53" i="44"/>
  <c r="H50" i="44" s="1"/>
  <c r="H52" i="44"/>
  <c r="E52" i="44"/>
  <c r="H49" i="44" s="1"/>
  <c r="E51" i="44"/>
  <c r="E50" i="44"/>
  <c r="E49" i="44"/>
  <c r="H48" i="44"/>
  <c r="E48" i="44"/>
  <c r="H47" i="44"/>
  <c r="E47" i="44"/>
  <c r="E60" i="44" s="1"/>
  <c r="D38" i="44"/>
  <c r="E38" i="44" s="1"/>
  <c r="C38" i="44"/>
  <c r="E37" i="44"/>
  <c r="E36" i="44"/>
  <c r="E35" i="44"/>
  <c r="E34" i="44"/>
  <c r="E33" i="44"/>
  <c r="E32" i="44"/>
  <c r="E31" i="44"/>
  <c r="H28" i="44" s="1"/>
  <c r="H31" i="44" s="1"/>
  <c r="H30" i="44"/>
  <c r="E30" i="44"/>
  <c r="E29" i="44"/>
  <c r="E28" i="44"/>
  <c r="E27" i="44"/>
  <c r="E26" i="44"/>
  <c r="E25" i="44"/>
  <c r="D18" i="44"/>
  <c r="C18" i="44"/>
  <c r="E17" i="44"/>
  <c r="E16" i="44"/>
  <c r="E15" i="44"/>
  <c r="E14" i="44"/>
  <c r="E13" i="44"/>
  <c r="E12" i="44"/>
  <c r="H8" i="44" s="1"/>
  <c r="E11" i="44"/>
  <c r="H7" i="44" s="1"/>
  <c r="E10" i="44"/>
  <c r="H6" i="44" s="1"/>
  <c r="E9" i="44"/>
  <c r="E8" i="44"/>
  <c r="E7" i="44"/>
  <c r="E6" i="44"/>
  <c r="H5" i="44"/>
  <c r="E5" i="44"/>
  <c r="H4" i="44"/>
  <c r="E4" i="44"/>
  <c r="D14" i="41"/>
  <c r="C14" i="41"/>
  <c r="E13" i="41"/>
  <c r="E12" i="41"/>
  <c r="E11" i="41"/>
  <c r="J9" i="41" s="1"/>
  <c r="E10" i="41"/>
  <c r="J8" i="41" s="1"/>
  <c r="E9" i="41"/>
  <c r="E8" i="41"/>
  <c r="E7" i="41"/>
  <c r="E6" i="41"/>
  <c r="J7" i="41" s="1"/>
  <c r="E5" i="41"/>
  <c r="J5" i="41" s="1"/>
  <c r="E4" i="41"/>
  <c r="J4" i="41" s="1"/>
  <c r="E3" i="41"/>
  <c r="D56" i="41"/>
  <c r="C56" i="41"/>
  <c r="E55" i="41"/>
  <c r="E54" i="41"/>
  <c r="E53" i="41"/>
  <c r="E52" i="41"/>
  <c r="J50" i="41" s="1"/>
  <c r="J51" i="41"/>
  <c r="E51" i="41"/>
  <c r="J52" i="41" s="1"/>
  <c r="E50" i="41"/>
  <c r="E49" i="41"/>
  <c r="J48" i="41"/>
  <c r="E48" i="41"/>
  <c r="J49" i="41" s="1"/>
  <c r="E47" i="41"/>
  <c r="J47" i="41" s="1"/>
  <c r="E46" i="41"/>
  <c r="J46" i="41" s="1"/>
  <c r="E45" i="41"/>
  <c r="D42" i="41"/>
  <c r="C42" i="41"/>
  <c r="E41" i="41"/>
  <c r="E40" i="41"/>
  <c r="E39" i="41"/>
  <c r="E38" i="41"/>
  <c r="J36" i="41" s="1"/>
  <c r="J37" i="41"/>
  <c r="E37" i="41"/>
  <c r="J38" i="41" s="1"/>
  <c r="E36" i="41"/>
  <c r="E35" i="41"/>
  <c r="J35" i="41" s="1"/>
  <c r="E34" i="41"/>
  <c r="E33" i="41"/>
  <c r="J33" i="41" s="1"/>
  <c r="E32" i="41"/>
  <c r="J32" i="41" s="1"/>
  <c r="E31" i="41"/>
  <c r="E17" i="41"/>
  <c r="J17" i="41" s="1"/>
  <c r="E18" i="41"/>
  <c r="J18" i="41" s="1"/>
  <c r="E19" i="41"/>
  <c r="J19" i="41" s="1"/>
  <c r="E20" i="41"/>
  <c r="E21" i="41"/>
  <c r="J21" i="41" s="1"/>
  <c r="E22" i="41"/>
  <c r="J20" i="41" s="1"/>
  <c r="E23" i="41"/>
  <c r="E24" i="41"/>
  <c r="J22" i="41" s="1"/>
  <c r="E25" i="41"/>
  <c r="J23" i="41" s="1"/>
  <c r="E26" i="41"/>
  <c r="E27" i="41"/>
  <c r="C28" i="41"/>
  <c r="D28" i="41"/>
  <c r="AA181" i="4"/>
  <c r="U181" i="4"/>
  <c r="J143" i="22"/>
  <c r="C117" i="22"/>
  <c r="J107" i="22"/>
  <c r="C80" i="22"/>
  <c r="J70" i="22"/>
  <c r="I144" i="22"/>
  <c r="I145" i="22"/>
  <c r="I146" i="22"/>
  <c r="I147" i="22"/>
  <c r="I148" i="22"/>
  <c r="I149" i="22"/>
  <c r="I150" i="22"/>
  <c r="I151" i="22"/>
  <c r="I108" i="22"/>
  <c r="I109" i="22"/>
  <c r="I110" i="22"/>
  <c r="I111" i="22"/>
  <c r="I112" i="22"/>
  <c r="I113" i="22"/>
  <c r="I114" i="22"/>
  <c r="I115" i="22"/>
  <c r="I71" i="22"/>
  <c r="I72" i="22"/>
  <c r="I73" i="22"/>
  <c r="I74" i="22"/>
  <c r="I75" i="22"/>
  <c r="I76" i="22"/>
  <c r="I77" i="22"/>
  <c r="I78" i="22"/>
  <c r="J31" i="22"/>
  <c r="C44" i="24"/>
  <c r="C44" i="25"/>
  <c r="C43" i="25"/>
  <c r="C42" i="25"/>
  <c r="C41" i="25"/>
  <c r="C40" i="25"/>
  <c r="F40" i="18"/>
  <c r="C12" i="31"/>
  <c r="E11" i="31"/>
  <c r="I9" i="31" s="1"/>
  <c r="E10" i="31"/>
  <c r="I8" i="31" s="1"/>
  <c r="E9" i="31"/>
  <c r="I10" i="31" s="1"/>
  <c r="E8" i="31"/>
  <c r="I7" i="31" s="1"/>
  <c r="E7" i="31"/>
  <c r="E6" i="31"/>
  <c r="I6" i="31" s="1"/>
  <c r="E5" i="31"/>
  <c r="E12" i="31" s="1"/>
  <c r="D12" i="31" s="1"/>
  <c r="C90" i="31"/>
  <c r="E89" i="31"/>
  <c r="E88" i="31"/>
  <c r="I87" i="31"/>
  <c r="E87" i="31"/>
  <c r="I86" i="31"/>
  <c r="E86" i="31"/>
  <c r="I88" i="31" s="1"/>
  <c r="E85" i="31"/>
  <c r="I85" i="31" s="1"/>
  <c r="E84" i="31"/>
  <c r="E90" i="31" s="1"/>
  <c r="D90" i="31" s="1"/>
  <c r="E83" i="31"/>
  <c r="I83" i="31" s="1"/>
  <c r="C64" i="31"/>
  <c r="E63" i="31"/>
  <c r="I61" i="31" s="1"/>
  <c r="E62" i="31"/>
  <c r="E61" i="31"/>
  <c r="I60" i="31"/>
  <c r="E60" i="31"/>
  <c r="I62" i="31" s="1"/>
  <c r="E59" i="31"/>
  <c r="I59" i="31" s="1"/>
  <c r="E58" i="31"/>
  <c r="I58" i="31" s="1"/>
  <c r="E57" i="31"/>
  <c r="I57" i="31" s="1"/>
  <c r="E30" i="31"/>
  <c r="E31" i="31"/>
  <c r="E32" i="31"/>
  <c r="E33" i="31"/>
  <c r="E34" i="31"/>
  <c r="E35" i="31"/>
  <c r="E36" i="31"/>
  <c r="O36" i="31"/>
  <c r="C37" i="31"/>
  <c r="C26" i="26"/>
  <c r="K10" i="62" l="1"/>
  <c r="F10" i="62"/>
  <c r="X41" i="66"/>
  <c r="AR41" i="66"/>
  <c r="AE34" i="66"/>
  <c r="Y34" i="66" s="1"/>
  <c r="AN33" i="66"/>
  <c r="AH33" i="66" s="1"/>
  <c r="AN37" i="66"/>
  <c r="AH37" i="66" s="1"/>
  <c r="AI39" i="66"/>
  <c r="E547" i="66"/>
  <c r="K547" i="66" s="1"/>
  <c r="AW36" i="66"/>
  <c r="AQ36" i="66" s="1"/>
  <c r="AE41" i="66"/>
  <c r="Y41" i="66" s="1"/>
  <c r="AE36" i="66"/>
  <c r="Y36" i="66" s="1"/>
  <c r="AI41" i="66"/>
  <c r="AE39" i="66"/>
  <c r="Y39" i="66" s="1"/>
  <c r="AW40" i="66"/>
  <c r="AQ40" i="66" s="1"/>
  <c r="E391" i="66"/>
  <c r="K391" i="66" s="1"/>
  <c r="AE33" i="66"/>
  <c r="Y33" i="66" s="1"/>
  <c r="AE38" i="66"/>
  <c r="Y38" i="66" s="1"/>
  <c r="X38" i="66"/>
  <c r="X36" i="66"/>
  <c r="X35" i="66"/>
  <c r="AW33" i="66"/>
  <c r="AQ33" i="66" s="1"/>
  <c r="AN32" i="66"/>
  <c r="AH32" i="66" s="1"/>
  <c r="AN41" i="66"/>
  <c r="AH41" i="66" s="1"/>
  <c r="U49" i="66"/>
  <c r="X49" i="66" s="1"/>
  <c r="E259" i="66"/>
  <c r="K259" i="66" s="1"/>
  <c r="F43" i="66"/>
  <c r="G34" i="66"/>
  <c r="E48" i="66" s="1"/>
  <c r="K48" i="66" s="1"/>
  <c r="AW38" i="66"/>
  <c r="AQ38" i="66" s="1"/>
  <c r="E194" i="66"/>
  <c r="K194" i="66" s="1"/>
  <c r="AC42" i="66"/>
  <c r="AE32" i="66"/>
  <c r="Y32" i="66" s="1"/>
  <c r="AN34" i="66"/>
  <c r="AH34" i="66" s="1"/>
  <c r="AE37" i="66"/>
  <c r="Y37" i="66" s="1"/>
  <c r="AN39" i="66"/>
  <c r="AH39" i="66" s="1"/>
  <c r="K286" i="66"/>
  <c r="AE35" i="66"/>
  <c r="Y35" i="66" s="1"/>
  <c r="AI35" i="66"/>
  <c r="AU42" i="66"/>
  <c r="E360" i="66"/>
  <c r="AW41" i="66"/>
  <c r="AQ41" i="66" s="1"/>
  <c r="G537" i="66"/>
  <c r="F537" i="66" s="1"/>
  <c r="K417" i="66"/>
  <c r="AW32" i="66"/>
  <c r="AQ32" i="66" s="1"/>
  <c r="AW39" i="66"/>
  <c r="AQ39" i="66" s="1"/>
  <c r="AL42" i="66"/>
  <c r="AW35" i="66"/>
  <c r="AQ35" i="66" s="1"/>
  <c r="K254" i="66"/>
  <c r="AD42" i="66"/>
  <c r="F87" i="66"/>
  <c r="AV42" i="66"/>
  <c r="AE40" i="66"/>
  <c r="Y40" i="66" s="1"/>
  <c r="AR38" i="66"/>
  <c r="AI33" i="66"/>
  <c r="U42" i="66"/>
  <c r="AR32" i="66"/>
  <c r="T49" i="66"/>
  <c r="W49" i="66" s="1"/>
  <c r="K92" i="66"/>
  <c r="AI34" i="66"/>
  <c r="AR34" i="66"/>
  <c r="T42" i="66"/>
  <c r="AW37" i="66"/>
  <c r="AQ37" i="66" s="1"/>
  <c r="AI32" i="66"/>
  <c r="E54" i="66"/>
  <c r="G81" i="66"/>
  <c r="E95" i="66" s="1"/>
  <c r="K95" i="66" s="1"/>
  <c r="AI37" i="66"/>
  <c r="AR37" i="66"/>
  <c r="E125" i="66"/>
  <c r="K125" i="66" s="1"/>
  <c r="E361" i="66"/>
  <c r="AW34" i="66"/>
  <c r="AQ34" i="66" s="1"/>
  <c r="AR39" i="66"/>
  <c r="G350" i="66"/>
  <c r="E97" i="66"/>
  <c r="K97" i="66" s="1"/>
  <c r="AI40" i="66"/>
  <c r="AR40" i="66"/>
  <c r="F183" i="66"/>
  <c r="G175" i="66"/>
  <c r="E94" i="66"/>
  <c r="K94" i="66" s="1"/>
  <c r="F350" i="66"/>
  <c r="E466" i="66"/>
  <c r="K466" i="66" s="1"/>
  <c r="E508" i="66"/>
  <c r="K508" i="66" s="1"/>
  <c r="K151" i="66"/>
  <c r="AR33" i="66"/>
  <c r="AR36" i="66"/>
  <c r="E546" i="65"/>
  <c r="K546" i="65" s="1"/>
  <c r="U49" i="65"/>
  <c r="AG40" i="65"/>
  <c r="AP40" i="65"/>
  <c r="AG41" i="65"/>
  <c r="AP41" i="65"/>
  <c r="G536" i="65"/>
  <c r="F536" i="65" s="1"/>
  <c r="U42" i="65"/>
  <c r="E507" i="65"/>
  <c r="K507" i="65" s="1"/>
  <c r="E194" i="65"/>
  <c r="K194" i="65" s="1"/>
  <c r="AU34" i="65"/>
  <c r="AO34" i="65" s="1"/>
  <c r="E152" i="65"/>
  <c r="K152" i="65" s="1"/>
  <c r="G183" i="65"/>
  <c r="F183" i="65"/>
  <c r="AU40" i="65"/>
  <c r="AO40" i="65" s="1"/>
  <c r="K188" i="65"/>
  <c r="AL37" i="65"/>
  <c r="AF37" i="65" s="1"/>
  <c r="AU35" i="65"/>
  <c r="AO35" i="65" s="1"/>
  <c r="AT42" i="65"/>
  <c r="AU39" i="65"/>
  <c r="AO39" i="65" s="1"/>
  <c r="AU41" i="65"/>
  <c r="AO41" i="65" s="1"/>
  <c r="AL34" i="65"/>
  <c r="AF34" i="65" s="1"/>
  <c r="AG38" i="65"/>
  <c r="AU37" i="65"/>
  <c r="AO37" i="65" s="1"/>
  <c r="AL33" i="65"/>
  <c r="AF33" i="65" s="1"/>
  <c r="AL39" i="65"/>
  <c r="AF39" i="65" s="1"/>
  <c r="AS42" i="65"/>
  <c r="AU38" i="65"/>
  <c r="AO38" i="65" s="1"/>
  <c r="K124" i="65"/>
  <c r="AP34" i="65"/>
  <c r="AP33" i="65"/>
  <c r="AL41" i="65"/>
  <c r="AF41" i="65" s="1"/>
  <c r="AU33" i="65"/>
  <c r="AO33" i="65" s="1"/>
  <c r="AP39" i="65"/>
  <c r="AP36" i="65"/>
  <c r="AL32" i="65"/>
  <c r="AU36" i="65"/>
  <c r="AO36" i="65" s="1"/>
  <c r="AU32" i="65"/>
  <c r="AO32" i="65" s="1"/>
  <c r="AG37" i="65"/>
  <c r="AG32" i="65"/>
  <c r="AJ42" i="65"/>
  <c r="AG35" i="65"/>
  <c r="E95" i="65"/>
  <c r="K95" i="65" s="1"/>
  <c r="E97" i="65"/>
  <c r="K97" i="65" s="1"/>
  <c r="K92" i="65"/>
  <c r="F87" i="65"/>
  <c r="G79" i="65"/>
  <c r="AA42" i="65"/>
  <c r="AB42" i="65"/>
  <c r="E465" i="65"/>
  <c r="T42" i="65"/>
  <c r="T43" i="66" s="1"/>
  <c r="K459" i="65"/>
  <c r="E418" i="65"/>
  <c r="K418" i="65" s="1"/>
  <c r="E361" i="65"/>
  <c r="K361" i="65" s="1"/>
  <c r="K390" i="65"/>
  <c r="F350" i="65"/>
  <c r="G337" i="65"/>
  <c r="E287" i="65"/>
  <c r="K287" i="65" s="1"/>
  <c r="AC32" i="65"/>
  <c r="E259" i="65"/>
  <c r="K259" i="65" s="1"/>
  <c r="AC35" i="65"/>
  <c r="W35" i="65" s="1"/>
  <c r="F48" i="62"/>
  <c r="F65" i="62"/>
  <c r="K63" i="62"/>
  <c r="K65" i="62" s="1"/>
  <c r="K41" i="62"/>
  <c r="K48" i="62" s="1"/>
  <c r="F29" i="62"/>
  <c r="AC40" i="65"/>
  <c r="W40" i="65" s="1"/>
  <c r="K12" i="59"/>
  <c r="F12" i="59"/>
  <c r="F71" i="59"/>
  <c r="K71" i="59"/>
  <c r="F53" i="59"/>
  <c r="K49" i="59"/>
  <c r="K53" i="59" s="1"/>
  <c r="K85" i="53"/>
  <c r="K87" i="53" s="1"/>
  <c r="F19" i="53"/>
  <c r="F63" i="53"/>
  <c r="K63" i="53"/>
  <c r="K9" i="56"/>
  <c r="K72" i="56"/>
  <c r="F72" i="56"/>
  <c r="F9" i="56"/>
  <c r="AC38" i="65"/>
  <c r="AC36" i="65"/>
  <c r="AC34" i="65"/>
  <c r="W34" i="65" s="1"/>
  <c r="AC41" i="65"/>
  <c r="W41" i="65" s="1"/>
  <c r="AC37" i="65"/>
  <c r="W37" i="65" s="1"/>
  <c r="AC39" i="65"/>
  <c r="W39" i="65" s="1"/>
  <c r="K60" i="50"/>
  <c r="F11" i="50"/>
  <c r="F60" i="50"/>
  <c r="K5" i="50"/>
  <c r="K11" i="50" s="1"/>
  <c r="K44" i="50"/>
  <c r="F29" i="50"/>
  <c r="F44" i="50"/>
  <c r="H33" i="47"/>
  <c r="H44" i="47"/>
  <c r="AC33" i="65"/>
  <c r="K230" i="65"/>
  <c r="E54" i="65"/>
  <c r="G43" i="65"/>
  <c r="F43" i="65"/>
  <c r="H75" i="44"/>
  <c r="H53" i="44"/>
  <c r="E18" i="44"/>
  <c r="H9" i="44"/>
  <c r="H10" i="44" s="1"/>
  <c r="J6" i="41"/>
  <c r="E14" i="41"/>
  <c r="J3" i="41"/>
  <c r="J10" i="41" s="1"/>
  <c r="E56" i="41"/>
  <c r="J34" i="41"/>
  <c r="J24" i="41"/>
  <c r="J25" i="41" s="1"/>
  <c r="J45" i="41"/>
  <c r="J53" i="41" s="1"/>
  <c r="E42" i="41"/>
  <c r="J31" i="41"/>
  <c r="E28" i="41"/>
  <c r="I5" i="31"/>
  <c r="I11" i="31" s="1"/>
  <c r="I84" i="31"/>
  <c r="I89" i="31" s="1"/>
  <c r="I63" i="31"/>
  <c r="E64" i="31"/>
  <c r="D64" i="31" s="1"/>
  <c r="I35" i="31"/>
  <c r="I36" i="31" s="1"/>
  <c r="E37" i="31"/>
  <c r="D37" i="31" s="1"/>
  <c r="W42" i="66" l="1"/>
  <c r="G43" i="66"/>
  <c r="E548" i="66"/>
  <c r="K548" i="66" s="1"/>
  <c r="AE42" i="66"/>
  <c r="E55" i="66"/>
  <c r="K55" i="66" s="1"/>
  <c r="K54" i="66"/>
  <c r="G183" i="66"/>
  <c r="E184" i="66" s="1"/>
  <c r="E189" i="66"/>
  <c r="K189" i="66" s="1"/>
  <c r="AW42" i="66"/>
  <c r="AQ42" i="66" s="1"/>
  <c r="E362" i="66"/>
  <c r="K362" i="66" s="1"/>
  <c r="G87" i="66"/>
  <c r="E98" i="66"/>
  <c r="K98" i="66" s="1"/>
  <c r="AR42" i="66"/>
  <c r="AI42" i="66"/>
  <c r="E547" i="65"/>
  <c r="K547" i="65" s="1"/>
  <c r="E195" i="65"/>
  <c r="K195" i="65" s="1"/>
  <c r="AF32" i="65"/>
  <c r="AG42" i="65"/>
  <c r="AP42" i="65"/>
  <c r="AU42" i="65"/>
  <c r="AO42" i="65" s="1"/>
  <c r="G87" i="65"/>
  <c r="E94" i="65"/>
  <c r="K94" i="65" s="1"/>
  <c r="AC42" i="65"/>
  <c r="K465" i="65"/>
  <c r="W38" i="65"/>
  <c r="W36" i="65"/>
  <c r="W33" i="65"/>
  <c r="E360" i="65"/>
  <c r="G350" i="65"/>
  <c r="W32" i="65"/>
  <c r="E55" i="65"/>
  <c r="J39" i="41"/>
  <c r="U55" i="4"/>
  <c r="U40" i="4"/>
  <c r="X42" i="4"/>
  <c r="X41" i="4"/>
  <c r="X39" i="4"/>
  <c r="X40" i="4"/>
  <c r="F221" i="25"/>
  <c r="X57" i="4" s="1"/>
  <c r="F164" i="25"/>
  <c r="X56" i="4" s="1"/>
  <c r="F107" i="25"/>
  <c r="X55" i="4" s="1"/>
  <c r="F48" i="25"/>
  <c r="X54" i="4" s="1"/>
  <c r="H99" i="25"/>
  <c r="H100" i="25"/>
  <c r="H101" i="25"/>
  <c r="H102" i="25"/>
  <c r="H103" i="25"/>
  <c r="H104" i="25"/>
  <c r="H105" i="25"/>
  <c r="H156" i="25"/>
  <c r="H157" i="25"/>
  <c r="H158" i="25"/>
  <c r="H159" i="25"/>
  <c r="H160" i="25"/>
  <c r="H161" i="25"/>
  <c r="H162" i="25"/>
  <c r="H213" i="25"/>
  <c r="H214" i="25"/>
  <c r="H215" i="25"/>
  <c r="H216" i="25"/>
  <c r="H217" i="25"/>
  <c r="H218" i="25"/>
  <c r="H219" i="25"/>
  <c r="I212" i="25"/>
  <c r="H212" i="25"/>
  <c r="I155" i="25"/>
  <c r="H155" i="25"/>
  <c r="I98" i="25"/>
  <c r="H98" i="25"/>
  <c r="H40" i="25"/>
  <c r="H41" i="25"/>
  <c r="H42" i="25"/>
  <c r="H43" i="25"/>
  <c r="H44" i="25"/>
  <c r="H45" i="25"/>
  <c r="H46" i="25"/>
  <c r="I39" i="25"/>
  <c r="H39" i="25"/>
  <c r="F188" i="24"/>
  <c r="I180" i="24"/>
  <c r="I179" i="24"/>
  <c r="C186" i="24"/>
  <c r="C185" i="24"/>
  <c r="I185" i="24" s="1"/>
  <c r="C184" i="24"/>
  <c r="I184" i="24" s="1"/>
  <c r="C182" i="24"/>
  <c r="C181" i="24"/>
  <c r="I181" i="24" s="1"/>
  <c r="F142" i="24"/>
  <c r="C139" i="24"/>
  <c r="C138" i="24"/>
  <c r="C137" i="24"/>
  <c r="C136" i="24"/>
  <c r="C135" i="24"/>
  <c r="C134" i="24"/>
  <c r="C133" i="24"/>
  <c r="C132" i="24"/>
  <c r="H186" i="24"/>
  <c r="H185" i="24"/>
  <c r="H184" i="24"/>
  <c r="H183" i="24"/>
  <c r="H182" i="24"/>
  <c r="H181" i="24"/>
  <c r="H180" i="24"/>
  <c r="H179" i="24"/>
  <c r="H178" i="24"/>
  <c r="I177" i="24"/>
  <c r="H177" i="24"/>
  <c r="H132" i="24"/>
  <c r="I132" i="24"/>
  <c r="H133" i="24"/>
  <c r="I133" i="24"/>
  <c r="H134" i="24"/>
  <c r="H135" i="24"/>
  <c r="H136" i="24"/>
  <c r="I136" i="24"/>
  <c r="H137" i="24"/>
  <c r="I137" i="24"/>
  <c r="H138" i="24"/>
  <c r="I138" i="24"/>
  <c r="H139" i="24"/>
  <c r="H140" i="24"/>
  <c r="I131" i="24"/>
  <c r="H131" i="24"/>
  <c r="F46" i="24"/>
  <c r="H37" i="24"/>
  <c r="I37" i="24"/>
  <c r="H38" i="24"/>
  <c r="H39" i="24"/>
  <c r="H40" i="24"/>
  <c r="H41" i="24"/>
  <c r="I41" i="24"/>
  <c r="H42" i="24"/>
  <c r="H43" i="24"/>
  <c r="H44" i="24"/>
  <c r="I36" i="24"/>
  <c r="H36" i="24"/>
  <c r="C43" i="24"/>
  <c r="I43" i="24" s="1"/>
  <c r="C42" i="24"/>
  <c r="I42" i="24" s="1"/>
  <c r="C41" i="24"/>
  <c r="C40" i="24"/>
  <c r="I40" i="24" s="1"/>
  <c r="C39" i="24"/>
  <c r="I39" i="24" s="1"/>
  <c r="C38" i="24"/>
  <c r="I38" i="24" s="1"/>
  <c r="C37" i="24"/>
  <c r="F95" i="24"/>
  <c r="H85" i="24"/>
  <c r="H86" i="24"/>
  <c r="H87" i="24"/>
  <c r="H88" i="24"/>
  <c r="H89" i="24"/>
  <c r="H90" i="24"/>
  <c r="H91" i="24"/>
  <c r="H92" i="24"/>
  <c r="H93" i="24"/>
  <c r="I84" i="24"/>
  <c r="H84" i="24"/>
  <c r="I139" i="24"/>
  <c r="I135" i="24"/>
  <c r="I134" i="24"/>
  <c r="C183" i="24"/>
  <c r="I183" i="24" s="1"/>
  <c r="I182" i="24"/>
  <c r="C180" i="24"/>
  <c r="C179" i="24"/>
  <c r="C178" i="24"/>
  <c r="C92" i="24"/>
  <c r="I92" i="24" s="1"/>
  <c r="C91" i="24"/>
  <c r="I91" i="24" s="1"/>
  <c r="C90" i="24"/>
  <c r="I90" i="24" s="1"/>
  <c r="C89" i="24"/>
  <c r="I89" i="24" s="1"/>
  <c r="C88" i="24"/>
  <c r="I88" i="24" s="1"/>
  <c r="C87" i="24"/>
  <c r="I87" i="24" s="1"/>
  <c r="C86" i="24"/>
  <c r="I86" i="24" s="1"/>
  <c r="C85" i="24"/>
  <c r="I85" i="24" s="1"/>
  <c r="C45" i="25"/>
  <c r="I45" i="25" s="1"/>
  <c r="I44" i="25"/>
  <c r="I43" i="25"/>
  <c r="I42" i="25"/>
  <c r="I41" i="25"/>
  <c r="C25" i="25"/>
  <c r="C218" i="25"/>
  <c r="C217" i="25"/>
  <c r="I217" i="25" s="1"/>
  <c r="C216" i="25"/>
  <c r="I216" i="25" s="1"/>
  <c r="C215" i="25"/>
  <c r="I215" i="25" s="1"/>
  <c r="C214" i="25"/>
  <c r="I214" i="25" s="1"/>
  <c r="C213" i="25"/>
  <c r="I213" i="25" s="1"/>
  <c r="C198" i="25"/>
  <c r="C161" i="25"/>
  <c r="C160" i="25"/>
  <c r="C159" i="25"/>
  <c r="I159" i="25" s="1"/>
  <c r="C158" i="25"/>
  <c r="I158" i="25" s="1"/>
  <c r="C157" i="25"/>
  <c r="C156" i="25"/>
  <c r="C141" i="25"/>
  <c r="X45" i="4" l="1"/>
  <c r="X60" i="4"/>
  <c r="AD41" i="65"/>
  <c r="X41" i="65" s="1"/>
  <c r="AF41" i="66"/>
  <c r="Z41" i="66" s="1"/>
  <c r="AD40" i="65"/>
  <c r="X40" i="65" s="1"/>
  <c r="AF40" i="66"/>
  <c r="Z40" i="66" s="1"/>
  <c r="Y42" i="66"/>
  <c r="U43" i="66"/>
  <c r="W42" i="65"/>
  <c r="T43" i="65"/>
  <c r="E195" i="66"/>
  <c r="K195" i="66" s="1"/>
  <c r="E98" i="65"/>
  <c r="K98" i="65" s="1"/>
  <c r="K360" i="65"/>
  <c r="E362" i="65"/>
  <c r="K362" i="65" s="1"/>
  <c r="C46" i="25"/>
  <c r="I46" i="25" s="1"/>
  <c r="I178" i="24"/>
  <c r="C140" i="24"/>
  <c r="I140" i="24" s="1"/>
  <c r="I44" i="24"/>
  <c r="I186" i="24"/>
  <c r="C93" i="24"/>
  <c r="I93" i="24" s="1"/>
  <c r="C219" i="25"/>
  <c r="I219" i="25" s="1"/>
  <c r="C162" i="25"/>
  <c r="I162" i="25" s="1"/>
  <c r="C102" i="25"/>
  <c r="I102" i="25" s="1"/>
  <c r="C99" i="25"/>
  <c r="C100" i="25"/>
  <c r="I100" i="25" s="1"/>
  <c r="C101" i="25"/>
  <c r="I101" i="25" s="1"/>
  <c r="C103" i="25"/>
  <c r="C104" i="25"/>
  <c r="C84" i="25"/>
  <c r="C153" i="22"/>
  <c r="X183" i="4" s="1"/>
  <c r="X182" i="4"/>
  <c r="X181" i="4"/>
  <c r="I143" i="22"/>
  <c r="I107" i="22"/>
  <c r="I70" i="22"/>
  <c r="X180" i="4"/>
  <c r="X186" i="4" s="1"/>
  <c r="I32" i="22"/>
  <c r="I33" i="22"/>
  <c r="I34" i="22"/>
  <c r="I35" i="22"/>
  <c r="I36" i="22"/>
  <c r="I37" i="22"/>
  <c r="I38" i="22"/>
  <c r="I39" i="22"/>
  <c r="I31" i="22"/>
  <c r="C150" i="22"/>
  <c r="D150" i="22" s="1"/>
  <c r="C135" i="22"/>
  <c r="C114" i="22"/>
  <c r="C98" i="22"/>
  <c r="C60" i="22"/>
  <c r="C149" i="22"/>
  <c r="D149" i="22" s="1"/>
  <c r="C148" i="22"/>
  <c r="D148" i="22" s="1"/>
  <c r="C147" i="22"/>
  <c r="D147" i="22" s="1"/>
  <c r="C146" i="22"/>
  <c r="D146" i="22" s="1"/>
  <c r="C145" i="22"/>
  <c r="D145" i="22" s="1"/>
  <c r="C144" i="22"/>
  <c r="D144" i="22" s="1"/>
  <c r="C113" i="22"/>
  <c r="D113" i="22" s="1"/>
  <c r="J113" i="22" s="1"/>
  <c r="C112" i="22"/>
  <c r="C111" i="22"/>
  <c r="C110" i="22"/>
  <c r="C109" i="22"/>
  <c r="C108" i="22"/>
  <c r="D108" i="22" s="1"/>
  <c r="J108" i="22" s="1"/>
  <c r="C77" i="22"/>
  <c r="C76" i="22"/>
  <c r="C75" i="22"/>
  <c r="C74" i="22"/>
  <c r="C73" i="22"/>
  <c r="C72" i="22"/>
  <c r="C71" i="22"/>
  <c r="C35" i="22"/>
  <c r="C38" i="22"/>
  <c r="C37" i="22"/>
  <c r="C36" i="22"/>
  <c r="C34" i="22"/>
  <c r="C33" i="22"/>
  <c r="J33" i="22" s="1"/>
  <c r="C18" i="22"/>
  <c r="U88" i="4"/>
  <c r="F43" i="21"/>
  <c r="X87" i="4" s="1"/>
  <c r="C40" i="21"/>
  <c r="I40" i="21" s="1"/>
  <c r="F190" i="21"/>
  <c r="X90" i="4" s="1"/>
  <c r="F137" i="21"/>
  <c r="F139" i="21"/>
  <c r="X89" i="4" s="1"/>
  <c r="C36" i="21"/>
  <c r="I36" i="21" s="1"/>
  <c r="C35" i="21"/>
  <c r="I35" i="21" s="1"/>
  <c r="C39" i="21"/>
  <c r="I39" i="21" s="1"/>
  <c r="I38" i="21"/>
  <c r="C37" i="21"/>
  <c r="I37" i="21" s="1"/>
  <c r="C185" i="21"/>
  <c r="I185" i="21" s="1"/>
  <c r="C187" i="21"/>
  <c r="I187" i="21" s="1"/>
  <c r="C186" i="21"/>
  <c r="I186" i="21" s="1"/>
  <c r="C184" i="21"/>
  <c r="I184" i="21" s="1"/>
  <c r="C183" i="21"/>
  <c r="I183" i="21" s="1"/>
  <c r="C182" i="21"/>
  <c r="I182" i="21" s="1"/>
  <c r="C136" i="21"/>
  <c r="I136" i="21" s="1"/>
  <c r="C135" i="21"/>
  <c r="I135" i="21" s="1"/>
  <c r="C134" i="21"/>
  <c r="I134" i="21" s="1"/>
  <c r="C133" i="21"/>
  <c r="I133" i="21" s="1"/>
  <c r="C132" i="21"/>
  <c r="I132" i="21" s="1"/>
  <c r="C131" i="21"/>
  <c r="I131" i="21" s="1"/>
  <c r="F88" i="21"/>
  <c r="X88" i="4" s="1"/>
  <c r="C81" i="21"/>
  <c r="I81" i="21" s="1"/>
  <c r="C85" i="21"/>
  <c r="I85" i="21" s="1"/>
  <c r="C84" i="21"/>
  <c r="I84" i="21" s="1"/>
  <c r="C83" i="21"/>
  <c r="I83" i="21" s="1"/>
  <c r="C82" i="21"/>
  <c r="I82" i="21" s="1"/>
  <c r="C80" i="21"/>
  <c r="H41" i="21"/>
  <c r="F41" i="21"/>
  <c r="H40" i="21"/>
  <c r="H39" i="21"/>
  <c r="H38" i="21"/>
  <c r="H37" i="21"/>
  <c r="H36" i="21"/>
  <c r="H35" i="21"/>
  <c r="I34" i="21"/>
  <c r="H34" i="21"/>
  <c r="H188" i="21"/>
  <c r="F188" i="21"/>
  <c r="H187" i="21"/>
  <c r="H186" i="21"/>
  <c r="H185" i="21"/>
  <c r="H184" i="21"/>
  <c r="H183" i="21"/>
  <c r="H182" i="21"/>
  <c r="I181" i="21"/>
  <c r="H181" i="21"/>
  <c r="H137" i="21"/>
  <c r="H136" i="21"/>
  <c r="H135" i="21"/>
  <c r="H134" i="21"/>
  <c r="H133" i="21"/>
  <c r="H132" i="21"/>
  <c r="H131" i="21"/>
  <c r="I130" i="21"/>
  <c r="H130" i="21"/>
  <c r="F86" i="21"/>
  <c r="H86" i="21"/>
  <c r="H85" i="21"/>
  <c r="H84" i="21"/>
  <c r="H83" i="21"/>
  <c r="H82" i="21"/>
  <c r="H81" i="21"/>
  <c r="H80" i="21"/>
  <c r="I79" i="21"/>
  <c r="H79" i="21"/>
  <c r="F33" i="23"/>
  <c r="X71" i="4" s="1"/>
  <c r="U72" i="4"/>
  <c r="F119" i="23"/>
  <c r="X74" i="4" s="1"/>
  <c r="C30" i="23"/>
  <c r="C31" i="23" s="1"/>
  <c r="C116" i="23"/>
  <c r="C117" i="23" s="1"/>
  <c r="F56" i="23"/>
  <c r="H52" i="23"/>
  <c r="I52" i="23"/>
  <c r="F83" i="23"/>
  <c r="X73" i="4" s="1"/>
  <c r="F58" i="23"/>
  <c r="X72" i="4" s="1"/>
  <c r="C56" i="23"/>
  <c r="F34" i="20"/>
  <c r="X159" i="4" s="1"/>
  <c r="C29" i="20"/>
  <c r="C32" i="20" s="1"/>
  <c r="F139" i="20"/>
  <c r="X162" i="4" s="1"/>
  <c r="F134" i="20"/>
  <c r="F137" i="20" s="1"/>
  <c r="C134" i="20"/>
  <c r="F104" i="20"/>
  <c r="X161" i="4" s="1"/>
  <c r="C99" i="20"/>
  <c r="C102" i="20" s="1"/>
  <c r="U160" i="4"/>
  <c r="F70" i="20"/>
  <c r="X160" i="4" s="1"/>
  <c r="C65" i="20"/>
  <c r="I65" i="20" s="1"/>
  <c r="F22" i="19"/>
  <c r="F24" i="19"/>
  <c r="X123" i="4" s="1"/>
  <c r="X129" i="4" s="1"/>
  <c r="C21" i="19"/>
  <c r="C22" i="19" s="1"/>
  <c r="F100" i="19"/>
  <c r="X126" i="4" s="1"/>
  <c r="F98" i="19"/>
  <c r="C97" i="19"/>
  <c r="I97" i="19" s="1"/>
  <c r="C93" i="19"/>
  <c r="I93" i="19" s="1"/>
  <c r="F75" i="19"/>
  <c r="X125" i="4" s="1"/>
  <c r="F72" i="19"/>
  <c r="F73" i="19" s="1"/>
  <c r="C72" i="19"/>
  <c r="C68" i="19"/>
  <c r="I68" i="19" s="1"/>
  <c r="U124" i="4"/>
  <c r="F50" i="19"/>
  <c r="X124" i="4" s="1"/>
  <c r="F48" i="19"/>
  <c r="C47" i="19"/>
  <c r="C48" i="19" s="1"/>
  <c r="H31" i="23"/>
  <c r="H30" i="23"/>
  <c r="I29" i="23"/>
  <c r="H29" i="23"/>
  <c r="I28" i="23"/>
  <c r="H28" i="23"/>
  <c r="I27" i="23"/>
  <c r="H27" i="23"/>
  <c r="I26" i="23"/>
  <c r="H26" i="23"/>
  <c r="I25" i="23"/>
  <c r="H25" i="23"/>
  <c r="I24" i="23"/>
  <c r="H24" i="23"/>
  <c r="C81" i="23"/>
  <c r="H117" i="23"/>
  <c r="H116" i="23"/>
  <c r="H115" i="23"/>
  <c r="I115" i="23"/>
  <c r="H114" i="23"/>
  <c r="I114" i="23"/>
  <c r="I113" i="23"/>
  <c r="H113" i="23"/>
  <c r="H112" i="23"/>
  <c r="I112" i="23"/>
  <c r="H111" i="23"/>
  <c r="I111" i="23"/>
  <c r="H110" i="23"/>
  <c r="I110" i="23"/>
  <c r="H81" i="23"/>
  <c r="F81" i="23"/>
  <c r="I80" i="23"/>
  <c r="H80" i="23"/>
  <c r="I79" i="23"/>
  <c r="H79" i="23"/>
  <c r="I78" i="23"/>
  <c r="H78" i="23"/>
  <c r="I77" i="23"/>
  <c r="H77" i="23"/>
  <c r="I76" i="23"/>
  <c r="H76" i="23"/>
  <c r="I75" i="23"/>
  <c r="H75" i="23"/>
  <c r="I74" i="23"/>
  <c r="H74" i="23"/>
  <c r="H56" i="23"/>
  <c r="I55" i="23"/>
  <c r="H55" i="23"/>
  <c r="I54" i="23"/>
  <c r="H54" i="23"/>
  <c r="I53" i="23"/>
  <c r="H53" i="23"/>
  <c r="I51" i="23"/>
  <c r="H51" i="23"/>
  <c r="I50" i="23"/>
  <c r="H50" i="23"/>
  <c r="I49" i="23"/>
  <c r="H49" i="23"/>
  <c r="C179" i="21"/>
  <c r="C128" i="21"/>
  <c r="H32" i="20"/>
  <c r="F32" i="20"/>
  <c r="I31" i="20"/>
  <c r="H31" i="20"/>
  <c r="I30" i="20"/>
  <c r="H30" i="20"/>
  <c r="I29" i="20"/>
  <c r="H29" i="20"/>
  <c r="I28" i="20"/>
  <c r="H28" i="20"/>
  <c r="I27" i="20"/>
  <c r="H27" i="20"/>
  <c r="I26" i="20"/>
  <c r="H26" i="20"/>
  <c r="I25" i="20"/>
  <c r="H25" i="20"/>
  <c r="I24" i="20"/>
  <c r="H24" i="20"/>
  <c r="H137" i="20"/>
  <c r="I136" i="20"/>
  <c r="H136" i="20"/>
  <c r="I135" i="20"/>
  <c r="H135" i="20"/>
  <c r="H134" i="20"/>
  <c r="I133" i="20"/>
  <c r="H133" i="20"/>
  <c r="I132" i="20"/>
  <c r="H132" i="20"/>
  <c r="I131" i="20"/>
  <c r="H131" i="20"/>
  <c r="I130" i="20"/>
  <c r="H130" i="20"/>
  <c r="I129" i="20"/>
  <c r="H129" i="20"/>
  <c r="H102" i="20"/>
  <c r="F102" i="20"/>
  <c r="I101" i="20"/>
  <c r="H101" i="20"/>
  <c r="I100" i="20"/>
  <c r="H100" i="20"/>
  <c r="I99" i="20"/>
  <c r="H99" i="20"/>
  <c r="I98" i="20"/>
  <c r="H98" i="20"/>
  <c r="I97" i="20"/>
  <c r="H97" i="20"/>
  <c r="I96" i="20"/>
  <c r="H96" i="20"/>
  <c r="I95" i="20"/>
  <c r="H95" i="20"/>
  <c r="I94" i="20"/>
  <c r="H94" i="20"/>
  <c r="F68" i="20"/>
  <c r="H68" i="20"/>
  <c r="I67" i="20"/>
  <c r="H67" i="20"/>
  <c r="I66" i="20"/>
  <c r="H66" i="20"/>
  <c r="H65" i="20"/>
  <c r="I64" i="20"/>
  <c r="H64" i="20"/>
  <c r="I63" i="20"/>
  <c r="H63" i="20"/>
  <c r="I62" i="20"/>
  <c r="H62" i="20"/>
  <c r="I61" i="20"/>
  <c r="H61" i="20"/>
  <c r="I60" i="20"/>
  <c r="H60" i="20"/>
  <c r="H22" i="19"/>
  <c r="H21" i="19"/>
  <c r="I20" i="19"/>
  <c r="H20" i="19"/>
  <c r="I19" i="19"/>
  <c r="H19" i="19"/>
  <c r="I18" i="19"/>
  <c r="H18" i="19"/>
  <c r="I17" i="19"/>
  <c r="H17" i="19"/>
  <c r="I16" i="19"/>
  <c r="H16" i="19"/>
  <c r="I15" i="19"/>
  <c r="H15" i="19"/>
  <c r="H98" i="19"/>
  <c r="H97" i="19"/>
  <c r="I96" i="19"/>
  <c r="H96" i="19"/>
  <c r="I95" i="19"/>
  <c r="H95" i="19"/>
  <c r="I94" i="19"/>
  <c r="H94" i="19"/>
  <c r="H93" i="19"/>
  <c r="I92" i="19"/>
  <c r="H92" i="19"/>
  <c r="I91" i="19"/>
  <c r="H91" i="19"/>
  <c r="H73" i="19"/>
  <c r="H72" i="19"/>
  <c r="I71" i="19"/>
  <c r="H71" i="19"/>
  <c r="I70" i="19"/>
  <c r="H70" i="19"/>
  <c r="I69" i="19"/>
  <c r="H69" i="19"/>
  <c r="H68" i="19"/>
  <c r="I67" i="19"/>
  <c r="H67" i="19"/>
  <c r="I66" i="19"/>
  <c r="H66" i="19"/>
  <c r="H42" i="19"/>
  <c r="I42" i="19"/>
  <c r="H43" i="19"/>
  <c r="I43" i="19"/>
  <c r="H44" i="19"/>
  <c r="I44" i="19"/>
  <c r="H45" i="19"/>
  <c r="I45" i="19"/>
  <c r="H46" i="19"/>
  <c r="I46" i="19"/>
  <c r="H47" i="19"/>
  <c r="H48" i="19"/>
  <c r="I41" i="19"/>
  <c r="H41" i="19"/>
  <c r="F42" i="18"/>
  <c r="X26" i="4" s="1"/>
  <c r="F158" i="18"/>
  <c r="X29" i="4" s="1"/>
  <c r="H156" i="18"/>
  <c r="F156" i="18"/>
  <c r="C156" i="18"/>
  <c r="I155" i="18"/>
  <c r="H155" i="18"/>
  <c r="I154" i="18"/>
  <c r="H154" i="18"/>
  <c r="I153" i="18"/>
  <c r="H153" i="18"/>
  <c r="I152" i="18"/>
  <c r="H152" i="18"/>
  <c r="I151" i="18"/>
  <c r="H151" i="18"/>
  <c r="I150" i="18"/>
  <c r="H150" i="18"/>
  <c r="I149" i="18"/>
  <c r="H149" i="18"/>
  <c r="I148" i="18"/>
  <c r="H148" i="18"/>
  <c r="F120" i="18"/>
  <c r="X28" i="4" s="1"/>
  <c r="H118" i="18"/>
  <c r="F118" i="18"/>
  <c r="C118" i="18"/>
  <c r="I117" i="18"/>
  <c r="H117" i="18"/>
  <c r="I116" i="18"/>
  <c r="H116" i="18"/>
  <c r="I115" i="18"/>
  <c r="H115" i="18"/>
  <c r="I114" i="18"/>
  <c r="H114" i="18"/>
  <c r="I113" i="18"/>
  <c r="H113" i="18"/>
  <c r="I112" i="18"/>
  <c r="H112" i="18"/>
  <c r="I111" i="18"/>
  <c r="H111" i="18"/>
  <c r="I110" i="18"/>
  <c r="H110" i="18"/>
  <c r="F81" i="18"/>
  <c r="H81" i="18"/>
  <c r="F83" i="18"/>
  <c r="X27" i="4" s="1"/>
  <c r="I80" i="18"/>
  <c r="H80" i="18"/>
  <c r="I79" i="18"/>
  <c r="H79" i="18"/>
  <c r="I78" i="18"/>
  <c r="H78" i="18"/>
  <c r="I77" i="18"/>
  <c r="H77" i="18"/>
  <c r="I76" i="18"/>
  <c r="H76" i="18"/>
  <c r="I75" i="18"/>
  <c r="H75" i="18"/>
  <c r="I74" i="18"/>
  <c r="H74" i="18"/>
  <c r="I73" i="18"/>
  <c r="H73" i="18"/>
  <c r="I72" i="18"/>
  <c r="H72" i="18"/>
  <c r="U27" i="4"/>
  <c r="H32" i="18"/>
  <c r="I32" i="18"/>
  <c r="H33" i="18"/>
  <c r="I33" i="18"/>
  <c r="H34" i="18"/>
  <c r="I34" i="18"/>
  <c r="H35" i="18"/>
  <c r="I35" i="18"/>
  <c r="H36" i="18"/>
  <c r="I36" i="18"/>
  <c r="H37" i="18"/>
  <c r="I37" i="18"/>
  <c r="H38" i="18"/>
  <c r="I38" i="18"/>
  <c r="H39" i="18"/>
  <c r="I39" i="18"/>
  <c r="H40" i="18"/>
  <c r="I31" i="18"/>
  <c r="H31" i="18"/>
  <c r="C18" i="17"/>
  <c r="I18" i="17" s="1"/>
  <c r="C92" i="17"/>
  <c r="I92" i="17" s="1"/>
  <c r="C68" i="17"/>
  <c r="C73" i="17" s="1"/>
  <c r="U140" i="4"/>
  <c r="F49" i="17"/>
  <c r="X140" i="4" s="1"/>
  <c r="I22" i="17"/>
  <c r="H22" i="17"/>
  <c r="I21" i="17"/>
  <c r="H21" i="17"/>
  <c r="I20" i="17"/>
  <c r="H20" i="17"/>
  <c r="I19" i="17"/>
  <c r="H19" i="17"/>
  <c r="H18" i="17"/>
  <c r="I17" i="17"/>
  <c r="H17" i="17"/>
  <c r="I16" i="17"/>
  <c r="H16" i="17"/>
  <c r="I96" i="17"/>
  <c r="H96" i="17"/>
  <c r="I95" i="17"/>
  <c r="H95" i="17"/>
  <c r="I94" i="17"/>
  <c r="H94" i="17"/>
  <c r="I93" i="17"/>
  <c r="H93" i="17"/>
  <c r="H92" i="17"/>
  <c r="I91" i="17"/>
  <c r="H91" i="17"/>
  <c r="I90" i="17"/>
  <c r="H90" i="17"/>
  <c r="I72" i="17"/>
  <c r="H72" i="17"/>
  <c r="I71" i="17"/>
  <c r="H71" i="17"/>
  <c r="I70" i="17"/>
  <c r="H70" i="17"/>
  <c r="I69" i="17"/>
  <c r="H69" i="17"/>
  <c r="H68" i="17"/>
  <c r="I67" i="17"/>
  <c r="H67" i="17"/>
  <c r="I66" i="17"/>
  <c r="H66" i="17"/>
  <c r="C42" i="17"/>
  <c r="I42" i="17" s="1"/>
  <c r="H41" i="17"/>
  <c r="I41" i="17"/>
  <c r="H42" i="17"/>
  <c r="H43" i="17"/>
  <c r="I43" i="17"/>
  <c r="H44" i="17"/>
  <c r="I44" i="17"/>
  <c r="H45" i="17"/>
  <c r="I45" i="17"/>
  <c r="H46" i="17"/>
  <c r="I46" i="17"/>
  <c r="H47" i="17"/>
  <c r="I40" i="17"/>
  <c r="H40" i="17"/>
  <c r="F25" i="17"/>
  <c r="X139" i="4" s="1"/>
  <c r="X145" i="4" s="1"/>
  <c r="F23" i="17"/>
  <c r="F99" i="17"/>
  <c r="X142" i="4" s="1"/>
  <c r="F97" i="17"/>
  <c r="F47" i="17"/>
  <c r="I47" i="17" s="1"/>
  <c r="F75" i="17"/>
  <c r="X141" i="4" s="1"/>
  <c r="F73" i="17"/>
  <c r="F76" i="16"/>
  <c r="X107" i="4" s="1"/>
  <c r="F51" i="16"/>
  <c r="X106" i="4" s="1"/>
  <c r="F25" i="16"/>
  <c r="X105" i="4" s="1"/>
  <c r="X111" i="4" s="1"/>
  <c r="H23" i="16"/>
  <c r="F23" i="16"/>
  <c r="C23" i="16"/>
  <c r="I22" i="16"/>
  <c r="H22" i="16"/>
  <c r="I21" i="16"/>
  <c r="H21" i="16"/>
  <c r="I20" i="16"/>
  <c r="H20" i="16"/>
  <c r="I19" i="16"/>
  <c r="H19" i="16"/>
  <c r="I18" i="16"/>
  <c r="H18" i="16"/>
  <c r="I17" i="16"/>
  <c r="H17" i="16"/>
  <c r="I16" i="16"/>
  <c r="H16" i="16"/>
  <c r="F102" i="16"/>
  <c r="X108" i="4" s="1"/>
  <c r="H100" i="16"/>
  <c r="F100" i="16"/>
  <c r="C100" i="16"/>
  <c r="I99" i="16"/>
  <c r="H99" i="16"/>
  <c r="I98" i="16"/>
  <c r="H98" i="16"/>
  <c r="I97" i="16"/>
  <c r="H97" i="16"/>
  <c r="I96" i="16"/>
  <c r="H96" i="16"/>
  <c r="I95" i="16"/>
  <c r="H95" i="16"/>
  <c r="I94" i="16"/>
  <c r="H94" i="16"/>
  <c r="I93" i="16"/>
  <c r="H93" i="16"/>
  <c r="H74" i="16"/>
  <c r="F74" i="16"/>
  <c r="C74" i="16"/>
  <c r="I73" i="16"/>
  <c r="H73" i="16"/>
  <c r="I72" i="16"/>
  <c r="H72" i="16"/>
  <c r="I71" i="16"/>
  <c r="H71" i="16"/>
  <c r="I70" i="16"/>
  <c r="H70" i="16"/>
  <c r="I69" i="16"/>
  <c r="H69" i="16"/>
  <c r="I68" i="16"/>
  <c r="H68" i="16"/>
  <c r="I67" i="16"/>
  <c r="H67" i="16"/>
  <c r="U106" i="4"/>
  <c r="Y29" i="4"/>
  <c r="BJ29" i="4" s="1"/>
  <c r="Y28" i="4"/>
  <c r="Y26" i="4"/>
  <c r="H43" i="16"/>
  <c r="I43" i="16"/>
  <c r="H44" i="16"/>
  <c r="I44" i="16"/>
  <c r="H45" i="16"/>
  <c r="I45" i="16"/>
  <c r="H46" i="16"/>
  <c r="I46" i="16"/>
  <c r="H47" i="16"/>
  <c r="I47" i="16"/>
  <c r="H48" i="16"/>
  <c r="I48" i="16"/>
  <c r="H49" i="16"/>
  <c r="I42" i="16"/>
  <c r="H42" i="16"/>
  <c r="C49" i="16"/>
  <c r="I49" i="16" s="1"/>
  <c r="R160" i="4"/>
  <c r="R161" i="4"/>
  <c r="Q161" i="4"/>
  <c r="N161" i="4"/>
  <c r="F71" i="14"/>
  <c r="O161" i="4" s="1"/>
  <c r="H69" i="14"/>
  <c r="F69" i="14"/>
  <c r="C69" i="14"/>
  <c r="I68" i="14"/>
  <c r="H68" i="14"/>
  <c r="I67" i="14"/>
  <c r="H67" i="14"/>
  <c r="I66" i="14"/>
  <c r="H66" i="14"/>
  <c r="I65" i="14"/>
  <c r="H65" i="14"/>
  <c r="I64" i="14"/>
  <c r="H64" i="14"/>
  <c r="I63" i="14"/>
  <c r="H63" i="14"/>
  <c r="I62" i="14"/>
  <c r="H62" i="14"/>
  <c r="I61" i="14"/>
  <c r="H61" i="14"/>
  <c r="I60" i="14"/>
  <c r="H60" i="14"/>
  <c r="R162" i="4"/>
  <c r="Q162" i="4"/>
  <c r="N162" i="4"/>
  <c r="F98" i="14"/>
  <c r="O162" i="4" s="1"/>
  <c r="H96" i="14"/>
  <c r="F96" i="14"/>
  <c r="C96" i="14"/>
  <c r="I95" i="14"/>
  <c r="H95" i="14"/>
  <c r="I94" i="14"/>
  <c r="H94" i="14"/>
  <c r="I93" i="14"/>
  <c r="H93" i="14"/>
  <c r="I92" i="14"/>
  <c r="H92" i="14"/>
  <c r="I91" i="14"/>
  <c r="H91" i="14"/>
  <c r="I90" i="14"/>
  <c r="H90" i="14"/>
  <c r="I89" i="14"/>
  <c r="H89" i="14"/>
  <c r="I88" i="14"/>
  <c r="H88" i="14"/>
  <c r="I87" i="14"/>
  <c r="H87" i="14"/>
  <c r="R159" i="4"/>
  <c r="Q159" i="4"/>
  <c r="N159" i="4"/>
  <c r="F21" i="14"/>
  <c r="F23" i="14"/>
  <c r="O159" i="4" s="1"/>
  <c r="H21" i="14"/>
  <c r="C21" i="14"/>
  <c r="I20" i="14"/>
  <c r="H20" i="14"/>
  <c r="I19" i="14"/>
  <c r="H19" i="14"/>
  <c r="I18" i="14"/>
  <c r="H18" i="14"/>
  <c r="I17" i="14"/>
  <c r="H17" i="14"/>
  <c r="I16" i="14"/>
  <c r="H16" i="14"/>
  <c r="I15" i="14"/>
  <c r="H15" i="14"/>
  <c r="I14" i="14"/>
  <c r="H14" i="14"/>
  <c r="I13" i="14"/>
  <c r="H13" i="14"/>
  <c r="I12" i="14"/>
  <c r="H12" i="14"/>
  <c r="AB162" i="4"/>
  <c r="AD162" i="4" s="1"/>
  <c r="AC160" i="4"/>
  <c r="AC191" i="4" s="1"/>
  <c r="AB159" i="4"/>
  <c r="A7" i="14"/>
  <c r="A6" i="14"/>
  <c r="A5" i="14"/>
  <c r="A4" i="14"/>
  <c r="A3" i="14"/>
  <c r="A82" i="14"/>
  <c r="A81" i="14"/>
  <c r="A80" i="14"/>
  <c r="A79" i="14"/>
  <c r="A78" i="14"/>
  <c r="A56" i="14"/>
  <c r="A55" i="14"/>
  <c r="A54" i="14"/>
  <c r="A53" i="14"/>
  <c r="A52" i="14"/>
  <c r="R139" i="4"/>
  <c r="Q139" i="4"/>
  <c r="N139" i="4"/>
  <c r="F21" i="13"/>
  <c r="O139" i="4" s="1"/>
  <c r="H19" i="13"/>
  <c r="F19" i="13"/>
  <c r="C19" i="13"/>
  <c r="I18" i="13"/>
  <c r="H18" i="13"/>
  <c r="I17" i="13"/>
  <c r="H17" i="13"/>
  <c r="I16" i="13"/>
  <c r="H16" i="13"/>
  <c r="I15" i="13"/>
  <c r="H15" i="13"/>
  <c r="I14" i="13"/>
  <c r="H14" i="13"/>
  <c r="I13" i="13"/>
  <c r="H13" i="13"/>
  <c r="I12" i="13"/>
  <c r="H12" i="13"/>
  <c r="I11" i="13"/>
  <c r="H11" i="13"/>
  <c r="A7" i="13"/>
  <c r="R142" i="4"/>
  <c r="A76" i="13"/>
  <c r="Q142" i="4"/>
  <c r="N142" i="4"/>
  <c r="F90" i="13"/>
  <c r="O142" i="4" s="1"/>
  <c r="H88" i="13"/>
  <c r="F88" i="13"/>
  <c r="C88" i="13"/>
  <c r="I87" i="13"/>
  <c r="H87" i="13"/>
  <c r="I86" i="13"/>
  <c r="H86" i="13"/>
  <c r="I85" i="13"/>
  <c r="H85" i="13"/>
  <c r="I84" i="13"/>
  <c r="H84" i="13"/>
  <c r="I83" i="13"/>
  <c r="H83" i="13"/>
  <c r="I82" i="13"/>
  <c r="H82" i="13"/>
  <c r="I81" i="13"/>
  <c r="H81" i="13"/>
  <c r="I80" i="13"/>
  <c r="H80" i="13"/>
  <c r="R140" i="4"/>
  <c r="R141" i="4"/>
  <c r="A54" i="13"/>
  <c r="Q141" i="4"/>
  <c r="N141" i="4"/>
  <c r="C66" i="13"/>
  <c r="F66" i="13"/>
  <c r="F68" i="13"/>
  <c r="O141" i="4" s="1"/>
  <c r="H66" i="13"/>
  <c r="I65" i="13"/>
  <c r="H65" i="13"/>
  <c r="I64" i="13"/>
  <c r="H64" i="13"/>
  <c r="I63" i="13"/>
  <c r="H63" i="13"/>
  <c r="I62" i="13"/>
  <c r="H62" i="13"/>
  <c r="I61" i="13"/>
  <c r="H61" i="13"/>
  <c r="I60" i="13"/>
  <c r="H60" i="13"/>
  <c r="I59" i="13"/>
  <c r="H59" i="13"/>
  <c r="I58" i="13"/>
  <c r="H58" i="13"/>
  <c r="A53" i="13"/>
  <c r="A52" i="13"/>
  <c r="A51" i="13"/>
  <c r="A50" i="13"/>
  <c r="A6" i="13"/>
  <c r="A5" i="13"/>
  <c r="A4" i="13"/>
  <c r="A3" i="13"/>
  <c r="A75" i="13"/>
  <c r="A74" i="13"/>
  <c r="A73" i="13"/>
  <c r="A72" i="13"/>
  <c r="R88" i="4"/>
  <c r="A51" i="9"/>
  <c r="Q88" i="4"/>
  <c r="A47" i="9"/>
  <c r="P88" i="4"/>
  <c r="N88" i="4"/>
  <c r="F71" i="9"/>
  <c r="O88" i="4" s="1"/>
  <c r="A50" i="9"/>
  <c r="A49" i="9"/>
  <c r="A48" i="9"/>
  <c r="R90" i="4"/>
  <c r="R89" i="4"/>
  <c r="Q89" i="4"/>
  <c r="F98" i="9"/>
  <c r="F111" i="9" s="1"/>
  <c r="F113" i="9"/>
  <c r="O89" i="4" s="1"/>
  <c r="H111" i="9"/>
  <c r="C111" i="9"/>
  <c r="I110" i="9"/>
  <c r="H110" i="9"/>
  <c r="I109" i="9"/>
  <c r="H109" i="9"/>
  <c r="I108" i="9"/>
  <c r="H108" i="9"/>
  <c r="I107" i="9"/>
  <c r="H107" i="9"/>
  <c r="I106" i="9"/>
  <c r="H106" i="9"/>
  <c r="I105" i="9"/>
  <c r="H105" i="9"/>
  <c r="I104" i="9"/>
  <c r="H104" i="9"/>
  <c r="I103" i="9"/>
  <c r="H103" i="9"/>
  <c r="I102" i="9"/>
  <c r="H102" i="9"/>
  <c r="I101" i="9"/>
  <c r="H101" i="9"/>
  <c r="I100" i="9"/>
  <c r="H100" i="9"/>
  <c r="I99" i="9"/>
  <c r="H99" i="9"/>
  <c r="H98" i="9"/>
  <c r="I97" i="9"/>
  <c r="H97" i="9"/>
  <c r="N89" i="4"/>
  <c r="A93" i="9"/>
  <c r="A92" i="9"/>
  <c r="A91" i="9"/>
  <c r="A90" i="9"/>
  <c r="Q90" i="4"/>
  <c r="N90" i="4"/>
  <c r="A135" i="9"/>
  <c r="R87" i="4"/>
  <c r="A7" i="9"/>
  <c r="Q87" i="4"/>
  <c r="N87" i="4"/>
  <c r="A46" i="9"/>
  <c r="A89" i="9"/>
  <c r="A3" i="9"/>
  <c r="A131" i="9"/>
  <c r="I149" i="9"/>
  <c r="I148" i="9"/>
  <c r="I147" i="9"/>
  <c r="I143" i="9"/>
  <c r="I142" i="9"/>
  <c r="C153" i="9"/>
  <c r="F153" i="9"/>
  <c r="F155" i="9"/>
  <c r="O90" i="4" s="1"/>
  <c r="H153" i="9"/>
  <c r="I152" i="9"/>
  <c r="H152" i="9"/>
  <c r="I151" i="9"/>
  <c r="H151" i="9"/>
  <c r="I150" i="9"/>
  <c r="H150" i="9"/>
  <c r="H149" i="9"/>
  <c r="H148" i="9"/>
  <c r="H147" i="9"/>
  <c r="I146" i="9"/>
  <c r="H146" i="9"/>
  <c r="I145" i="9"/>
  <c r="H145" i="9"/>
  <c r="I144" i="9"/>
  <c r="H144" i="9"/>
  <c r="H143" i="9"/>
  <c r="H142" i="9"/>
  <c r="H141" i="9"/>
  <c r="I140" i="9"/>
  <c r="H140" i="9"/>
  <c r="I139" i="9"/>
  <c r="H139" i="9"/>
  <c r="H26" i="9"/>
  <c r="A4" i="9"/>
  <c r="F26" i="9"/>
  <c r="I26" i="9" s="1"/>
  <c r="I21" i="9"/>
  <c r="I20" i="9"/>
  <c r="I19" i="9"/>
  <c r="I18" i="9"/>
  <c r="I17" i="9"/>
  <c r="I15" i="9"/>
  <c r="F28" i="9"/>
  <c r="O87" i="4" s="1"/>
  <c r="H25" i="9"/>
  <c r="I25" i="9"/>
  <c r="I24" i="9"/>
  <c r="H24" i="9"/>
  <c r="I23" i="9"/>
  <c r="H23" i="9"/>
  <c r="I22" i="9"/>
  <c r="H22" i="9"/>
  <c r="H21" i="9"/>
  <c r="H20" i="9"/>
  <c r="H19" i="9"/>
  <c r="H18" i="9"/>
  <c r="H17" i="9"/>
  <c r="I16" i="9"/>
  <c r="H16" i="9"/>
  <c r="H15" i="9"/>
  <c r="I14" i="9"/>
  <c r="H14" i="9"/>
  <c r="I13" i="9"/>
  <c r="H13" i="9"/>
  <c r="I12" i="9"/>
  <c r="H12" i="9"/>
  <c r="I11" i="9"/>
  <c r="H11" i="9"/>
  <c r="A6" i="9"/>
  <c r="A5" i="9"/>
  <c r="A134" i="9"/>
  <c r="A133" i="9"/>
  <c r="A132" i="9"/>
  <c r="R55" i="4"/>
  <c r="Q55" i="4"/>
  <c r="N55" i="4"/>
  <c r="R54" i="4"/>
  <c r="Q54" i="4"/>
  <c r="J259" i="6"/>
  <c r="J260" i="6"/>
  <c r="J261" i="6"/>
  <c r="J262" i="6"/>
  <c r="J263" i="6"/>
  <c r="J264" i="6"/>
  <c r="J245" i="6"/>
  <c r="J246" i="6"/>
  <c r="J247" i="6"/>
  <c r="J248" i="6"/>
  <c r="J249" i="6"/>
  <c r="J250" i="6"/>
  <c r="J251" i="6"/>
  <c r="J244" i="6"/>
  <c r="I264" i="6"/>
  <c r="I263" i="6"/>
  <c r="I262" i="6"/>
  <c r="I261" i="6"/>
  <c r="I260" i="6"/>
  <c r="I259" i="6"/>
  <c r="J258" i="6"/>
  <c r="I258" i="6"/>
  <c r="J257" i="6"/>
  <c r="I257" i="6"/>
  <c r="G253" i="6"/>
  <c r="I251" i="6"/>
  <c r="I250" i="6"/>
  <c r="I249" i="6"/>
  <c r="I248" i="6"/>
  <c r="I247" i="6"/>
  <c r="I246" i="6"/>
  <c r="I245" i="6"/>
  <c r="I244" i="6"/>
  <c r="J243" i="6"/>
  <c r="I243" i="6"/>
  <c r="G236" i="6"/>
  <c r="O54" i="4" s="1"/>
  <c r="K234" i="6"/>
  <c r="J234" i="6"/>
  <c r="I234" i="6"/>
  <c r="K233" i="6"/>
  <c r="J233" i="6"/>
  <c r="I233" i="6"/>
  <c r="K232" i="6"/>
  <c r="J232" i="6"/>
  <c r="I232" i="6"/>
  <c r="K231" i="6"/>
  <c r="J231" i="6"/>
  <c r="I231" i="6"/>
  <c r="K230" i="6"/>
  <c r="J230" i="6"/>
  <c r="I230" i="6"/>
  <c r="K229" i="6"/>
  <c r="J229" i="6"/>
  <c r="I229" i="6"/>
  <c r="K228" i="6"/>
  <c r="J228" i="6"/>
  <c r="I228" i="6"/>
  <c r="K227" i="6"/>
  <c r="J227" i="6"/>
  <c r="I227" i="6"/>
  <c r="K226" i="6"/>
  <c r="J226" i="6"/>
  <c r="I226" i="6"/>
  <c r="N54" i="4"/>
  <c r="R57" i="4"/>
  <c r="J190" i="6"/>
  <c r="J195" i="6"/>
  <c r="Q57" i="4"/>
  <c r="N57" i="4"/>
  <c r="J177" i="6"/>
  <c r="J176" i="6"/>
  <c r="J182" i="6"/>
  <c r="G197" i="6"/>
  <c r="I195" i="6"/>
  <c r="I194" i="6"/>
  <c r="J193" i="6"/>
  <c r="I193" i="6"/>
  <c r="J192" i="6"/>
  <c r="I192" i="6"/>
  <c r="J191" i="6"/>
  <c r="I191" i="6"/>
  <c r="I190" i="6"/>
  <c r="I189" i="6"/>
  <c r="J188" i="6"/>
  <c r="I188" i="6"/>
  <c r="G184" i="6"/>
  <c r="I182" i="6"/>
  <c r="I181" i="6"/>
  <c r="J180" i="6"/>
  <c r="I180" i="6"/>
  <c r="J179" i="6"/>
  <c r="I179" i="6"/>
  <c r="I178" i="6"/>
  <c r="I177" i="6"/>
  <c r="I176" i="6"/>
  <c r="J175" i="6"/>
  <c r="I175" i="6"/>
  <c r="J174" i="6"/>
  <c r="I174" i="6"/>
  <c r="G167" i="6"/>
  <c r="O57" i="4" s="1"/>
  <c r="K165" i="6"/>
  <c r="I165" i="6"/>
  <c r="J165" i="6"/>
  <c r="K164" i="6"/>
  <c r="J164" i="6"/>
  <c r="I164" i="6"/>
  <c r="K163" i="6"/>
  <c r="J163" i="6"/>
  <c r="I163" i="6"/>
  <c r="K162" i="6"/>
  <c r="J162" i="6"/>
  <c r="I162" i="6"/>
  <c r="K161" i="6"/>
  <c r="J161" i="6"/>
  <c r="I161" i="6"/>
  <c r="K160" i="6"/>
  <c r="J160" i="6"/>
  <c r="I160" i="6"/>
  <c r="K159" i="6"/>
  <c r="J159" i="6"/>
  <c r="I159" i="6"/>
  <c r="K158" i="6"/>
  <c r="J158" i="6"/>
  <c r="I158" i="6"/>
  <c r="K157" i="6"/>
  <c r="J157" i="6"/>
  <c r="I157" i="6"/>
  <c r="R56" i="4"/>
  <c r="Q56" i="4"/>
  <c r="G124" i="6"/>
  <c r="J124" i="6" s="1"/>
  <c r="J119" i="6"/>
  <c r="J120" i="6"/>
  <c r="J121" i="6"/>
  <c r="J122" i="6"/>
  <c r="J123" i="6"/>
  <c r="J33" i="6"/>
  <c r="J34" i="6"/>
  <c r="J35" i="6"/>
  <c r="J36" i="6"/>
  <c r="J37" i="6"/>
  <c r="J38" i="6"/>
  <c r="J47" i="6"/>
  <c r="J48" i="6"/>
  <c r="J49" i="6"/>
  <c r="J50" i="6"/>
  <c r="J51" i="6"/>
  <c r="J52" i="6"/>
  <c r="J104" i="6"/>
  <c r="J105" i="6"/>
  <c r="J106" i="6"/>
  <c r="J107" i="6"/>
  <c r="J108" i="6"/>
  <c r="J109" i="6"/>
  <c r="J110" i="6"/>
  <c r="J111" i="6"/>
  <c r="N56" i="4"/>
  <c r="G126" i="6"/>
  <c r="I124" i="6"/>
  <c r="I123" i="6"/>
  <c r="I122" i="6"/>
  <c r="I121" i="6"/>
  <c r="I120" i="6"/>
  <c r="I119" i="6"/>
  <c r="J118" i="6"/>
  <c r="I118" i="6"/>
  <c r="J117" i="6"/>
  <c r="I117" i="6"/>
  <c r="G113" i="6"/>
  <c r="I111" i="6"/>
  <c r="I110" i="6"/>
  <c r="I109" i="6"/>
  <c r="I108" i="6"/>
  <c r="I107" i="6"/>
  <c r="I106" i="6"/>
  <c r="I105" i="6"/>
  <c r="I104" i="6"/>
  <c r="J103" i="6"/>
  <c r="I103" i="6"/>
  <c r="G96" i="6"/>
  <c r="O56" i="4" s="1"/>
  <c r="K94" i="6"/>
  <c r="I94" i="6"/>
  <c r="C94" i="6"/>
  <c r="J94" i="6" s="1"/>
  <c r="K93" i="6"/>
  <c r="J93" i="6"/>
  <c r="I93" i="6"/>
  <c r="K92" i="6"/>
  <c r="J92" i="6"/>
  <c r="I92" i="6"/>
  <c r="K91" i="6"/>
  <c r="J91" i="6"/>
  <c r="I91" i="6"/>
  <c r="K90" i="6"/>
  <c r="J90" i="6"/>
  <c r="I90" i="6"/>
  <c r="K89" i="6"/>
  <c r="J89" i="6"/>
  <c r="I89" i="6"/>
  <c r="K88" i="6"/>
  <c r="J88" i="6"/>
  <c r="I88" i="6"/>
  <c r="K87" i="6"/>
  <c r="J87" i="6"/>
  <c r="I87" i="6"/>
  <c r="K86" i="6"/>
  <c r="J86" i="6"/>
  <c r="I86" i="6"/>
  <c r="A220" i="6"/>
  <c r="A219" i="6"/>
  <c r="A218" i="6"/>
  <c r="A217" i="6"/>
  <c r="A216" i="6"/>
  <c r="A215" i="6"/>
  <c r="A151" i="6"/>
  <c r="A150" i="6"/>
  <c r="A149" i="6"/>
  <c r="A148" i="6"/>
  <c r="A147" i="6"/>
  <c r="A146" i="6"/>
  <c r="A80" i="6"/>
  <c r="A79" i="6"/>
  <c r="A78" i="6"/>
  <c r="A77" i="6"/>
  <c r="A76" i="6"/>
  <c r="A75" i="6"/>
  <c r="R123" i="4"/>
  <c r="Q123" i="4"/>
  <c r="F25" i="12"/>
  <c r="O123" i="4" s="1"/>
  <c r="H23" i="12"/>
  <c r="I22" i="12"/>
  <c r="H22" i="12"/>
  <c r="I21" i="12"/>
  <c r="H21" i="12"/>
  <c r="I20" i="12"/>
  <c r="H20" i="12"/>
  <c r="I19" i="12"/>
  <c r="H19" i="12"/>
  <c r="I18" i="12"/>
  <c r="H18" i="12"/>
  <c r="I17" i="12"/>
  <c r="H17" i="12"/>
  <c r="I16" i="12"/>
  <c r="H16" i="12"/>
  <c r="I15" i="12"/>
  <c r="H15" i="12"/>
  <c r="I14" i="12"/>
  <c r="H14" i="12"/>
  <c r="I13" i="12"/>
  <c r="H13" i="12"/>
  <c r="I12" i="12"/>
  <c r="H12" i="12"/>
  <c r="N123" i="4"/>
  <c r="R124" i="4"/>
  <c r="N124" i="4"/>
  <c r="R125" i="4"/>
  <c r="Q125" i="4"/>
  <c r="N125" i="4"/>
  <c r="F77" i="12"/>
  <c r="O125" i="4" s="1"/>
  <c r="H75" i="12"/>
  <c r="F75" i="12"/>
  <c r="C75" i="12"/>
  <c r="I74" i="12"/>
  <c r="H74" i="12"/>
  <c r="I73" i="12"/>
  <c r="H73" i="12"/>
  <c r="I72" i="12"/>
  <c r="H72" i="12"/>
  <c r="I71" i="12"/>
  <c r="H71" i="12"/>
  <c r="I70" i="12"/>
  <c r="H70" i="12"/>
  <c r="I69" i="12"/>
  <c r="H69" i="12"/>
  <c r="I68" i="12"/>
  <c r="H68" i="12"/>
  <c r="I67" i="12"/>
  <c r="H67" i="12"/>
  <c r="I66" i="12"/>
  <c r="H66" i="12"/>
  <c r="I65" i="12"/>
  <c r="H65" i="12"/>
  <c r="I64" i="12"/>
  <c r="H64" i="12"/>
  <c r="R126" i="4"/>
  <c r="Q126" i="4"/>
  <c r="F102" i="12"/>
  <c r="O126" i="4" s="1"/>
  <c r="H90" i="12"/>
  <c r="I90" i="12"/>
  <c r="H91" i="12"/>
  <c r="I91" i="12"/>
  <c r="H92" i="12"/>
  <c r="I92" i="12"/>
  <c r="H93" i="12"/>
  <c r="I93" i="12"/>
  <c r="H94" i="12"/>
  <c r="I94" i="12"/>
  <c r="H95" i="12"/>
  <c r="I95" i="12"/>
  <c r="H96" i="12"/>
  <c r="I96" i="12"/>
  <c r="H97" i="12"/>
  <c r="I97" i="12"/>
  <c r="H98" i="12"/>
  <c r="I98" i="12"/>
  <c r="H99" i="12"/>
  <c r="I99" i="12"/>
  <c r="H100" i="12"/>
  <c r="I89" i="12"/>
  <c r="H89" i="12"/>
  <c r="F100" i="12"/>
  <c r="C100" i="12"/>
  <c r="N126" i="4"/>
  <c r="A8" i="12"/>
  <c r="A7" i="12"/>
  <c r="A6" i="12"/>
  <c r="A5" i="12"/>
  <c r="A4" i="12"/>
  <c r="A85" i="12"/>
  <c r="A84" i="12"/>
  <c r="A83" i="12"/>
  <c r="A82" i="12"/>
  <c r="A81" i="12"/>
  <c r="A60" i="12"/>
  <c r="A59" i="12"/>
  <c r="A58" i="12"/>
  <c r="A57" i="12"/>
  <c r="A56" i="12"/>
  <c r="L183" i="4"/>
  <c r="L182" i="4"/>
  <c r="L181" i="4"/>
  <c r="L180" i="4"/>
  <c r="L162" i="4"/>
  <c r="L161" i="4"/>
  <c r="L160" i="4"/>
  <c r="L159" i="4"/>
  <c r="L142" i="4"/>
  <c r="L141" i="4"/>
  <c r="L140" i="4"/>
  <c r="L139" i="4"/>
  <c r="L126" i="4"/>
  <c r="L125" i="4"/>
  <c r="L124" i="4"/>
  <c r="L123" i="4"/>
  <c r="L108" i="4"/>
  <c r="L107" i="4"/>
  <c r="L106" i="4"/>
  <c r="L105" i="4"/>
  <c r="L90" i="4"/>
  <c r="L89" i="4"/>
  <c r="L88" i="4"/>
  <c r="L87" i="4"/>
  <c r="L74" i="4"/>
  <c r="L73" i="4"/>
  <c r="L72" i="4"/>
  <c r="L71" i="4"/>
  <c r="L29" i="4"/>
  <c r="L28" i="4"/>
  <c r="L27" i="4"/>
  <c r="L26" i="4"/>
  <c r="L42" i="4"/>
  <c r="L41" i="4"/>
  <c r="L40" i="4"/>
  <c r="L39" i="4"/>
  <c r="L57" i="4"/>
  <c r="L56" i="4"/>
  <c r="L55" i="4"/>
  <c r="L54" i="4"/>
  <c r="N71" i="4"/>
  <c r="R73" i="4"/>
  <c r="Q73" i="4"/>
  <c r="C119" i="7"/>
  <c r="F119" i="7"/>
  <c r="N73" i="4"/>
  <c r="H119" i="7"/>
  <c r="H118" i="7"/>
  <c r="I118" i="7"/>
  <c r="H117" i="7"/>
  <c r="I117" i="7"/>
  <c r="H116" i="7"/>
  <c r="I116" i="7"/>
  <c r="H115" i="7"/>
  <c r="I115" i="7"/>
  <c r="H114" i="7"/>
  <c r="I114" i="7"/>
  <c r="H113" i="7"/>
  <c r="I113" i="7"/>
  <c r="H112" i="7"/>
  <c r="I112" i="7"/>
  <c r="F105" i="7"/>
  <c r="O73" i="4" s="1"/>
  <c r="I103" i="7"/>
  <c r="H103" i="7"/>
  <c r="I102" i="7"/>
  <c r="H102" i="7"/>
  <c r="I101" i="7"/>
  <c r="H101" i="7"/>
  <c r="I100" i="7"/>
  <c r="H100" i="7"/>
  <c r="I99" i="7"/>
  <c r="H99" i="7"/>
  <c r="I98" i="7"/>
  <c r="H98" i="7"/>
  <c r="I97" i="7"/>
  <c r="H97" i="7"/>
  <c r="I96" i="7"/>
  <c r="H96" i="7"/>
  <c r="I95" i="7"/>
  <c r="H95" i="7"/>
  <c r="I94" i="7"/>
  <c r="H94" i="7"/>
  <c r="R74" i="4"/>
  <c r="Q74" i="4"/>
  <c r="C157" i="7"/>
  <c r="I157" i="7" s="1"/>
  <c r="C156" i="7"/>
  <c r="I156" i="7" s="1"/>
  <c r="C158" i="7"/>
  <c r="C153" i="7"/>
  <c r="I153" i="7" s="1"/>
  <c r="C154" i="7"/>
  <c r="I154" i="7" s="1"/>
  <c r="C155" i="7"/>
  <c r="I155" i="7" s="1"/>
  <c r="C152" i="7"/>
  <c r="I152" i="7" s="1"/>
  <c r="N74" i="4"/>
  <c r="H159" i="7"/>
  <c r="I159" i="7"/>
  <c r="H158" i="7"/>
  <c r="H157" i="7"/>
  <c r="H156" i="7"/>
  <c r="H155" i="7"/>
  <c r="H154" i="7"/>
  <c r="H153" i="7"/>
  <c r="H152" i="7"/>
  <c r="F145" i="7"/>
  <c r="O74" i="4" s="1"/>
  <c r="H143" i="7"/>
  <c r="I143" i="7"/>
  <c r="I142" i="7"/>
  <c r="H142" i="7"/>
  <c r="I141" i="7"/>
  <c r="H141" i="7"/>
  <c r="I140" i="7"/>
  <c r="H140" i="7"/>
  <c r="I139" i="7"/>
  <c r="H139" i="7"/>
  <c r="I138" i="7"/>
  <c r="H138" i="7"/>
  <c r="I137" i="7"/>
  <c r="H137" i="7"/>
  <c r="I136" i="7"/>
  <c r="H136" i="7"/>
  <c r="I135" i="7"/>
  <c r="H135" i="7"/>
  <c r="I134" i="7"/>
  <c r="H134" i="7"/>
  <c r="R71" i="4"/>
  <c r="Q71" i="4"/>
  <c r="H35" i="7"/>
  <c r="I35" i="7"/>
  <c r="H36" i="7"/>
  <c r="I36" i="7"/>
  <c r="H37" i="7"/>
  <c r="H38" i="7"/>
  <c r="F38" i="7"/>
  <c r="C37" i="7"/>
  <c r="C38" i="7" s="1"/>
  <c r="I34" i="7"/>
  <c r="H34" i="7"/>
  <c r="I33" i="7"/>
  <c r="H33" i="7"/>
  <c r="I32" i="7"/>
  <c r="H32" i="7"/>
  <c r="I31" i="7"/>
  <c r="H31" i="7"/>
  <c r="F24" i="7"/>
  <c r="O71" i="4" s="1"/>
  <c r="H22" i="7"/>
  <c r="F22" i="7"/>
  <c r="C22" i="7"/>
  <c r="I21" i="7"/>
  <c r="H21" i="7"/>
  <c r="I20" i="7"/>
  <c r="H20" i="7"/>
  <c r="I19" i="7"/>
  <c r="H19" i="7"/>
  <c r="I18" i="7"/>
  <c r="H18" i="7"/>
  <c r="I17" i="7"/>
  <c r="H17" i="7"/>
  <c r="I16" i="7"/>
  <c r="H16" i="7"/>
  <c r="I15" i="7"/>
  <c r="H15" i="7"/>
  <c r="I14" i="7"/>
  <c r="H14" i="7"/>
  <c r="I13" i="7"/>
  <c r="H13" i="7"/>
  <c r="A7" i="7"/>
  <c r="A6" i="7"/>
  <c r="A5" i="7"/>
  <c r="A4" i="7"/>
  <c r="A3" i="7"/>
  <c r="A128" i="7"/>
  <c r="A127" i="7"/>
  <c r="A126" i="7"/>
  <c r="A125" i="7"/>
  <c r="A124" i="7"/>
  <c r="A88" i="7"/>
  <c r="A87" i="7"/>
  <c r="A86" i="7"/>
  <c r="A85" i="7"/>
  <c r="A84" i="7"/>
  <c r="R105" i="4"/>
  <c r="N105" i="4"/>
  <c r="G19" i="11"/>
  <c r="O105" i="4" s="1"/>
  <c r="I17" i="11"/>
  <c r="G17" i="11"/>
  <c r="C17" i="11"/>
  <c r="J16" i="11"/>
  <c r="I16" i="11"/>
  <c r="J15" i="11"/>
  <c r="I15" i="11"/>
  <c r="J14" i="11"/>
  <c r="I14" i="11"/>
  <c r="J13" i="11"/>
  <c r="I13" i="11"/>
  <c r="J12" i="11"/>
  <c r="I12" i="11"/>
  <c r="J11" i="11"/>
  <c r="I11" i="11"/>
  <c r="J10" i="11"/>
  <c r="I10" i="11"/>
  <c r="A6" i="11"/>
  <c r="R108" i="4"/>
  <c r="N108" i="4"/>
  <c r="G85" i="11"/>
  <c r="O108" i="4" s="1"/>
  <c r="I83" i="11"/>
  <c r="G83" i="11"/>
  <c r="C83" i="11"/>
  <c r="J82" i="11"/>
  <c r="I82" i="11"/>
  <c r="J81" i="11"/>
  <c r="I81" i="11"/>
  <c r="J80" i="11"/>
  <c r="I80" i="11"/>
  <c r="J79" i="11"/>
  <c r="I79" i="11"/>
  <c r="J78" i="11"/>
  <c r="I78" i="11"/>
  <c r="J77" i="11"/>
  <c r="I77" i="11"/>
  <c r="J76" i="11"/>
  <c r="I76" i="11"/>
  <c r="A72" i="11"/>
  <c r="R107" i="4"/>
  <c r="R106" i="4"/>
  <c r="A28" i="11"/>
  <c r="A51" i="11"/>
  <c r="G64" i="11"/>
  <c r="O107" i="4" s="1"/>
  <c r="I56" i="11"/>
  <c r="J56" i="11"/>
  <c r="I57" i="11"/>
  <c r="J57" i="11"/>
  <c r="I58" i="11"/>
  <c r="J58" i="11"/>
  <c r="I59" i="11"/>
  <c r="J59" i="11"/>
  <c r="I60" i="11"/>
  <c r="J60" i="11"/>
  <c r="I61" i="11"/>
  <c r="J61" i="11"/>
  <c r="I62" i="11"/>
  <c r="J55" i="11"/>
  <c r="I55" i="11"/>
  <c r="C62" i="11"/>
  <c r="G62" i="11"/>
  <c r="N107" i="4"/>
  <c r="A5" i="11"/>
  <c r="A4" i="11"/>
  <c r="A3" i="11"/>
  <c r="AB105" i="4"/>
  <c r="A71" i="11"/>
  <c r="A70" i="11"/>
  <c r="A69" i="11"/>
  <c r="A50" i="11"/>
  <c r="A49" i="11"/>
  <c r="A48" i="11"/>
  <c r="R180" i="4"/>
  <c r="Q180" i="4"/>
  <c r="A6" i="15"/>
  <c r="N180" i="4"/>
  <c r="K25" i="15"/>
  <c r="L25" i="15"/>
  <c r="J25" i="15"/>
  <c r="L15" i="15"/>
  <c r="L16" i="15"/>
  <c r="L18" i="15"/>
  <c r="L22" i="15"/>
  <c r="L23" i="15"/>
  <c r="L26" i="15"/>
  <c r="L14" i="15"/>
  <c r="C27" i="15"/>
  <c r="G29" i="15"/>
  <c r="O180" i="4" s="1"/>
  <c r="J27" i="15"/>
  <c r="H27" i="15"/>
  <c r="G27" i="15"/>
  <c r="K26" i="15"/>
  <c r="J26" i="15"/>
  <c r="L24" i="15"/>
  <c r="K24" i="15"/>
  <c r="J24" i="15"/>
  <c r="K23" i="15"/>
  <c r="J23" i="15"/>
  <c r="K22" i="15"/>
  <c r="J22" i="15"/>
  <c r="L21" i="15"/>
  <c r="K21" i="15"/>
  <c r="J21" i="15"/>
  <c r="L20" i="15"/>
  <c r="K20" i="15"/>
  <c r="J20" i="15"/>
  <c r="L19" i="15"/>
  <c r="K19" i="15"/>
  <c r="J19" i="15"/>
  <c r="K18" i="15"/>
  <c r="J18" i="15"/>
  <c r="L17" i="15"/>
  <c r="K17" i="15"/>
  <c r="J17" i="15"/>
  <c r="K16" i="15"/>
  <c r="J16" i="15"/>
  <c r="K15" i="15"/>
  <c r="J15" i="15"/>
  <c r="K14" i="15"/>
  <c r="J14" i="15"/>
  <c r="L13" i="15"/>
  <c r="K13" i="15"/>
  <c r="J13" i="15"/>
  <c r="R183" i="4"/>
  <c r="R182" i="4"/>
  <c r="Q182" i="4"/>
  <c r="N182" i="4"/>
  <c r="N183" i="4"/>
  <c r="Q183" i="4"/>
  <c r="A148" i="15"/>
  <c r="A103" i="15"/>
  <c r="A104" i="15"/>
  <c r="L167" i="15"/>
  <c r="L165" i="15"/>
  <c r="L163" i="15"/>
  <c r="L162" i="15"/>
  <c r="L161" i="15"/>
  <c r="L160" i="15"/>
  <c r="L159" i="15"/>
  <c r="L158" i="15"/>
  <c r="L157" i="15"/>
  <c r="L156" i="15"/>
  <c r="G170" i="15"/>
  <c r="O183" i="4" s="1"/>
  <c r="J168" i="15"/>
  <c r="H168" i="15"/>
  <c r="G168" i="15"/>
  <c r="C168" i="15"/>
  <c r="K167" i="15"/>
  <c r="J167" i="15"/>
  <c r="L166" i="15"/>
  <c r="K166" i="15"/>
  <c r="J166" i="15"/>
  <c r="K165" i="15"/>
  <c r="J165" i="15"/>
  <c r="L164" i="15"/>
  <c r="K164" i="15"/>
  <c r="J164" i="15"/>
  <c r="K163" i="15"/>
  <c r="J163" i="15"/>
  <c r="K162" i="15"/>
  <c r="J162" i="15"/>
  <c r="K161" i="15"/>
  <c r="J161" i="15"/>
  <c r="K160" i="15"/>
  <c r="J160" i="15"/>
  <c r="K159" i="15"/>
  <c r="J159" i="15"/>
  <c r="K158" i="15"/>
  <c r="J158" i="15"/>
  <c r="K157" i="15"/>
  <c r="J157" i="15"/>
  <c r="K156" i="15"/>
  <c r="J156" i="15"/>
  <c r="L155" i="15"/>
  <c r="K155" i="15"/>
  <c r="J155" i="15"/>
  <c r="N181" i="4"/>
  <c r="H123" i="15"/>
  <c r="D123" i="15"/>
  <c r="L120" i="15"/>
  <c r="L119" i="15"/>
  <c r="L117" i="15"/>
  <c r="L114" i="15"/>
  <c r="L113" i="15"/>
  <c r="L112" i="15"/>
  <c r="C123" i="15"/>
  <c r="J122" i="15"/>
  <c r="K122" i="15"/>
  <c r="L122" i="15"/>
  <c r="J123" i="15"/>
  <c r="L118" i="15"/>
  <c r="L116" i="15"/>
  <c r="L115" i="15"/>
  <c r="J110" i="15"/>
  <c r="G125" i="15"/>
  <c r="O182" i="4" s="1"/>
  <c r="G123" i="15"/>
  <c r="L121" i="15"/>
  <c r="K121" i="15"/>
  <c r="J121" i="15"/>
  <c r="K120" i="15"/>
  <c r="J120" i="15"/>
  <c r="K119" i="15"/>
  <c r="J119" i="15"/>
  <c r="K118" i="15"/>
  <c r="J118" i="15"/>
  <c r="K117" i="15"/>
  <c r="J117" i="15"/>
  <c r="K116" i="15"/>
  <c r="J116" i="15"/>
  <c r="K115" i="15"/>
  <c r="J115" i="15"/>
  <c r="K114" i="15"/>
  <c r="J114" i="15"/>
  <c r="K113" i="15"/>
  <c r="J113" i="15"/>
  <c r="K112" i="15"/>
  <c r="J112" i="15"/>
  <c r="K111" i="15"/>
  <c r="J111" i="15"/>
  <c r="L110" i="15"/>
  <c r="K110" i="15"/>
  <c r="AB180" i="4"/>
  <c r="A9" i="15"/>
  <c r="A8" i="15"/>
  <c r="A7" i="15"/>
  <c r="A5" i="15"/>
  <c r="A4" i="15"/>
  <c r="A151" i="15"/>
  <c r="A150" i="15"/>
  <c r="A149" i="15"/>
  <c r="A147" i="15"/>
  <c r="A146" i="15"/>
  <c r="A106" i="15"/>
  <c r="A105" i="15"/>
  <c r="A102" i="15"/>
  <c r="A101" i="15"/>
  <c r="G57" i="4"/>
  <c r="G56" i="4"/>
  <c r="G54" i="4"/>
  <c r="G74" i="4"/>
  <c r="G73" i="4"/>
  <c r="G71" i="4"/>
  <c r="G90" i="4"/>
  <c r="G89" i="4"/>
  <c r="G87" i="4"/>
  <c r="G108" i="4"/>
  <c r="G107" i="4"/>
  <c r="G105" i="4"/>
  <c r="G126" i="4"/>
  <c r="G125" i="4"/>
  <c r="G123" i="4"/>
  <c r="G142" i="4"/>
  <c r="G141" i="4"/>
  <c r="G139" i="4"/>
  <c r="G162" i="4"/>
  <c r="G161" i="4"/>
  <c r="G159" i="4"/>
  <c r="G183" i="4"/>
  <c r="G182" i="4"/>
  <c r="G180" i="4"/>
  <c r="R39" i="4"/>
  <c r="Q39" i="4"/>
  <c r="A7" i="5"/>
  <c r="P39" i="4"/>
  <c r="N39" i="4"/>
  <c r="A5" i="5"/>
  <c r="O14" i="5"/>
  <c r="P14" i="5"/>
  <c r="O15" i="5"/>
  <c r="P15" i="5"/>
  <c r="O16" i="5"/>
  <c r="P16" i="5"/>
  <c r="O17" i="5"/>
  <c r="P17" i="5"/>
  <c r="O18" i="5"/>
  <c r="P18" i="5"/>
  <c r="O19" i="5"/>
  <c r="P19" i="5"/>
  <c r="O20" i="5"/>
  <c r="P20" i="5"/>
  <c r="O21" i="5"/>
  <c r="P21" i="5"/>
  <c r="O22" i="5"/>
  <c r="P22" i="5"/>
  <c r="O23" i="5"/>
  <c r="P23" i="5"/>
  <c r="O24" i="5"/>
  <c r="P24" i="5"/>
  <c r="O25" i="5"/>
  <c r="P25" i="5"/>
  <c r="P13" i="5"/>
  <c r="O13" i="5"/>
  <c r="M27" i="5"/>
  <c r="O39" i="4" s="1"/>
  <c r="R42" i="4"/>
  <c r="Q42" i="4"/>
  <c r="P42" i="4"/>
  <c r="A96" i="5"/>
  <c r="N42" i="4"/>
  <c r="O105" i="5"/>
  <c r="P105" i="5"/>
  <c r="O106" i="5"/>
  <c r="P106" i="5"/>
  <c r="O107" i="5"/>
  <c r="P107" i="5"/>
  <c r="O108" i="5"/>
  <c r="P108" i="5"/>
  <c r="O109" i="5"/>
  <c r="P109" i="5"/>
  <c r="O110" i="5"/>
  <c r="P110" i="5"/>
  <c r="O111" i="5"/>
  <c r="P111" i="5"/>
  <c r="O112" i="5"/>
  <c r="P112" i="5"/>
  <c r="O113" i="5"/>
  <c r="P113" i="5"/>
  <c r="O114" i="5"/>
  <c r="P114" i="5"/>
  <c r="O115" i="5"/>
  <c r="P115" i="5"/>
  <c r="O116" i="5"/>
  <c r="P116" i="5"/>
  <c r="P104" i="5"/>
  <c r="O104" i="5"/>
  <c r="M118" i="5"/>
  <c r="O42" i="4" s="1"/>
  <c r="R41" i="4"/>
  <c r="Q41" i="4"/>
  <c r="P41" i="4"/>
  <c r="N41" i="4"/>
  <c r="A68" i="5"/>
  <c r="M91" i="5"/>
  <c r="O41" i="4" s="1"/>
  <c r="O78" i="5"/>
  <c r="P78" i="5"/>
  <c r="O79" i="5"/>
  <c r="P79" i="5"/>
  <c r="O80" i="5"/>
  <c r="P80" i="5"/>
  <c r="O81" i="5"/>
  <c r="P81" i="5"/>
  <c r="O82" i="5"/>
  <c r="P82" i="5"/>
  <c r="O83" i="5"/>
  <c r="P83" i="5"/>
  <c r="O84" i="5"/>
  <c r="P84" i="5"/>
  <c r="O85" i="5"/>
  <c r="P85" i="5"/>
  <c r="O86" i="5"/>
  <c r="P86" i="5"/>
  <c r="O87" i="5"/>
  <c r="P87" i="5"/>
  <c r="O88" i="5"/>
  <c r="P88" i="5"/>
  <c r="O89" i="5"/>
  <c r="P89" i="5"/>
  <c r="P77" i="5"/>
  <c r="O77" i="5"/>
  <c r="AB39" i="4"/>
  <c r="AD40" i="4" s="1"/>
  <c r="AV40" i="4" s="1"/>
  <c r="A9" i="5"/>
  <c r="A8" i="5"/>
  <c r="A6" i="5"/>
  <c r="A4" i="5"/>
  <c r="A100" i="5"/>
  <c r="A99" i="5"/>
  <c r="A98" i="5"/>
  <c r="A97" i="5"/>
  <c r="A95" i="5"/>
  <c r="A72" i="5"/>
  <c r="A71" i="5"/>
  <c r="A70" i="5"/>
  <c r="A69" i="5"/>
  <c r="A67" i="5"/>
  <c r="G42" i="4"/>
  <c r="G41" i="4"/>
  <c r="G39" i="4"/>
  <c r="R181" i="4"/>
  <c r="Q181" i="4"/>
  <c r="D76" i="15"/>
  <c r="H76" i="15"/>
  <c r="L64" i="15"/>
  <c r="L65" i="15"/>
  <c r="L66" i="15"/>
  <c r="L67" i="15"/>
  <c r="L68" i="15"/>
  <c r="L69" i="15"/>
  <c r="L70" i="15"/>
  <c r="L71" i="15"/>
  <c r="L72" i="15"/>
  <c r="L73" i="15"/>
  <c r="L74" i="15"/>
  <c r="L75" i="15"/>
  <c r="G78" i="15"/>
  <c r="O181" i="4" s="1"/>
  <c r="J64" i="15"/>
  <c r="K64" i="15"/>
  <c r="J65" i="15"/>
  <c r="K65" i="15"/>
  <c r="J66" i="15"/>
  <c r="K66" i="15"/>
  <c r="J67" i="15"/>
  <c r="K67" i="15"/>
  <c r="J68" i="15"/>
  <c r="K68" i="15"/>
  <c r="J69" i="15"/>
  <c r="K69" i="15"/>
  <c r="J70" i="15"/>
  <c r="K70" i="15"/>
  <c r="J71" i="15"/>
  <c r="K71" i="15"/>
  <c r="J72" i="15"/>
  <c r="K72" i="15"/>
  <c r="J73" i="15"/>
  <c r="K73" i="15"/>
  <c r="J74" i="15"/>
  <c r="K74" i="15"/>
  <c r="J75" i="15"/>
  <c r="K75" i="15"/>
  <c r="J76" i="15"/>
  <c r="G76" i="15"/>
  <c r="C76" i="15"/>
  <c r="AA160" i="4"/>
  <c r="AA140" i="4"/>
  <c r="A32" i="14"/>
  <c r="Q160" i="4"/>
  <c r="A29" i="14"/>
  <c r="N160" i="4"/>
  <c r="F47" i="14"/>
  <c r="O160" i="4" s="1"/>
  <c r="H37" i="14"/>
  <c r="I37" i="14"/>
  <c r="H38" i="14"/>
  <c r="I38" i="14"/>
  <c r="H39" i="14"/>
  <c r="I39" i="14"/>
  <c r="H40" i="14"/>
  <c r="I40" i="14"/>
  <c r="H41" i="14"/>
  <c r="I41" i="14"/>
  <c r="H42" i="14"/>
  <c r="I42" i="14"/>
  <c r="H43" i="14"/>
  <c r="I43" i="14"/>
  <c r="H44" i="14"/>
  <c r="I44" i="14"/>
  <c r="H45" i="14"/>
  <c r="I36" i="14"/>
  <c r="H36" i="14"/>
  <c r="C45" i="14"/>
  <c r="I45" i="14" s="1"/>
  <c r="A31" i="14"/>
  <c r="A30" i="14"/>
  <c r="A28" i="14"/>
  <c r="F45" i="13"/>
  <c r="O140" i="4" s="1"/>
  <c r="H36" i="13"/>
  <c r="I36" i="13"/>
  <c r="H37" i="13"/>
  <c r="I37" i="13"/>
  <c r="H38" i="13"/>
  <c r="I38" i="13"/>
  <c r="H39" i="13"/>
  <c r="I39" i="13"/>
  <c r="H40" i="13"/>
  <c r="I40" i="13"/>
  <c r="H41" i="13"/>
  <c r="I41" i="13"/>
  <c r="H42" i="13"/>
  <c r="I42" i="13"/>
  <c r="H43" i="13"/>
  <c r="I35" i="13"/>
  <c r="H35" i="13"/>
  <c r="I43" i="13"/>
  <c r="A31" i="13"/>
  <c r="A29" i="13"/>
  <c r="Q140" i="4"/>
  <c r="A28" i="13"/>
  <c r="N140" i="4"/>
  <c r="G140" i="4"/>
  <c r="A30" i="13"/>
  <c r="A27" i="13"/>
  <c r="G181" i="4"/>
  <c r="G160" i="4"/>
  <c r="A33" i="12"/>
  <c r="Q124" i="4"/>
  <c r="A30" i="12"/>
  <c r="F50" i="12"/>
  <c r="O124" i="4" s="1"/>
  <c r="I38" i="12"/>
  <c r="J38" i="12"/>
  <c r="I39" i="12"/>
  <c r="J39" i="12"/>
  <c r="I40" i="12"/>
  <c r="J40" i="12"/>
  <c r="I41" i="12"/>
  <c r="J41" i="12"/>
  <c r="I42" i="12"/>
  <c r="J42" i="12"/>
  <c r="I43" i="12"/>
  <c r="J43" i="12"/>
  <c r="I44" i="12"/>
  <c r="J44" i="12"/>
  <c r="I45" i="12"/>
  <c r="J45" i="12"/>
  <c r="I46" i="12"/>
  <c r="J46" i="12"/>
  <c r="I47" i="12"/>
  <c r="J47" i="12"/>
  <c r="I48" i="12"/>
  <c r="J48" i="12"/>
  <c r="J37" i="12"/>
  <c r="I37" i="12"/>
  <c r="A32" i="12"/>
  <c r="A31" i="12"/>
  <c r="A29" i="12"/>
  <c r="AA124" i="4"/>
  <c r="G124" i="4"/>
  <c r="N106" i="4"/>
  <c r="G41" i="11"/>
  <c r="O106" i="4" s="1"/>
  <c r="C39" i="11"/>
  <c r="J39" i="11" s="1"/>
  <c r="I33" i="11"/>
  <c r="J33" i="11"/>
  <c r="I34" i="11"/>
  <c r="J34" i="11"/>
  <c r="I35" i="11"/>
  <c r="J35" i="11"/>
  <c r="I36" i="11"/>
  <c r="J36" i="11"/>
  <c r="I37" i="11"/>
  <c r="J37" i="11"/>
  <c r="I38" i="11"/>
  <c r="J38" i="11"/>
  <c r="I39" i="11"/>
  <c r="J32" i="11"/>
  <c r="I32" i="11"/>
  <c r="A27" i="11"/>
  <c r="A26" i="11"/>
  <c r="A25" i="11"/>
  <c r="H56" i="9"/>
  <c r="I56" i="9"/>
  <c r="H57" i="9"/>
  <c r="I57" i="9"/>
  <c r="H58" i="9"/>
  <c r="I58" i="9"/>
  <c r="H59" i="9"/>
  <c r="I59" i="9"/>
  <c r="H60" i="9"/>
  <c r="I60" i="9"/>
  <c r="H61" i="9"/>
  <c r="I61" i="9"/>
  <c r="H62" i="9"/>
  <c r="I62" i="9"/>
  <c r="H63" i="9"/>
  <c r="I63" i="9"/>
  <c r="H64" i="9"/>
  <c r="I64" i="9"/>
  <c r="H65" i="9"/>
  <c r="I65" i="9"/>
  <c r="H66" i="9"/>
  <c r="I66" i="9"/>
  <c r="H67" i="9"/>
  <c r="I67" i="9"/>
  <c r="H68" i="9"/>
  <c r="I68" i="9"/>
  <c r="H69" i="9"/>
  <c r="I55" i="9"/>
  <c r="H55" i="9"/>
  <c r="I69" i="9"/>
  <c r="AA88" i="4"/>
  <c r="AA106" i="4"/>
  <c r="G106" i="4"/>
  <c r="G88" i="4"/>
  <c r="A8" i="6"/>
  <c r="G54" i="6"/>
  <c r="I46" i="6"/>
  <c r="J46" i="6"/>
  <c r="I47" i="6"/>
  <c r="I48" i="6"/>
  <c r="I49" i="6"/>
  <c r="I50" i="6"/>
  <c r="I51" i="6"/>
  <c r="I52" i="6"/>
  <c r="J45" i="6"/>
  <c r="I45" i="6"/>
  <c r="G41" i="6"/>
  <c r="A5" i="6"/>
  <c r="I32" i="6"/>
  <c r="J32" i="6"/>
  <c r="I33" i="6"/>
  <c r="I34" i="6"/>
  <c r="I35" i="6"/>
  <c r="I36" i="6"/>
  <c r="I37" i="6"/>
  <c r="I38" i="6"/>
  <c r="I39" i="6"/>
  <c r="J31" i="6"/>
  <c r="I31" i="6"/>
  <c r="G39" i="6"/>
  <c r="J39" i="6" s="1"/>
  <c r="A4" i="6"/>
  <c r="C24" i="6"/>
  <c r="G24" i="6"/>
  <c r="O55" i="4" s="1"/>
  <c r="K14" i="6"/>
  <c r="K15" i="6"/>
  <c r="K16" i="6"/>
  <c r="K17" i="6"/>
  <c r="K18" i="6"/>
  <c r="K19" i="6"/>
  <c r="K20" i="6"/>
  <c r="K21" i="6"/>
  <c r="K22" i="6"/>
  <c r="I15" i="6"/>
  <c r="J15" i="6"/>
  <c r="I16" i="6"/>
  <c r="J16" i="6"/>
  <c r="I17" i="6"/>
  <c r="J17" i="6"/>
  <c r="I18" i="6"/>
  <c r="J18" i="6"/>
  <c r="I19" i="6"/>
  <c r="J19" i="6"/>
  <c r="I20" i="6"/>
  <c r="J20" i="6"/>
  <c r="I21" i="6"/>
  <c r="J21" i="6"/>
  <c r="I22" i="6"/>
  <c r="J14" i="6"/>
  <c r="I14" i="6"/>
  <c r="C22" i="6"/>
  <c r="J22" i="6" s="1"/>
  <c r="A3" i="6"/>
  <c r="A7" i="6"/>
  <c r="A6" i="6"/>
  <c r="R72" i="4"/>
  <c r="Q72" i="4"/>
  <c r="F65" i="7"/>
  <c r="O72" i="4" s="1"/>
  <c r="H79" i="7"/>
  <c r="I79" i="7"/>
  <c r="I78" i="7"/>
  <c r="H78" i="7"/>
  <c r="I77" i="7"/>
  <c r="H77" i="7"/>
  <c r="I76" i="7"/>
  <c r="H76" i="7"/>
  <c r="I75" i="7"/>
  <c r="H75" i="7"/>
  <c r="I74" i="7"/>
  <c r="H74" i="7"/>
  <c r="I73" i="7"/>
  <c r="H73" i="7"/>
  <c r="I72" i="7"/>
  <c r="H72" i="7"/>
  <c r="T52" i="3"/>
  <c r="O27" i="4" s="1"/>
  <c r="T23" i="3"/>
  <c r="O26" i="4" s="1"/>
  <c r="H54" i="7"/>
  <c r="H63" i="7"/>
  <c r="H62" i="7"/>
  <c r="H61" i="7"/>
  <c r="H60" i="7"/>
  <c r="H59" i="7"/>
  <c r="H58" i="7"/>
  <c r="H57" i="7"/>
  <c r="H56" i="7"/>
  <c r="H55" i="7"/>
  <c r="I54" i="7"/>
  <c r="I56" i="7"/>
  <c r="I57" i="7"/>
  <c r="I58" i="7"/>
  <c r="I59" i="7"/>
  <c r="I60" i="7"/>
  <c r="I61" i="7"/>
  <c r="I62" i="7"/>
  <c r="I55" i="7"/>
  <c r="N72" i="4"/>
  <c r="F63" i="7"/>
  <c r="C63" i="7"/>
  <c r="A46" i="7"/>
  <c r="A45" i="7"/>
  <c r="A44" i="7"/>
  <c r="A47" i="7"/>
  <c r="A48" i="7"/>
  <c r="AA72" i="4"/>
  <c r="AA55" i="4"/>
  <c r="G72" i="4"/>
  <c r="G55" i="4"/>
  <c r="R40" i="4"/>
  <c r="A40" i="5"/>
  <c r="A39" i="5"/>
  <c r="Q40" i="4"/>
  <c r="A38" i="5"/>
  <c r="A37" i="5"/>
  <c r="R29" i="4"/>
  <c r="R28" i="4"/>
  <c r="R27" i="4"/>
  <c r="R26" i="4"/>
  <c r="B8" i="3"/>
  <c r="B7" i="3"/>
  <c r="B6" i="3"/>
  <c r="B5" i="3"/>
  <c r="N29" i="4"/>
  <c r="N28" i="4"/>
  <c r="N27" i="4"/>
  <c r="P27" i="4" s="1"/>
  <c r="N26" i="4"/>
  <c r="P26" i="4" s="1"/>
  <c r="B3" i="3"/>
  <c r="B4" i="3"/>
  <c r="P40" i="4"/>
  <c r="A36" i="5"/>
  <c r="M59" i="5"/>
  <c r="O40" i="4" s="1"/>
  <c r="P56" i="5"/>
  <c r="P55" i="5"/>
  <c r="P54" i="5"/>
  <c r="P53" i="5"/>
  <c r="P52" i="5"/>
  <c r="P51" i="5"/>
  <c r="O57" i="5"/>
  <c r="O56" i="5"/>
  <c r="O55" i="5"/>
  <c r="O54" i="5"/>
  <c r="O53" i="5"/>
  <c r="O52" i="5"/>
  <c r="O51" i="5"/>
  <c r="O47" i="5"/>
  <c r="P47" i="5"/>
  <c r="O48" i="5"/>
  <c r="P48" i="5"/>
  <c r="O49" i="5"/>
  <c r="P49" i="5"/>
  <c r="O50" i="5"/>
  <c r="P50" i="5"/>
  <c r="J57" i="5"/>
  <c r="P57" i="5" s="1"/>
  <c r="P46" i="5"/>
  <c r="O46" i="5"/>
  <c r="N40" i="4"/>
  <c r="A35" i="5"/>
  <c r="AA40" i="4"/>
  <c r="AA27" i="4"/>
  <c r="G40" i="4"/>
  <c r="W20" i="3"/>
  <c r="V20" i="3"/>
  <c r="W19" i="3"/>
  <c r="V19" i="3"/>
  <c r="W18" i="3"/>
  <c r="V18" i="3"/>
  <c r="W17" i="3"/>
  <c r="V17" i="3"/>
  <c r="W16" i="3"/>
  <c r="V16" i="3"/>
  <c r="W15" i="3"/>
  <c r="V15" i="3"/>
  <c r="W14" i="3"/>
  <c r="V14" i="3"/>
  <c r="W13" i="3"/>
  <c r="V13" i="3"/>
  <c r="W12" i="3"/>
  <c r="V12" i="3"/>
  <c r="W49" i="3"/>
  <c r="V49" i="3"/>
  <c r="W48" i="3"/>
  <c r="V48" i="3"/>
  <c r="W47" i="3"/>
  <c r="V47" i="3"/>
  <c r="W46" i="3"/>
  <c r="V46" i="3"/>
  <c r="W45" i="3"/>
  <c r="V45" i="3"/>
  <c r="W44" i="3"/>
  <c r="V44" i="3"/>
  <c r="W43" i="3"/>
  <c r="V43" i="3"/>
  <c r="W42" i="3"/>
  <c r="V42" i="3"/>
  <c r="W41" i="3"/>
  <c r="V41" i="3"/>
  <c r="V106" i="3"/>
  <c r="W105" i="3"/>
  <c r="V105" i="3"/>
  <c r="W104" i="3"/>
  <c r="V104" i="3"/>
  <c r="W103" i="3"/>
  <c r="V103" i="3"/>
  <c r="W102" i="3"/>
  <c r="V102" i="3"/>
  <c r="W101" i="3"/>
  <c r="V101" i="3"/>
  <c r="W100" i="3"/>
  <c r="V100" i="3"/>
  <c r="W99" i="3"/>
  <c r="V99" i="3"/>
  <c r="W98" i="3"/>
  <c r="V98" i="3"/>
  <c r="V74" i="3"/>
  <c r="W74" i="3"/>
  <c r="V75" i="3"/>
  <c r="W75" i="3"/>
  <c r="V76" i="3"/>
  <c r="W76" i="3"/>
  <c r="V77" i="3"/>
  <c r="W77" i="3"/>
  <c r="V78" i="3"/>
  <c r="W78" i="3"/>
  <c r="V79" i="3"/>
  <c r="W79" i="3"/>
  <c r="V80" i="3"/>
  <c r="W80" i="3"/>
  <c r="V81" i="3"/>
  <c r="W73" i="3"/>
  <c r="V73" i="3"/>
  <c r="G29" i="4"/>
  <c r="G28" i="4"/>
  <c r="G27" i="4"/>
  <c r="G26" i="4"/>
  <c r="AD29" i="4"/>
  <c r="AD28" i="4"/>
  <c r="AV27" i="4" s="1"/>
  <c r="AD26" i="4"/>
  <c r="T109" i="3"/>
  <c r="O29" i="4" s="1"/>
  <c r="T83" i="3"/>
  <c r="O28" i="4" s="1"/>
  <c r="T81" i="3"/>
  <c r="Q81" i="3"/>
  <c r="Q21" i="3"/>
  <c r="Q50" i="3"/>
  <c r="AG105" i="4" l="1"/>
  <c r="AG106" i="4"/>
  <c r="AG161" i="4"/>
  <c r="AH161" i="4"/>
  <c r="AU29" i="4"/>
  <c r="BI29" i="4" s="1"/>
  <c r="AH29" i="4"/>
  <c r="AG29" i="4"/>
  <c r="AU108" i="4"/>
  <c r="BI108" i="4" s="1"/>
  <c r="AH108" i="4"/>
  <c r="AG108" i="4"/>
  <c r="AU162" i="4"/>
  <c r="BI162" i="4" s="1"/>
  <c r="AG162" i="4"/>
  <c r="AH162" i="4"/>
  <c r="AU42" i="4"/>
  <c r="BI42" i="4" s="1"/>
  <c r="AH42" i="4"/>
  <c r="AG42" i="4"/>
  <c r="AU142" i="4"/>
  <c r="BI142" i="4" s="1"/>
  <c r="AG142" i="4"/>
  <c r="AH142" i="4"/>
  <c r="AH159" i="4"/>
  <c r="AG159" i="4"/>
  <c r="AG27" i="4"/>
  <c r="AH27" i="4"/>
  <c r="AB190" i="4"/>
  <c r="AG28" i="4"/>
  <c r="AH28" i="4"/>
  <c r="AH107" i="4"/>
  <c r="AG107" i="4"/>
  <c r="AH54" i="4"/>
  <c r="AG54" i="4"/>
  <c r="AG58" i="4" s="1"/>
  <c r="AH71" i="4"/>
  <c r="AG71" i="4"/>
  <c r="AH123" i="4"/>
  <c r="AG123" i="4"/>
  <c r="AG180" i="4"/>
  <c r="AU90" i="4"/>
  <c r="BI90" i="4" s="1"/>
  <c r="AG90" i="4"/>
  <c r="AH90" i="4"/>
  <c r="AG160" i="4"/>
  <c r="AG55" i="4"/>
  <c r="AH55" i="4"/>
  <c r="AG72" i="4"/>
  <c r="AH72" i="4"/>
  <c r="AH124" i="4"/>
  <c r="AG124" i="4"/>
  <c r="AG181" i="4"/>
  <c r="BJ27" i="4"/>
  <c r="BJ26" i="4"/>
  <c r="X93" i="4"/>
  <c r="AH56" i="4"/>
  <c r="AG56" i="4"/>
  <c r="X32" i="4"/>
  <c r="AD30" i="4"/>
  <c r="AV26" i="4"/>
  <c r="AH73" i="4"/>
  <c r="AG73" i="4"/>
  <c r="AH125" i="4"/>
  <c r="AG125" i="4"/>
  <c r="AH182" i="4"/>
  <c r="AG182" i="4"/>
  <c r="AU57" i="4"/>
  <c r="BI57" i="4" s="1"/>
  <c r="AH57" i="4"/>
  <c r="AG57" i="4"/>
  <c r="AU74" i="4"/>
  <c r="BI74" i="4" s="1"/>
  <c r="AG74" i="4"/>
  <c r="AH74" i="4"/>
  <c r="AU126" i="4"/>
  <c r="BI126" i="4" s="1"/>
  <c r="AH126" i="4"/>
  <c r="AG126" i="4"/>
  <c r="AG183" i="4"/>
  <c r="AH183" i="4"/>
  <c r="AV161" i="4"/>
  <c r="AV162" i="4"/>
  <c r="AH39" i="4"/>
  <c r="AG39" i="4"/>
  <c r="AG87" i="4"/>
  <c r="AH87" i="4"/>
  <c r="AG139" i="4"/>
  <c r="AH139" i="4"/>
  <c r="AH40" i="4"/>
  <c r="AG40" i="4"/>
  <c r="AG88" i="4"/>
  <c r="AH88" i="4"/>
  <c r="AG140" i="4"/>
  <c r="AH140" i="4"/>
  <c r="X77" i="4"/>
  <c r="AH41" i="4"/>
  <c r="AG41" i="4"/>
  <c r="AH89" i="4"/>
  <c r="AG89" i="4"/>
  <c r="AH141" i="4"/>
  <c r="AG141" i="4"/>
  <c r="X165" i="4"/>
  <c r="AD159" i="4"/>
  <c r="AV159" i="4" s="1"/>
  <c r="AK38" i="65"/>
  <c r="AL38" i="65" s="1"/>
  <c r="AF38" i="65" s="1"/>
  <c r="AM38" i="66"/>
  <c r="AN38" i="66" s="1"/>
  <c r="AH38" i="66" s="1"/>
  <c r="AD38" i="65"/>
  <c r="X38" i="65" s="1"/>
  <c r="AF38" i="66"/>
  <c r="Z38" i="66" s="1"/>
  <c r="AD160" i="4"/>
  <c r="AV160" i="4" s="1"/>
  <c r="AD34" i="65"/>
  <c r="X34" i="65" s="1"/>
  <c r="AF34" i="66"/>
  <c r="Z34" i="66" s="1"/>
  <c r="AD35" i="65"/>
  <c r="X35" i="65" s="1"/>
  <c r="AF35" i="66"/>
  <c r="Z35" i="66" s="1"/>
  <c r="AD36" i="65"/>
  <c r="X36" i="65" s="1"/>
  <c r="AF36" i="66"/>
  <c r="Z36" i="66" s="1"/>
  <c r="AD39" i="65"/>
  <c r="X39" i="65" s="1"/>
  <c r="AF39" i="66"/>
  <c r="Z39" i="66" s="1"/>
  <c r="AD39" i="4"/>
  <c r="AV39" i="4" s="1"/>
  <c r="AM40" i="66"/>
  <c r="AN40" i="66" s="1"/>
  <c r="AH40" i="66" s="1"/>
  <c r="AK40" i="65"/>
  <c r="AL40" i="65" s="1"/>
  <c r="AF40" i="65" s="1"/>
  <c r="AD181" i="4"/>
  <c r="AV181" i="4" s="1"/>
  <c r="AD180" i="4"/>
  <c r="AV180" i="4" s="1"/>
  <c r="AM36" i="66"/>
  <c r="AN36" i="66" s="1"/>
  <c r="AH36" i="66" s="1"/>
  <c r="AK36" i="65"/>
  <c r="AL36" i="65" s="1"/>
  <c r="AF36" i="65" s="1"/>
  <c r="AD32" i="65"/>
  <c r="AF32" i="66"/>
  <c r="AD106" i="4"/>
  <c r="AV106" i="4" s="1"/>
  <c r="AD105" i="4"/>
  <c r="AK35" i="65"/>
  <c r="AM35" i="66"/>
  <c r="Y30" i="4"/>
  <c r="K8" i="4" s="1"/>
  <c r="AD33" i="65"/>
  <c r="X33" i="65" s="1"/>
  <c r="AF33" i="66"/>
  <c r="Z33" i="66" s="1"/>
  <c r="AD37" i="65"/>
  <c r="X37" i="65" s="1"/>
  <c r="AF37" i="66"/>
  <c r="Z37" i="66" s="1"/>
  <c r="C97" i="17"/>
  <c r="C23" i="17"/>
  <c r="BW73" i="4"/>
  <c r="BW106" i="4"/>
  <c r="BW56" i="4"/>
  <c r="BW71" i="4"/>
  <c r="BW89" i="4"/>
  <c r="BW88" i="4"/>
  <c r="K14" i="4"/>
  <c r="BW54" i="4"/>
  <c r="BZ72" i="4"/>
  <c r="BW39" i="4"/>
  <c r="BW139" i="4"/>
  <c r="BZ56" i="4"/>
  <c r="BZ106" i="4"/>
  <c r="BZ55" i="4"/>
  <c r="BZ124" i="4"/>
  <c r="BW125" i="4"/>
  <c r="BW182" i="4"/>
  <c r="BW41" i="4"/>
  <c r="BZ89" i="4"/>
  <c r="BW141" i="4"/>
  <c r="BZ71" i="4"/>
  <c r="BZ181" i="4"/>
  <c r="BZ126" i="4"/>
  <c r="BZ140" i="4"/>
  <c r="BZ141" i="4"/>
  <c r="BZ26" i="4"/>
  <c r="AU26" i="4"/>
  <c r="BZ40" i="4"/>
  <c r="BZ160" i="4"/>
  <c r="AV29" i="4"/>
  <c r="AX29" i="4" s="1"/>
  <c r="BW140" i="4"/>
  <c r="BZ159" i="4"/>
  <c r="BZ88" i="4"/>
  <c r="BZ28" i="4"/>
  <c r="BW107" i="4"/>
  <c r="BW161" i="4"/>
  <c r="BZ161" i="4"/>
  <c r="BW183" i="4"/>
  <c r="BW40" i="4"/>
  <c r="BW123" i="4"/>
  <c r="BZ41" i="4"/>
  <c r="BZ180" i="4"/>
  <c r="BZ107" i="4"/>
  <c r="BZ73" i="4"/>
  <c r="BZ125" i="4"/>
  <c r="BZ182" i="4"/>
  <c r="BZ108" i="4"/>
  <c r="BW55" i="4"/>
  <c r="BZ105" i="4"/>
  <c r="I22" i="19"/>
  <c r="I80" i="21"/>
  <c r="C86" i="21"/>
  <c r="I86" i="21" s="1"/>
  <c r="J145" i="22"/>
  <c r="J149" i="22"/>
  <c r="J150" i="22"/>
  <c r="D109" i="22"/>
  <c r="J109" i="22" s="1"/>
  <c r="D110" i="22"/>
  <c r="D111" i="22"/>
  <c r="D112" i="22"/>
  <c r="D114" i="22"/>
  <c r="J114" i="22" s="1"/>
  <c r="D77" i="22"/>
  <c r="J77" i="22" s="1"/>
  <c r="D75" i="22"/>
  <c r="D71" i="22"/>
  <c r="J71" i="22" s="1"/>
  <c r="D72" i="22"/>
  <c r="J72" i="22" s="1"/>
  <c r="D76" i="22"/>
  <c r="J76" i="22" s="1"/>
  <c r="D73" i="22"/>
  <c r="D74" i="22"/>
  <c r="J39" i="22"/>
  <c r="BW29" i="4"/>
  <c r="BW28" i="4"/>
  <c r="BW57" i="4"/>
  <c r="BW108" i="4"/>
  <c r="BZ57" i="4"/>
  <c r="BW26" i="4"/>
  <c r="BW160" i="4"/>
  <c r="BZ123" i="4"/>
  <c r="K11" i="4"/>
  <c r="K15" i="4"/>
  <c r="BZ74" i="4"/>
  <c r="BZ183" i="4"/>
  <c r="BZ29" i="4"/>
  <c r="BW72" i="4"/>
  <c r="BW124" i="4"/>
  <c r="BW181" i="4"/>
  <c r="BZ87" i="4"/>
  <c r="BZ139" i="4"/>
  <c r="BZ42" i="4"/>
  <c r="BW90" i="4"/>
  <c r="BW142" i="4"/>
  <c r="K12" i="4"/>
  <c r="BZ162" i="4"/>
  <c r="BW27" i="4"/>
  <c r="BW74" i="4"/>
  <c r="BW126" i="4"/>
  <c r="AU56" i="4"/>
  <c r="BI56" i="4" s="1"/>
  <c r="AU41" i="4"/>
  <c r="BI41" i="4" s="1"/>
  <c r="AU141" i="4"/>
  <c r="BI141" i="4" s="1"/>
  <c r="BZ39" i="4"/>
  <c r="BW87" i="4"/>
  <c r="BZ27" i="4"/>
  <c r="BZ90" i="4"/>
  <c r="BZ142" i="4"/>
  <c r="BZ54" i="4"/>
  <c r="K10" i="4"/>
  <c r="K9" i="4"/>
  <c r="C105" i="25"/>
  <c r="I105" i="25" s="1"/>
  <c r="K17" i="4"/>
  <c r="C151" i="22"/>
  <c r="C39" i="22"/>
  <c r="C78" i="22"/>
  <c r="C115" i="22"/>
  <c r="AH26" i="4"/>
  <c r="AU181" i="4"/>
  <c r="BI181" i="4" s="1"/>
  <c r="AU182" i="4"/>
  <c r="BI182" i="4" s="1"/>
  <c r="AG26" i="4"/>
  <c r="AU183" i="4"/>
  <c r="BI183" i="4" s="1"/>
  <c r="AV28" i="4"/>
  <c r="AU180" i="4"/>
  <c r="BI180" i="4" s="1"/>
  <c r="AX142" i="4"/>
  <c r="AU72" i="4"/>
  <c r="AU124" i="4"/>
  <c r="AU73" i="4"/>
  <c r="AU125" i="4"/>
  <c r="AU40" i="4"/>
  <c r="BI40" i="4" s="1"/>
  <c r="AU140" i="4"/>
  <c r="BI140" i="4" s="1"/>
  <c r="AU71" i="4"/>
  <c r="AU123" i="4"/>
  <c r="AU39" i="4"/>
  <c r="BI39" i="4" s="1"/>
  <c r="AU28" i="4"/>
  <c r="AU107" i="4"/>
  <c r="AU161" i="4"/>
  <c r="AU87" i="4"/>
  <c r="AU88" i="4"/>
  <c r="AU139" i="4"/>
  <c r="AU89" i="4"/>
  <c r="AU55" i="4"/>
  <c r="AU54" i="4"/>
  <c r="AU105" i="4"/>
  <c r="BI105" i="4" s="1"/>
  <c r="AU159" i="4"/>
  <c r="BI159" i="4" s="1"/>
  <c r="AU106" i="4"/>
  <c r="BI106" i="4" s="1"/>
  <c r="AU160" i="4"/>
  <c r="BI160" i="4" s="1"/>
  <c r="BJ28" i="4"/>
  <c r="AU27" i="4"/>
  <c r="S139" i="4"/>
  <c r="S141" i="4"/>
  <c r="S162" i="4"/>
  <c r="C41" i="21"/>
  <c r="I41" i="21" s="1"/>
  <c r="C137" i="21"/>
  <c r="I137" i="21" s="1"/>
  <c r="C188" i="21"/>
  <c r="I188" i="21" s="1"/>
  <c r="I116" i="23"/>
  <c r="I81" i="23"/>
  <c r="I56" i="23"/>
  <c r="I31" i="23"/>
  <c r="I134" i="20"/>
  <c r="C137" i="20"/>
  <c r="I137" i="20" s="1"/>
  <c r="C68" i="20"/>
  <c r="I68" i="20" s="1"/>
  <c r="I102" i="20"/>
  <c r="I21" i="19"/>
  <c r="C98" i="19"/>
  <c r="I98" i="19" s="1"/>
  <c r="I72" i="19"/>
  <c r="C73" i="19"/>
  <c r="I73" i="19" s="1"/>
  <c r="I47" i="19"/>
  <c r="I48" i="19"/>
  <c r="I30" i="23"/>
  <c r="I117" i="23"/>
  <c r="I32" i="20"/>
  <c r="I156" i="18"/>
  <c r="I118" i="18"/>
  <c r="I68" i="17"/>
  <c r="BW162" i="4"/>
  <c r="L127" i="4"/>
  <c r="Y128" i="4" s="1"/>
  <c r="L184" i="4"/>
  <c r="S126" i="4"/>
  <c r="I100" i="16"/>
  <c r="I74" i="16"/>
  <c r="K13" i="4"/>
  <c r="I23" i="16"/>
  <c r="S56" i="4"/>
  <c r="S87" i="4"/>
  <c r="S159" i="4"/>
  <c r="S161" i="4"/>
  <c r="S125" i="4"/>
  <c r="L109" i="4"/>
  <c r="S57" i="4"/>
  <c r="BL57" i="4" s="1"/>
  <c r="BM57" i="4" s="1"/>
  <c r="S142" i="4"/>
  <c r="S90" i="4"/>
  <c r="L12" i="4"/>
  <c r="S54" i="4"/>
  <c r="S89" i="4"/>
  <c r="S123" i="4"/>
  <c r="I69" i="14"/>
  <c r="I96" i="14"/>
  <c r="I21" i="14"/>
  <c r="I19" i="13"/>
  <c r="I88" i="13"/>
  <c r="I66" i="13"/>
  <c r="I98" i="9"/>
  <c r="I111" i="9"/>
  <c r="I141" i="9"/>
  <c r="I153" i="9"/>
  <c r="L163" i="4"/>
  <c r="I119" i="7"/>
  <c r="J189" i="6"/>
  <c r="I23" i="12"/>
  <c r="L75" i="4"/>
  <c r="L91" i="4"/>
  <c r="L143" i="4"/>
  <c r="I75" i="12"/>
  <c r="I100" i="12"/>
  <c r="L30" i="4"/>
  <c r="L43" i="4"/>
  <c r="L58" i="4"/>
  <c r="S73" i="4"/>
  <c r="S106" i="4"/>
  <c r="S183" i="4"/>
  <c r="S41" i="4"/>
  <c r="S42" i="4"/>
  <c r="S74" i="4"/>
  <c r="BL74" i="4" s="1"/>
  <c r="BM74" i="4" s="1"/>
  <c r="S105" i="4"/>
  <c r="S108" i="4"/>
  <c r="BL162" i="4"/>
  <c r="BM162" i="4" s="1"/>
  <c r="G30" i="4"/>
  <c r="G43" i="4"/>
  <c r="S182" i="4"/>
  <c r="S107" i="4"/>
  <c r="S180" i="4"/>
  <c r="G127" i="4"/>
  <c r="S39" i="4"/>
  <c r="L15" i="4"/>
  <c r="G184" i="4"/>
  <c r="I38" i="7"/>
  <c r="I158" i="7"/>
  <c r="I37" i="7"/>
  <c r="S71" i="4"/>
  <c r="I22" i="7"/>
  <c r="J17" i="11"/>
  <c r="J83" i="11"/>
  <c r="J62" i="11"/>
  <c r="G58" i="4"/>
  <c r="G143" i="4"/>
  <c r="K27" i="15"/>
  <c r="D27" i="15"/>
  <c r="L27" i="15" s="1"/>
  <c r="K168" i="15"/>
  <c r="D168" i="15"/>
  <c r="L168" i="15" s="1"/>
  <c r="L123" i="15"/>
  <c r="K123" i="15"/>
  <c r="L111" i="15"/>
  <c r="L76" i="15"/>
  <c r="G109" i="4"/>
  <c r="G163" i="4"/>
  <c r="G75" i="4"/>
  <c r="L11" i="4"/>
  <c r="G91" i="4"/>
  <c r="S160" i="4"/>
  <c r="S88" i="4"/>
  <c r="S140" i="4"/>
  <c r="S181" i="4"/>
  <c r="K76" i="15"/>
  <c r="S124" i="4"/>
  <c r="S29" i="4"/>
  <c r="S40" i="4"/>
  <c r="S55" i="4"/>
  <c r="S72" i="4"/>
  <c r="S28" i="4"/>
  <c r="S26" i="4"/>
  <c r="S27" i="4"/>
  <c r="I63" i="7"/>
  <c r="W81" i="3"/>
  <c r="W106" i="3"/>
  <c r="AH160" i="4" l="1"/>
  <c r="AX126" i="4"/>
  <c r="AX74" i="4"/>
  <c r="AY74" i="4" s="1"/>
  <c r="BW180" i="4"/>
  <c r="BW184" i="4" s="1"/>
  <c r="AX57" i="4"/>
  <c r="AX108" i="4"/>
  <c r="AY108" i="4" s="1"/>
  <c r="AX90" i="4"/>
  <c r="AV105" i="4"/>
  <c r="AX105" i="4" s="1"/>
  <c r="AY105" i="4" s="1"/>
  <c r="BW159" i="4"/>
  <c r="AH181" i="4"/>
  <c r="AH106" i="4"/>
  <c r="Y31" i="4"/>
  <c r="AD31" i="4"/>
  <c r="AH180" i="4"/>
  <c r="AH105" i="4"/>
  <c r="AD184" i="4"/>
  <c r="L17" i="4" s="1"/>
  <c r="AD42" i="65"/>
  <c r="X42" i="65" s="1"/>
  <c r="AD109" i="4"/>
  <c r="X32" i="65"/>
  <c r="AM42" i="66"/>
  <c r="AN35" i="66"/>
  <c r="AF42" i="66"/>
  <c r="Z42" i="66" s="1"/>
  <c r="Z32" i="66"/>
  <c r="AL35" i="65"/>
  <c r="AK42" i="65"/>
  <c r="AD43" i="4"/>
  <c r="BW105" i="4"/>
  <c r="BW109" i="4" s="1"/>
  <c r="AD163" i="4"/>
  <c r="AD164" i="4" s="1"/>
  <c r="BZ30" i="4"/>
  <c r="BW75" i="4"/>
  <c r="AX56" i="4"/>
  <c r="AY56" i="4" s="1"/>
  <c r="BW91" i="4"/>
  <c r="BW58" i="4"/>
  <c r="BW163" i="4"/>
  <c r="BZ163" i="4"/>
  <c r="BW127" i="4"/>
  <c r="BW30" i="4"/>
  <c r="BZ58" i="4"/>
  <c r="AX141" i="4"/>
  <c r="AY141" i="4" s="1"/>
  <c r="BZ109" i="4"/>
  <c r="BW143" i="4"/>
  <c r="BZ127" i="4"/>
  <c r="BZ184" i="4"/>
  <c r="BZ75" i="4"/>
  <c r="BZ43" i="4"/>
  <c r="G19" i="4"/>
  <c r="BZ143" i="4"/>
  <c r="D151" i="22"/>
  <c r="J151" i="22" s="1"/>
  <c r="D115" i="22"/>
  <c r="J115" i="22" s="1"/>
  <c r="D78" i="22"/>
  <c r="J78" i="22" s="1"/>
  <c r="AX183" i="4"/>
  <c r="AY183" i="4" s="1"/>
  <c r="BZ91" i="4"/>
  <c r="BW42" i="4"/>
  <c r="BW43" i="4" s="1"/>
  <c r="Y144" i="4"/>
  <c r="AD144" i="4"/>
  <c r="Y44" i="4"/>
  <c r="AD76" i="4"/>
  <c r="Y76" i="4"/>
  <c r="Y164" i="4"/>
  <c r="Y185" i="4"/>
  <c r="AD92" i="4"/>
  <c r="Y92" i="4"/>
  <c r="AD110" i="4"/>
  <c r="Y110" i="4"/>
  <c r="Y59" i="4"/>
  <c r="AG184" i="4"/>
  <c r="AH91" i="4"/>
  <c r="AH127" i="4"/>
  <c r="AH184" i="4"/>
  <c r="AH109" i="4"/>
  <c r="AH58" i="4"/>
  <c r="BL42" i="4"/>
  <c r="BM42" i="4" s="1"/>
  <c r="AH30" i="4"/>
  <c r="AX182" i="4"/>
  <c r="AY182" i="4" s="1"/>
  <c r="AH75" i="4"/>
  <c r="AH143" i="4"/>
  <c r="AX71" i="4"/>
  <c r="AY71" i="4" s="1"/>
  <c r="BI71" i="4"/>
  <c r="BL71" i="4" s="1"/>
  <c r="BM71" i="4" s="1"/>
  <c r="AX27" i="4"/>
  <c r="AY27" i="4" s="1"/>
  <c r="BI27" i="4"/>
  <c r="BL27" i="4" s="1"/>
  <c r="BM27" i="4" s="1"/>
  <c r="AX26" i="4"/>
  <c r="AY26" i="4" s="1"/>
  <c r="BI26" i="4"/>
  <c r="BL26" i="4" s="1"/>
  <c r="BM26" i="4" s="1"/>
  <c r="AX87" i="4"/>
  <c r="AY87" i="4" s="1"/>
  <c r="BI87" i="4"/>
  <c r="BL87" i="4" s="1"/>
  <c r="BM87" i="4" s="1"/>
  <c r="BI161" i="4"/>
  <c r="BL161" i="4" s="1"/>
  <c r="BM161" i="4" s="1"/>
  <c r="AX107" i="4"/>
  <c r="AY107" i="4" s="1"/>
  <c r="BI107" i="4"/>
  <c r="BL107" i="4" s="1"/>
  <c r="BM107" i="4" s="1"/>
  <c r="AX125" i="4"/>
  <c r="AY125" i="4" s="1"/>
  <c r="BI125" i="4"/>
  <c r="BL125" i="4" s="1"/>
  <c r="BM125" i="4" s="1"/>
  <c r="AX139" i="4"/>
  <c r="AY139" i="4" s="1"/>
  <c r="BI139" i="4"/>
  <c r="BL139" i="4" s="1"/>
  <c r="BM139" i="4" s="1"/>
  <c r="AX88" i="4"/>
  <c r="AY88" i="4" s="1"/>
  <c r="BI88" i="4"/>
  <c r="BL88" i="4" s="1"/>
  <c r="BM88" i="4" s="1"/>
  <c r="AX159" i="4"/>
  <c r="AY159" i="4" s="1"/>
  <c r="AX162" i="4"/>
  <c r="AY162" i="4" s="1"/>
  <c r="AX161" i="4"/>
  <c r="AY161" i="4" s="1"/>
  <c r="AX160" i="4"/>
  <c r="AY160" i="4" s="1"/>
  <c r="AH43" i="4"/>
  <c r="AX42" i="4"/>
  <c r="AY42" i="4" s="1"/>
  <c r="AX39" i="4"/>
  <c r="AY39" i="4" s="1"/>
  <c r="AX28" i="4"/>
  <c r="AY28" i="4" s="1"/>
  <c r="BI28" i="4"/>
  <c r="BL28" i="4" s="1"/>
  <c r="BM28" i="4" s="1"/>
  <c r="AX73" i="4"/>
  <c r="AY73" i="4" s="1"/>
  <c r="BI73" i="4"/>
  <c r="BL73" i="4" s="1"/>
  <c r="BM73" i="4" s="1"/>
  <c r="AX124" i="4"/>
  <c r="AY124" i="4" s="1"/>
  <c r="BI124" i="4"/>
  <c r="BL124" i="4" s="1"/>
  <c r="BM124" i="4" s="1"/>
  <c r="AX54" i="4"/>
  <c r="AY54" i="4" s="1"/>
  <c r="BI54" i="4"/>
  <c r="BL54" i="4" s="1"/>
  <c r="BM54" i="4" s="1"/>
  <c r="AX72" i="4"/>
  <c r="AY72" i="4" s="1"/>
  <c r="BI72" i="4"/>
  <c r="BL72" i="4" s="1"/>
  <c r="BM72" i="4" s="1"/>
  <c r="AX55" i="4"/>
  <c r="AY55" i="4" s="1"/>
  <c r="BI55" i="4"/>
  <c r="BL55" i="4" s="1"/>
  <c r="BM55" i="4" s="1"/>
  <c r="AX140" i="4"/>
  <c r="AY140" i="4" s="1"/>
  <c r="AX41" i="4"/>
  <c r="AY41" i="4" s="1"/>
  <c r="AX89" i="4"/>
  <c r="AY89" i="4" s="1"/>
  <c r="BI89" i="4"/>
  <c r="BL89" i="4" s="1"/>
  <c r="BM89" i="4" s="1"/>
  <c r="AX123" i="4"/>
  <c r="AY123" i="4" s="1"/>
  <c r="BI123" i="4"/>
  <c r="BL123" i="4" s="1"/>
  <c r="BM123" i="4" s="1"/>
  <c r="AX40" i="4"/>
  <c r="AY40" i="4" s="1"/>
  <c r="AX106" i="4"/>
  <c r="AY106" i="4" s="1"/>
  <c r="AX180" i="4"/>
  <c r="AY180" i="4" s="1"/>
  <c r="AX181" i="4"/>
  <c r="AY181" i="4" s="1"/>
  <c r="L14" i="4"/>
  <c r="L8" i="4"/>
  <c r="BL142" i="4"/>
  <c r="BM142" i="4" s="1"/>
  <c r="K16" i="4"/>
  <c r="J15" i="4"/>
  <c r="C15" i="4" s="1"/>
  <c r="J12" i="4"/>
  <c r="C12" i="4" s="1"/>
  <c r="J14" i="4"/>
  <c r="B14" i="4" s="1"/>
  <c r="J9" i="4"/>
  <c r="B9" i="4" s="1"/>
  <c r="BL159" i="4"/>
  <c r="BM159" i="4" s="1"/>
  <c r="J8" i="4"/>
  <c r="J16" i="4"/>
  <c r="J17" i="4"/>
  <c r="J11" i="4"/>
  <c r="C11" i="4" s="1"/>
  <c r="J10" i="4"/>
  <c r="B10" i="4" s="1"/>
  <c r="J13" i="4"/>
  <c r="B13" i="4" s="1"/>
  <c r="BL56" i="4"/>
  <c r="BM56" i="4" s="1"/>
  <c r="BL108" i="4"/>
  <c r="BM108" i="4" s="1"/>
  <c r="BL141" i="4"/>
  <c r="BM141" i="4" s="1"/>
  <c r="S143" i="4"/>
  <c r="BL90" i="4"/>
  <c r="BM90" i="4" s="1"/>
  <c r="S127" i="4"/>
  <c r="S58" i="4"/>
  <c r="S91" i="4"/>
  <c r="AY57" i="4"/>
  <c r="L9" i="4"/>
  <c r="AY126" i="4"/>
  <c r="AY90" i="4"/>
  <c r="AG109" i="4"/>
  <c r="BL182" i="4"/>
  <c r="BM182" i="4" s="1"/>
  <c r="AY142" i="4"/>
  <c r="BL183" i="4"/>
  <c r="BM183" i="4" s="1"/>
  <c r="BL41" i="4"/>
  <c r="BM41" i="4" s="1"/>
  <c r="BL105" i="4"/>
  <c r="BM105" i="4" s="1"/>
  <c r="BL106" i="4"/>
  <c r="BM106" i="4" s="1"/>
  <c r="BL126" i="4"/>
  <c r="BM126" i="4" s="1"/>
  <c r="S163" i="4"/>
  <c r="L13" i="4"/>
  <c r="S43" i="4"/>
  <c r="S184" i="4"/>
  <c r="S109" i="4"/>
  <c r="S110" i="4" s="1"/>
  <c r="S75" i="4"/>
  <c r="S76" i="4" s="1"/>
  <c r="S30" i="4"/>
  <c r="AD59" i="4"/>
  <c r="BL180" i="4"/>
  <c r="BM180" i="4" s="1"/>
  <c r="BL39" i="4"/>
  <c r="BM39" i="4" s="1"/>
  <c r="BL160" i="4"/>
  <c r="BM160" i="4" s="1"/>
  <c r="BL140" i="4"/>
  <c r="BM140" i="4" s="1"/>
  <c r="BL181" i="4"/>
  <c r="BM181" i="4" s="1"/>
  <c r="AG127" i="4"/>
  <c r="BL29" i="4"/>
  <c r="BM29" i="4" s="1"/>
  <c r="BL40" i="4"/>
  <c r="BM40" i="4" s="1"/>
  <c r="AY29" i="4"/>
  <c r="C17" i="4" l="1"/>
  <c r="AD185" i="4"/>
  <c r="AF35" i="65"/>
  <c r="AL42" i="65"/>
  <c r="AF42" i="65" s="1"/>
  <c r="AH35" i="66"/>
  <c r="AN42" i="66"/>
  <c r="AH42" i="66" s="1"/>
  <c r="C13" i="4"/>
  <c r="C8" i="4"/>
  <c r="B12" i="4"/>
  <c r="B17" i="4"/>
  <c r="B15" i="4"/>
  <c r="B11" i="4"/>
  <c r="C14" i="4"/>
  <c r="K19" i="4"/>
  <c r="K20" i="4" s="1"/>
  <c r="B16" i="4"/>
  <c r="C9" i="4"/>
  <c r="J19" i="4"/>
  <c r="B8" i="4"/>
  <c r="AD128" i="4"/>
  <c r="AD44" i="4"/>
  <c r="S128" i="4"/>
  <c r="S164" i="4"/>
  <c r="S59" i="4"/>
  <c r="AH163" i="4"/>
  <c r="S31" i="4"/>
  <c r="S44" i="4"/>
  <c r="S185" i="4"/>
  <c r="S92" i="4"/>
  <c r="AG163" i="4"/>
  <c r="S144" i="4"/>
  <c r="AG143" i="4"/>
  <c r="AG91" i="4"/>
  <c r="L16" i="4"/>
  <c r="C16" i="4" s="1"/>
  <c r="L10" i="4"/>
  <c r="L19" i="4" s="1"/>
  <c r="L20" i="4" s="1"/>
  <c r="AG75" i="4"/>
  <c r="AG30" i="4"/>
  <c r="AG43" i="4"/>
  <c r="B19" i="4" l="1"/>
  <c r="C10" i="4"/>
  <c r="C19" i="4"/>
</calcChain>
</file>

<file path=xl/sharedStrings.xml><?xml version="1.0" encoding="utf-8"?>
<sst xmlns="http://schemas.openxmlformats.org/spreadsheetml/2006/main" count="7491" uniqueCount="328">
  <si>
    <t>BAC</t>
  </si>
  <si>
    <t>LLM</t>
  </si>
  <si>
    <t>Ticker</t>
  </si>
  <si>
    <t>WFC</t>
  </si>
  <si>
    <t>LLM (Presentation)</t>
  </si>
  <si>
    <t>Accuracy</t>
  </si>
  <si>
    <t>Quarter</t>
  </si>
  <si>
    <t>3Q24</t>
  </si>
  <si>
    <t>4Q24</t>
  </si>
  <si>
    <t>2Q24</t>
  </si>
  <si>
    <t>1Q24</t>
  </si>
  <si>
    <t>Total</t>
  </si>
  <si>
    <t>Date</t>
  </si>
  <si>
    <t>Time Savings</t>
  </si>
  <si>
    <t>Property Type</t>
  </si>
  <si>
    <t>Office</t>
  </si>
  <si>
    <t>Industrial</t>
  </si>
  <si>
    <t>Multi-family</t>
  </si>
  <si>
    <t>Retail</t>
  </si>
  <si>
    <t>Lodging</t>
  </si>
  <si>
    <t>Multi-use</t>
  </si>
  <si>
    <t>Residential</t>
  </si>
  <si>
    <t>Other</t>
  </si>
  <si>
    <t>Amount ($bn)</t>
  </si>
  <si>
    <t>Correct</t>
  </si>
  <si>
    <t>LLM (3Q24)</t>
  </si>
  <si>
    <t>LLM (4Q24)</t>
  </si>
  <si>
    <t>LLM (2Q24)</t>
  </si>
  <si>
    <t>LLM (1Q24)</t>
  </si>
  <si>
    <t>Base</t>
  </si>
  <si>
    <t>Script 1Q24 (10-Q)</t>
  </si>
  <si>
    <t>Script 4Q24 (10-Q)</t>
  </si>
  <si>
    <t>Script 3Q24 (10-Q)</t>
  </si>
  <si>
    <t>Script 2Q24 (10-Q)</t>
  </si>
  <si>
    <t>Script (exc build)</t>
  </si>
  <si>
    <t>Delta</t>
  </si>
  <si>
    <t>Quarter Breakeven</t>
  </si>
  <si>
    <t>Total LLM</t>
  </si>
  <si>
    <t>Total Excel</t>
  </si>
  <si>
    <t>Unit</t>
  </si>
  <si>
    <t>Category</t>
  </si>
  <si>
    <t>mn</t>
  </si>
  <si>
    <t>USD</t>
  </si>
  <si>
    <t>CRE</t>
  </si>
  <si>
    <t>LLM (10-Q)</t>
  </si>
  <si>
    <t>Now add "Unit", "Currency", and "Category" columns to the right of the "CRE Property Type" and "Loan Amount" columns, and each row should include "bn", "USD", and "CRE" under the "Unit", "Currency", and "Category" columns, respectively.</t>
  </si>
  <si>
    <t>Please create a new table using the "Property Type" and "Amount" columns. First rename them "CRE Property Type" and "Loan Amount", then add "Ticker" and "Quarter" columns to the left of these columns, and each row should include "BAC" under "Ticker" and "2Q24" under "Quarter"</t>
  </si>
  <si>
    <t>Please convert the attached pie chart of a commercial real estate (CRE) portfolio into a table by property type with its amount and percentage values, and include a total row.</t>
  </si>
  <si>
    <t>Please create a new table using the "Property Type" and "Amount" columns. First rename them "CRE Property Type" and "Loan Amount", then add "Ticker" and "Quarter" columns to the left of these columns, and each row should include "BAC" under "Ticker" and "1Q24" under "Quarter" columns.</t>
  </si>
  <si>
    <t>Include the original "Total" row but rename it to "Total CRE" and populate the empty cells in this row with the same values from prior rows in each column.</t>
  </si>
  <si>
    <t>In the "CRE Property Type" column, rename "Industrial / Warehouse" to "Industrial", "Multi-family rental" to "Multi-family", "Shopping centers / Retail" to "Retail", "Hotel / Motels" to "Lodging", and "Multi-use" to "Mixed-use".</t>
  </si>
  <si>
    <t>Mixed-use</t>
  </si>
  <si>
    <t>Write Seconds</t>
  </si>
  <si>
    <t>Correct Prompt</t>
  </si>
  <si>
    <t>Convert Prompt</t>
  </si>
  <si>
    <t>Clean Prompt</t>
  </si>
  <si>
    <t>There is an error in the table. The $14.2 and 21% values should be associated the "Other" property type and the $0.70 and 1% values should be associated with the "Residential" property type. Please revise the table.</t>
  </si>
  <si>
    <t>Clean Prompts</t>
  </si>
  <si>
    <t>Please create a new table using the "Property Type" and "Amount" columns. First rename them "CRE Property Type" and "Loan Amount", then add "Ticker" and "Quarter" columns to the left of these columns, and each row should include "BAC" under "Ticker" and "3Q24" under "Quarter"</t>
  </si>
  <si>
    <t>Please create a new table using the "Property Type" and "Amount" columns. First rename them "CRE Property Type" and "Loan Amount", then add "Ticker" and "Quarter" columns to the left of these columns, and each row should include "BAC" under "Ticker" and "4Q24" under "Quarter"</t>
  </si>
  <si>
    <t>There is an error in the table. The $13.2 and 20% values should be associated the "Other" property type and the $0.90 and 1% values should be associated with the "Residential" property type. Please revise the table.</t>
  </si>
  <si>
    <t>Manual 3Q24 (10-Q)</t>
  </si>
  <si>
    <t>Excel (Manual - Presentation / 10-Q)</t>
  </si>
  <si>
    <t>Standardization</t>
  </si>
  <si>
    <t>Extraction</t>
  </si>
  <si>
    <t>Apartments</t>
  </si>
  <si>
    <t>CRE Property Type</t>
  </si>
  <si>
    <t>Industrial/warehouse</t>
  </si>
  <si>
    <t>Retail (exc shopping center)</t>
  </si>
  <si>
    <t>Hotel/motel</t>
  </si>
  <si>
    <t>Shopping center</t>
  </si>
  <si>
    <t>Institutional</t>
  </si>
  <si>
    <t>Mixed use properties</t>
  </si>
  <si>
    <t>1-4 family structure</t>
  </si>
  <si>
    <t>Storage facility</t>
  </si>
  <si>
    <t>CRE Mortgage</t>
  </si>
  <si>
    <t>CRE Construction</t>
  </si>
  <si>
    <t>Total CRE</t>
  </si>
  <si>
    <t>Loan Amount</t>
  </si>
  <si>
    <t>Currency</t>
  </si>
  <si>
    <t>LLM 3Q24 (Presentation)</t>
  </si>
  <si>
    <t>Please convert the attached image containing data on a commercial real estate portfolio into a table with only the property type rows and their loans outstanding balance values, and include a total row.</t>
  </si>
  <si>
    <t>The loan value for the "Institutional" property type is not correct. The correct value is 5,393. Please revise the table.</t>
  </si>
  <si>
    <t>Standardization Prompt</t>
  </si>
  <si>
    <t>Please create a new table using the "Property Type" and "Loan Amount" columns. Then add "Ticker" and "Quarter" columns to the left of these columns, and each row should include "WFC" under "Ticker" and "3Q24" under "Quarter".</t>
  </si>
  <si>
    <t>Adjustment</t>
  </si>
  <si>
    <t>Execute</t>
  </si>
  <si>
    <t>Construct Extraction</t>
  </si>
  <si>
    <t>Correction</t>
  </si>
  <si>
    <t>Please rename the "Loan Outstanding Balance ($ in millions)" column to "Loan Amount". Then in the "CRE Property Type" column, rename "Apartments" to "Multi-family", "Industrial/warehouse" to "Industrial", "Retail (excl shopping center)" to "Retail", "Hotel/motel" to "Lodging", "Mixed-use properties" to "Mixed-use", and "1-4 family structure" to "Residential".</t>
  </si>
  <si>
    <t>Revise the table by adding the "Shopping center" value into "Retail" and add the "Institutional" and "Storage facility" values into "Other".</t>
  </si>
  <si>
    <t>EXTRACTION</t>
  </si>
  <si>
    <t>STANDARDIZATION</t>
  </si>
  <si>
    <t>Now add "Unit", "Currency", and "Category" columns to the right of the "CRE Property Type" and "Loan Amount" columns, and each row should include "mn", "USD", and "CRE" under the "Unit", "Currency", and "Category" columns, respectively.</t>
  </si>
  <si>
    <t>JPM</t>
  </si>
  <si>
    <t>Other Income Producing Properties</t>
  </si>
  <si>
    <t>% Drawn</t>
  </si>
  <si>
    <t>Outstanding</t>
  </si>
  <si>
    <t>Services and Non Income Producing</t>
  </si>
  <si>
    <t>Credit Exposure</t>
  </si>
  <si>
    <t>PNC</t>
  </si>
  <si>
    <t>Senior Housing</t>
  </si>
  <si>
    <t>Please create a new table using the "Property Type" and "Loan Amount" columns. Then add "Ticker" and "Quarter" columns to the left of these columns, and each row should include "PNC" under "Ticker" and "3Q24" under "Quarter".</t>
  </si>
  <si>
    <t>Revise the table by adding "Seniors Housing" into the "Other" property type and rename the "Loan Outstanding ($bn)" header to "Loan Amount".</t>
  </si>
  <si>
    <t>Rename "Multifamily" to "Multi-family", "Industrial / Warehouse" to "Industrial", "Hotel/Motel" to "Lodging", and "Mixed Use" to "Mixed-use".</t>
  </si>
  <si>
    <t>Please convert the attached image containing data on a commercial real estate portfolio into a table with only the property type rows, the credit exposure and % drawn columns, and include a total row.</t>
  </si>
  <si>
    <t>Use the table to create a new one that takes the product between the "Credit Exposure" and "% Drawn" columns in a new column. Do not show decimals and the "Total CRE" row should sum the calculated values from the prior rows.</t>
  </si>
  <si>
    <t>LLM 3Q24 (10-Q)</t>
  </si>
  <si>
    <t>Revise the table to combine "Other Income Producing Properties" and "Services and Non Income Producing" property types into an "Other" row with the combined sum value.</t>
  </si>
  <si>
    <t>Please create a new table using only the "Property Type" and "Credit Exposure Drawn ($M)" columns. Then add "Ticker" and "Quarter" columns to the left of these columns, and each row should include "JPM" under "Ticker" and "3Q24" under "Quarter".</t>
  </si>
  <si>
    <t>Rename "Total Real Estate Exposure" to "Total CRE" and rename "Credit Exposure Drawn ($M)" to "Loan Amount".</t>
  </si>
  <si>
    <t>KEY</t>
  </si>
  <si>
    <t>HBAN</t>
  </si>
  <si>
    <t>Diversified</t>
  </si>
  <si>
    <t>Land &amp; Residential</t>
  </si>
  <si>
    <t>Medical Office</t>
  </si>
  <si>
    <t>Multifamily</t>
  </si>
  <si>
    <t>Self Storage</t>
  </si>
  <si>
    <t>Skilled Nursing</t>
  </si>
  <si>
    <t>Student Housing</t>
  </si>
  <si>
    <t>Construction</t>
  </si>
  <si>
    <t>Mortgage</t>
  </si>
  <si>
    <t>Revise the table by adding "Diversified" into "Other", add "Land &amp; Residential" into "Other", add "Medical Office" into "Office", add "Self Storage" into "Other", add "Senior Housing" into "Other", add "Skilled Nursing" into "Other", and add "Student Housing" into "Other".</t>
  </si>
  <si>
    <t>Please create a new table using the "Property Type" and "Loan Amount" columns. Then add "Ticker" and "Quarter" columns to the left of these columns, and each row should include "HBAN" under "Ticker" and "3Q24" under "Quarter".</t>
  </si>
  <si>
    <t>Co-op</t>
  </si>
  <si>
    <t>Data center</t>
  </si>
  <si>
    <t>Hospitality</t>
  </si>
  <si>
    <t>Credit tenant</t>
  </si>
  <si>
    <t>Other Office</t>
  </si>
  <si>
    <t>CFG</t>
  </si>
  <si>
    <t>Data Center</t>
  </si>
  <si>
    <t>Revise the table by removing the "Credit tenant lease ane life sciences" and "Other general office" rows, add "Co-op" into "Other", and add "Data Center" into "Other".</t>
  </si>
  <si>
    <t>Please create a new table using the "Property Type" and "Loan Amount" columns. Then add "Ticker" and "Quarter" columns to the left of these columns, and each row should include "CFG" under "Ticker" and "3Q24" under "Quarter".</t>
  </si>
  <si>
    <t>Rename the "Property Type" header to "CRE Property Type", remove "($B)" in "Loans Outstanding ($B)", and rename "Hospitality" to "Lodging".</t>
  </si>
  <si>
    <t>General Office</t>
  </si>
  <si>
    <t>FCNCA</t>
  </si>
  <si>
    <t>SNV</t>
  </si>
  <si>
    <t>Create a new table that combines "Medical Office" and "General Office" into an "Office" property value.</t>
  </si>
  <si>
    <t>Add "Ticker" and "Quarter" columns to the left of these columns, and each row should include "FCNCA" under "Ticker" and "3Q24" under "Quarter".</t>
  </si>
  <si>
    <t>Rename the "Property Type" header to "CRE Property Type", remove "($ billions)" in "Balance ($ billions)" header, and rename "Hotel/Motel" to "Lodging".</t>
  </si>
  <si>
    <t>Shopping Centers</t>
  </si>
  <si>
    <t>Hotels</t>
  </si>
  <si>
    <t>Warehouse</t>
  </si>
  <si>
    <t>Development &amp; Land</t>
  </si>
  <si>
    <t xml:space="preserve">Add "Other Investment Properties" and "Development &amp; Land" into a "Other" property type row. </t>
  </si>
  <si>
    <t>Add "Ticker" and "Quarter" columns to the left of these columns, and each row should include "SNV" under "Ticker" and "3Q24" under "Quarter".</t>
  </si>
  <si>
    <t>Rename the "Property Type" header to "CRE Property Type", remove (in millions) in "Balance (in millions)", rename "Office Building" to "Office", change "Shopping Centers" to "Retail", change "Hotels" to "Lodging", rename "Warehouse" to "Industrial", rename "Residential Properties" to "Residential".</t>
  </si>
  <si>
    <t>Total Investment CRE</t>
  </si>
  <si>
    <t>Land &amp; Development</t>
  </si>
  <si>
    <t>RF</t>
  </si>
  <si>
    <t>Residential homebuilders</t>
  </si>
  <si>
    <t>Business offices</t>
  </si>
  <si>
    <t>Residential land</t>
  </si>
  <si>
    <t>Healthcare</t>
  </si>
  <si>
    <t>Hotel</t>
  </si>
  <si>
    <t>Commercial land</t>
  </si>
  <si>
    <t>Self storage</t>
  </si>
  <si>
    <t>Total CRE (loan amount)</t>
  </si>
  <si>
    <t>Percentage</t>
  </si>
  <si>
    <t>Please convert the attached image containing data on a commercial real estate portfolio into a table, showing the property type rows, percentage values, and a total row.</t>
  </si>
  <si>
    <t>Using these percentages, please create a new column called "Loan Amount" and multiply each percentage by $15.4 for each property type and round it to two decimals.</t>
  </si>
  <si>
    <t xml:space="preserve">Add "Ticker" and "Quarter" columns to the left of these columns, and each row should include "RF" under "Ticker" and "3Q24" under "Quarter". Remove the "Percentage (%)" column as well. </t>
  </si>
  <si>
    <t>Remove "($B)" from "Loan Amount ($B)", rename "Apartments" to "Multi-family" and "Hotel" to "Lodging".</t>
  </si>
  <si>
    <t>Average</t>
  </si>
  <si>
    <t>Manual</t>
  </si>
  <si>
    <t>Python</t>
  </si>
  <si>
    <t>Cumulative Efficiency %</t>
  </si>
  <si>
    <t>LLM 2Q24 (Presentation)</t>
  </si>
  <si>
    <t>Manual 2Q24 (10-Q)</t>
  </si>
  <si>
    <t>Retail (excl shoppingcenter)</t>
  </si>
  <si>
    <t>—</t>
  </si>
  <si>
    <t>Manual 1Q24 (10-Q)</t>
  </si>
  <si>
    <t>LLM 1Q24 (Presentation)</t>
  </si>
  <si>
    <t>LLM 4Q24 (Presentation)</t>
  </si>
  <si>
    <t>Manual 4Q24 (10-Q)</t>
  </si>
  <si>
    <t>Mobile home park</t>
  </si>
  <si>
    <t>The loan value for the "Institutional" property type is not correct. The correct value is 5,555. The loan value for "Apartments is not correct too. The correct value should be 43,048. Please revise the table.</t>
  </si>
  <si>
    <t>Please create a new table using the "Property Type" and "Loan Amount" columns. Then add "Ticker" and "Quarter" columns to the left of these columns, and each row should include "WFC" under "Ticker" and "2Q24" under "Quarter".</t>
  </si>
  <si>
    <t>Please create a new table using the "Property Type" and "Loan Amount" columns. Then add "Ticker" and "Quarter" columns to the left of these columns, and each row should include "WFC" under "Ticker" and "1Q24" under "Quarter".</t>
  </si>
  <si>
    <t>The loan value for the "Storage facility" property type is not correct. The correct value is 2,744. The "Other" property type is also not correct. The correct value is 4,324. Please revise the table.</t>
  </si>
  <si>
    <t>The loan value for the "Institutional" property type is not correct. The correct value is 5,186. The loan value for the "Other" property type is also not correct. The correct value is 2,502. Please revise the table.</t>
  </si>
  <si>
    <t>Revise the table by adding "Mobile home park" into "Other", "Shopping center" value into "Retail" and add the "Institutional" and "Storage facility" values into "Other".</t>
  </si>
  <si>
    <t>Please create a new table using the "Property Type" and "Loan Amount" columns. Then add "Ticker" and "Quarter" columns to the left of these columns, and each row should include "WFC" under "Ticker" and "4Q24" under "Quarter".</t>
  </si>
  <si>
    <t>Add "Ticker" and "Quarter" columns to the left of these columns, and each row should include "RF" under "Ticker" and "3Q24" under "Quarter". Remove the "Percentage (%)" column as well.</t>
  </si>
  <si>
    <t xml:space="preserve">Add "Ticker" and "Quarter" columns to the left of these columns, and each row should include "RF" under "Ticker" and "1Q24" under "Quarter". Remove the "Percentage (%)" column as well. </t>
  </si>
  <si>
    <t>Now add "Residential homebuilders" and "Residential land" into "Residential", then add "Data center", "Diversified", "Healthcare", "Other", "Commercial land" into "Other".</t>
  </si>
  <si>
    <t>Now add "Residential homebuilders" and "Residential land" into "Residential", then add "Data center", "Diversified", "Healthcare", "Commercial land", "Other" into "Other".</t>
  </si>
  <si>
    <t>Now add "Residential homebuilders" and "Residential land" into "Residential", then add "Data center", "Diversified", "Healthcare", "Commercial land", "Other", and "Self storage" into "Other".</t>
  </si>
  <si>
    <t>Using these percentages, please create a new column called "Loan Amount" and multiply each percentage by $15.3 for each property type and round it to two decimals.</t>
  </si>
  <si>
    <t>Now add "Residential homebuilders" and "Residential land" into "Residential", then add "Data center", "Diversified", "Healthcare", "Other", "Self-storage", and "Commercial land" into "Other".</t>
  </si>
  <si>
    <t>Add "Ticker" and "Quarter" columns to the left of these columns, and each row should include "RF" under "Ticker" and "4Q24" under "Quarter". Remove the "Percentage (%)" column as well.</t>
  </si>
  <si>
    <t>Cumulative Extraction Summary by Method</t>
  </si>
  <si>
    <t>Efficency</t>
  </si>
  <si>
    <t>Please create a new table using the "Property Type" and "Loan Amount" columns. Then add "Ticker" and "Quarter" columns to the left of these columns, and each row should include "HBAN" under "Ticker" and "2Q24" under "Quarter".</t>
  </si>
  <si>
    <t>Rename "Multifamily" to "Multi-family", remove "($ in billions)" in the "Loan Outstanding" header cell, and rename "Property Type" to "CRE Property Type".</t>
  </si>
  <si>
    <t>Please create a new table using the "Property Type" and "Loan Amount" columns. Then add "Ticker" and "Quarter" columns to the left of these columns, and each row should include "HBAN" under "Ticker" and "1Q24" under "Quarter".</t>
  </si>
  <si>
    <t>Please create a new table using the "Property Type" and "Loan Amount" columns. Then add "Ticker" and "Quarter" columns to the left of these columns, and each row should include "HBAN" under "Ticker" and "4Q24" under "Quarter".</t>
  </si>
  <si>
    <t>Seniors housing</t>
  </si>
  <si>
    <t>Mixed use</t>
  </si>
  <si>
    <t>Please create a new table using the "Property Type" and "Loan Amount" columns. Then add "Ticker" and "Quarter" columns to the left of these columns, and each row should include "PNC" under "Ticker" and "4Q24" under "Quarter".</t>
  </si>
  <si>
    <t>Please create a new table using the "Property Type" and "Loan Amount" columns. Then add "Ticker" and "Quarter" columns to the left of these columns, and each row should include "PNC" under "Ticker" and "1Q24" under "Quarter".</t>
  </si>
  <si>
    <t>Please create a new table using the "Property Type" and "Loan Amount" columns. Then add "Ticker" and "Quarter" columns to the left of these columns, and each row should include "PNC" under "Ticker" and "2Q24" under "Quarter".</t>
  </si>
  <si>
    <t>Excel (Advanced)</t>
  </si>
  <si>
    <t>Advanced Excel</t>
  </si>
  <si>
    <t>Industrial / Warehouse</t>
  </si>
  <si>
    <t>Multi-family rental</t>
  </si>
  <si>
    <t>Shopping centers / Retail</t>
  </si>
  <si>
    <t>Hotel / Motels</t>
  </si>
  <si>
    <t>Credit tenant lease and life sciences</t>
  </si>
  <si>
    <t>Other general office</t>
  </si>
  <si>
    <t>Please create a new table using the "Property Type" and "Loan Amount" columns. Then add "Ticker" and "Quarter" columns to the left of these columns, and each row should include "CFG" under "Ticker" and "2Q24" under "Quarter".</t>
  </si>
  <si>
    <t>Please create a new table using the "Property Type" and "Loan Amount" columns. Then add "Ticker" and "Quarter" columns to the left of these columns, and each row should include "CFG" under "Ticker" and "1Q24" under "Quarter".</t>
  </si>
  <si>
    <t>Please create a new table using the "Property Type" and "Loan Amount" columns. Then add "Ticker" and "Quarter" columns to the left of these columns, and each row should include "CFG" under "Ticker" and "4Q24" under "Quarter".</t>
  </si>
  <si>
    <t>LLM 2Q24 (10-Q)</t>
  </si>
  <si>
    <t>LLM 1Q24 (10-Q)</t>
  </si>
  <si>
    <t>LLM 4Q24 (10-Q)</t>
  </si>
  <si>
    <t>Please create a new table using only the "Property Type" and "Credit Exposure Drawn ($M)" columns. Then add "Ticker" and "Quarter" columns to the left of these columns, and each row should include "JPM" under "Ticker" and "1Q24" under "Quarter".</t>
  </si>
  <si>
    <t>Please create a new table using only the "Property Type" and "Credit Exposure Drawn ($M)" columns. Then add "Ticker" and "Quarter" columns to the left of these columns, and each row should include "JPM" under "Ticker" and "4Q24" under "Quarter".</t>
  </si>
  <si>
    <t>Multi-Family</t>
  </si>
  <si>
    <t>Hotel/Motel</t>
  </si>
  <si>
    <t>Office Buildings</t>
  </si>
  <si>
    <t>Warehouses</t>
  </si>
  <si>
    <t>Other investment property</t>
  </si>
  <si>
    <t>Revise the table by adding "Diversified" into "Other", add "Data Center" into "Other", add "Land &amp; Residential" into "Other", add "Medical Office" into "Office", add "Self Storage" into "Other", add "Senior Housing" into "Other", add "Skilled Nursing" into "Other", and add "Student Housing" into "Other".</t>
  </si>
  <si>
    <t>Please convert the attached image containing data on a commercial real estate portfolio into a table with the property type rows and the values in the total column. Include a "Total CRE" row at the end of the table.</t>
  </si>
  <si>
    <t>Please create a new table by adding "Ticker" and "Quarter" columns to the left of these columns, and each row should include "KEY" under "Ticker" and "4Q24" under "Quarter".</t>
  </si>
  <si>
    <t>Please rename the "Total ($ millions)" column to "Loan Amount" and rename "Property Type" to "CRE Property Type".</t>
  </si>
  <si>
    <t>Please create a new table and add "Ticker" and "Quarter" columns to the left of these columns, and each row should include "KEY" under "Ticker" and "1Q24" under "Quarter".</t>
  </si>
  <si>
    <t>Please create a new table and add "Ticker" and "Quarter" columns to the left of these columns, and each row should include "KEY" under "Ticker" and "2Q24" under "Quarter".</t>
  </si>
  <si>
    <t>The correct value for the "Total CRE" should be 13,322. Please revise the table.</t>
  </si>
  <si>
    <t>Please create a new table and add "Ticker" and "Quarter" columns to the left of these columns, and each row should include "KEY" under "Ticker" and "3Q24" under "Quarter".</t>
  </si>
  <si>
    <t>Industrial/Warehouse</t>
  </si>
  <si>
    <t>Hotel / Motel</t>
  </si>
  <si>
    <t>Add "Ticker" and "Quarter" columns to the left of these columns, and each row should include "FCNCA" under "Ticker" and "2Q24" under "Quarter".</t>
  </si>
  <si>
    <t>Rename the "Property Type" header to "CRE Property Type", rename Balance ($) to "Loan Amount", rename "Industrial / Warehouse" to "Industrial", and rename "Hotel/Motel" to "Lodging".</t>
  </si>
  <si>
    <t>Add "Ticker" and "Quarter" columns to the left of these columns, and each row should include "FCNCA" under "Ticker" and "1Q24" under "Quarter".</t>
  </si>
  <si>
    <t>Add "Ticker" and "Quarter" columns to the left of these columns, and each row should include "FCNCA" under "Ticker" and "4Q24" under "Quarter".</t>
  </si>
  <si>
    <t>Office buildings</t>
  </si>
  <si>
    <t>Shopping centers</t>
  </si>
  <si>
    <t>Add "Ticker" and "Quarter" columns to the left of these columns, and each row should include "SNV" under "Ticker" and "4Q24" under "Quarter".</t>
  </si>
  <si>
    <t>Add "Ticker" and "Quarter" columns to the left of these columns, and each row should include "SNV" under "Ticker" and "1Q24" under "Quarter".</t>
  </si>
  <si>
    <t>Add "Ticker" and "Quarter" columns to the left of these columns, and each row should include "SNV" under "Ticker" and "2Q24" under "Quarter".</t>
  </si>
  <si>
    <t>LLM Interface (Presentation)</t>
  </si>
  <si>
    <t>3Q24 AI API Script</t>
  </si>
  <si>
    <t>LLM API</t>
  </si>
  <si>
    <t>LLM API (Presentation)</t>
  </si>
  <si>
    <t>4Q24 AI API Script</t>
  </si>
  <si>
    <t>2Q24 AI API Script</t>
  </si>
  <si>
    <t>1Q24 AI API Script</t>
  </si>
  <si>
    <t>Presentation (exc build)</t>
  </si>
  <si>
    <t>Cumulative Time (10-Q)</t>
  </si>
  <si>
    <t>Efficiency %</t>
  </si>
  <si>
    <t>Script Construct</t>
  </si>
  <si>
    <t>Breakeven</t>
  </si>
  <si>
    <t>LLM API Construct</t>
  </si>
  <si>
    <t>Percentage Drawn</t>
  </si>
  <si>
    <t>Override Table</t>
  </si>
  <si>
    <t>Scroll</t>
  </si>
  <si>
    <t>Right</t>
  </si>
  <si>
    <t>for</t>
  </si>
  <si>
    <t>Charts</t>
  </si>
  <si>
    <t>Standardization Goal</t>
  </si>
  <si>
    <t>CMA</t>
  </si>
  <si>
    <t>CMA 4Q24</t>
  </si>
  <si>
    <t>CRE Total:</t>
  </si>
  <si>
    <t>Self-Storage</t>
  </si>
  <si>
    <t>Single Family / Land Development</t>
  </si>
  <si>
    <t>Land Carry</t>
  </si>
  <si>
    <t>CRE Property Types</t>
  </si>
  <si>
    <t>Loan Amount ($bn)</t>
  </si>
  <si>
    <t>Loan Amount ($mn)</t>
  </si>
  <si>
    <t>Standardized</t>
  </si>
  <si>
    <t>BAC 4Q24</t>
  </si>
  <si>
    <t>e</t>
  </si>
  <si>
    <t>(time measured in seconds)</t>
  </si>
  <si>
    <t>LLM Generic Prompt Application Feature (4Q24 Presentation)</t>
  </si>
  <si>
    <t>LLM Ticker Specific Prompt (4Q24 Presentation)</t>
  </si>
  <si>
    <t>FCNCA 4Q24</t>
  </si>
  <si>
    <t>CFG 4Q24</t>
  </si>
  <si>
    <t>Generic Prompt Test on Database Tickers</t>
  </si>
  <si>
    <t>Execution</t>
  </si>
  <si>
    <t>Override</t>
  </si>
  <si>
    <t>HBAN 4Q24</t>
  </si>
  <si>
    <t>Amount</t>
  </si>
  <si>
    <t>RF 4Q24</t>
  </si>
  <si>
    <t>Res. Homebuilders</t>
  </si>
  <si>
    <t>Commercial Land</t>
  </si>
  <si>
    <t>Residential Land</t>
  </si>
  <si>
    <t>PNC 4Q24</t>
  </si>
  <si>
    <t>Time Delta</t>
  </si>
  <si>
    <t>SNV 4Q24</t>
  </si>
  <si>
    <t>Accuracy Delta</t>
  </si>
  <si>
    <t>KEY 4Q24</t>
  </si>
  <si>
    <t>Amount ($mn)</t>
  </si>
  <si>
    <t>VLY</t>
  </si>
  <si>
    <t>TD</t>
  </si>
  <si>
    <t>CIBC</t>
  </si>
  <si>
    <t>BKU</t>
  </si>
  <si>
    <t>VLY 4Q24</t>
  </si>
  <si>
    <t>Mixed-Use</t>
  </si>
  <si>
    <t>Healthcare Office</t>
  </si>
  <si>
    <t>Specialty &amp; Other</t>
  </si>
  <si>
    <t>Apartment &amp; Residential</t>
  </si>
  <si>
    <t>Python Script (4Q24 Presentation)</t>
  </si>
  <si>
    <t>Manual (4Q24 Presentation)</t>
  </si>
  <si>
    <t>TD 4Q24</t>
  </si>
  <si>
    <t>BKU 4Q24</t>
  </si>
  <si>
    <t>CIBC 4Q24</t>
  </si>
  <si>
    <t>WFC 4Q24</t>
  </si>
  <si>
    <t>Retail (excl shopping center)</t>
  </si>
  <si>
    <t>JPM 4Q24</t>
  </si>
  <si>
    <t>Exposure</t>
  </si>
  <si>
    <t>Prompt (v1)</t>
  </si>
  <si>
    <t>Prompt (v2)</t>
  </si>
  <si>
    <t>Time Delta vs V1</t>
  </si>
  <si>
    <t>Value Table Prompt</t>
  </si>
  <si>
    <t>Pie Chart Prompt</t>
  </si>
  <si>
    <t>-</t>
  </si>
  <si>
    <t>Python Modules (10-Q)</t>
  </si>
  <si>
    <t>Database Format</t>
  </si>
  <si>
    <t>Python Modules</t>
  </si>
  <si>
    <t>(Python Modules vs Advanced Excel)</t>
  </si>
  <si>
    <t>LLM API vs Advanced Excel</t>
  </si>
  <si>
    <t>Advanced Excel Manual Benchmark (10-Q)</t>
  </si>
  <si>
    <t>Cumulative Total</t>
  </si>
  <si>
    <t>Average Accuracy</t>
  </si>
  <si>
    <t>Average Execution Time (40 quarters)</t>
  </si>
  <si>
    <t>Average Adjustment Time (30 quarters)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</si>
</sst>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164" formatCode="&quot;$&quot;#,##0.00"/>
    <numFmt numFmtId="165" formatCode="0.0"/>
    <numFmt numFmtId="166" formatCode="0.0%"/>
    <numFmt numFmtId="167" formatCode="&quot;$&quot;#,##0.0"/>
    <numFmt numFmtId="168" formatCode="#,##0.0"/>
    <numFmt numFmtId="169" formatCode="&quot;$&quot;#,##0"/>
    <numFmt numFmtId="170" formatCode="0\x"/>
    <numFmt numFmtId="171" formatCode="&quot;$&quot;#,##0.000"/>
  </numFmts>
  <fonts count="26" x14ac:knownFonts="1">
    <font>
      <sz val="11"/>
      <color theme="1"/>
      <name val="Aptos Narrow"/>
      <family val="2"/>
      <scheme val="minor"/>
    </font>
    <font>
      <sz val="11"/>
      <color theme="1"/>
      <name val="Aptos Narrow"/>
      <family val="2"/>
      <scheme val="minor"/>
    </font>
    <font>
      <b/>
      <u/>
      <sz val="11"/>
      <color theme="1"/>
      <name val="Arial Narrow"/>
      <family val="2"/>
    </font>
    <font>
      <sz val="11"/>
      <color theme="1"/>
      <name val="Arial Narrow"/>
      <family val="2"/>
    </font>
    <font>
      <b/>
      <sz val="11"/>
      <color theme="1"/>
      <name val="Arial Narrow"/>
      <family val="2"/>
    </font>
    <font>
      <sz val="11"/>
      <color rgb="FFFF0000"/>
      <name val="Arial Narrow"/>
      <family val="2"/>
    </font>
    <font>
      <i/>
      <sz val="11"/>
      <color rgb="FFFF0000"/>
      <name val="Arial Narrow"/>
      <family val="2"/>
    </font>
    <font>
      <sz val="11"/>
      <color rgb="FF0000FF"/>
      <name val="Arial Narrow"/>
      <family val="2"/>
    </font>
    <font>
      <b/>
      <u/>
      <sz val="11"/>
      <name val="Arial Narrow"/>
      <family val="2"/>
    </font>
    <font>
      <sz val="11"/>
      <color rgb="FF00B050"/>
      <name val="Arial Narrow"/>
      <family val="2"/>
    </font>
    <font>
      <sz val="11"/>
      <name val="Arial Narrow"/>
      <family val="2"/>
    </font>
    <font>
      <sz val="10"/>
      <color theme="1"/>
      <name val="Arial Narrow"/>
      <family val="2"/>
    </font>
    <font>
      <sz val="11"/>
      <color rgb="FFFF0000"/>
      <name val="Aptos Narrow"/>
      <family val="2"/>
      <scheme val="minor"/>
    </font>
    <font>
      <b/>
      <u/>
      <sz val="10"/>
      <color theme="1"/>
      <name val="Arial Narrow"/>
      <family val="2"/>
    </font>
    <font>
      <b/>
      <sz val="10"/>
      <color theme="1"/>
      <name val="Arial Narrow"/>
      <family val="2"/>
    </font>
    <font>
      <b/>
      <sz val="11"/>
      <name val="Arial Narrow"/>
      <family val="2"/>
    </font>
    <font>
      <sz val="10"/>
      <color rgb="FF0000FF"/>
      <name val="Arial Narrow"/>
      <family val="2"/>
    </font>
    <font>
      <b/>
      <sz val="10"/>
      <name val="Arial Narrow"/>
      <family val="2"/>
    </font>
    <font>
      <b/>
      <u/>
      <sz val="10"/>
      <name val="Arial Narrow"/>
      <family val="2"/>
    </font>
    <font>
      <sz val="10"/>
      <color theme="1"/>
      <name val="Aptos Narrow"/>
      <family val="2"/>
      <scheme val="minor"/>
    </font>
    <font>
      <b/>
      <sz val="10"/>
      <color rgb="FF0000FF"/>
      <name val="Arial Narrow"/>
      <family val="2"/>
    </font>
    <font>
      <u/>
      <sz val="11"/>
      <color theme="1"/>
      <name val="Arial Narrow"/>
      <family val="2"/>
    </font>
    <font>
      <sz val="10"/>
      <color rgb="FFFF0000"/>
      <name val="Arial Narrow"/>
      <family val="2"/>
    </font>
    <font>
      <sz val="10"/>
      <color rgb="FF00B050"/>
      <name val="Arial Narrow"/>
      <family val="2"/>
    </font>
    <font>
      <i/>
      <sz val="10"/>
      <color rgb="FFFF0000"/>
      <name val="Arial Narrow"/>
      <family val="2"/>
    </font>
    <font>
      <sz val="10"/>
      <name val="Arial Narrow"/>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82">
    <xf numFmtId="0" fontId="0" fillId="0" borderId="0" xfId="0"/>
    <xf numFmtId="0" fontId="2" fillId="0" borderId="0" xfId="0" applyFont="1"/>
    <xf numFmtId="0" fontId="3" fillId="0" borderId="0" xfId="0" applyFont="1"/>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4" fillId="0" borderId="0" xfId="0" applyFont="1" applyAlignment="1">
      <alignment horizontal="center"/>
    </xf>
    <xf numFmtId="0" fontId="4" fillId="0" borderId="0" xfId="0" applyFont="1"/>
    <xf numFmtId="0" fontId="4" fillId="0" borderId="0" xfId="0" applyFont="1" applyAlignment="1">
      <alignment horizontal="left"/>
    </xf>
    <xf numFmtId="0" fontId="6" fillId="0" borderId="0" xfId="0" applyFont="1" applyAlignment="1">
      <alignment horizontal="center"/>
    </xf>
    <xf numFmtId="0" fontId="2" fillId="0" borderId="0" xfId="0" applyFont="1" applyAlignment="1">
      <alignment horizontal="left"/>
    </xf>
    <xf numFmtId="0" fontId="4" fillId="0" borderId="0" xfId="0" applyFont="1" applyAlignment="1">
      <alignment horizontal="right"/>
    </xf>
    <xf numFmtId="14" fontId="4" fillId="0" borderId="0" xfId="0" applyNumberFormat="1" applyFont="1" applyAlignment="1">
      <alignment horizontal="center"/>
    </xf>
    <xf numFmtId="9" fontId="3" fillId="0" borderId="0" xfId="2" applyFont="1"/>
    <xf numFmtId="9" fontId="3" fillId="0" borderId="0" xfId="2" applyFont="1" applyAlignment="1">
      <alignment horizontal="center"/>
    </xf>
    <xf numFmtId="164" fontId="3" fillId="0" borderId="0" xfId="1" applyNumberFormat="1" applyFont="1" applyAlignment="1">
      <alignment horizontal="center"/>
    </xf>
    <xf numFmtId="165" fontId="3" fillId="0" borderId="0" xfId="0" applyNumberFormat="1" applyFont="1" applyAlignment="1">
      <alignment horizontal="center"/>
    </xf>
    <xf numFmtId="0" fontId="7" fillId="0" borderId="0" xfId="0" applyFont="1" applyAlignment="1">
      <alignment horizontal="center"/>
    </xf>
    <xf numFmtId="0" fontId="7" fillId="0" borderId="0" xfId="0" applyFont="1"/>
    <xf numFmtId="1" fontId="7" fillId="0" borderId="0" xfId="0" applyNumberFormat="1" applyFont="1" applyAlignment="1">
      <alignment horizontal="center"/>
    </xf>
    <xf numFmtId="166" fontId="3" fillId="0" borderId="0" xfId="2" applyNumberFormat="1" applyFont="1" applyAlignment="1">
      <alignment horizontal="center"/>
    </xf>
    <xf numFmtId="10" fontId="3" fillId="0" borderId="0" xfId="2" applyNumberFormat="1" applyFont="1" applyAlignment="1">
      <alignment horizontal="center"/>
    </xf>
    <xf numFmtId="0" fontId="8" fillId="0" borderId="0" xfId="0" applyFont="1" applyAlignment="1">
      <alignment horizontal="left"/>
    </xf>
    <xf numFmtId="0" fontId="3" fillId="2" borderId="0" xfId="0" applyFont="1" applyFill="1"/>
    <xf numFmtId="9" fontId="3" fillId="2" borderId="0" xfId="2" applyFont="1" applyFill="1" applyAlignment="1">
      <alignment horizontal="center"/>
    </xf>
    <xf numFmtId="164" fontId="3" fillId="0" borderId="0" xfId="1" applyNumberFormat="1" applyFont="1" applyFill="1" applyAlignment="1">
      <alignment horizontal="center"/>
    </xf>
    <xf numFmtId="1" fontId="3" fillId="0" borderId="0" xfId="0" applyNumberFormat="1" applyFont="1" applyAlignment="1">
      <alignment horizontal="center"/>
    </xf>
    <xf numFmtId="164" fontId="3" fillId="3" borderId="0" xfId="1" applyNumberFormat="1" applyFont="1" applyFill="1" applyAlignment="1">
      <alignment horizontal="center"/>
    </xf>
    <xf numFmtId="14" fontId="4" fillId="0" borderId="0" xfId="0" applyNumberFormat="1" applyFont="1" applyAlignment="1">
      <alignment horizontal="right"/>
    </xf>
    <xf numFmtId="167" fontId="3" fillId="0" borderId="0" xfId="1" applyNumberFormat="1" applyFont="1" applyAlignment="1">
      <alignment horizontal="center"/>
    </xf>
    <xf numFmtId="1" fontId="3" fillId="2" borderId="0" xfId="0" applyNumberFormat="1" applyFont="1" applyFill="1" applyAlignment="1">
      <alignment horizontal="center"/>
    </xf>
    <xf numFmtId="0" fontId="10" fillId="0" borderId="0" xfId="0" applyFont="1" applyAlignment="1">
      <alignment horizontal="center"/>
    </xf>
    <xf numFmtId="0" fontId="4" fillId="0" borderId="3" xfId="0" applyFont="1" applyBorder="1" applyAlignment="1">
      <alignment horizontal="center"/>
    </xf>
    <xf numFmtId="1" fontId="7" fillId="0" borderId="4" xfId="0" applyNumberFormat="1" applyFont="1" applyBorder="1" applyAlignment="1">
      <alignment horizontal="center"/>
    </xf>
    <xf numFmtId="0" fontId="10" fillId="0" borderId="5" xfId="0" applyFont="1" applyBorder="1" applyAlignment="1">
      <alignment horizontal="center"/>
    </xf>
    <xf numFmtId="1" fontId="7" fillId="0" borderId="6" xfId="0" applyNumberFormat="1" applyFont="1" applyBorder="1" applyAlignment="1">
      <alignment horizontal="center"/>
    </xf>
    <xf numFmtId="0" fontId="10" fillId="0" borderId="8" xfId="0" applyFont="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7" fillId="0" borderId="4" xfId="0" applyFont="1" applyBorder="1" applyAlignment="1">
      <alignment horizontal="center"/>
    </xf>
    <xf numFmtId="166" fontId="9" fillId="0" borderId="0" xfId="0" applyNumberFormat="1" applyFont="1" applyAlignment="1">
      <alignment horizontal="center"/>
    </xf>
    <xf numFmtId="0" fontId="7" fillId="0" borderId="6" xfId="0" applyFont="1" applyBorder="1" applyAlignment="1">
      <alignment horizontal="center"/>
    </xf>
    <xf numFmtId="166" fontId="9" fillId="0" borderId="7" xfId="0" applyNumberFormat="1" applyFont="1" applyBorder="1" applyAlignment="1">
      <alignment horizontal="center"/>
    </xf>
    <xf numFmtId="0" fontId="7" fillId="0" borderId="7" xfId="0" applyFont="1" applyBorder="1" applyAlignment="1">
      <alignment horizontal="center"/>
    </xf>
    <xf numFmtId="0" fontId="3" fillId="0" borderId="5" xfId="0" applyFont="1" applyBorder="1" applyAlignment="1">
      <alignment horizontal="center"/>
    </xf>
    <xf numFmtId="0" fontId="3" fillId="0" borderId="8" xfId="0" applyFont="1" applyBorder="1" applyAlignment="1">
      <alignment horizontal="center"/>
    </xf>
    <xf numFmtId="1" fontId="7" fillId="0" borderId="7" xfId="0" applyNumberFormat="1" applyFont="1" applyBorder="1" applyAlignment="1">
      <alignment horizontal="center"/>
    </xf>
    <xf numFmtId="0" fontId="5" fillId="0" borderId="0" xfId="0" applyFont="1" applyAlignment="1">
      <alignment horizontal="center"/>
    </xf>
    <xf numFmtId="0" fontId="7" fillId="3" borderId="7" xfId="0" applyFont="1" applyFill="1" applyBorder="1" applyAlignment="1">
      <alignment horizontal="center"/>
    </xf>
    <xf numFmtId="0" fontId="3" fillId="3" borderId="0" xfId="0" applyFont="1" applyFill="1"/>
    <xf numFmtId="3" fontId="3" fillId="0" borderId="0" xfId="0" applyNumberFormat="1" applyFont="1" applyAlignment="1">
      <alignment horizontal="center"/>
    </xf>
    <xf numFmtId="1" fontId="10" fillId="0" borderId="5" xfId="0" applyNumberFormat="1" applyFont="1" applyBorder="1" applyAlignment="1">
      <alignment horizontal="center"/>
    </xf>
    <xf numFmtId="1" fontId="3" fillId="0" borderId="5" xfId="0" applyNumberFormat="1" applyFont="1" applyBorder="1" applyAlignment="1">
      <alignment horizontal="center"/>
    </xf>
    <xf numFmtId="3" fontId="3" fillId="2" borderId="0" xfId="0" applyNumberFormat="1" applyFont="1" applyFill="1" applyAlignment="1">
      <alignment horizontal="center"/>
    </xf>
    <xf numFmtId="0" fontId="10" fillId="0" borderId="0" xfId="0" applyFont="1"/>
    <xf numFmtId="168" fontId="3" fillId="0" borderId="0" xfId="0" applyNumberFormat="1" applyFont="1" applyAlignment="1">
      <alignment horizontal="center"/>
    </xf>
    <xf numFmtId="169" fontId="3" fillId="0" borderId="0" xfId="1" applyNumberFormat="1" applyFont="1" applyAlignment="1">
      <alignment horizontal="center"/>
    </xf>
    <xf numFmtId="9" fontId="11" fillId="0" borderId="0" xfId="2" applyFont="1" applyAlignment="1">
      <alignment horizontal="center"/>
    </xf>
    <xf numFmtId="3" fontId="4" fillId="0" borderId="0" xfId="0" applyNumberFormat="1" applyFont="1" applyAlignment="1">
      <alignment horizontal="center"/>
    </xf>
    <xf numFmtId="0" fontId="0" fillId="0" borderId="0" xfId="0" applyAlignment="1">
      <alignment horizontal="left"/>
    </xf>
    <xf numFmtId="0" fontId="12" fillId="0" borderId="0" xfId="0" applyFont="1" applyAlignment="1">
      <alignment horizontal="center"/>
    </xf>
    <xf numFmtId="0" fontId="0" fillId="0" borderId="0" xfId="0" applyAlignment="1">
      <alignment horizontal="center"/>
    </xf>
    <xf numFmtId="2" fontId="3" fillId="0" borderId="0" xfId="0" applyNumberFormat="1" applyFont="1" applyAlignment="1">
      <alignment horizontal="center"/>
    </xf>
    <xf numFmtId="9" fontId="0" fillId="0" borderId="0" xfId="2" applyFont="1" applyAlignment="1">
      <alignment horizontal="center"/>
    </xf>
    <xf numFmtId="4" fontId="3" fillId="0" borderId="0" xfId="0" applyNumberFormat="1" applyFont="1" applyAlignment="1">
      <alignment horizontal="center"/>
    </xf>
    <xf numFmtId="168" fontId="0" fillId="0" borderId="0" xfId="0" applyNumberFormat="1" applyAlignment="1">
      <alignment horizontal="center"/>
    </xf>
    <xf numFmtId="1" fontId="4" fillId="0" borderId="9" xfId="0" applyNumberFormat="1" applyFont="1" applyBorder="1" applyAlignment="1">
      <alignment horizontal="center"/>
    </xf>
    <xf numFmtId="1" fontId="3" fillId="0" borderId="8" xfId="0" applyNumberFormat="1" applyFont="1" applyBorder="1" applyAlignment="1">
      <alignment horizontal="center"/>
    </xf>
    <xf numFmtId="1" fontId="7" fillId="3" borderId="0" xfId="0" applyNumberFormat="1" applyFont="1" applyFill="1" applyAlignment="1">
      <alignment horizontal="center"/>
    </xf>
    <xf numFmtId="1" fontId="7" fillId="3" borderId="7" xfId="0" applyNumberFormat="1" applyFont="1" applyFill="1" applyBorder="1" applyAlignment="1">
      <alignment horizontal="center"/>
    </xf>
    <xf numFmtId="2" fontId="0" fillId="0" borderId="0" xfId="0" applyNumberFormat="1"/>
    <xf numFmtId="0" fontId="4" fillId="2" borderId="0" xfId="0" applyFont="1" applyFill="1" applyAlignment="1">
      <alignment horizontal="center"/>
    </xf>
    <xf numFmtId="168" fontId="4" fillId="0" borderId="0" xfId="0" applyNumberFormat="1" applyFont="1" applyAlignment="1">
      <alignment horizontal="center"/>
    </xf>
    <xf numFmtId="3" fontId="3" fillId="0" borderId="0" xfId="0" applyNumberFormat="1" applyFont="1"/>
    <xf numFmtId="1" fontId="10" fillId="0" borderId="0" xfId="0" applyNumberFormat="1" applyFont="1" applyAlignment="1">
      <alignment horizontal="center"/>
    </xf>
    <xf numFmtId="169" fontId="2" fillId="0" borderId="0" xfId="1" applyNumberFormat="1" applyFont="1" applyAlignment="1">
      <alignment horizontal="center"/>
    </xf>
    <xf numFmtId="6" fontId="3" fillId="0" borderId="0" xfId="0" applyNumberFormat="1" applyFont="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4" fillId="0" borderId="4" xfId="0" applyFont="1" applyBorder="1" applyAlignment="1">
      <alignment horizontal="center"/>
    </xf>
    <xf numFmtId="0" fontId="4" fillId="0" borderId="10" xfId="0" applyFont="1" applyBorder="1"/>
    <xf numFmtId="1" fontId="4" fillId="0" borderId="11" xfId="0" applyNumberFormat="1" applyFont="1" applyBorder="1" applyAlignment="1">
      <alignment horizontal="center"/>
    </xf>
    <xf numFmtId="0" fontId="4" fillId="0" borderId="6" xfId="0" applyFont="1" applyBorder="1"/>
    <xf numFmtId="9" fontId="3" fillId="0" borderId="7" xfId="2" applyFont="1" applyBorder="1" applyAlignment="1">
      <alignment horizontal="center"/>
    </xf>
    <xf numFmtId="9" fontId="3" fillId="0" borderId="8" xfId="2" applyFont="1" applyBorder="1" applyAlignment="1">
      <alignment horizontal="center"/>
    </xf>
    <xf numFmtId="0" fontId="3" fillId="0" borderId="0" xfId="0" applyFont="1" applyAlignment="1">
      <alignment horizontal="center" wrapText="1"/>
    </xf>
    <xf numFmtId="0" fontId="11" fillId="0" borderId="0" xfId="0" applyFont="1" applyAlignment="1">
      <alignment horizontal="center"/>
    </xf>
    <xf numFmtId="0" fontId="11" fillId="0" borderId="0" xfId="0" applyFont="1"/>
    <xf numFmtId="0" fontId="13" fillId="0" borderId="0" xfId="0" applyFont="1" applyAlignment="1">
      <alignment horizontal="center"/>
    </xf>
    <xf numFmtId="0" fontId="13" fillId="0" borderId="0" xfId="0" applyFont="1" applyAlignment="1">
      <alignment horizontal="left"/>
    </xf>
    <xf numFmtId="0" fontId="13" fillId="2" borderId="0" xfId="0" applyFont="1" applyFill="1" applyAlignment="1">
      <alignment horizontal="left"/>
    </xf>
    <xf numFmtId="0" fontId="14" fillId="0" borderId="0" xfId="0" applyFont="1"/>
    <xf numFmtId="10" fontId="9" fillId="0" borderId="0" xfId="0" applyNumberFormat="1" applyFont="1" applyAlignment="1">
      <alignment horizontal="center"/>
    </xf>
    <xf numFmtId="0" fontId="15" fillId="0" borderId="0" xfId="0" applyFont="1" applyAlignment="1">
      <alignment horizontal="left"/>
    </xf>
    <xf numFmtId="167" fontId="3" fillId="3" borderId="0" xfId="1" applyNumberFormat="1" applyFont="1" applyFill="1" applyAlignment="1">
      <alignment horizontal="center"/>
    </xf>
    <xf numFmtId="167" fontId="3" fillId="0" borderId="0" xfId="1" applyNumberFormat="1" applyFont="1" applyFill="1" applyAlignment="1">
      <alignment horizontal="center"/>
    </xf>
    <xf numFmtId="0" fontId="11" fillId="2" borderId="0" xfId="0" applyFont="1" applyFill="1"/>
    <xf numFmtId="0" fontId="16" fillId="0" borderId="0" xfId="0" applyFont="1"/>
    <xf numFmtId="0" fontId="17" fillId="0" borderId="0" xfId="0" applyFont="1" applyAlignment="1">
      <alignment horizontal="left"/>
    </xf>
    <xf numFmtId="0" fontId="13" fillId="0" borderId="0" xfId="0" applyFont="1"/>
    <xf numFmtId="0" fontId="11" fillId="0" borderId="0" xfId="0" applyFont="1" applyAlignment="1">
      <alignment horizontal="left"/>
    </xf>
    <xf numFmtId="3" fontId="11" fillId="0" borderId="0" xfId="0" applyNumberFormat="1" applyFont="1" applyAlignment="1">
      <alignment horizontal="center"/>
    </xf>
    <xf numFmtId="168" fontId="11" fillId="0" borderId="0" xfId="0" applyNumberFormat="1" applyFont="1" applyAlignment="1">
      <alignment horizontal="center"/>
    </xf>
    <xf numFmtId="167" fontId="11" fillId="0" borderId="0" xfId="1" applyNumberFormat="1" applyFont="1" applyAlignment="1">
      <alignment horizontal="center"/>
    </xf>
    <xf numFmtId="167" fontId="11" fillId="3" borderId="0" xfId="1" applyNumberFormat="1" applyFont="1" applyFill="1" applyAlignment="1">
      <alignment horizontal="center"/>
    </xf>
    <xf numFmtId="167" fontId="11" fillId="0" borderId="0" xfId="1" applyNumberFormat="1" applyFont="1" applyFill="1" applyAlignment="1">
      <alignment horizontal="center"/>
    </xf>
    <xf numFmtId="0" fontId="18" fillId="0" borderId="0" xfId="0" applyFont="1" applyAlignment="1">
      <alignment horizontal="left"/>
    </xf>
    <xf numFmtId="10" fontId="11" fillId="0" borderId="0" xfId="2" applyNumberFormat="1" applyFont="1" applyAlignment="1">
      <alignment horizontal="center"/>
    </xf>
    <xf numFmtId="1" fontId="4" fillId="0" borderId="0" xfId="0" applyNumberFormat="1" applyFont="1" applyAlignment="1">
      <alignment horizontal="center"/>
    </xf>
    <xf numFmtId="9" fontId="3" fillId="0" borderId="0" xfId="2" applyFont="1" applyBorder="1" applyAlignment="1">
      <alignment horizontal="center"/>
    </xf>
    <xf numFmtId="1" fontId="3" fillId="0" borderId="0" xfId="0" applyNumberFormat="1" applyFont="1"/>
    <xf numFmtId="166" fontId="11" fillId="0" borderId="0" xfId="0" applyNumberFormat="1" applyFont="1" applyAlignment="1">
      <alignment horizontal="center"/>
    </xf>
    <xf numFmtId="0" fontId="14" fillId="0" borderId="0" xfId="0" applyFont="1" applyAlignment="1">
      <alignment horizontal="center"/>
    </xf>
    <xf numFmtId="0" fontId="19" fillId="0" borderId="0" xfId="0" applyFont="1"/>
    <xf numFmtId="167" fontId="20" fillId="0" borderId="0" xfId="0" applyNumberFormat="1" applyFont="1" applyAlignment="1">
      <alignment horizontal="center"/>
    </xf>
    <xf numFmtId="171" fontId="11" fillId="0" borderId="0" xfId="0" applyNumberFormat="1" applyFont="1" applyAlignment="1">
      <alignment horizontal="center"/>
    </xf>
    <xf numFmtId="169" fontId="11" fillId="0" borderId="0" xfId="0" applyNumberFormat="1" applyFont="1" applyAlignment="1">
      <alignment horizontal="center"/>
    </xf>
    <xf numFmtId="166" fontId="14" fillId="0" borderId="0" xfId="0" applyNumberFormat="1" applyFont="1" applyAlignment="1">
      <alignment horizontal="center"/>
    </xf>
    <xf numFmtId="169" fontId="14" fillId="0" borderId="0" xfId="0" applyNumberFormat="1" applyFont="1" applyAlignment="1">
      <alignment horizontal="center"/>
    </xf>
    <xf numFmtId="0" fontId="14" fillId="2" borderId="0" xfId="0" applyFont="1" applyFill="1" applyAlignment="1">
      <alignment horizontal="center"/>
    </xf>
    <xf numFmtId="166" fontId="11" fillId="0" borderId="0" xfId="2" applyNumberFormat="1" applyFont="1" applyAlignment="1">
      <alignment horizontal="center"/>
    </xf>
    <xf numFmtId="169" fontId="11" fillId="2" borderId="0" xfId="0" applyNumberFormat="1" applyFont="1" applyFill="1" applyAlignment="1">
      <alignment horizontal="center"/>
    </xf>
    <xf numFmtId="0" fontId="21" fillId="0" borderId="0" xfId="0" applyFont="1"/>
    <xf numFmtId="3" fontId="4" fillId="0" borderId="0" xfId="0" applyNumberFormat="1" applyFont="1"/>
    <xf numFmtId="0" fontId="22" fillId="0" borderId="0" xfId="0" applyFont="1" applyAlignment="1">
      <alignment horizontal="center"/>
    </xf>
    <xf numFmtId="0" fontId="14" fillId="0" borderId="0" xfId="0" applyFont="1" applyAlignment="1">
      <alignment horizontal="left"/>
    </xf>
    <xf numFmtId="0" fontId="14" fillId="0" borderId="1" xfId="0" applyFont="1" applyBorder="1" applyAlignment="1">
      <alignment horizontal="center"/>
    </xf>
    <xf numFmtId="0" fontId="14" fillId="0" borderId="2" xfId="0" applyFont="1" applyBorder="1" applyAlignment="1">
      <alignment horizontal="center"/>
    </xf>
    <xf numFmtId="0" fontId="14" fillId="0" borderId="3" xfId="0" applyFont="1" applyBorder="1" applyAlignment="1">
      <alignment horizontal="center"/>
    </xf>
    <xf numFmtId="0" fontId="14" fillId="0" borderId="4" xfId="0" applyFont="1" applyBorder="1" applyAlignment="1">
      <alignment horizontal="center"/>
    </xf>
    <xf numFmtId="0" fontId="16" fillId="0" borderId="0" xfId="0" applyFont="1" applyAlignment="1">
      <alignment horizontal="center"/>
    </xf>
    <xf numFmtId="9" fontId="23" fillId="0" borderId="5" xfId="2" applyFont="1" applyBorder="1" applyAlignment="1">
      <alignment horizontal="center"/>
    </xf>
    <xf numFmtId="0" fontId="14" fillId="0" borderId="4" xfId="0" applyFont="1" applyBorder="1" applyAlignment="1">
      <alignment horizontal="center" vertical="center"/>
    </xf>
    <xf numFmtId="164" fontId="11" fillId="0" borderId="0" xfId="0" applyNumberFormat="1" applyFont="1" applyAlignment="1">
      <alignment horizontal="center"/>
    </xf>
    <xf numFmtId="0" fontId="14" fillId="0" borderId="6" xfId="0" applyFont="1" applyBorder="1" applyAlignment="1">
      <alignment horizontal="center"/>
    </xf>
    <xf numFmtId="0" fontId="16" fillId="0" borderId="7" xfId="0" applyFont="1" applyBorder="1" applyAlignment="1">
      <alignment horizontal="center"/>
    </xf>
    <xf numFmtId="0" fontId="14" fillId="0" borderId="7" xfId="0" applyFont="1" applyBorder="1" applyAlignment="1">
      <alignment horizontal="center"/>
    </xf>
    <xf numFmtId="9" fontId="23" fillId="0" borderId="8" xfId="2" applyFont="1" applyBorder="1" applyAlignment="1">
      <alignment horizontal="center"/>
    </xf>
    <xf numFmtId="0" fontId="16" fillId="0" borderId="2" xfId="0" applyFont="1" applyBorder="1" applyAlignment="1">
      <alignment horizontal="center"/>
    </xf>
    <xf numFmtId="9" fontId="23" fillId="0" borderId="3" xfId="2" applyFont="1" applyBorder="1" applyAlignment="1">
      <alignment horizontal="center"/>
    </xf>
    <xf numFmtId="0" fontId="11" fillId="0" borderId="0" xfId="0" applyFont="1" applyAlignment="1">
      <alignment vertical="center" wrapText="1"/>
    </xf>
    <xf numFmtId="9" fontId="11" fillId="0" borderId="0" xfId="2" applyFont="1" applyAlignment="1">
      <alignment horizontal="center" vertical="center"/>
    </xf>
    <xf numFmtId="164" fontId="11" fillId="0" borderId="0" xfId="0" applyNumberFormat="1" applyFont="1" applyAlignment="1">
      <alignment horizontal="center" vertical="center"/>
    </xf>
    <xf numFmtId="169" fontId="11" fillId="0" borderId="0" xfId="0" applyNumberFormat="1" applyFont="1" applyAlignment="1">
      <alignment horizontal="center" vertical="center"/>
    </xf>
    <xf numFmtId="9" fontId="14" fillId="0" borderId="0" xfId="2" applyFont="1" applyAlignment="1">
      <alignment horizontal="center"/>
    </xf>
    <xf numFmtId="164" fontId="14" fillId="0" borderId="0" xfId="0" applyNumberFormat="1" applyFont="1" applyAlignment="1">
      <alignment horizontal="center"/>
    </xf>
    <xf numFmtId="0" fontId="25" fillId="0" borderId="0" xfId="0" applyFont="1" applyAlignment="1">
      <alignment horizontal="left"/>
    </xf>
    <xf numFmtId="169" fontId="11" fillId="0" borderId="0" xfId="1" applyNumberFormat="1" applyFont="1" applyAlignment="1">
      <alignment horizontal="center"/>
    </xf>
    <xf numFmtId="169" fontId="11" fillId="3" borderId="0" xfId="1" applyNumberFormat="1" applyFont="1" applyFill="1" applyAlignment="1">
      <alignment horizontal="center"/>
    </xf>
    <xf numFmtId="169" fontId="11" fillId="0" borderId="0" xfId="1" applyNumberFormat="1" applyFont="1" applyFill="1" applyAlignment="1">
      <alignment horizontal="center"/>
    </xf>
    <xf numFmtId="169" fontId="14" fillId="0" borderId="0" xfId="1" applyNumberFormat="1" applyFont="1" applyAlignment="1">
      <alignment horizontal="center"/>
    </xf>
    <xf numFmtId="167" fontId="14" fillId="0" borderId="0" xfId="1" applyNumberFormat="1" applyFont="1" applyAlignment="1">
      <alignment horizontal="center"/>
    </xf>
    <xf numFmtId="165" fontId="11" fillId="0" borderId="0" xfId="0" applyNumberFormat="1" applyFont="1" applyAlignment="1">
      <alignment horizontal="center"/>
    </xf>
    <xf numFmtId="9" fontId="11" fillId="0" borderId="8" xfId="2" applyFont="1" applyBorder="1" applyAlignment="1">
      <alignment horizontal="center"/>
    </xf>
    <xf numFmtId="9" fontId="11" fillId="0" borderId="8" xfId="0" applyNumberFormat="1" applyFont="1" applyBorder="1" applyAlignment="1">
      <alignment horizontal="center"/>
    </xf>
    <xf numFmtId="37" fontId="11" fillId="0" borderId="0" xfId="0" applyNumberFormat="1" applyFont="1" applyAlignment="1">
      <alignment horizontal="center"/>
    </xf>
    <xf numFmtId="37" fontId="14" fillId="0" borderId="0" xfId="0" applyNumberFormat="1" applyFont="1" applyAlignment="1">
      <alignment horizontal="center"/>
    </xf>
    <xf numFmtId="9" fontId="16" fillId="0" borderId="5" xfId="2" applyFont="1" applyBorder="1" applyAlignment="1">
      <alignment horizontal="center"/>
    </xf>
    <xf numFmtId="9" fontId="16" fillId="0" borderId="8" xfId="2" applyFont="1" applyBorder="1" applyAlignment="1">
      <alignment horizontal="center"/>
    </xf>
    <xf numFmtId="1" fontId="16" fillId="0" borderId="0" xfId="0" applyNumberFormat="1" applyFont="1" applyAlignment="1">
      <alignment horizontal="center"/>
    </xf>
    <xf numFmtId="1" fontId="14" fillId="0" borderId="0" xfId="0" applyNumberFormat="1" applyFont="1" applyAlignment="1">
      <alignment horizontal="center"/>
    </xf>
    <xf numFmtId="1" fontId="14" fillId="0" borderId="7" xfId="0" applyNumberFormat="1" applyFont="1" applyBorder="1" applyAlignment="1">
      <alignment horizontal="center"/>
    </xf>
    <xf numFmtId="1" fontId="11" fillId="0" borderId="0" xfId="0" applyNumberFormat="1" applyFont="1" applyAlignment="1">
      <alignment horizontal="center"/>
    </xf>
    <xf numFmtId="1" fontId="16" fillId="0" borderId="7" xfId="0" applyNumberFormat="1" applyFont="1" applyBorder="1" applyAlignment="1">
      <alignment horizontal="center"/>
    </xf>
    <xf numFmtId="3" fontId="14" fillId="0" borderId="0" xfId="0" applyNumberFormat="1" applyFont="1" applyAlignment="1">
      <alignment horizontal="center"/>
    </xf>
    <xf numFmtId="169" fontId="4" fillId="0" borderId="0" xfId="1" applyNumberFormat="1" applyFont="1" applyAlignment="1">
      <alignment horizontal="center"/>
    </xf>
    <xf numFmtId="169" fontId="11" fillId="0" borderId="0" xfId="0" applyNumberFormat="1" applyFont="1"/>
    <xf numFmtId="9" fontId="11" fillId="0" borderId="0" xfId="0" applyNumberFormat="1" applyFont="1" applyAlignment="1">
      <alignment horizontal="center"/>
    </xf>
    <xf numFmtId="9" fontId="11" fillId="0" borderId="0" xfId="2" applyFont="1"/>
    <xf numFmtId="9" fontId="3" fillId="0" borderId="0" xfId="0" applyNumberFormat="1" applyFont="1" applyAlignment="1">
      <alignment horizontal="center"/>
    </xf>
    <xf numFmtId="9" fontId="4" fillId="0" borderId="0" xfId="2" applyFont="1" applyAlignment="1">
      <alignment horizontal="center"/>
    </xf>
    <xf numFmtId="0" fontId="6" fillId="0" borderId="7" xfId="0" applyFont="1" applyBorder="1" applyAlignment="1">
      <alignment horizontal="center"/>
    </xf>
    <xf numFmtId="0" fontId="2" fillId="0" borderId="0" xfId="0" applyFont="1" applyAlignment="1">
      <alignment horizontal="center"/>
    </xf>
    <xf numFmtId="1" fontId="3" fillId="0" borderId="0" xfId="0" applyNumberFormat="1" applyFont="1" applyAlignment="1">
      <alignment horizontal="center"/>
    </xf>
    <xf numFmtId="170" fontId="3" fillId="0" borderId="0" xfId="0" applyNumberFormat="1" applyFont="1" applyAlignment="1">
      <alignment horizontal="center"/>
    </xf>
    <xf numFmtId="0" fontId="4" fillId="0" borderId="0" xfId="0" applyFont="1" applyAlignment="1">
      <alignment horizontal="center"/>
    </xf>
    <xf numFmtId="0" fontId="14" fillId="0" borderId="9" xfId="0" applyFont="1" applyBorder="1" applyAlignment="1">
      <alignment horizontal="center"/>
    </xf>
    <xf numFmtId="0" fontId="13" fillId="0" borderId="0" xfId="0" applyFont="1" applyAlignment="1">
      <alignment horizontal="center"/>
    </xf>
    <xf numFmtId="0" fontId="24" fillId="0" borderId="7" xfId="0" applyFont="1" applyBorder="1" applyAlignment="1">
      <alignment horizontal="center"/>
    </xf>
    <xf numFmtId="0" fontId="4" fillId="0" borderId="0" xfId="0" applyFont="1" applyAlignment="1">
      <alignment horizontal="left"/>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Extraction Time Saving vs Manual</a:t>
            </a:r>
          </a:p>
        </c:rich>
      </c:tx>
      <c:layout>
        <c:manualLayout>
          <c:xMode val="edge"/>
          <c:yMode val="edge"/>
          <c:x val="0.24463438528167017"/>
          <c:y val="3.238413492911488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3839488337969137"/>
          <c:h val="0.75814401600899661"/>
        </c:manualLayout>
      </c:layout>
      <c:lineChart>
        <c:grouping val="standard"/>
        <c:varyColors val="0"/>
        <c:ser>
          <c:idx val="0"/>
          <c:order val="0"/>
          <c:tx>
            <c:strRef>
              <c:f>Summary!$AG$25</c:f>
              <c:strCache>
                <c:ptCount val="1"/>
                <c:pt idx="0">
                  <c:v>LLM API</c:v>
                </c:pt>
              </c:strCache>
            </c:strRef>
          </c:tx>
          <c:spPr>
            <a:ln w="28575" cap="rnd">
              <a:noFill/>
              <a:round/>
            </a:ln>
            <a:effectLst/>
          </c:spPr>
          <c:marker>
            <c:symbol val="circle"/>
            <c:size val="5"/>
            <c:spPr>
              <a:solidFill>
                <a:schemeClr val="accent1">
                  <a:shade val="76000"/>
                </a:schemeClr>
              </a:solidFill>
              <a:ln w="9525">
                <a:solidFill>
                  <a:schemeClr val="accent1">
                    <a:shade val="76000"/>
                  </a:schemeClr>
                </a:solidFill>
              </a:ln>
              <a:effectLst/>
            </c:spPr>
          </c:marker>
          <c:cat>
            <c:numRef>
              <c:f>Summary!$AF$26:$AF$29</c:f>
              <c:numCache>
                <c:formatCode>m/d/yyyy</c:formatCode>
                <c:ptCount val="4"/>
                <c:pt idx="0">
                  <c:v>45657</c:v>
                </c:pt>
                <c:pt idx="1">
                  <c:v>45565</c:v>
                </c:pt>
                <c:pt idx="2">
                  <c:v>45473</c:v>
                </c:pt>
                <c:pt idx="3">
                  <c:v>45382</c:v>
                </c:pt>
              </c:numCache>
            </c:numRef>
          </c:cat>
          <c:val>
            <c:numRef>
              <c:f>Summary!$AG$26:$AG$29</c:f>
              <c:numCache>
                <c:formatCode>0</c:formatCode>
                <c:ptCount val="4"/>
                <c:pt idx="0">
                  <c:v>20</c:v>
                </c:pt>
                <c:pt idx="1">
                  <c:v>21</c:v>
                </c:pt>
                <c:pt idx="2">
                  <c:v>23</c:v>
                </c:pt>
                <c:pt idx="3">
                  <c:v>25</c:v>
                </c:pt>
              </c:numCache>
            </c:numRef>
          </c:val>
          <c:smooth val="0"/>
          <c:extLst>
            <c:ext xmlns:c16="http://schemas.microsoft.com/office/drawing/2014/chart" uri="{C3380CC4-5D6E-409C-BE32-E72D297353CC}">
              <c16:uniqueId val="{00000000-E073-4A9C-8F83-B75C4635F719}"/>
            </c:ext>
          </c:extLst>
        </c:ser>
        <c:ser>
          <c:idx val="1"/>
          <c:order val="1"/>
          <c:tx>
            <c:strRef>
              <c:f>Summary!$AH$25</c:f>
              <c:strCache>
                <c:ptCount val="1"/>
                <c:pt idx="0">
                  <c:v>Python Modules</c:v>
                </c:pt>
              </c:strCache>
            </c:strRef>
          </c:tx>
          <c:spPr>
            <a:ln w="25400" cap="rnd">
              <a:noFill/>
              <a:round/>
            </a:ln>
            <a:effectLst/>
          </c:spPr>
          <c:marker>
            <c:symbol val="circle"/>
            <c:size val="5"/>
            <c:spPr>
              <a:solidFill>
                <a:schemeClr val="accent1">
                  <a:tint val="77000"/>
                </a:schemeClr>
              </a:solidFill>
              <a:ln w="9525">
                <a:solidFill>
                  <a:schemeClr val="accent1">
                    <a:tint val="77000"/>
                  </a:schemeClr>
                </a:solidFill>
              </a:ln>
              <a:effectLst/>
            </c:spPr>
          </c:marker>
          <c:cat>
            <c:numRef>
              <c:f>Summary!$AF$26:$AF$29</c:f>
              <c:numCache>
                <c:formatCode>m/d/yyyy</c:formatCode>
                <c:ptCount val="4"/>
                <c:pt idx="0">
                  <c:v>45657</c:v>
                </c:pt>
                <c:pt idx="1">
                  <c:v>45565</c:v>
                </c:pt>
                <c:pt idx="2">
                  <c:v>45473</c:v>
                </c:pt>
                <c:pt idx="3">
                  <c:v>45382</c:v>
                </c:pt>
              </c:numCache>
            </c:numRef>
          </c:cat>
          <c:val>
            <c:numRef>
              <c:f>Summary!$AH$26:$AH$29</c:f>
              <c:numCache>
                <c:formatCode>0</c:formatCode>
                <c:ptCount val="4"/>
                <c:pt idx="0">
                  <c:v>-14</c:v>
                </c:pt>
                <c:pt idx="1">
                  <c:v>-21</c:v>
                </c:pt>
                <c:pt idx="2">
                  <c:v>2</c:v>
                </c:pt>
                <c:pt idx="3">
                  <c:v>-35</c:v>
                </c:pt>
              </c:numCache>
            </c:numRef>
          </c:val>
          <c:smooth val="0"/>
          <c:extLst>
            <c:ext xmlns:c16="http://schemas.microsoft.com/office/drawing/2014/chart" uri="{C3380CC4-5D6E-409C-BE32-E72D297353CC}">
              <c16:uniqueId val="{00000001-E073-4A9C-8F83-B75C4635F719}"/>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100"/>
          <c:min val="-5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25"/>
      </c:valAx>
      <c:spPr>
        <a:noFill/>
        <a:ln>
          <a:noFill/>
        </a:ln>
        <a:effectLst/>
      </c:spPr>
    </c:plotArea>
    <c:legend>
      <c:legendPos val="t"/>
      <c:layout>
        <c:manualLayout>
          <c:xMode val="edge"/>
          <c:yMode val="edge"/>
          <c:x val="0.24462174086591837"/>
          <c:y val="0.15715770529052148"/>
          <c:w val="0.58253857850512369"/>
          <c:h val="8.326537462891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(Presentation)</a:t>
            </a:r>
          </a:p>
        </c:rich>
      </c:tx>
      <c:layout>
        <c:manualLayout>
          <c:xMode val="edge"/>
          <c:yMode val="edge"/>
          <c:x val="0.18784571532454411"/>
          <c:y val="1.770302482728446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1649700154836657"/>
          <c:h val="0.739421726400594"/>
        </c:manualLayout>
      </c:layout>
      <c:lineChart>
        <c:grouping val="standard"/>
        <c:varyColors val="0"/>
        <c:ser>
          <c:idx val="0"/>
          <c:order val="0"/>
          <c:tx>
            <c:strRef>
              <c:f>Summary!$BI$25</c:f>
              <c:strCache>
                <c:ptCount val="1"/>
                <c:pt idx="0">
                  <c:v>Advanced Excel</c:v>
                </c:pt>
              </c:strCache>
            </c:strRef>
          </c:tx>
          <c:spPr>
            <a:ln w="28575" cap="rnd">
              <a:solidFill>
                <a:schemeClr val="accent1">
                  <a:shade val="76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Summary!$AF$26:$AF$29</c:f>
              <c:numCache>
                <c:formatCode>m/d/yyyy</c:formatCode>
                <c:ptCount val="4"/>
                <c:pt idx="0">
                  <c:v>45657</c:v>
                </c:pt>
                <c:pt idx="1">
                  <c:v>45565</c:v>
                </c:pt>
                <c:pt idx="2">
                  <c:v>45473</c:v>
                </c:pt>
                <c:pt idx="3">
                  <c:v>45382</c:v>
                </c:pt>
              </c:numCache>
            </c:numRef>
          </c:cat>
          <c:val>
            <c:numRef>
              <c:f>Summary!$BI$26:$BI$29</c:f>
              <c:numCache>
                <c:formatCode>0</c:formatCode>
                <c:ptCount val="4"/>
                <c:pt idx="0">
                  <c:v>304</c:v>
                </c:pt>
                <c:pt idx="1">
                  <c:v>228</c:v>
                </c:pt>
                <c:pt idx="2">
                  <c:v>152</c:v>
                </c:pt>
                <c:pt idx="3">
                  <c:v>76</c:v>
                </c:pt>
              </c:numCache>
            </c:numRef>
          </c:val>
          <c:smooth val="0"/>
          <c:extLst>
            <c:ext xmlns:c16="http://schemas.microsoft.com/office/drawing/2014/chart" uri="{C3380CC4-5D6E-409C-BE32-E72D297353CC}">
              <c16:uniqueId val="{00000000-5E59-4C5F-8895-60265E0F48C8}"/>
            </c:ext>
          </c:extLst>
        </c:ser>
        <c:ser>
          <c:idx val="1"/>
          <c:order val="1"/>
          <c:tx>
            <c:strRef>
              <c:f>Summary!$BJ$25</c:f>
              <c:strCache>
                <c:ptCount val="1"/>
                <c:pt idx="0">
                  <c:v>LLM API</c:v>
                </c:pt>
              </c:strCache>
            </c:strRef>
          </c:tx>
          <c:spPr>
            <a:ln w="28575" cap="rnd">
              <a:solidFill>
                <a:schemeClr val="accent1">
                  <a:tint val="77000"/>
                </a:schemeClr>
              </a:solidFill>
              <a:round/>
            </a:ln>
            <a:effectLst/>
          </c:spPr>
          <c:marker>
            <c:symbol val="circle"/>
            <c:size val="5"/>
            <c:spPr>
              <a:solidFill>
                <a:schemeClr val="accent1"/>
              </a:solidFill>
              <a:ln w="9525">
                <a:solidFill>
                  <a:schemeClr val="accent1"/>
                </a:solidFill>
              </a:ln>
              <a:effectLst/>
            </c:spPr>
          </c:marker>
          <c:cat>
            <c:numRef>
              <c:f>Summary!$AF$26:$AF$29</c:f>
              <c:numCache>
                <c:formatCode>m/d/yyyy</c:formatCode>
                <c:ptCount val="4"/>
                <c:pt idx="0">
                  <c:v>45657</c:v>
                </c:pt>
                <c:pt idx="1">
                  <c:v>45565</c:v>
                </c:pt>
                <c:pt idx="2">
                  <c:v>45473</c:v>
                </c:pt>
                <c:pt idx="3">
                  <c:v>45382</c:v>
                </c:pt>
              </c:numCache>
            </c:numRef>
          </c:cat>
          <c:val>
            <c:numRef>
              <c:f>Summary!$BJ$26:$BJ$29</c:f>
              <c:numCache>
                <c:formatCode>0</c:formatCode>
                <c:ptCount val="4"/>
                <c:pt idx="0">
                  <c:v>215</c:v>
                </c:pt>
                <c:pt idx="1">
                  <c:v>159</c:v>
                </c:pt>
                <c:pt idx="2" formatCode="General">
                  <c:v>104</c:v>
                </c:pt>
                <c:pt idx="3" formatCode="General">
                  <c:v>51</c:v>
                </c:pt>
              </c:numCache>
            </c:numRef>
          </c:val>
          <c:smooth val="0"/>
          <c:extLst>
            <c:ext xmlns:c16="http://schemas.microsoft.com/office/drawing/2014/chart" uri="{C3380CC4-5D6E-409C-BE32-E72D297353CC}">
              <c16:uniqueId val="{00000001-5E59-4C5F-8895-60265E0F48C8}"/>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50"/>
      </c:valAx>
      <c:spPr>
        <a:noFill/>
        <a:ln>
          <a:noFill/>
        </a:ln>
        <a:effectLst/>
      </c:spPr>
    </c:plotArea>
    <c:legend>
      <c:legendPos val="t"/>
      <c:layout>
        <c:manualLayout>
          <c:xMode val="edge"/>
          <c:yMode val="edge"/>
          <c:x val="0.13880121627231451"/>
          <c:y val="9.0400108872101398E-2"/>
          <c:w val="0.7553468651610612"/>
          <c:h val="7.05933412543766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(10-Q)</a:t>
            </a:r>
          </a:p>
        </c:rich>
      </c:tx>
      <c:layout>
        <c:manualLayout>
          <c:xMode val="edge"/>
          <c:yMode val="edge"/>
          <c:x val="0.23519476161384967"/>
          <c:y val="2.286338009638483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2378928287686748"/>
          <c:h val="0.72372870791808885"/>
        </c:manualLayout>
      </c:layout>
      <c:lineChart>
        <c:grouping val="standard"/>
        <c:varyColors val="0"/>
        <c:ser>
          <c:idx val="0"/>
          <c:order val="0"/>
          <c:tx>
            <c:strRef>
              <c:f>Summary!$AU$38</c:f>
              <c:strCache>
                <c:ptCount val="1"/>
                <c:pt idx="0">
                  <c:v>Advanced Excel</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Summary!$AF$39:$AF$42</c:f>
              <c:numCache>
                <c:formatCode>m/d/yyyy</c:formatCode>
                <c:ptCount val="4"/>
                <c:pt idx="0">
                  <c:v>45657</c:v>
                </c:pt>
                <c:pt idx="1">
                  <c:v>45565</c:v>
                </c:pt>
                <c:pt idx="2">
                  <c:v>45473</c:v>
                </c:pt>
                <c:pt idx="3">
                  <c:v>45382</c:v>
                </c:pt>
              </c:numCache>
            </c:numRef>
          </c:cat>
          <c:val>
            <c:numRef>
              <c:f>Summary!$AU$39:$AU$42</c:f>
              <c:numCache>
                <c:formatCode>0</c:formatCode>
                <c:ptCount val="4"/>
                <c:pt idx="0">
                  <c:v>544</c:v>
                </c:pt>
                <c:pt idx="1">
                  <c:v>408</c:v>
                </c:pt>
                <c:pt idx="2">
                  <c:v>272</c:v>
                </c:pt>
                <c:pt idx="3">
                  <c:v>136</c:v>
                </c:pt>
              </c:numCache>
            </c:numRef>
          </c:val>
          <c:smooth val="0"/>
          <c:extLst>
            <c:ext xmlns:c16="http://schemas.microsoft.com/office/drawing/2014/chart" uri="{C3380CC4-5D6E-409C-BE32-E72D297353CC}">
              <c16:uniqueId val="{00000000-0F34-47CF-A0A4-CCE1FB6D572F}"/>
            </c:ext>
          </c:extLst>
        </c:ser>
        <c:ser>
          <c:idx val="2"/>
          <c:order val="1"/>
          <c:tx>
            <c:strRef>
              <c:f>Summary!$AV$38</c:f>
              <c:strCache>
                <c:ptCount val="1"/>
                <c:pt idx="0">
                  <c:v>Python Modules</c:v>
                </c:pt>
              </c:strCache>
            </c:strRef>
          </c:tx>
          <c:spPr>
            <a:ln w="28575" cap="rnd">
              <a:solidFill>
                <a:schemeClr val="accent1">
                  <a:tint val="65000"/>
                </a:schemeClr>
              </a:solidFill>
              <a:round/>
            </a:ln>
            <a:effectLst/>
          </c:spPr>
          <c:marker>
            <c:symbol val="circle"/>
            <c:size val="5"/>
            <c:spPr>
              <a:solidFill>
                <a:schemeClr val="accent1"/>
              </a:solidFill>
              <a:ln w="9525">
                <a:solidFill>
                  <a:schemeClr val="accent1"/>
                </a:solidFill>
              </a:ln>
              <a:effectLst/>
            </c:spPr>
          </c:marker>
          <c:cat>
            <c:numRef>
              <c:f>Summary!$AF$39:$AF$42</c:f>
              <c:numCache>
                <c:formatCode>m/d/yyyy</c:formatCode>
                <c:ptCount val="4"/>
                <c:pt idx="0">
                  <c:v>45657</c:v>
                </c:pt>
                <c:pt idx="1">
                  <c:v>45565</c:v>
                </c:pt>
                <c:pt idx="2">
                  <c:v>45473</c:v>
                </c:pt>
                <c:pt idx="3">
                  <c:v>45382</c:v>
                </c:pt>
              </c:numCache>
            </c:numRef>
          </c:cat>
          <c:val>
            <c:numRef>
              <c:f>Summary!$AV$39:$AV$42</c:f>
              <c:numCache>
                <c:formatCode>0</c:formatCode>
                <c:ptCount val="4"/>
                <c:pt idx="0">
                  <c:v>882.36</c:v>
                </c:pt>
                <c:pt idx="1">
                  <c:v>657.52</c:v>
                </c:pt>
                <c:pt idx="2">
                  <c:v>424.68</c:v>
                </c:pt>
                <c:pt idx="3">
                  <c:v>210.84</c:v>
                </c:pt>
              </c:numCache>
            </c:numRef>
          </c:val>
          <c:smooth val="0"/>
          <c:extLst>
            <c:ext xmlns:c16="http://schemas.microsoft.com/office/drawing/2014/chart" uri="{C3380CC4-5D6E-409C-BE32-E72D297353CC}">
              <c16:uniqueId val="{00000002-0F34-47CF-A0A4-CCE1FB6D572F}"/>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10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4706354665358592"/>
          <c:y val="9.3326471284334439E-2"/>
          <c:w val="0.75387931405364006"/>
          <c:h val="7.40606361015225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(Presentation)</a:t>
            </a:r>
          </a:p>
        </c:rich>
      </c:tx>
      <c:layout>
        <c:manualLayout>
          <c:xMode val="edge"/>
          <c:yMode val="edge"/>
          <c:x val="0.18784579346936472"/>
          <c:y val="1.289714612217304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1649700154836657"/>
          <c:h val="0.739421726400594"/>
        </c:manualLayout>
      </c:layout>
      <c:lineChart>
        <c:grouping val="standard"/>
        <c:varyColors val="0"/>
        <c:ser>
          <c:idx val="0"/>
          <c:order val="0"/>
          <c:tx>
            <c:strRef>
              <c:f>Summary!$BI$25</c:f>
              <c:strCache>
                <c:ptCount val="1"/>
                <c:pt idx="0">
                  <c:v>Advanced Excel</c:v>
                </c:pt>
              </c:strCache>
            </c:strRef>
          </c:tx>
          <c:spPr>
            <a:ln w="28575" cap="rnd">
              <a:solidFill>
                <a:schemeClr val="accent1">
                  <a:shade val="76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Summary!$AF$39:$AF$42</c:f>
              <c:numCache>
                <c:formatCode>m/d/yyyy</c:formatCode>
                <c:ptCount val="4"/>
                <c:pt idx="0">
                  <c:v>45657</c:v>
                </c:pt>
                <c:pt idx="1">
                  <c:v>45565</c:v>
                </c:pt>
                <c:pt idx="2">
                  <c:v>45473</c:v>
                </c:pt>
                <c:pt idx="3">
                  <c:v>45382</c:v>
                </c:pt>
              </c:numCache>
            </c:numRef>
          </c:cat>
          <c:val>
            <c:numRef>
              <c:f>Summary!$BI$39:$BI$42</c:f>
              <c:numCache>
                <c:formatCode>0</c:formatCode>
                <c:ptCount val="4"/>
                <c:pt idx="0">
                  <c:v>544</c:v>
                </c:pt>
                <c:pt idx="1">
                  <c:v>408</c:v>
                </c:pt>
                <c:pt idx="2">
                  <c:v>272</c:v>
                </c:pt>
                <c:pt idx="3">
                  <c:v>136</c:v>
                </c:pt>
              </c:numCache>
            </c:numRef>
          </c:val>
          <c:smooth val="0"/>
          <c:extLst>
            <c:ext xmlns:c16="http://schemas.microsoft.com/office/drawing/2014/chart" uri="{C3380CC4-5D6E-409C-BE32-E72D297353CC}">
              <c16:uniqueId val="{00000000-3CEC-4960-B458-B13FF2532A53}"/>
            </c:ext>
          </c:extLst>
        </c:ser>
        <c:ser>
          <c:idx val="1"/>
          <c:order val="1"/>
          <c:tx>
            <c:strRef>
              <c:f>Summary!$BJ$25</c:f>
              <c:strCache>
                <c:ptCount val="1"/>
                <c:pt idx="0">
                  <c:v>LLM API</c:v>
                </c:pt>
              </c:strCache>
            </c:strRef>
          </c:tx>
          <c:spPr>
            <a:ln w="28575" cap="rnd">
              <a:solidFill>
                <a:schemeClr val="accent1">
                  <a:tint val="77000"/>
                </a:schemeClr>
              </a:solidFill>
              <a:round/>
            </a:ln>
            <a:effectLst/>
          </c:spPr>
          <c:marker>
            <c:symbol val="circle"/>
            <c:size val="5"/>
            <c:spPr>
              <a:solidFill>
                <a:schemeClr val="accent1"/>
              </a:solidFill>
              <a:ln w="9525">
                <a:solidFill>
                  <a:schemeClr val="accent1"/>
                </a:solidFill>
              </a:ln>
              <a:effectLst/>
            </c:spPr>
          </c:marker>
          <c:cat>
            <c:numRef>
              <c:f>Summary!$AF$39:$AF$42</c:f>
              <c:numCache>
                <c:formatCode>m/d/yyyy</c:formatCode>
                <c:ptCount val="4"/>
                <c:pt idx="0">
                  <c:v>45657</c:v>
                </c:pt>
                <c:pt idx="1">
                  <c:v>45565</c:v>
                </c:pt>
                <c:pt idx="2">
                  <c:v>45473</c:v>
                </c:pt>
                <c:pt idx="3">
                  <c:v>45382</c:v>
                </c:pt>
              </c:numCache>
            </c:numRef>
          </c:cat>
          <c:val>
            <c:numRef>
              <c:f>Summary!$BJ$39:$BJ$42</c:f>
              <c:numCache>
                <c:formatCode>0</c:formatCode>
                <c:ptCount val="4"/>
                <c:pt idx="0">
                  <c:v>445.66666666666669</c:v>
                </c:pt>
                <c:pt idx="1">
                  <c:v>336.66666666666669</c:v>
                </c:pt>
                <c:pt idx="2" formatCode="General">
                  <c:v>224</c:v>
                </c:pt>
                <c:pt idx="3" formatCode="General">
                  <c:v>119</c:v>
                </c:pt>
              </c:numCache>
            </c:numRef>
          </c:val>
          <c:smooth val="0"/>
          <c:extLst>
            <c:ext xmlns:c16="http://schemas.microsoft.com/office/drawing/2014/chart" uri="{C3380CC4-5D6E-409C-BE32-E72D297353CC}">
              <c16:uniqueId val="{00000001-3CEC-4960-B458-B13FF2532A53}"/>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6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1756949736121694"/>
          <c:y val="8.5798525265164641E-2"/>
          <c:w val="0.7553468651610612"/>
          <c:h val="6.57874232764976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Extraction Time Saving vs Manual</a:t>
            </a:r>
          </a:p>
        </c:rich>
      </c:tx>
      <c:layout>
        <c:manualLayout>
          <c:xMode val="edge"/>
          <c:yMode val="edge"/>
          <c:x val="0.24463438528167017"/>
          <c:y val="3.238413492911488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3839488337969137"/>
          <c:h val="0.75814401600899661"/>
        </c:manualLayout>
      </c:layout>
      <c:lineChart>
        <c:grouping val="standard"/>
        <c:varyColors val="0"/>
        <c:ser>
          <c:idx val="0"/>
          <c:order val="0"/>
          <c:tx>
            <c:strRef>
              <c:f>Summary!$AG$38</c:f>
              <c:strCache>
                <c:ptCount val="1"/>
                <c:pt idx="0">
                  <c:v>LLM API</c:v>
                </c:pt>
              </c:strCache>
            </c:strRef>
          </c:tx>
          <c:spPr>
            <a:ln w="25400" cap="rnd">
              <a:noFill/>
              <a:round/>
            </a:ln>
            <a:effectLst/>
          </c:spPr>
          <c:marker>
            <c:symbol val="circle"/>
            <c:size val="5"/>
            <c:spPr>
              <a:solidFill>
                <a:schemeClr val="accent1">
                  <a:shade val="76000"/>
                </a:schemeClr>
              </a:solidFill>
              <a:ln w="9525">
                <a:solidFill>
                  <a:schemeClr val="accent1">
                    <a:shade val="76000"/>
                  </a:schemeClr>
                </a:solidFill>
              </a:ln>
              <a:effectLst/>
            </c:spPr>
          </c:marker>
          <c:cat>
            <c:numRef>
              <c:f>Summary!$AF$26:$AF$29</c:f>
              <c:numCache>
                <c:formatCode>m/d/yyyy</c:formatCode>
                <c:ptCount val="4"/>
                <c:pt idx="0">
                  <c:v>45657</c:v>
                </c:pt>
                <c:pt idx="1">
                  <c:v>45565</c:v>
                </c:pt>
                <c:pt idx="2">
                  <c:v>45473</c:v>
                </c:pt>
                <c:pt idx="3">
                  <c:v>45382</c:v>
                </c:pt>
              </c:numCache>
            </c:numRef>
          </c:cat>
          <c:val>
            <c:numRef>
              <c:f>Summary!$AG$180:$AG$183</c:f>
              <c:numCache>
                <c:formatCode>0</c:formatCode>
                <c:ptCount val="4"/>
                <c:pt idx="0">
                  <c:v>55</c:v>
                </c:pt>
                <c:pt idx="1">
                  <c:v>56</c:v>
                </c:pt>
                <c:pt idx="2">
                  <c:v>51</c:v>
                </c:pt>
                <c:pt idx="3">
                  <c:v>59</c:v>
                </c:pt>
              </c:numCache>
            </c:numRef>
          </c:val>
          <c:smooth val="0"/>
          <c:extLst>
            <c:ext xmlns:c16="http://schemas.microsoft.com/office/drawing/2014/chart" uri="{C3380CC4-5D6E-409C-BE32-E72D297353CC}">
              <c16:uniqueId val="{00000000-FCC9-4F5F-9BA7-8327FB5EDDC5}"/>
            </c:ext>
          </c:extLst>
        </c:ser>
        <c:ser>
          <c:idx val="1"/>
          <c:order val="1"/>
          <c:tx>
            <c:strRef>
              <c:f>Summary!$AH$38</c:f>
              <c:strCache>
                <c:ptCount val="1"/>
                <c:pt idx="0">
                  <c:v>Python Modules</c:v>
                </c:pt>
              </c:strCache>
            </c:strRef>
          </c:tx>
          <c:spPr>
            <a:ln w="25400" cap="rnd">
              <a:noFill/>
              <a:round/>
            </a:ln>
            <a:effectLst/>
          </c:spPr>
          <c:marker>
            <c:symbol val="circle"/>
            <c:size val="5"/>
            <c:spPr>
              <a:solidFill>
                <a:schemeClr val="accent1">
                  <a:tint val="77000"/>
                </a:schemeClr>
              </a:solidFill>
              <a:ln w="9525">
                <a:solidFill>
                  <a:schemeClr val="accent1">
                    <a:tint val="77000"/>
                  </a:schemeClr>
                </a:solidFill>
              </a:ln>
              <a:effectLst/>
            </c:spPr>
          </c:marker>
          <c:cat>
            <c:numRef>
              <c:f>Summary!$AF$26:$AF$29</c:f>
              <c:numCache>
                <c:formatCode>m/d/yyyy</c:formatCode>
                <c:ptCount val="4"/>
                <c:pt idx="0">
                  <c:v>45657</c:v>
                </c:pt>
                <c:pt idx="1">
                  <c:v>45565</c:v>
                </c:pt>
                <c:pt idx="2">
                  <c:v>45473</c:v>
                </c:pt>
                <c:pt idx="3">
                  <c:v>45382</c:v>
                </c:pt>
              </c:numCache>
            </c:numRef>
          </c:cat>
          <c:val>
            <c:numRef>
              <c:f>Summary!$AH$180:$AH$183</c:f>
              <c:numCache>
                <c:formatCode>0</c:formatCode>
                <c:ptCount val="4"/>
                <c:pt idx="0">
                  <c:v>-51.680000000000007</c:v>
                </c:pt>
                <c:pt idx="1">
                  <c:v>31.773333333333326</c:v>
                </c:pt>
                <c:pt idx="2">
                  <c:v>82</c:v>
                </c:pt>
                <c:pt idx="3">
                  <c:v>82</c:v>
                </c:pt>
              </c:numCache>
            </c:numRef>
          </c:val>
          <c:smooth val="0"/>
          <c:extLst>
            <c:ext xmlns:c16="http://schemas.microsoft.com/office/drawing/2014/chart" uri="{C3380CC4-5D6E-409C-BE32-E72D297353CC}">
              <c16:uniqueId val="{00000001-FCC9-4F5F-9BA7-8327FB5EDDC5}"/>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15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25"/>
      </c:valAx>
      <c:spPr>
        <a:noFill/>
        <a:ln>
          <a:noFill/>
        </a:ln>
        <a:effectLst/>
      </c:spPr>
    </c:plotArea>
    <c:legend>
      <c:legendPos val="t"/>
      <c:layout>
        <c:manualLayout>
          <c:xMode val="edge"/>
          <c:yMode val="edge"/>
          <c:x val="0.2445986655223267"/>
          <c:y val="9.0275370345110878E-2"/>
          <c:w val="0.58253857850512369"/>
          <c:h val="8.326537462891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(10-Q)</a:t>
            </a:r>
          </a:p>
        </c:rich>
      </c:tx>
      <c:layout>
        <c:manualLayout>
          <c:xMode val="edge"/>
          <c:yMode val="edge"/>
          <c:x val="0.23519476161384967"/>
          <c:y val="2.286338009638483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2378928287686748"/>
          <c:h val="0.72372870791808885"/>
        </c:manualLayout>
      </c:layout>
      <c:lineChart>
        <c:grouping val="standard"/>
        <c:varyColors val="0"/>
        <c:ser>
          <c:idx val="0"/>
          <c:order val="0"/>
          <c:tx>
            <c:strRef>
              <c:f>Summary!$AU$38</c:f>
              <c:strCache>
                <c:ptCount val="1"/>
                <c:pt idx="0">
                  <c:v>Advanced Excel</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Summary!$AF$180:$AF$183</c:f>
              <c:numCache>
                <c:formatCode>m/d/yyyy</c:formatCode>
                <c:ptCount val="4"/>
                <c:pt idx="0">
                  <c:v>45657</c:v>
                </c:pt>
                <c:pt idx="1">
                  <c:v>45565</c:v>
                </c:pt>
                <c:pt idx="2">
                  <c:v>45473</c:v>
                </c:pt>
                <c:pt idx="3">
                  <c:v>45382</c:v>
                </c:pt>
              </c:numCache>
            </c:numRef>
          </c:cat>
          <c:val>
            <c:numRef>
              <c:f>Summary!$AU$180:$AU$183</c:f>
              <c:numCache>
                <c:formatCode>0</c:formatCode>
                <c:ptCount val="4"/>
                <c:pt idx="0">
                  <c:v>484</c:v>
                </c:pt>
                <c:pt idx="1">
                  <c:v>363</c:v>
                </c:pt>
                <c:pt idx="2">
                  <c:v>242</c:v>
                </c:pt>
                <c:pt idx="3">
                  <c:v>121</c:v>
                </c:pt>
              </c:numCache>
            </c:numRef>
          </c:val>
          <c:smooth val="0"/>
          <c:extLst>
            <c:ext xmlns:c16="http://schemas.microsoft.com/office/drawing/2014/chart" uri="{C3380CC4-5D6E-409C-BE32-E72D297353CC}">
              <c16:uniqueId val="{00000000-78FB-47ED-9A66-6E676584AB75}"/>
            </c:ext>
          </c:extLst>
        </c:ser>
        <c:ser>
          <c:idx val="2"/>
          <c:order val="1"/>
          <c:tx>
            <c:strRef>
              <c:f>Summary!$AV$38</c:f>
              <c:strCache>
                <c:ptCount val="1"/>
                <c:pt idx="0">
                  <c:v>Python Modules</c:v>
                </c:pt>
              </c:strCache>
            </c:strRef>
          </c:tx>
          <c:spPr>
            <a:ln w="28575" cap="rnd">
              <a:solidFill>
                <a:schemeClr val="accent1">
                  <a:tint val="65000"/>
                </a:schemeClr>
              </a:solidFill>
              <a:round/>
            </a:ln>
            <a:effectLst/>
          </c:spPr>
          <c:marker>
            <c:symbol val="circle"/>
            <c:size val="5"/>
            <c:spPr>
              <a:solidFill>
                <a:schemeClr val="accent1"/>
              </a:solidFill>
              <a:ln w="9525">
                <a:solidFill>
                  <a:schemeClr val="accent1"/>
                </a:solidFill>
              </a:ln>
              <a:effectLst/>
            </c:spPr>
          </c:marker>
          <c:cat>
            <c:numRef>
              <c:f>Summary!$AF$180:$AF$183</c:f>
              <c:numCache>
                <c:formatCode>m/d/yyyy</c:formatCode>
                <c:ptCount val="4"/>
                <c:pt idx="0">
                  <c:v>45657</c:v>
                </c:pt>
                <c:pt idx="1">
                  <c:v>45565</c:v>
                </c:pt>
                <c:pt idx="2">
                  <c:v>45473</c:v>
                </c:pt>
                <c:pt idx="3">
                  <c:v>45382</c:v>
                </c:pt>
              </c:numCache>
            </c:numRef>
          </c:cat>
          <c:val>
            <c:numRef>
              <c:f>Summary!$AV$180:$AV$183</c:f>
              <c:numCache>
                <c:formatCode>0</c:formatCode>
                <c:ptCount val="4"/>
                <c:pt idx="0">
                  <c:v>339.90666666666669</c:v>
                </c:pt>
                <c:pt idx="1">
                  <c:v>167.22666666666669</c:v>
                </c:pt>
                <c:pt idx="2">
                  <c:v>78</c:v>
                </c:pt>
                <c:pt idx="3">
                  <c:v>39</c:v>
                </c:pt>
              </c:numCache>
            </c:numRef>
          </c:val>
          <c:smooth val="0"/>
          <c:extLst>
            <c:ext xmlns:c16="http://schemas.microsoft.com/office/drawing/2014/chart" uri="{C3380CC4-5D6E-409C-BE32-E72D297353CC}">
              <c16:uniqueId val="{00000002-78FB-47ED-9A66-6E676584AB75}"/>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600"/>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6064586526168048"/>
          <c:y val="9.345401263346817E-2"/>
          <c:w val="0.75387931405364006"/>
          <c:h val="6.9454186796590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(Presentation)</a:t>
            </a:r>
          </a:p>
        </c:rich>
      </c:tx>
      <c:layout>
        <c:manualLayout>
          <c:xMode val="edge"/>
          <c:yMode val="edge"/>
          <c:x val="0.18784579346936472"/>
          <c:y val="2.280252406463359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1649700154836657"/>
          <c:h val="0.74922821751062108"/>
        </c:manualLayout>
      </c:layout>
      <c:lineChart>
        <c:grouping val="standard"/>
        <c:varyColors val="0"/>
        <c:ser>
          <c:idx val="0"/>
          <c:order val="0"/>
          <c:tx>
            <c:strRef>
              <c:f>Summary!$BI$25</c:f>
              <c:strCache>
                <c:ptCount val="1"/>
                <c:pt idx="0">
                  <c:v>Advanced Excel</c:v>
                </c:pt>
              </c:strCache>
            </c:strRef>
          </c:tx>
          <c:spPr>
            <a:ln w="28575" cap="rnd">
              <a:solidFill>
                <a:schemeClr val="accent1">
                  <a:shade val="76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Summary!$AF$180:$AF$183</c:f>
              <c:numCache>
                <c:formatCode>m/d/yyyy</c:formatCode>
                <c:ptCount val="4"/>
                <c:pt idx="0">
                  <c:v>45657</c:v>
                </c:pt>
                <c:pt idx="1">
                  <c:v>45565</c:v>
                </c:pt>
                <c:pt idx="2">
                  <c:v>45473</c:v>
                </c:pt>
                <c:pt idx="3">
                  <c:v>45382</c:v>
                </c:pt>
              </c:numCache>
            </c:numRef>
          </c:cat>
          <c:val>
            <c:numRef>
              <c:f>Summary!$BI$180:$BI$183</c:f>
              <c:numCache>
                <c:formatCode>0</c:formatCode>
                <c:ptCount val="4"/>
                <c:pt idx="0">
                  <c:v>484</c:v>
                </c:pt>
                <c:pt idx="1">
                  <c:v>363</c:v>
                </c:pt>
                <c:pt idx="2">
                  <c:v>242</c:v>
                </c:pt>
                <c:pt idx="3">
                  <c:v>121</c:v>
                </c:pt>
              </c:numCache>
            </c:numRef>
          </c:val>
          <c:smooth val="0"/>
          <c:extLst>
            <c:ext xmlns:c16="http://schemas.microsoft.com/office/drawing/2014/chart" uri="{C3380CC4-5D6E-409C-BE32-E72D297353CC}">
              <c16:uniqueId val="{00000000-610F-4B8D-B745-4D10F41E6EF0}"/>
            </c:ext>
          </c:extLst>
        </c:ser>
        <c:ser>
          <c:idx val="1"/>
          <c:order val="1"/>
          <c:tx>
            <c:strRef>
              <c:f>Summary!$BJ$25</c:f>
              <c:strCache>
                <c:ptCount val="1"/>
                <c:pt idx="0">
                  <c:v>LLM API</c:v>
                </c:pt>
              </c:strCache>
            </c:strRef>
          </c:tx>
          <c:spPr>
            <a:ln w="28575" cap="rnd">
              <a:solidFill>
                <a:schemeClr val="accent1">
                  <a:tint val="77000"/>
                </a:schemeClr>
              </a:solidFill>
              <a:round/>
            </a:ln>
            <a:effectLst/>
          </c:spPr>
          <c:marker>
            <c:symbol val="circle"/>
            <c:size val="5"/>
            <c:spPr>
              <a:solidFill>
                <a:schemeClr val="accent1"/>
              </a:solidFill>
              <a:ln w="9525">
                <a:solidFill>
                  <a:schemeClr val="accent1"/>
                </a:solidFill>
              </a:ln>
              <a:effectLst/>
            </c:spPr>
          </c:marker>
          <c:cat>
            <c:numRef>
              <c:f>Summary!$AF$180:$AF$183</c:f>
              <c:numCache>
                <c:formatCode>m/d/yyyy</c:formatCode>
                <c:ptCount val="4"/>
                <c:pt idx="0">
                  <c:v>45657</c:v>
                </c:pt>
                <c:pt idx="1">
                  <c:v>45565</c:v>
                </c:pt>
                <c:pt idx="2">
                  <c:v>45473</c:v>
                </c:pt>
                <c:pt idx="3">
                  <c:v>45382</c:v>
                </c:pt>
              </c:numCache>
            </c:numRef>
          </c:cat>
          <c:val>
            <c:numRef>
              <c:f>Summary!$BJ$180:$BJ$183</c:f>
              <c:numCache>
                <c:formatCode>0</c:formatCode>
                <c:ptCount val="4"/>
                <c:pt idx="0">
                  <c:v>263</c:v>
                </c:pt>
                <c:pt idx="1">
                  <c:v>197</c:v>
                </c:pt>
                <c:pt idx="2" formatCode="General">
                  <c:v>132</c:v>
                </c:pt>
                <c:pt idx="3" formatCode="General">
                  <c:v>62</c:v>
                </c:pt>
              </c:numCache>
            </c:numRef>
          </c:val>
          <c:smooth val="0"/>
          <c:extLst>
            <c:ext xmlns:c16="http://schemas.microsoft.com/office/drawing/2014/chart" uri="{C3380CC4-5D6E-409C-BE32-E72D297353CC}">
              <c16:uniqueId val="{00000001-610F-4B8D-B745-4D10F41E6EF0}"/>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6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4624333248666496"/>
          <c:y val="9.0938679004890902E-2"/>
          <c:w val="0.7553468651610612"/>
          <c:h val="6.58860557165956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Extraction Time Saving vs Manual</a:t>
            </a:r>
          </a:p>
        </c:rich>
      </c:tx>
      <c:layout>
        <c:manualLayout>
          <c:xMode val="edge"/>
          <c:yMode val="edge"/>
          <c:x val="0.24463438528167017"/>
          <c:y val="3.238413492911488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3839488337969137"/>
          <c:h val="0.75814401600899661"/>
        </c:manualLayout>
      </c:layout>
      <c:lineChart>
        <c:grouping val="standard"/>
        <c:varyColors val="0"/>
        <c:ser>
          <c:idx val="0"/>
          <c:order val="0"/>
          <c:tx>
            <c:strRef>
              <c:f>Summary!$AG$38</c:f>
              <c:strCache>
                <c:ptCount val="1"/>
                <c:pt idx="0">
                  <c:v>LLM API</c:v>
                </c:pt>
              </c:strCache>
            </c:strRef>
          </c:tx>
          <c:spPr>
            <a:ln w="25400" cap="rnd">
              <a:noFill/>
              <a:round/>
            </a:ln>
            <a:effectLst/>
          </c:spPr>
          <c:marker>
            <c:symbol val="circle"/>
            <c:size val="5"/>
            <c:spPr>
              <a:solidFill>
                <a:schemeClr val="accent1">
                  <a:shade val="76000"/>
                </a:schemeClr>
              </a:solidFill>
              <a:ln w="9525">
                <a:solidFill>
                  <a:schemeClr val="accent1">
                    <a:shade val="76000"/>
                  </a:schemeClr>
                </a:solidFill>
              </a:ln>
              <a:effectLst/>
            </c:spPr>
          </c:marker>
          <c:cat>
            <c:numRef>
              <c:f>Summary!$AF$26:$AF$29</c:f>
              <c:numCache>
                <c:formatCode>m/d/yyyy</c:formatCode>
                <c:ptCount val="4"/>
                <c:pt idx="0">
                  <c:v>45657</c:v>
                </c:pt>
                <c:pt idx="1">
                  <c:v>45565</c:v>
                </c:pt>
                <c:pt idx="2">
                  <c:v>45473</c:v>
                </c:pt>
                <c:pt idx="3">
                  <c:v>45382</c:v>
                </c:pt>
              </c:numCache>
            </c:numRef>
          </c:cat>
          <c:val>
            <c:numRef>
              <c:f>Summary!$AG$105:$AG$108</c:f>
              <c:numCache>
                <c:formatCode>0</c:formatCode>
                <c:ptCount val="4"/>
                <c:pt idx="0">
                  <c:v>32</c:v>
                </c:pt>
                <c:pt idx="1">
                  <c:v>30</c:v>
                </c:pt>
                <c:pt idx="2">
                  <c:v>33</c:v>
                </c:pt>
                <c:pt idx="3">
                  <c:v>29</c:v>
                </c:pt>
              </c:numCache>
            </c:numRef>
          </c:val>
          <c:smooth val="0"/>
          <c:extLst>
            <c:ext xmlns:c16="http://schemas.microsoft.com/office/drawing/2014/chart" uri="{C3380CC4-5D6E-409C-BE32-E72D297353CC}">
              <c16:uniqueId val="{00000000-0E02-4BE9-B8C5-CBC3E5B42858}"/>
            </c:ext>
          </c:extLst>
        </c:ser>
        <c:ser>
          <c:idx val="1"/>
          <c:order val="1"/>
          <c:tx>
            <c:strRef>
              <c:f>Summary!$AH$38</c:f>
              <c:strCache>
                <c:ptCount val="1"/>
                <c:pt idx="0">
                  <c:v>Python Modules</c:v>
                </c:pt>
              </c:strCache>
            </c:strRef>
          </c:tx>
          <c:spPr>
            <a:ln w="25400" cap="rnd">
              <a:noFill/>
              <a:round/>
            </a:ln>
            <a:effectLst/>
          </c:spPr>
          <c:marker>
            <c:symbol val="circle"/>
            <c:size val="5"/>
            <c:spPr>
              <a:solidFill>
                <a:schemeClr val="accent1">
                  <a:tint val="77000"/>
                </a:schemeClr>
              </a:solidFill>
              <a:ln w="9525">
                <a:solidFill>
                  <a:schemeClr val="accent1">
                    <a:tint val="77000"/>
                  </a:schemeClr>
                </a:solidFill>
              </a:ln>
              <a:effectLst/>
            </c:spPr>
          </c:marker>
          <c:cat>
            <c:numRef>
              <c:f>Summary!$AF$26:$AF$29</c:f>
              <c:numCache>
                <c:formatCode>m/d/yyyy</c:formatCode>
                <c:ptCount val="4"/>
                <c:pt idx="0">
                  <c:v>45657</c:v>
                </c:pt>
                <c:pt idx="1">
                  <c:v>45565</c:v>
                </c:pt>
                <c:pt idx="2">
                  <c:v>45473</c:v>
                </c:pt>
                <c:pt idx="3">
                  <c:v>45382</c:v>
                </c:pt>
              </c:numCache>
            </c:numRef>
          </c:cat>
          <c:val>
            <c:numRef>
              <c:f>Summary!$AH$105:$AH$108</c:f>
              <c:numCache>
                <c:formatCode>0</c:formatCode>
                <c:ptCount val="4"/>
                <c:pt idx="0">
                  <c:v>-104</c:v>
                </c:pt>
                <c:pt idx="1">
                  <c:v>-18.666666666666657</c:v>
                </c:pt>
                <c:pt idx="2">
                  <c:v>27</c:v>
                </c:pt>
                <c:pt idx="3">
                  <c:v>24</c:v>
                </c:pt>
              </c:numCache>
            </c:numRef>
          </c:val>
          <c:smooth val="0"/>
          <c:extLst>
            <c:ext xmlns:c16="http://schemas.microsoft.com/office/drawing/2014/chart" uri="{C3380CC4-5D6E-409C-BE32-E72D297353CC}">
              <c16:uniqueId val="{00000001-0E02-4BE9-B8C5-CBC3E5B42858}"/>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2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50"/>
      </c:valAx>
      <c:spPr>
        <a:noFill/>
        <a:ln>
          <a:noFill/>
        </a:ln>
        <a:effectLst/>
      </c:spPr>
    </c:plotArea>
    <c:legend>
      <c:legendPos val="t"/>
      <c:layout>
        <c:manualLayout>
          <c:xMode val="edge"/>
          <c:yMode val="edge"/>
          <c:x val="0.2445986655223267"/>
          <c:y val="9.0275370345110878E-2"/>
          <c:w val="0.58253857850512369"/>
          <c:h val="8.326537462891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(10-Q)</a:t>
            </a:r>
          </a:p>
        </c:rich>
      </c:tx>
      <c:layout>
        <c:manualLayout>
          <c:xMode val="edge"/>
          <c:yMode val="edge"/>
          <c:x val="0.23519476161384967"/>
          <c:y val="2.286338009638483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2378928287686748"/>
          <c:h val="0.72372870791808885"/>
        </c:manualLayout>
      </c:layout>
      <c:lineChart>
        <c:grouping val="standard"/>
        <c:varyColors val="0"/>
        <c:ser>
          <c:idx val="0"/>
          <c:order val="0"/>
          <c:tx>
            <c:strRef>
              <c:f>Summary!$AU$38</c:f>
              <c:strCache>
                <c:ptCount val="1"/>
                <c:pt idx="0">
                  <c:v>Advanced Excel</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Summary!$AF$105:$AF$108</c:f>
              <c:numCache>
                <c:formatCode>m/d/yyyy</c:formatCode>
                <c:ptCount val="4"/>
                <c:pt idx="0">
                  <c:v>45657</c:v>
                </c:pt>
                <c:pt idx="1">
                  <c:v>45565</c:v>
                </c:pt>
                <c:pt idx="2">
                  <c:v>45473</c:v>
                </c:pt>
                <c:pt idx="3">
                  <c:v>45382</c:v>
                </c:pt>
              </c:numCache>
            </c:numRef>
          </c:cat>
          <c:val>
            <c:numRef>
              <c:f>Summary!$AU$105:$AU$108</c:f>
              <c:numCache>
                <c:formatCode>0</c:formatCode>
                <c:ptCount val="4"/>
                <c:pt idx="0">
                  <c:v>224</c:v>
                </c:pt>
                <c:pt idx="1">
                  <c:v>168</c:v>
                </c:pt>
                <c:pt idx="2">
                  <c:v>112</c:v>
                </c:pt>
                <c:pt idx="3">
                  <c:v>56</c:v>
                </c:pt>
              </c:numCache>
            </c:numRef>
          </c:val>
          <c:smooth val="0"/>
          <c:extLst>
            <c:ext xmlns:c16="http://schemas.microsoft.com/office/drawing/2014/chart" uri="{C3380CC4-5D6E-409C-BE32-E72D297353CC}">
              <c16:uniqueId val="{00000000-573E-4067-81F0-C63AEA160E64}"/>
            </c:ext>
          </c:extLst>
        </c:ser>
        <c:ser>
          <c:idx val="2"/>
          <c:order val="1"/>
          <c:tx>
            <c:strRef>
              <c:f>Summary!$AV$38</c:f>
              <c:strCache>
                <c:ptCount val="1"/>
                <c:pt idx="0">
                  <c:v>Python Modules</c:v>
                </c:pt>
              </c:strCache>
            </c:strRef>
          </c:tx>
          <c:spPr>
            <a:ln w="28575" cap="rnd">
              <a:solidFill>
                <a:schemeClr val="accent1">
                  <a:tint val="65000"/>
                </a:schemeClr>
              </a:solidFill>
              <a:round/>
            </a:ln>
            <a:effectLst/>
          </c:spPr>
          <c:marker>
            <c:symbol val="circle"/>
            <c:size val="5"/>
            <c:spPr>
              <a:solidFill>
                <a:schemeClr val="accent1"/>
              </a:solidFill>
              <a:ln w="9525">
                <a:solidFill>
                  <a:schemeClr val="accent1"/>
                </a:solidFill>
              </a:ln>
              <a:effectLst/>
            </c:spPr>
          </c:marker>
          <c:cat>
            <c:numRef>
              <c:f>Summary!$AF$105:$AF$108</c:f>
              <c:numCache>
                <c:formatCode>m/d/yyyy</c:formatCode>
                <c:ptCount val="4"/>
                <c:pt idx="0">
                  <c:v>45657</c:v>
                </c:pt>
                <c:pt idx="1">
                  <c:v>45565</c:v>
                </c:pt>
                <c:pt idx="2">
                  <c:v>45473</c:v>
                </c:pt>
                <c:pt idx="3">
                  <c:v>45382</c:v>
                </c:pt>
              </c:numCache>
            </c:numRef>
          </c:cat>
          <c:val>
            <c:numRef>
              <c:f>Summary!$AV$105:$AV$108</c:f>
              <c:numCache>
                <c:formatCode>0</c:formatCode>
                <c:ptCount val="4"/>
                <c:pt idx="0">
                  <c:v>295.66666666666663</c:v>
                </c:pt>
                <c:pt idx="1">
                  <c:v>135.66666666666666</c:v>
                </c:pt>
                <c:pt idx="2">
                  <c:v>61</c:v>
                </c:pt>
                <c:pt idx="3">
                  <c:v>32</c:v>
                </c:pt>
              </c:numCache>
            </c:numRef>
          </c:val>
          <c:smooth val="0"/>
          <c:extLst>
            <c:ext xmlns:c16="http://schemas.microsoft.com/office/drawing/2014/chart" uri="{C3380CC4-5D6E-409C-BE32-E72D297353CC}">
              <c16:uniqueId val="{00000002-573E-4067-81F0-C63AEA160E64}"/>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35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50"/>
      </c:valAx>
      <c:spPr>
        <a:noFill/>
        <a:ln>
          <a:noFill/>
        </a:ln>
        <a:effectLst/>
      </c:spPr>
    </c:plotArea>
    <c:legend>
      <c:legendPos val="t"/>
      <c:layout>
        <c:manualLayout>
          <c:xMode val="edge"/>
          <c:yMode val="edge"/>
          <c:x val="0.15699622707876351"/>
          <c:y val="7.9195846770325221E-2"/>
          <c:w val="0.75387931405364006"/>
          <c:h val="8.35126158939494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(Presentation)</a:t>
            </a:r>
          </a:p>
        </c:rich>
      </c:tx>
      <c:layout>
        <c:manualLayout>
          <c:xMode val="edge"/>
          <c:yMode val="edge"/>
          <c:x val="0.18784579346936472"/>
          <c:y val="1.306757289446778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1649700154836657"/>
          <c:h val="0.739421726400594"/>
        </c:manualLayout>
      </c:layout>
      <c:lineChart>
        <c:grouping val="standard"/>
        <c:varyColors val="0"/>
        <c:ser>
          <c:idx val="0"/>
          <c:order val="0"/>
          <c:tx>
            <c:strRef>
              <c:f>Summary!$BI$25</c:f>
              <c:strCache>
                <c:ptCount val="1"/>
                <c:pt idx="0">
                  <c:v>Advanced Excel</c:v>
                </c:pt>
              </c:strCache>
            </c:strRef>
          </c:tx>
          <c:spPr>
            <a:ln w="28575" cap="rnd">
              <a:solidFill>
                <a:schemeClr val="accent1">
                  <a:shade val="76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Summary!$AF$180:$AF$183</c:f>
              <c:numCache>
                <c:formatCode>m/d/yyyy</c:formatCode>
                <c:ptCount val="4"/>
                <c:pt idx="0">
                  <c:v>45657</c:v>
                </c:pt>
                <c:pt idx="1">
                  <c:v>45565</c:v>
                </c:pt>
                <c:pt idx="2">
                  <c:v>45473</c:v>
                </c:pt>
                <c:pt idx="3">
                  <c:v>45382</c:v>
                </c:pt>
              </c:numCache>
            </c:numRef>
          </c:cat>
          <c:val>
            <c:numRef>
              <c:f>Summary!$BI$105:$BI$108</c:f>
              <c:numCache>
                <c:formatCode>0</c:formatCode>
                <c:ptCount val="4"/>
                <c:pt idx="0">
                  <c:v>224</c:v>
                </c:pt>
                <c:pt idx="1">
                  <c:v>168</c:v>
                </c:pt>
                <c:pt idx="2">
                  <c:v>112</c:v>
                </c:pt>
                <c:pt idx="3">
                  <c:v>56</c:v>
                </c:pt>
              </c:numCache>
            </c:numRef>
          </c:val>
          <c:smooth val="0"/>
          <c:extLst>
            <c:ext xmlns:c16="http://schemas.microsoft.com/office/drawing/2014/chart" uri="{C3380CC4-5D6E-409C-BE32-E72D297353CC}">
              <c16:uniqueId val="{00000000-0C1D-4985-9806-C8CAD0E2829A}"/>
            </c:ext>
          </c:extLst>
        </c:ser>
        <c:ser>
          <c:idx val="1"/>
          <c:order val="1"/>
          <c:tx>
            <c:strRef>
              <c:f>Summary!$BJ$25</c:f>
              <c:strCache>
                <c:ptCount val="1"/>
                <c:pt idx="0">
                  <c:v>LLM API</c:v>
                </c:pt>
              </c:strCache>
            </c:strRef>
          </c:tx>
          <c:spPr>
            <a:ln w="28575" cap="rnd">
              <a:solidFill>
                <a:schemeClr val="accent1">
                  <a:tint val="77000"/>
                </a:schemeClr>
              </a:solidFill>
              <a:round/>
            </a:ln>
            <a:effectLst/>
          </c:spPr>
          <c:marker>
            <c:symbol val="circle"/>
            <c:size val="5"/>
            <c:spPr>
              <a:solidFill>
                <a:schemeClr val="accent1"/>
              </a:solidFill>
              <a:ln w="9525">
                <a:solidFill>
                  <a:schemeClr val="accent1"/>
                </a:solidFill>
              </a:ln>
              <a:effectLst/>
            </c:spPr>
          </c:marker>
          <c:cat>
            <c:numRef>
              <c:f>Summary!$AF$180:$AF$183</c:f>
              <c:numCache>
                <c:formatCode>m/d/yyyy</c:formatCode>
                <c:ptCount val="4"/>
                <c:pt idx="0">
                  <c:v>45657</c:v>
                </c:pt>
                <c:pt idx="1">
                  <c:v>45565</c:v>
                </c:pt>
                <c:pt idx="2">
                  <c:v>45473</c:v>
                </c:pt>
                <c:pt idx="3">
                  <c:v>45382</c:v>
                </c:pt>
              </c:numCache>
            </c:numRef>
          </c:cat>
          <c:val>
            <c:numRef>
              <c:f>Summary!$BJ$105:$BJ$108</c:f>
              <c:numCache>
                <c:formatCode>0</c:formatCode>
                <c:ptCount val="4"/>
                <c:pt idx="0">
                  <c:v>100</c:v>
                </c:pt>
                <c:pt idx="1">
                  <c:v>76</c:v>
                </c:pt>
                <c:pt idx="2" formatCode="General">
                  <c:v>50</c:v>
                </c:pt>
                <c:pt idx="3" formatCode="General">
                  <c:v>27</c:v>
                </c:pt>
              </c:numCache>
            </c:numRef>
          </c:val>
          <c:smooth val="0"/>
          <c:extLst>
            <c:ext xmlns:c16="http://schemas.microsoft.com/office/drawing/2014/chart" uri="{C3380CC4-5D6E-409C-BE32-E72D297353CC}">
              <c16:uniqueId val="{00000001-0C1D-4985-9806-C8CAD0E2829A}"/>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50"/>
      </c:valAx>
      <c:spPr>
        <a:noFill/>
        <a:ln>
          <a:noFill/>
        </a:ln>
        <a:effectLst/>
      </c:spPr>
    </c:plotArea>
    <c:legend>
      <c:legendPos val="t"/>
      <c:layout>
        <c:manualLayout>
          <c:xMode val="edge"/>
          <c:yMode val="edge"/>
          <c:x val="0.15341179126802698"/>
          <c:y val="9.1102686655415793E-2"/>
          <c:w val="0.7553468651610612"/>
          <c:h val="6.59580217790315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Extraction Time Saving vs Manual</a:t>
            </a:r>
          </a:p>
        </c:rich>
      </c:tx>
      <c:layout>
        <c:manualLayout>
          <c:xMode val="edge"/>
          <c:yMode val="edge"/>
          <c:x val="0.24463438528167017"/>
          <c:y val="3.238413492911488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3839488337969137"/>
          <c:h val="0.75814401600899661"/>
        </c:manualLayout>
      </c:layout>
      <c:lineChart>
        <c:grouping val="standard"/>
        <c:varyColors val="0"/>
        <c:ser>
          <c:idx val="0"/>
          <c:order val="0"/>
          <c:tx>
            <c:strRef>
              <c:f>Summary!$AG$53</c:f>
              <c:strCache>
                <c:ptCount val="1"/>
                <c:pt idx="0">
                  <c:v>LLM API</c:v>
                </c:pt>
              </c:strCache>
            </c:strRef>
          </c:tx>
          <c:spPr>
            <a:ln w="25400" cap="rnd">
              <a:noFill/>
              <a:round/>
            </a:ln>
            <a:effectLst/>
          </c:spPr>
          <c:marker>
            <c:symbol val="circle"/>
            <c:size val="5"/>
            <c:spPr>
              <a:solidFill>
                <a:schemeClr val="accent1">
                  <a:shade val="76000"/>
                </a:schemeClr>
              </a:solidFill>
              <a:ln w="9525">
                <a:solidFill>
                  <a:schemeClr val="accent1">
                    <a:shade val="76000"/>
                  </a:schemeClr>
                </a:solidFill>
              </a:ln>
              <a:effectLst/>
            </c:spPr>
          </c:marker>
          <c:cat>
            <c:numRef>
              <c:f>Summary!$AF$26:$AF$29</c:f>
              <c:numCache>
                <c:formatCode>m/d/yyyy</c:formatCode>
                <c:ptCount val="4"/>
                <c:pt idx="0">
                  <c:v>45657</c:v>
                </c:pt>
                <c:pt idx="1">
                  <c:v>45565</c:v>
                </c:pt>
                <c:pt idx="2">
                  <c:v>45473</c:v>
                </c:pt>
                <c:pt idx="3">
                  <c:v>45382</c:v>
                </c:pt>
              </c:numCache>
            </c:numRef>
          </c:cat>
          <c:val>
            <c:numRef>
              <c:f>Summary!$AG$54:$AG$57</c:f>
              <c:numCache>
                <c:formatCode>0</c:formatCode>
                <c:ptCount val="4"/>
                <c:pt idx="0">
                  <c:v>24</c:v>
                </c:pt>
                <c:pt idx="1">
                  <c:v>27</c:v>
                </c:pt>
                <c:pt idx="2">
                  <c:v>20</c:v>
                </c:pt>
                <c:pt idx="3">
                  <c:v>28</c:v>
                </c:pt>
              </c:numCache>
            </c:numRef>
          </c:val>
          <c:smooth val="0"/>
          <c:extLst>
            <c:ext xmlns:c16="http://schemas.microsoft.com/office/drawing/2014/chart" uri="{C3380CC4-5D6E-409C-BE32-E72D297353CC}">
              <c16:uniqueId val="{00000000-F7F9-4BF0-8C42-F0C48A81F51E}"/>
            </c:ext>
          </c:extLst>
        </c:ser>
        <c:ser>
          <c:idx val="1"/>
          <c:order val="1"/>
          <c:tx>
            <c:strRef>
              <c:f>Summary!$AH$53</c:f>
              <c:strCache>
                <c:ptCount val="1"/>
                <c:pt idx="0">
                  <c:v>Python Modules</c:v>
                </c:pt>
              </c:strCache>
            </c:strRef>
          </c:tx>
          <c:spPr>
            <a:ln w="25400" cap="rnd">
              <a:noFill/>
              <a:round/>
            </a:ln>
            <a:effectLst/>
          </c:spPr>
          <c:marker>
            <c:symbol val="circle"/>
            <c:size val="5"/>
            <c:spPr>
              <a:solidFill>
                <a:schemeClr val="accent1">
                  <a:tint val="77000"/>
                </a:schemeClr>
              </a:solidFill>
              <a:ln w="9525">
                <a:solidFill>
                  <a:schemeClr val="accent1">
                    <a:tint val="77000"/>
                  </a:schemeClr>
                </a:solidFill>
              </a:ln>
              <a:effectLst/>
            </c:spPr>
          </c:marker>
          <c:cat>
            <c:numRef>
              <c:f>Summary!$AF$26:$AF$29</c:f>
              <c:numCache>
                <c:formatCode>m/d/yyyy</c:formatCode>
                <c:ptCount val="4"/>
                <c:pt idx="0">
                  <c:v>45657</c:v>
                </c:pt>
                <c:pt idx="1">
                  <c:v>45565</c:v>
                </c:pt>
                <c:pt idx="2">
                  <c:v>45473</c:v>
                </c:pt>
                <c:pt idx="3">
                  <c:v>45382</c:v>
                </c:pt>
              </c:numCache>
            </c:numRef>
          </c:cat>
          <c:val>
            <c:numRef>
              <c:f>Summary!$AH$54:$AH$57</c:f>
              <c:numCache>
                <c:formatCode>0</c:formatCode>
                <c:ptCount val="4"/>
                <c:pt idx="0">
                  <c:v>85</c:v>
                </c:pt>
                <c:pt idx="1">
                  <c:v>74</c:v>
                </c:pt>
                <c:pt idx="2">
                  <c:v>91</c:v>
                </c:pt>
                <c:pt idx="3">
                  <c:v>84</c:v>
                </c:pt>
              </c:numCache>
            </c:numRef>
          </c:val>
          <c:smooth val="0"/>
          <c:extLst>
            <c:ext xmlns:c16="http://schemas.microsoft.com/office/drawing/2014/chart" uri="{C3380CC4-5D6E-409C-BE32-E72D297353CC}">
              <c16:uniqueId val="{00000001-F7F9-4BF0-8C42-F0C48A81F51E}"/>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20"/>
      </c:valAx>
      <c:spPr>
        <a:noFill/>
        <a:ln>
          <a:noFill/>
        </a:ln>
        <a:effectLst/>
      </c:spPr>
    </c:plotArea>
    <c:legend>
      <c:legendPos val="t"/>
      <c:layout>
        <c:manualLayout>
          <c:xMode val="edge"/>
          <c:yMode val="edge"/>
          <c:x val="0.2445986655223267"/>
          <c:y val="9.0275370345110878E-2"/>
          <c:w val="0.58253857850512369"/>
          <c:h val="8.326537462891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(10-Q)</a:t>
            </a:r>
          </a:p>
        </c:rich>
      </c:tx>
      <c:layout>
        <c:manualLayout>
          <c:xMode val="edge"/>
          <c:yMode val="edge"/>
          <c:x val="0.23519469024123557"/>
          <c:y val="4.0128199466911664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3885789370368734"/>
          <c:w val="0.82378928287686748"/>
          <c:h val="0.75671750289346806"/>
        </c:manualLayout>
      </c:layout>
      <c:lineChart>
        <c:grouping val="standard"/>
        <c:varyColors val="0"/>
        <c:ser>
          <c:idx val="0"/>
          <c:order val="0"/>
          <c:tx>
            <c:strRef>
              <c:f>Summary!$AU$38</c:f>
              <c:strCache>
                <c:ptCount val="1"/>
                <c:pt idx="0">
                  <c:v>Advanced Excel</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Summary!$AF$54:$AF$57</c:f>
              <c:numCache>
                <c:formatCode>m/d/yyyy</c:formatCode>
                <c:ptCount val="4"/>
                <c:pt idx="0">
                  <c:v>45657</c:v>
                </c:pt>
                <c:pt idx="1">
                  <c:v>45565</c:v>
                </c:pt>
                <c:pt idx="2">
                  <c:v>45473</c:v>
                </c:pt>
                <c:pt idx="3">
                  <c:v>45382</c:v>
                </c:pt>
              </c:numCache>
            </c:numRef>
          </c:cat>
          <c:val>
            <c:numRef>
              <c:f>Summary!$AU$54:$AU$57</c:f>
              <c:numCache>
                <c:formatCode>0</c:formatCode>
                <c:ptCount val="4"/>
                <c:pt idx="0">
                  <c:v>492</c:v>
                </c:pt>
                <c:pt idx="1">
                  <c:v>369</c:v>
                </c:pt>
                <c:pt idx="2">
                  <c:v>246</c:v>
                </c:pt>
                <c:pt idx="3">
                  <c:v>123</c:v>
                </c:pt>
              </c:numCache>
            </c:numRef>
          </c:val>
          <c:smooth val="0"/>
          <c:extLst>
            <c:ext xmlns:c16="http://schemas.microsoft.com/office/drawing/2014/chart" uri="{C3380CC4-5D6E-409C-BE32-E72D297353CC}">
              <c16:uniqueId val="{00000000-40AA-4261-82CF-C29659685A97}"/>
            </c:ext>
          </c:extLst>
        </c:ser>
        <c:ser>
          <c:idx val="2"/>
          <c:order val="1"/>
          <c:tx>
            <c:strRef>
              <c:f>Summary!$AV$38</c:f>
              <c:strCache>
                <c:ptCount val="1"/>
                <c:pt idx="0">
                  <c:v>Python Modules</c:v>
                </c:pt>
              </c:strCache>
            </c:strRef>
          </c:tx>
          <c:spPr>
            <a:ln w="28575" cap="rnd">
              <a:solidFill>
                <a:schemeClr val="accent1">
                  <a:tint val="65000"/>
                </a:schemeClr>
              </a:solidFill>
              <a:round/>
            </a:ln>
            <a:effectLst/>
          </c:spPr>
          <c:marker>
            <c:symbol val="circle"/>
            <c:size val="5"/>
            <c:spPr>
              <a:solidFill>
                <a:schemeClr val="accent1"/>
              </a:solidFill>
              <a:ln w="9525">
                <a:solidFill>
                  <a:schemeClr val="accent1"/>
                </a:solidFill>
              </a:ln>
              <a:effectLst/>
            </c:spPr>
          </c:marker>
          <c:cat>
            <c:numRef>
              <c:f>Summary!$AF$54:$AF$57</c:f>
              <c:numCache>
                <c:formatCode>m/d/yyyy</c:formatCode>
                <c:ptCount val="4"/>
                <c:pt idx="0">
                  <c:v>45657</c:v>
                </c:pt>
                <c:pt idx="1">
                  <c:v>45565</c:v>
                </c:pt>
                <c:pt idx="2">
                  <c:v>45473</c:v>
                </c:pt>
                <c:pt idx="3">
                  <c:v>45382</c:v>
                </c:pt>
              </c:numCache>
            </c:numRef>
          </c:cat>
          <c:val>
            <c:numRef>
              <c:f>Summary!$AV$54:$AV$57</c:f>
              <c:numCache>
                <c:formatCode>0</c:formatCode>
                <c:ptCount val="4"/>
                <c:pt idx="0">
                  <c:v>158</c:v>
                </c:pt>
                <c:pt idx="1">
                  <c:v>120</c:v>
                </c:pt>
                <c:pt idx="2">
                  <c:v>71</c:v>
                </c:pt>
                <c:pt idx="3">
                  <c:v>39</c:v>
                </c:pt>
              </c:numCache>
            </c:numRef>
          </c:val>
          <c:smooth val="0"/>
          <c:extLst>
            <c:ext xmlns:c16="http://schemas.microsoft.com/office/drawing/2014/chart" uri="{C3380CC4-5D6E-409C-BE32-E72D297353CC}">
              <c16:uniqueId val="{00000002-40AA-4261-82CF-C29659685A97}"/>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6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571656805868796"/>
          <c:y val="6.9885185258026103E-2"/>
          <c:w val="0.75387931405364006"/>
          <c:h val="6.46619141678074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(Presentation)</a:t>
            </a:r>
          </a:p>
        </c:rich>
      </c:tx>
      <c:layout>
        <c:manualLayout>
          <c:xMode val="edge"/>
          <c:yMode val="edge"/>
          <c:x val="0.15558772895323569"/>
          <c:y val="3.1526623706150374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3336183110279023"/>
          <c:w val="0.81649700154836657"/>
          <c:h val="0.75905573954996974"/>
        </c:manualLayout>
      </c:layout>
      <c:lineChart>
        <c:grouping val="standard"/>
        <c:varyColors val="0"/>
        <c:ser>
          <c:idx val="0"/>
          <c:order val="0"/>
          <c:tx>
            <c:strRef>
              <c:f>Summary!$BI$25</c:f>
              <c:strCache>
                <c:ptCount val="1"/>
                <c:pt idx="0">
                  <c:v>Advanced Excel</c:v>
                </c:pt>
              </c:strCache>
            </c:strRef>
          </c:tx>
          <c:spPr>
            <a:ln w="28575" cap="rnd">
              <a:solidFill>
                <a:schemeClr val="accent1">
                  <a:shade val="76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Summary!$AF$39:$AF$42</c:f>
              <c:numCache>
                <c:formatCode>m/d/yyyy</c:formatCode>
                <c:ptCount val="4"/>
                <c:pt idx="0">
                  <c:v>45657</c:v>
                </c:pt>
                <c:pt idx="1">
                  <c:v>45565</c:v>
                </c:pt>
                <c:pt idx="2">
                  <c:v>45473</c:v>
                </c:pt>
                <c:pt idx="3">
                  <c:v>45382</c:v>
                </c:pt>
              </c:numCache>
            </c:numRef>
          </c:cat>
          <c:val>
            <c:numRef>
              <c:f>Summary!$BI$54:$BI$57</c:f>
              <c:numCache>
                <c:formatCode>0</c:formatCode>
                <c:ptCount val="4"/>
                <c:pt idx="0">
                  <c:v>492</c:v>
                </c:pt>
                <c:pt idx="1">
                  <c:v>369</c:v>
                </c:pt>
                <c:pt idx="2">
                  <c:v>246</c:v>
                </c:pt>
                <c:pt idx="3">
                  <c:v>123</c:v>
                </c:pt>
              </c:numCache>
            </c:numRef>
          </c:val>
          <c:smooth val="0"/>
          <c:extLst>
            <c:ext xmlns:c16="http://schemas.microsoft.com/office/drawing/2014/chart" uri="{C3380CC4-5D6E-409C-BE32-E72D297353CC}">
              <c16:uniqueId val="{00000000-3025-4A65-995F-A704B98CE3AF}"/>
            </c:ext>
          </c:extLst>
        </c:ser>
        <c:ser>
          <c:idx val="1"/>
          <c:order val="1"/>
          <c:tx>
            <c:strRef>
              <c:f>Summary!$BJ$25</c:f>
              <c:strCache>
                <c:ptCount val="1"/>
                <c:pt idx="0">
                  <c:v>LLM API</c:v>
                </c:pt>
              </c:strCache>
            </c:strRef>
          </c:tx>
          <c:spPr>
            <a:ln w="28575" cap="rnd">
              <a:solidFill>
                <a:schemeClr val="accent1">
                  <a:tint val="77000"/>
                </a:schemeClr>
              </a:solidFill>
              <a:round/>
            </a:ln>
            <a:effectLst/>
          </c:spPr>
          <c:marker>
            <c:symbol val="circle"/>
            <c:size val="5"/>
            <c:spPr>
              <a:solidFill>
                <a:schemeClr val="accent1"/>
              </a:solidFill>
              <a:ln w="9525">
                <a:solidFill>
                  <a:schemeClr val="accent1"/>
                </a:solidFill>
              </a:ln>
              <a:effectLst/>
            </c:spPr>
          </c:marker>
          <c:cat>
            <c:numRef>
              <c:f>Summary!$AF$39:$AF$42</c:f>
              <c:numCache>
                <c:formatCode>m/d/yyyy</c:formatCode>
                <c:ptCount val="4"/>
                <c:pt idx="0">
                  <c:v>45657</c:v>
                </c:pt>
                <c:pt idx="1">
                  <c:v>45565</c:v>
                </c:pt>
                <c:pt idx="2">
                  <c:v>45473</c:v>
                </c:pt>
                <c:pt idx="3">
                  <c:v>45382</c:v>
                </c:pt>
              </c:numCache>
            </c:numRef>
          </c:cat>
          <c:val>
            <c:numRef>
              <c:f>Summary!$BJ$54:$BJ$57</c:f>
              <c:numCache>
                <c:formatCode>0</c:formatCode>
                <c:ptCount val="4"/>
                <c:pt idx="0">
                  <c:v>393</c:v>
                </c:pt>
                <c:pt idx="1">
                  <c:v>294</c:v>
                </c:pt>
                <c:pt idx="2" formatCode="General">
                  <c:v>198</c:v>
                </c:pt>
                <c:pt idx="3" formatCode="General">
                  <c:v>95</c:v>
                </c:pt>
              </c:numCache>
            </c:numRef>
          </c:val>
          <c:smooth val="0"/>
          <c:extLst>
            <c:ext xmlns:c16="http://schemas.microsoft.com/office/drawing/2014/chart" uri="{C3380CC4-5D6E-409C-BE32-E72D297353CC}">
              <c16:uniqueId val="{00000001-3025-4A65-995F-A704B98CE3AF}"/>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6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2473795614257895"/>
          <c:y val="7.6155522067670345E-2"/>
          <c:w val="0.7553468651610612"/>
          <c:h val="6.58596077743254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Extraction Time Saving vs Manual</a:t>
            </a:r>
          </a:p>
        </c:rich>
      </c:tx>
      <c:layout>
        <c:manualLayout>
          <c:xMode val="edge"/>
          <c:yMode val="edge"/>
          <c:x val="0.24463438528167017"/>
          <c:y val="3.238413492911488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3839488337969137"/>
          <c:h val="0.75814401600899661"/>
        </c:manualLayout>
      </c:layout>
      <c:lineChart>
        <c:grouping val="standard"/>
        <c:varyColors val="0"/>
        <c:ser>
          <c:idx val="0"/>
          <c:order val="0"/>
          <c:tx>
            <c:strRef>
              <c:f>Summary!$AG$38</c:f>
              <c:strCache>
                <c:ptCount val="1"/>
                <c:pt idx="0">
                  <c:v>LLM API</c:v>
                </c:pt>
              </c:strCache>
            </c:strRef>
          </c:tx>
          <c:spPr>
            <a:ln w="25400" cap="rnd">
              <a:noFill/>
              <a:round/>
            </a:ln>
            <a:effectLst/>
          </c:spPr>
          <c:marker>
            <c:symbol val="circle"/>
            <c:size val="5"/>
            <c:spPr>
              <a:solidFill>
                <a:schemeClr val="accent1">
                  <a:shade val="76000"/>
                </a:schemeClr>
              </a:solidFill>
              <a:ln w="9525">
                <a:solidFill>
                  <a:schemeClr val="accent1">
                    <a:shade val="76000"/>
                  </a:schemeClr>
                </a:solidFill>
              </a:ln>
              <a:effectLst/>
            </c:spPr>
          </c:marker>
          <c:cat>
            <c:numRef>
              <c:f>Summary!$AF$26:$AF$29</c:f>
              <c:numCache>
                <c:formatCode>m/d/yyyy</c:formatCode>
                <c:ptCount val="4"/>
                <c:pt idx="0">
                  <c:v>45657</c:v>
                </c:pt>
                <c:pt idx="1">
                  <c:v>45565</c:v>
                </c:pt>
                <c:pt idx="2">
                  <c:v>45473</c:v>
                </c:pt>
                <c:pt idx="3">
                  <c:v>45382</c:v>
                </c:pt>
              </c:numCache>
            </c:numRef>
          </c:cat>
          <c:val>
            <c:numRef>
              <c:f>Summary!$AG$123:$AG$126</c:f>
              <c:numCache>
                <c:formatCode>0</c:formatCode>
                <c:ptCount val="4"/>
                <c:pt idx="0">
                  <c:v>81</c:v>
                </c:pt>
                <c:pt idx="1">
                  <c:v>81</c:v>
                </c:pt>
                <c:pt idx="2">
                  <c:v>80</c:v>
                </c:pt>
                <c:pt idx="3">
                  <c:v>79</c:v>
                </c:pt>
              </c:numCache>
            </c:numRef>
          </c:val>
          <c:smooth val="0"/>
          <c:extLst>
            <c:ext xmlns:c16="http://schemas.microsoft.com/office/drawing/2014/chart" uri="{C3380CC4-5D6E-409C-BE32-E72D297353CC}">
              <c16:uniqueId val="{00000000-3BD4-4692-A875-5DF4740D121B}"/>
            </c:ext>
          </c:extLst>
        </c:ser>
        <c:ser>
          <c:idx val="1"/>
          <c:order val="1"/>
          <c:tx>
            <c:strRef>
              <c:f>Summary!$AH$38</c:f>
              <c:strCache>
                <c:ptCount val="1"/>
                <c:pt idx="0">
                  <c:v>Python Modules</c:v>
                </c:pt>
              </c:strCache>
            </c:strRef>
          </c:tx>
          <c:spPr>
            <a:ln w="25400" cap="rnd">
              <a:noFill/>
              <a:round/>
            </a:ln>
            <a:effectLst/>
          </c:spPr>
          <c:marker>
            <c:symbol val="circle"/>
            <c:size val="5"/>
            <c:spPr>
              <a:solidFill>
                <a:schemeClr val="accent1">
                  <a:tint val="77000"/>
                </a:schemeClr>
              </a:solidFill>
              <a:ln w="9525">
                <a:solidFill>
                  <a:schemeClr val="accent1">
                    <a:tint val="77000"/>
                  </a:schemeClr>
                </a:solidFill>
              </a:ln>
              <a:effectLst/>
            </c:spPr>
          </c:marker>
          <c:cat>
            <c:numRef>
              <c:f>Summary!$AF$26:$AF$29</c:f>
              <c:numCache>
                <c:formatCode>m/d/yyyy</c:formatCode>
                <c:ptCount val="4"/>
                <c:pt idx="0">
                  <c:v>45657</c:v>
                </c:pt>
                <c:pt idx="1">
                  <c:v>45565</c:v>
                </c:pt>
                <c:pt idx="2">
                  <c:v>45473</c:v>
                </c:pt>
                <c:pt idx="3">
                  <c:v>45382</c:v>
                </c:pt>
              </c:numCache>
            </c:numRef>
          </c:cat>
          <c:val>
            <c:numRef>
              <c:f>Summary!$AH$123:$AH$126</c:f>
              <c:numCache>
                <c:formatCode>0</c:formatCode>
                <c:ptCount val="4"/>
                <c:pt idx="0">
                  <c:v>66</c:v>
                </c:pt>
                <c:pt idx="1">
                  <c:v>70</c:v>
                </c:pt>
                <c:pt idx="2">
                  <c:v>72</c:v>
                </c:pt>
                <c:pt idx="3">
                  <c:v>73</c:v>
                </c:pt>
              </c:numCache>
            </c:numRef>
          </c:val>
          <c:smooth val="0"/>
          <c:extLst>
            <c:ext xmlns:c16="http://schemas.microsoft.com/office/drawing/2014/chart" uri="{C3380CC4-5D6E-409C-BE32-E72D297353CC}">
              <c16:uniqueId val="{00000001-3BD4-4692-A875-5DF4740D121B}"/>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15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25"/>
      </c:valAx>
      <c:spPr>
        <a:noFill/>
        <a:ln>
          <a:noFill/>
        </a:ln>
        <a:effectLst/>
      </c:spPr>
    </c:plotArea>
    <c:legend>
      <c:legendPos val="t"/>
      <c:layout>
        <c:manualLayout>
          <c:xMode val="edge"/>
          <c:yMode val="edge"/>
          <c:x val="0.2445986655223267"/>
          <c:y val="9.0275370345110878E-2"/>
          <c:w val="0.58253857850512369"/>
          <c:h val="8.326537462891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(10-Q)</a:t>
            </a:r>
          </a:p>
        </c:rich>
      </c:tx>
      <c:layout>
        <c:manualLayout>
          <c:xMode val="edge"/>
          <c:yMode val="edge"/>
          <c:x val="0.23519476161384967"/>
          <c:y val="2.286338009638483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2378928287686748"/>
          <c:h val="0.72372870791808885"/>
        </c:manualLayout>
      </c:layout>
      <c:lineChart>
        <c:grouping val="standard"/>
        <c:varyColors val="0"/>
        <c:ser>
          <c:idx val="0"/>
          <c:order val="0"/>
          <c:tx>
            <c:strRef>
              <c:f>Summary!$AU$38</c:f>
              <c:strCache>
                <c:ptCount val="1"/>
                <c:pt idx="0">
                  <c:v>Advanced Excel</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Summary!$AF$123:$AF$126</c:f>
              <c:numCache>
                <c:formatCode>m/d/yyyy</c:formatCode>
                <c:ptCount val="4"/>
                <c:pt idx="0">
                  <c:v>45657</c:v>
                </c:pt>
                <c:pt idx="1">
                  <c:v>45565</c:v>
                </c:pt>
                <c:pt idx="2">
                  <c:v>45473</c:v>
                </c:pt>
                <c:pt idx="3">
                  <c:v>45382</c:v>
                </c:pt>
              </c:numCache>
            </c:numRef>
          </c:cat>
          <c:val>
            <c:numRef>
              <c:f>Summary!$AU$123:$AU$126</c:f>
              <c:numCache>
                <c:formatCode>0</c:formatCode>
                <c:ptCount val="4"/>
                <c:pt idx="0">
                  <c:v>424</c:v>
                </c:pt>
                <c:pt idx="1">
                  <c:v>318</c:v>
                </c:pt>
                <c:pt idx="2">
                  <c:v>212</c:v>
                </c:pt>
                <c:pt idx="3">
                  <c:v>106</c:v>
                </c:pt>
              </c:numCache>
            </c:numRef>
          </c:val>
          <c:smooth val="0"/>
          <c:extLst>
            <c:ext xmlns:c16="http://schemas.microsoft.com/office/drawing/2014/chart" uri="{C3380CC4-5D6E-409C-BE32-E72D297353CC}">
              <c16:uniqueId val="{00000000-F82A-4117-9FBF-4B66FF308C47}"/>
            </c:ext>
          </c:extLst>
        </c:ser>
        <c:ser>
          <c:idx val="2"/>
          <c:order val="1"/>
          <c:tx>
            <c:strRef>
              <c:f>Summary!$AV$38</c:f>
              <c:strCache>
                <c:ptCount val="1"/>
                <c:pt idx="0">
                  <c:v>Python Modules</c:v>
                </c:pt>
              </c:strCache>
            </c:strRef>
          </c:tx>
          <c:spPr>
            <a:ln w="28575" cap="rnd">
              <a:solidFill>
                <a:schemeClr val="accent1">
                  <a:tint val="65000"/>
                </a:schemeClr>
              </a:solidFill>
              <a:round/>
            </a:ln>
            <a:effectLst/>
          </c:spPr>
          <c:marker>
            <c:symbol val="circle"/>
            <c:size val="5"/>
            <c:spPr>
              <a:solidFill>
                <a:schemeClr val="accent1"/>
              </a:solidFill>
              <a:ln w="9525">
                <a:solidFill>
                  <a:schemeClr val="accent1"/>
                </a:solidFill>
              </a:ln>
              <a:effectLst/>
            </c:spPr>
          </c:marker>
          <c:cat>
            <c:numRef>
              <c:f>Summary!$AF$123:$AF$126</c:f>
              <c:numCache>
                <c:formatCode>m/d/yyyy</c:formatCode>
                <c:ptCount val="4"/>
                <c:pt idx="0">
                  <c:v>45657</c:v>
                </c:pt>
                <c:pt idx="1">
                  <c:v>45565</c:v>
                </c:pt>
                <c:pt idx="2">
                  <c:v>45473</c:v>
                </c:pt>
                <c:pt idx="3">
                  <c:v>45382</c:v>
                </c:pt>
              </c:numCache>
            </c:numRef>
          </c:cat>
          <c:val>
            <c:numRef>
              <c:f>Summary!$AV$123:$AV$126</c:f>
              <c:numCache>
                <c:formatCode>0</c:formatCode>
                <c:ptCount val="4"/>
                <c:pt idx="0">
                  <c:v>143</c:v>
                </c:pt>
                <c:pt idx="1">
                  <c:v>103</c:v>
                </c:pt>
                <c:pt idx="2">
                  <c:v>67</c:v>
                </c:pt>
                <c:pt idx="3">
                  <c:v>33</c:v>
                </c:pt>
              </c:numCache>
            </c:numRef>
          </c:val>
          <c:smooth val="0"/>
          <c:extLst>
            <c:ext xmlns:c16="http://schemas.microsoft.com/office/drawing/2014/chart" uri="{C3380CC4-5D6E-409C-BE32-E72D297353CC}">
              <c16:uniqueId val="{00000002-F82A-4117-9FBF-4B66FF308C47}"/>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5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2932342777593564"/>
          <c:y val="8.8563787602132085E-2"/>
          <c:w val="0.75387931405364006"/>
          <c:h val="6.94586768475995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(Presentation)</a:t>
            </a:r>
          </a:p>
        </c:rich>
      </c:tx>
      <c:layout>
        <c:manualLayout>
          <c:xMode val="edge"/>
          <c:yMode val="edge"/>
          <c:x val="0.1699246465159597"/>
          <c:y val="2.284534793481072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1649700154836657"/>
          <c:h val="0.739421726400594"/>
        </c:manualLayout>
      </c:layout>
      <c:lineChart>
        <c:grouping val="standard"/>
        <c:varyColors val="0"/>
        <c:ser>
          <c:idx val="0"/>
          <c:order val="0"/>
          <c:tx>
            <c:strRef>
              <c:f>Summary!$BI$25</c:f>
              <c:strCache>
                <c:ptCount val="1"/>
                <c:pt idx="0">
                  <c:v>Advanced Excel</c:v>
                </c:pt>
              </c:strCache>
            </c:strRef>
          </c:tx>
          <c:spPr>
            <a:ln w="28575" cap="rnd">
              <a:solidFill>
                <a:schemeClr val="accent1">
                  <a:shade val="76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Summary!$AF$180:$AF$183</c:f>
              <c:numCache>
                <c:formatCode>m/d/yyyy</c:formatCode>
                <c:ptCount val="4"/>
                <c:pt idx="0">
                  <c:v>45657</c:v>
                </c:pt>
                <c:pt idx="1">
                  <c:v>45565</c:v>
                </c:pt>
                <c:pt idx="2">
                  <c:v>45473</c:v>
                </c:pt>
                <c:pt idx="3">
                  <c:v>45382</c:v>
                </c:pt>
              </c:numCache>
            </c:numRef>
          </c:cat>
          <c:val>
            <c:numRef>
              <c:f>Summary!$BI$123:$BI$126</c:f>
              <c:numCache>
                <c:formatCode>0</c:formatCode>
                <c:ptCount val="4"/>
                <c:pt idx="0">
                  <c:v>424</c:v>
                </c:pt>
                <c:pt idx="1">
                  <c:v>318</c:v>
                </c:pt>
                <c:pt idx="2">
                  <c:v>212</c:v>
                </c:pt>
                <c:pt idx="3">
                  <c:v>106</c:v>
                </c:pt>
              </c:numCache>
            </c:numRef>
          </c:val>
          <c:smooth val="0"/>
          <c:extLst>
            <c:ext xmlns:c16="http://schemas.microsoft.com/office/drawing/2014/chart" uri="{C3380CC4-5D6E-409C-BE32-E72D297353CC}">
              <c16:uniqueId val="{00000000-9B08-43E0-BA40-14EEC9173514}"/>
            </c:ext>
          </c:extLst>
        </c:ser>
        <c:ser>
          <c:idx val="1"/>
          <c:order val="1"/>
          <c:tx>
            <c:strRef>
              <c:f>Summary!$BJ$25</c:f>
              <c:strCache>
                <c:ptCount val="1"/>
                <c:pt idx="0">
                  <c:v>LLM API</c:v>
                </c:pt>
              </c:strCache>
            </c:strRef>
          </c:tx>
          <c:spPr>
            <a:ln w="28575" cap="rnd">
              <a:solidFill>
                <a:schemeClr val="accent1">
                  <a:tint val="77000"/>
                </a:schemeClr>
              </a:solidFill>
              <a:round/>
            </a:ln>
            <a:effectLst/>
          </c:spPr>
          <c:marker>
            <c:symbol val="circle"/>
            <c:size val="5"/>
            <c:spPr>
              <a:solidFill>
                <a:schemeClr val="accent1"/>
              </a:solidFill>
              <a:ln w="9525">
                <a:solidFill>
                  <a:schemeClr val="accent1"/>
                </a:solidFill>
              </a:ln>
              <a:effectLst/>
            </c:spPr>
          </c:marker>
          <c:cat>
            <c:numRef>
              <c:f>Summary!$AF$180:$AF$183</c:f>
              <c:numCache>
                <c:formatCode>m/d/yyyy</c:formatCode>
                <c:ptCount val="4"/>
                <c:pt idx="0">
                  <c:v>45657</c:v>
                </c:pt>
                <c:pt idx="1">
                  <c:v>45565</c:v>
                </c:pt>
                <c:pt idx="2">
                  <c:v>45473</c:v>
                </c:pt>
                <c:pt idx="3">
                  <c:v>45382</c:v>
                </c:pt>
              </c:numCache>
            </c:numRef>
          </c:cat>
          <c:val>
            <c:numRef>
              <c:f>Summary!$BJ$123:$BJ$126</c:f>
              <c:numCache>
                <c:formatCode>0</c:formatCode>
                <c:ptCount val="4"/>
                <c:pt idx="0">
                  <c:v>103</c:v>
                </c:pt>
                <c:pt idx="1">
                  <c:v>78</c:v>
                </c:pt>
                <c:pt idx="2" formatCode="General">
                  <c:v>53</c:v>
                </c:pt>
                <c:pt idx="3" formatCode="General">
                  <c:v>27</c:v>
                </c:pt>
              </c:numCache>
            </c:numRef>
          </c:val>
          <c:smooth val="0"/>
          <c:extLst>
            <c:ext xmlns:c16="http://schemas.microsoft.com/office/drawing/2014/chart" uri="{C3380CC4-5D6E-409C-BE32-E72D297353CC}">
              <c16:uniqueId val="{00000001-9B08-43E0-BA40-14EEC9173514}"/>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5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2473795614257895"/>
          <c:y val="9.1096912378817188E-2"/>
          <c:w val="0.7553468651610612"/>
          <c:h val="7.08469092992029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Extraction Time Saving vs Manual</a:t>
            </a:r>
          </a:p>
        </c:rich>
      </c:tx>
      <c:layout>
        <c:manualLayout>
          <c:xMode val="edge"/>
          <c:yMode val="edge"/>
          <c:x val="0.24463438528167017"/>
          <c:y val="3.238413492911488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3839488337969137"/>
          <c:h val="0.75814401600899661"/>
        </c:manualLayout>
      </c:layout>
      <c:lineChart>
        <c:grouping val="standard"/>
        <c:varyColors val="0"/>
        <c:ser>
          <c:idx val="0"/>
          <c:order val="0"/>
          <c:tx>
            <c:strRef>
              <c:f>Summary!$AG$53</c:f>
              <c:strCache>
                <c:ptCount val="1"/>
                <c:pt idx="0">
                  <c:v>LLM API</c:v>
                </c:pt>
              </c:strCache>
            </c:strRef>
          </c:tx>
          <c:spPr>
            <a:ln w="25400" cap="rnd">
              <a:noFill/>
              <a:round/>
            </a:ln>
            <a:effectLst/>
          </c:spPr>
          <c:marker>
            <c:symbol val="circle"/>
            <c:size val="5"/>
            <c:spPr>
              <a:solidFill>
                <a:schemeClr val="accent1">
                  <a:shade val="76000"/>
                </a:schemeClr>
              </a:solidFill>
              <a:ln w="9525">
                <a:solidFill>
                  <a:schemeClr val="accent1">
                    <a:shade val="76000"/>
                  </a:schemeClr>
                </a:solidFill>
              </a:ln>
              <a:effectLst/>
            </c:spPr>
          </c:marker>
          <c:cat>
            <c:numRef>
              <c:f>Summary!$AF$26:$AF$29</c:f>
              <c:numCache>
                <c:formatCode>m/d/yyyy</c:formatCode>
                <c:ptCount val="4"/>
                <c:pt idx="0">
                  <c:v>45657</c:v>
                </c:pt>
                <c:pt idx="1">
                  <c:v>45565</c:v>
                </c:pt>
                <c:pt idx="2">
                  <c:v>45473</c:v>
                </c:pt>
                <c:pt idx="3">
                  <c:v>45382</c:v>
                </c:pt>
              </c:numCache>
            </c:numRef>
          </c:cat>
          <c:val>
            <c:numRef>
              <c:f>Summary!$AG$71:$AG$74</c:f>
              <c:numCache>
                <c:formatCode>0</c:formatCode>
                <c:ptCount val="4"/>
                <c:pt idx="0">
                  <c:v>12</c:v>
                </c:pt>
                <c:pt idx="1">
                  <c:v>21</c:v>
                </c:pt>
                <c:pt idx="2">
                  <c:v>39</c:v>
                </c:pt>
                <c:pt idx="3">
                  <c:v>11</c:v>
                </c:pt>
              </c:numCache>
            </c:numRef>
          </c:val>
          <c:smooth val="0"/>
          <c:extLst>
            <c:ext xmlns:c16="http://schemas.microsoft.com/office/drawing/2014/chart" uri="{C3380CC4-5D6E-409C-BE32-E72D297353CC}">
              <c16:uniqueId val="{00000000-E5AF-4990-A254-7FA4CCFD731A}"/>
            </c:ext>
          </c:extLst>
        </c:ser>
        <c:ser>
          <c:idx val="1"/>
          <c:order val="1"/>
          <c:tx>
            <c:strRef>
              <c:f>Summary!$AH$53</c:f>
              <c:strCache>
                <c:ptCount val="1"/>
                <c:pt idx="0">
                  <c:v>Python Modules</c:v>
                </c:pt>
              </c:strCache>
            </c:strRef>
          </c:tx>
          <c:spPr>
            <a:ln w="25400" cap="rnd">
              <a:noFill/>
              <a:round/>
            </a:ln>
            <a:effectLst/>
          </c:spPr>
          <c:marker>
            <c:symbol val="circle"/>
            <c:size val="5"/>
            <c:spPr>
              <a:solidFill>
                <a:schemeClr val="accent1">
                  <a:tint val="77000"/>
                </a:schemeClr>
              </a:solidFill>
              <a:ln w="9525">
                <a:solidFill>
                  <a:schemeClr val="accent1">
                    <a:tint val="77000"/>
                  </a:schemeClr>
                </a:solidFill>
              </a:ln>
              <a:effectLst/>
            </c:spPr>
          </c:marker>
          <c:cat>
            <c:numRef>
              <c:f>Summary!$AF$26:$AF$29</c:f>
              <c:numCache>
                <c:formatCode>m/d/yyyy</c:formatCode>
                <c:ptCount val="4"/>
                <c:pt idx="0">
                  <c:v>45657</c:v>
                </c:pt>
                <c:pt idx="1">
                  <c:v>45565</c:v>
                </c:pt>
                <c:pt idx="2">
                  <c:v>45473</c:v>
                </c:pt>
                <c:pt idx="3">
                  <c:v>45382</c:v>
                </c:pt>
              </c:numCache>
            </c:numRef>
          </c:cat>
          <c:val>
            <c:numRef>
              <c:f>Summary!$AH$71:$AH$74</c:f>
              <c:numCache>
                <c:formatCode>0</c:formatCode>
                <c:ptCount val="4"/>
                <c:pt idx="0">
                  <c:v>20</c:v>
                </c:pt>
                <c:pt idx="1">
                  <c:v>9.3333333333333286</c:v>
                </c:pt>
                <c:pt idx="2">
                  <c:v>30</c:v>
                </c:pt>
                <c:pt idx="3">
                  <c:v>32</c:v>
                </c:pt>
              </c:numCache>
            </c:numRef>
          </c:val>
          <c:smooth val="0"/>
          <c:extLst>
            <c:ext xmlns:c16="http://schemas.microsoft.com/office/drawing/2014/chart" uri="{C3380CC4-5D6E-409C-BE32-E72D297353CC}">
              <c16:uniqueId val="{00000001-E5AF-4990-A254-7FA4CCFD731A}"/>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6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
      </c:valAx>
      <c:spPr>
        <a:noFill/>
        <a:ln>
          <a:noFill/>
        </a:ln>
        <a:effectLst/>
      </c:spPr>
    </c:plotArea>
    <c:legend>
      <c:legendPos val="t"/>
      <c:layout>
        <c:manualLayout>
          <c:xMode val="edge"/>
          <c:yMode val="edge"/>
          <c:x val="0.2445986655223267"/>
          <c:y val="9.0275370345110878E-2"/>
          <c:w val="0.58253857850512369"/>
          <c:h val="8.326537462891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(10-Q)</a:t>
            </a:r>
          </a:p>
        </c:rich>
      </c:tx>
      <c:layout>
        <c:manualLayout>
          <c:xMode val="edge"/>
          <c:yMode val="edge"/>
          <c:x val="0.23519476161384967"/>
          <c:y val="2.286338009638483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2378928287686748"/>
          <c:h val="0.72372870791808885"/>
        </c:manualLayout>
      </c:layout>
      <c:lineChart>
        <c:grouping val="standard"/>
        <c:varyColors val="0"/>
        <c:ser>
          <c:idx val="0"/>
          <c:order val="0"/>
          <c:tx>
            <c:strRef>
              <c:f>Summary!$AU$38</c:f>
              <c:strCache>
                <c:ptCount val="1"/>
                <c:pt idx="0">
                  <c:v>Advanced Excel</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Summary!$AF$71:$AF$74</c:f>
              <c:numCache>
                <c:formatCode>m/d/yyyy</c:formatCode>
                <c:ptCount val="4"/>
                <c:pt idx="0">
                  <c:v>45657</c:v>
                </c:pt>
                <c:pt idx="1">
                  <c:v>45565</c:v>
                </c:pt>
                <c:pt idx="2">
                  <c:v>45473</c:v>
                </c:pt>
                <c:pt idx="3">
                  <c:v>45382</c:v>
                </c:pt>
              </c:numCache>
            </c:numRef>
          </c:cat>
          <c:val>
            <c:numRef>
              <c:f>Summary!$AU$71:$AU$74</c:f>
              <c:numCache>
                <c:formatCode>0</c:formatCode>
                <c:ptCount val="4"/>
                <c:pt idx="0">
                  <c:v>260</c:v>
                </c:pt>
                <c:pt idx="1">
                  <c:v>195</c:v>
                </c:pt>
                <c:pt idx="2">
                  <c:v>130</c:v>
                </c:pt>
                <c:pt idx="3">
                  <c:v>65</c:v>
                </c:pt>
              </c:numCache>
            </c:numRef>
          </c:val>
          <c:smooth val="0"/>
          <c:extLst>
            <c:ext xmlns:c16="http://schemas.microsoft.com/office/drawing/2014/chart" uri="{C3380CC4-5D6E-409C-BE32-E72D297353CC}">
              <c16:uniqueId val="{00000000-274E-4F86-A949-062E09F3B929}"/>
            </c:ext>
          </c:extLst>
        </c:ser>
        <c:ser>
          <c:idx val="2"/>
          <c:order val="1"/>
          <c:tx>
            <c:strRef>
              <c:f>Summary!$AV$38</c:f>
              <c:strCache>
                <c:ptCount val="1"/>
                <c:pt idx="0">
                  <c:v>Python Modules</c:v>
                </c:pt>
              </c:strCache>
            </c:strRef>
          </c:tx>
          <c:spPr>
            <a:ln w="28575" cap="rnd">
              <a:solidFill>
                <a:schemeClr val="accent1">
                  <a:tint val="65000"/>
                </a:schemeClr>
              </a:solidFill>
              <a:round/>
            </a:ln>
            <a:effectLst/>
          </c:spPr>
          <c:marker>
            <c:symbol val="circle"/>
            <c:size val="5"/>
            <c:spPr>
              <a:solidFill>
                <a:schemeClr val="accent1"/>
              </a:solidFill>
              <a:ln w="9525">
                <a:solidFill>
                  <a:schemeClr val="accent1"/>
                </a:solidFill>
              </a:ln>
              <a:effectLst/>
            </c:spPr>
          </c:marker>
          <c:cat>
            <c:numRef>
              <c:f>Summary!$AF$71:$AF$74</c:f>
              <c:numCache>
                <c:formatCode>m/d/yyyy</c:formatCode>
                <c:ptCount val="4"/>
                <c:pt idx="0">
                  <c:v>45657</c:v>
                </c:pt>
                <c:pt idx="1">
                  <c:v>45565</c:v>
                </c:pt>
                <c:pt idx="2">
                  <c:v>45473</c:v>
                </c:pt>
                <c:pt idx="3">
                  <c:v>45382</c:v>
                </c:pt>
              </c:numCache>
            </c:numRef>
          </c:cat>
          <c:val>
            <c:numRef>
              <c:f>Summary!$AV$71:$AV$74</c:f>
              <c:numCache>
                <c:formatCode>0</c:formatCode>
                <c:ptCount val="4"/>
                <c:pt idx="0">
                  <c:v>168.66666666666669</c:v>
                </c:pt>
                <c:pt idx="1">
                  <c:v>123.66666666666667</c:v>
                </c:pt>
                <c:pt idx="2">
                  <c:v>68</c:v>
                </c:pt>
                <c:pt idx="3">
                  <c:v>33</c:v>
                </c:pt>
              </c:numCache>
            </c:numRef>
          </c:val>
          <c:smooth val="0"/>
          <c:extLst>
            <c:ext xmlns:c16="http://schemas.microsoft.com/office/drawing/2014/chart" uri="{C3380CC4-5D6E-409C-BE32-E72D297353CC}">
              <c16:uniqueId val="{00000002-274E-4F86-A949-062E09F3B929}"/>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50"/>
      </c:valAx>
      <c:spPr>
        <a:noFill/>
        <a:ln>
          <a:noFill/>
        </a:ln>
        <a:effectLst/>
      </c:spPr>
    </c:plotArea>
    <c:legend>
      <c:legendPos val="t"/>
      <c:layout>
        <c:manualLayout>
          <c:xMode val="edge"/>
          <c:yMode val="edge"/>
          <c:x val="0.15037447281954877"/>
          <c:y val="9.3402992729278961E-2"/>
          <c:w val="0.75387931405364006"/>
          <c:h val="6.47149306767147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(Presentation)</a:t>
            </a:r>
          </a:p>
        </c:rich>
      </c:tx>
      <c:layout>
        <c:manualLayout>
          <c:xMode val="edge"/>
          <c:yMode val="edge"/>
          <c:x val="0.18784579346936472"/>
          <c:y val="1.797458958546064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1649700154836657"/>
          <c:h val="0.739421726400594"/>
        </c:manualLayout>
      </c:layout>
      <c:lineChart>
        <c:grouping val="standard"/>
        <c:varyColors val="0"/>
        <c:ser>
          <c:idx val="0"/>
          <c:order val="0"/>
          <c:tx>
            <c:strRef>
              <c:f>Summary!$BI$25</c:f>
              <c:strCache>
                <c:ptCount val="1"/>
                <c:pt idx="0">
                  <c:v>Advanced Excel</c:v>
                </c:pt>
              </c:strCache>
            </c:strRef>
          </c:tx>
          <c:spPr>
            <a:ln w="28575" cap="rnd">
              <a:solidFill>
                <a:schemeClr val="accent1">
                  <a:shade val="76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Summary!$AF$39:$AF$42</c:f>
              <c:numCache>
                <c:formatCode>m/d/yyyy</c:formatCode>
                <c:ptCount val="4"/>
                <c:pt idx="0">
                  <c:v>45657</c:v>
                </c:pt>
                <c:pt idx="1">
                  <c:v>45565</c:v>
                </c:pt>
                <c:pt idx="2">
                  <c:v>45473</c:v>
                </c:pt>
                <c:pt idx="3">
                  <c:v>45382</c:v>
                </c:pt>
              </c:numCache>
            </c:numRef>
          </c:cat>
          <c:val>
            <c:numRef>
              <c:f>Summary!$BI$71:$BI$74</c:f>
              <c:numCache>
                <c:formatCode>0</c:formatCode>
                <c:ptCount val="4"/>
                <c:pt idx="0">
                  <c:v>260</c:v>
                </c:pt>
                <c:pt idx="1">
                  <c:v>195</c:v>
                </c:pt>
                <c:pt idx="2">
                  <c:v>130</c:v>
                </c:pt>
                <c:pt idx="3">
                  <c:v>65</c:v>
                </c:pt>
              </c:numCache>
            </c:numRef>
          </c:val>
          <c:smooth val="0"/>
          <c:extLst>
            <c:ext xmlns:c16="http://schemas.microsoft.com/office/drawing/2014/chart" uri="{C3380CC4-5D6E-409C-BE32-E72D297353CC}">
              <c16:uniqueId val="{00000000-D6CC-4ACF-9A11-8AC106BDA2E2}"/>
            </c:ext>
          </c:extLst>
        </c:ser>
        <c:ser>
          <c:idx val="1"/>
          <c:order val="1"/>
          <c:tx>
            <c:strRef>
              <c:f>Summary!$BJ$25</c:f>
              <c:strCache>
                <c:ptCount val="1"/>
                <c:pt idx="0">
                  <c:v>LLM API</c:v>
                </c:pt>
              </c:strCache>
            </c:strRef>
          </c:tx>
          <c:spPr>
            <a:ln w="28575" cap="rnd">
              <a:solidFill>
                <a:schemeClr val="accent1">
                  <a:tint val="77000"/>
                </a:schemeClr>
              </a:solidFill>
              <a:round/>
            </a:ln>
            <a:effectLst/>
          </c:spPr>
          <c:marker>
            <c:symbol val="circle"/>
            <c:size val="5"/>
            <c:spPr>
              <a:solidFill>
                <a:schemeClr val="accent1"/>
              </a:solidFill>
              <a:ln w="9525">
                <a:solidFill>
                  <a:schemeClr val="accent1"/>
                </a:solidFill>
              </a:ln>
              <a:effectLst/>
            </c:spPr>
          </c:marker>
          <c:cat>
            <c:numRef>
              <c:f>Summary!$AF$39:$AF$42</c:f>
              <c:numCache>
                <c:formatCode>m/d/yyyy</c:formatCode>
                <c:ptCount val="4"/>
                <c:pt idx="0">
                  <c:v>45657</c:v>
                </c:pt>
                <c:pt idx="1">
                  <c:v>45565</c:v>
                </c:pt>
                <c:pt idx="2">
                  <c:v>45473</c:v>
                </c:pt>
                <c:pt idx="3">
                  <c:v>45382</c:v>
                </c:pt>
              </c:numCache>
            </c:numRef>
          </c:cat>
          <c:val>
            <c:numRef>
              <c:f>Summary!$BJ$71:$BJ$74</c:f>
              <c:numCache>
                <c:formatCode>0</c:formatCode>
                <c:ptCount val="4"/>
                <c:pt idx="0">
                  <c:v>177</c:v>
                </c:pt>
                <c:pt idx="1">
                  <c:v>124</c:v>
                </c:pt>
                <c:pt idx="2" formatCode="General">
                  <c:v>80</c:v>
                </c:pt>
                <c:pt idx="3" formatCode="General">
                  <c:v>54</c:v>
                </c:pt>
              </c:numCache>
            </c:numRef>
          </c:val>
          <c:smooth val="0"/>
          <c:extLst>
            <c:ext xmlns:c16="http://schemas.microsoft.com/office/drawing/2014/chart" uri="{C3380CC4-5D6E-409C-BE32-E72D297353CC}">
              <c16:uniqueId val="{00000001-D6CC-4ACF-9A11-8AC106BDA2E2}"/>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50"/>
      </c:valAx>
      <c:spPr>
        <a:noFill/>
        <a:ln>
          <a:noFill/>
        </a:ln>
        <a:effectLst/>
      </c:spPr>
    </c:plotArea>
    <c:legend>
      <c:legendPos val="t"/>
      <c:layout>
        <c:manualLayout>
          <c:xMode val="edge"/>
          <c:yMode val="edge"/>
          <c:x val="0.14624333248666496"/>
          <c:y val="9.0938679004890902E-2"/>
          <c:w val="0.7553468651610612"/>
          <c:h val="6.09827852738186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Extraction Time Saving vs Manual</a:t>
            </a:r>
          </a:p>
        </c:rich>
      </c:tx>
      <c:layout>
        <c:manualLayout>
          <c:xMode val="edge"/>
          <c:yMode val="edge"/>
          <c:x val="0.24463438528167017"/>
          <c:y val="3.238413492911488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3839488337969137"/>
          <c:h val="0.75814401600899661"/>
        </c:manualLayout>
      </c:layout>
      <c:lineChart>
        <c:grouping val="standard"/>
        <c:varyColors val="0"/>
        <c:ser>
          <c:idx val="0"/>
          <c:order val="0"/>
          <c:tx>
            <c:strRef>
              <c:f>Summary!$AG$53</c:f>
              <c:strCache>
                <c:ptCount val="1"/>
                <c:pt idx="0">
                  <c:v>LLM API</c:v>
                </c:pt>
              </c:strCache>
            </c:strRef>
          </c:tx>
          <c:spPr>
            <a:ln w="25400" cap="rnd">
              <a:noFill/>
              <a:round/>
            </a:ln>
            <a:effectLst/>
          </c:spPr>
          <c:marker>
            <c:symbol val="circle"/>
            <c:size val="5"/>
            <c:spPr>
              <a:solidFill>
                <a:schemeClr val="accent1">
                  <a:shade val="76000"/>
                </a:schemeClr>
              </a:solidFill>
              <a:ln w="9525">
                <a:solidFill>
                  <a:schemeClr val="accent1">
                    <a:shade val="76000"/>
                  </a:schemeClr>
                </a:solidFill>
              </a:ln>
              <a:effectLst/>
            </c:spPr>
          </c:marker>
          <c:cat>
            <c:numRef>
              <c:f>Summary!$AF$26:$AF$29</c:f>
              <c:numCache>
                <c:formatCode>m/d/yyyy</c:formatCode>
                <c:ptCount val="4"/>
                <c:pt idx="0">
                  <c:v>45657</c:v>
                </c:pt>
                <c:pt idx="1">
                  <c:v>45565</c:v>
                </c:pt>
                <c:pt idx="2">
                  <c:v>45473</c:v>
                </c:pt>
                <c:pt idx="3">
                  <c:v>45382</c:v>
                </c:pt>
              </c:numCache>
            </c:numRef>
          </c:cat>
          <c:val>
            <c:numRef>
              <c:f>Summary!$AG$87:$AG$90</c:f>
              <c:numCache>
                <c:formatCode>0</c:formatCode>
                <c:ptCount val="4"/>
                <c:pt idx="0">
                  <c:v>90</c:v>
                </c:pt>
                <c:pt idx="1">
                  <c:v>93.333333333333329</c:v>
                </c:pt>
                <c:pt idx="2">
                  <c:v>81</c:v>
                </c:pt>
                <c:pt idx="3">
                  <c:v>94</c:v>
                </c:pt>
              </c:numCache>
            </c:numRef>
          </c:val>
          <c:smooth val="0"/>
          <c:extLst>
            <c:ext xmlns:c16="http://schemas.microsoft.com/office/drawing/2014/chart" uri="{C3380CC4-5D6E-409C-BE32-E72D297353CC}">
              <c16:uniqueId val="{00000000-E5D4-49BC-8572-8CB254A51402}"/>
            </c:ext>
          </c:extLst>
        </c:ser>
        <c:ser>
          <c:idx val="1"/>
          <c:order val="1"/>
          <c:tx>
            <c:strRef>
              <c:f>Summary!$AH$53</c:f>
              <c:strCache>
                <c:ptCount val="1"/>
                <c:pt idx="0">
                  <c:v>Python Modules</c:v>
                </c:pt>
              </c:strCache>
            </c:strRef>
          </c:tx>
          <c:spPr>
            <a:ln w="25400" cap="rnd">
              <a:noFill/>
              <a:round/>
            </a:ln>
            <a:effectLst/>
          </c:spPr>
          <c:marker>
            <c:symbol val="circle"/>
            <c:size val="5"/>
            <c:spPr>
              <a:solidFill>
                <a:schemeClr val="accent1">
                  <a:tint val="77000"/>
                </a:schemeClr>
              </a:solidFill>
              <a:ln w="9525">
                <a:solidFill>
                  <a:schemeClr val="accent1">
                    <a:tint val="77000"/>
                  </a:schemeClr>
                </a:solidFill>
              </a:ln>
              <a:effectLst/>
            </c:spPr>
          </c:marker>
          <c:cat>
            <c:numRef>
              <c:f>Summary!$AF$26:$AF$29</c:f>
              <c:numCache>
                <c:formatCode>m/d/yyyy</c:formatCode>
                <c:ptCount val="4"/>
                <c:pt idx="0">
                  <c:v>45657</c:v>
                </c:pt>
                <c:pt idx="1">
                  <c:v>45565</c:v>
                </c:pt>
                <c:pt idx="2">
                  <c:v>45473</c:v>
                </c:pt>
                <c:pt idx="3">
                  <c:v>45382</c:v>
                </c:pt>
              </c:numCache>
            </c:numRef>
          </c:cat>
          <c:val>
            <c:numRef>
              <c:f>Summary!$AH$87:$AH$90</c:f>
              <c:numCache>
                <c:formatCode>0</c:formatCode>
                <c:ptCount val="4"/>
                <c:pt idx="0">
                  <c:v>89</c:v>
                </c:pt>
                <c:pt idx="1">
                  <c:v>99.333333333333329</c:v>
                </c:pt>
                <c:pt idx="2">
                  <c:v>115</c:v>
                </c:pt>
                <c:pt idx="3">
                  <c:v>120</c:v>
                </c:pt>
              </c:numCache>
            </c:numRef>
          </c:val>
          <c:smooth val="0"/>
          <c:extLst>
            <c:ext xmlns:c16="http://schemas.microsoft.com/office/drawing/2014/chart" uri="{C3380CC4-5D6E-409C-BE32-E72D297353CC}">
              <c16:uniqueId val="{00000001-E5D4-49BC-8572-8CB254A51402}"/>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15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25"/>
      </c:valAx>
      <c:spPr>
        <a:noFill/>
        <a:ln>
          <a:noFill/>
        </a:ln>
        <a:effectLst/>
      </c:spPr>
    </c:plotArea>
    <c:legend>
      <c:legendPos val="t"/>
      <c:layout>
        <c:manualLayout>
          <c:xMode val="edge"/>
          <c:yMode val="edge"/>
          <c:x val="0.2445986655223267"/>
          <c:y val="9.0275370345110878E-2"/>
          <c:w val="0.58253857850512369"/>
          <c:h val="8.326537462891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(10-Q)</a:t>
            </a:r>
          </a:p>
        </c:rich>
      </c:tx>
      <c:layout>
        <c:manualLayout>
          <c:xMode val="edge"/>
          <c:yMode val="edge"/>
          <c:x val="0.23519476161384967"/>
          <c:y val="2.286338009638483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2378928287686748"/>
          <c:h val="0.72372870791808885"/>
        </c:manualLayout>
      </c:layout>
      <c:lineChart>
        <c:grouping val="standard"/>
        <c:varyColors val="0"/>
        <c:ser>
          <c:idx val="0"/>
          <c:order val="0"/>
          <c:tx>
            <c:strRef>
              <c:f>Summary!$AU$38</c:f>
              <c:strCache>
                <c:ptCount val="1"/>
                <c:pt idx="0">
                  <c:v>Advanced Excel</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Summary!$AF$87:$AF$90</c:f>
              <c:numCache>
                <c:formatCode>m/d/yyyy</c:formatCode>
                <c:ptCount val="4"/>
                <c:pt idx="0">
                  <c:v>45657</c:v>
                </c:pt>
                <c:pt idx="1">
                  <c:v>45565</c:v>
                </c:pt>
                <c:pt idx="2">
                  <c:v>45473</c:v>
                </c:pt>
                <c:pt idx="3">
                  <c:v>45382</c:v>
                </c:pt>
              </c:numCache>
            </c:numRef>
          </c:cat>
          <c:val>
            <c:numRef>
              <c:f>Summary!$AU$87:$AU$90</c:f>
              <c:numCache>
                <c:formatCode>0</c:formatCode>
                <c:ptCount val="4"/>
                <c:pt idx="0">
                  <c:v>596</c:v>
                </c:pt>
                <c:pt idx="1">
                  <c:v>447</c:v>
                </c:pt>
                <c:pt idx="2">
                  <c:v>298</c:v>
                </c:pt>
                <c:pt idx="3">
                  <c:v>149</c:v>
                </c:pt>
              </c:numCache>
            </c:numRef>
          </c:val>
          <c:smooth val="0"/>
          <c:extLst>
            <c:ext xmlns:c16="http://schemas.microsoft.com/office/drawing/2014/chart" uri="{C3380CC4-5D6E-409C-BE32-E72D297353CC}">
              <c16:uniqueId val="{00000000-4C8C-4A23-92A2-E990D4FA00BF}"/>
            </c:ext>
          </c:extLst>
        </c:ser>
        <c:ser>
          <c:idx val="2"/>
          <c:order val="1"/>
          <c:tx>
            <c:strRef>
              <c:f>Summary!$AV$38</c:f>
              <c:strCache>
                <c:ptCount val="1"/>
                <c:pt idx="0">
                  <c:v>Python Modules</c:v>
                </c:pt>
              </c:strCache>
            </c:strRef>
          </c:tx>
          <c:spPr>
            <a:ln w="28575" cap="rnd">
              <a:solidFill>
                <a:schemeClr val="accent1">
                  <a:tint val="65000"/>
                </a:schemeClr>
              </a:solidFill>
              <a:round/>
            </a:ln>
            <a:effectLst/>
          </c:spPr>
          <c:marker>
            <c:symbol val="circle"/>
            <c:size val="5"/>
            <c:spPr>
              <a:solidFill>
                <a:schemeClr val="accent1"/>
              </a:solidFill>
              <a:ln w="9525">
                <a:solidFill>
                  <a:schemeClr val="accent1"/>
                </a:solidFill>
              </a:ln>
              <a:effectLst/>
            </c:spPr>
          </c:marker>
          <c:cat>
            <c:numRef>
              <c:f>Summary!$AF$87:$AF$90</c:f>
              <c:numCache>
                <c:formatCode>m/d/yyyy</c:formatCode>
                <c:ptCount val="4"/>
                <c:pt idx="0">
                  <c:v>45657</c:v>
                </c:pt>
                <c:pt idx="1">
                  <c:v>45565</c:v>
                </c:pt>
                <c:pt idx="2">
                  <c:v>45473</c:v>
                </c:pt>
                <c:pt idx="3">
                  <c:v>45382</c:v>
                </c:pt>
              </c:numCache>
            </c:numRef>
          </c:cat>
          <c:val>
            <c:numRef>
              <c:f>Summary!$AV$87:$AV$90</c:f>
              <c:numCache>
                <c:formatCode>0</c:formatCode>
                <c:ptCount val="4"/>
                <c:pt idx="0">
                  <c:v>172.66666666666669</c:v>
                </c:pt>
                <c:pt idx="1">
                  <c:v>112.66666666666667</c:v>
                </c:pt>
                <c:pt idx="2">
                  <c:v>63</c:v>
                </c:pt>
                <c:pt idx="3">
                  <c:v>29</c:v>
                </c:pt>
              </c:numCache>
            </c:numRef>
          </c:val>
          <c:smooth val="0"/>
          <c:extLst>
            <c:ext xmlns:c16="http://schemas.microsoft.com/office/drawing/2014/chart" uri="{C3380CC4-5D6E-409C-BE32-E72D297353CC}">
              <c16:uniqueId val="{00000002-4C8C-4A23-92A2-E990D4FA00BF}"/>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7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6064586526168048"/>
          <c:y val="8.4030949973802477E-2"/>
          <c:w val="0.75387931405364006"/>
          <c:h val="8.35126158939494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(Presentation)</a:t>
            </a:r>
          </a:p>
        </c:rich>
      </c:tx>
      <c:layout>
        <c:manualLayout>
          <c:xMode val="edge"/>
          <c:yMode val="edge"/>
          <c:x val="0.16634041712527869"/>
          <c:y val="1.789924671123879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1649700154836657"/>
          <c:h val="0.739421726400594"/>
        </c:manualLayout>
      </c:layout>
      <c:lineChart>
        <c:grouping val="standard"/>
        <c:varyColors val="0"/>
        <c:ser>
          <c:idx val="0"/>
          <c:order val="0"/>
          <c:tx>
            <c:strRef>
              <c:f>Summary!$BI$25</c:f>
              <c:strCache>
                <c:ptCount val="1"/>
                <c:pt idx="0">
                  <c:v>Advanced Excel</c:v>
                </c:pt>
              </c:strCache>
            </c:strRef>
          </c:tx>
          <c:spPr>
            <a:ln w="28575" cap="rnd">
              <a:solidFill>
                <a:schemeClr val="accent1">
                  <a:shade val="76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Summary!$AF$39:$AF$42</c:f>
              <c:numCache>
                <c:formatCode>m/d/yyyy</c:formatCode>
                <c:ptCount val="4"/>
                <c:pt idx="0">
                  <c:v>45657</c:v>
                </c:pt>
                <c:pt idx="1">
                  <c:v>45565</c:v>
                </c:pt>
                <c:pt idx="2">
                  <c:v>45473</c:v>
                </c:pt>
                <c:pt idx="3">
                  <c:v>45382</c:v>
                </c:pt>
              </c:numCache>
            </c:numRef>
          </c:cat>
          <c:val>
            <c:numRef>
              <c:f>Summary!$BI$87:$BI$90</c:f>
              <c:numCache>
                <c:formatCode>0</c:formatCode>
                <c:ptCount val="4"/>
                <c:pt idx="0">
                  <c:v>596</c:v>
                </c:pt>
                <c:pt idx="1">
                  <c:v>447</c:v>
                </c:pt>
                <c:pt idx="2">
                  <c:v>298</c:v>
                </c:pt>
                <c:pt idx="3">
                  <c:v>149</c:v>
                </c:pt>
              </c:numCache>
            </c:numRef>
          </c:val>
          <c:smooth val="0"/>
          <c:extLst>
            <c:ext xmlns:c16="http://schemas.microsoft.com/office/drawing/2014/chart" uri="{C3380CC4-5D6E-409C-BE32-E72D297353CC}">
              <c16:uniqueId val="{00000000-E30D-4F3C-AFAD-28AF0F7477BC}"/>
            </c:ext>
          </c:extLst>
        </c:ser>
        <c:ser>
          <c:idx val="1"/>
          <c:order val="1"/>
          <c:tx>
            <c:strRef>
              <c:f>Summary!$BJ$25</c:f>
              <c:strCache>
                <c:ptCount val="1"/>
                <c:pt idx="0">
                  <c:v>LLM API</c:v>
                </c:pt>
              </c:strCache>
            </c:strRef>
          </c:tx>
          <c:spPr>
            <a:ln w="28575" cap="rnd">
              <a:solidFill>
                <a:schemeClr val="accent1">
                  <a:tint val="77000"/>
                </a:schemeClr>
              </a:solidFill>
              <a:round/>
            </a:ln>
            <a:effectLst/>
          </c:spPr>
          <c:marker>
            <c:symbol val="circle"/>
            <c:size val="5"/>
            <c:spPr>
              <a:solidFill>
                <a:schemeClr val="accent1"/>
              </a:solidFill>
              <a:ln w="9525">
                <a:solidFill>
                  <a:schemeClr val="accent1"/>
                </a:solidFill>
              </a:ln>
              <a:effectLst/>
            </c:spPr>
          </c:marker>
          <c:cat>
            <c:numRef>
              <c:f>Summary!$AF$39:$AF$42</c:f>
              <c:numCache>
                <c:formatCode>m/d/yyyy</c:formatCode>
                <c:ptCount val="4"/>
                <c:pt idx="0">
                  <c:v>45657</c:v>
                </c:pt>
                <c:pt idx="1">
                  <c:v>45565</c:v>
                </c:pt>
                <c:pt idx="2">
                  <c:v>45473</c:v>
                </c:pt>
                <c:pt idx="3">
                  <c:v>45382</c:v>
                </c:pt>
              </c:numCache>
            </c:numRef>
          </c:cat>
          <c:val>
            <c:numRef>
              <c:f>Summary!$BJ$87:$BJ$90</c:f>
              <c:numCache>
                <c:formatCode>0</c:formatCode>
                <c:ptCount val="4"/>
                <c:pt idx="0">
                  <c:v>237.66666666666669</c:v>
                </c:pt>
                <c:pt idx="1">
                  <c:v>178.66666666666669</c:v>
                </c:pt>
                <c:pt idx="2" formatCode="General">
                  <c:v>123</c:v>
                </c:pt>
                <c:pt idx="3" formatCode="General">
                  <c:v>55</c:v>
                </c:pt>
              </c:numCache>
            </c:numRef>
          </c:val>
          <c:smooth val="0"/>
          <c:extLst>
            <c:ext xmlns:c16="http://schemas.microsoft.com/office/drawing/2014/chart" uri="{C3380CC4-5D6E-409C-BE32-E72D297353CC}">
              <c16:uniqueId val="{00000001-E30D-4F3C-AFAD-28AF0F7477BC}"/>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7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2115372675189795"/>
          <c:y val="8.6035761429345256E-2"/>
          <c:w val="0.7553468651610612"/>
          <c:h val="6.58860302790345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Extraction Time Saving vs Manual</a:t>
            </a:r>
          </a:p>
        </c:rich>
      </c:tx>
      <c:layout>
        <c:manualLayout>
          <c:xMode val="edge"/>
          <c:yMode val="edge"/>
          <c:x val="0.24463438528167017"/>
          <c:y val="3.238413492911488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3839488337969137"/>
          <c:h val="0.75814401600899661"/>
        </c:manualLayout>
      </c:layout>
      <c:lineChart>
        <c:grouping val="standard"/>
        <c:varyColors val="0"/>
        <c:ser>
          <c:idx val="0"/>
          <c:order val="0"/>
          <c:tx>
            <c:strRef>
              <c:f>Summary!$AG$38</c:f>
              <c:strCache>
                <c:ptCount val="1"/>
                <c:pt idx="0">
                  <c:v>LLM API</c:v>
                </c:pt>
              </c:strCache>
            </c:strRef>
          </c:tx>
          <c:spPr>
            <a:ln w="25400" cap="rnd">
              <a:noFill/>
              <a:round/>
            </a:ln>
            <a:effectLst/>
          </c:spPr>
          <c:marker>
            <c:symbol val="circle"/>
            <c:size val="5"/>
            <c:spPr>
              <a:solidFill>
                <a:schemeClr val="accent1">
                  <a:shade val="76000"/>
                </a:schemeClr>
              </a:solidFill>
              <a:ln w="9525">
                <a:solidFill>
                  <a:schemeClr val="accent1">
                    <a:shade val="76000"/>
                  </a:schemeClr>
                </a:solidFill>
              </a:ln>
              <a:effectLst/>
            </c:spPr>
          </c:marker>
          <c:cat>
            <c:numRef>
              <c:f>Summary!$AF$26:$AF$29</c:f>
              <c:numCache>
                <c:formatCode>m/d/yyyy</c:formatCode>
                <c:ptCount val="4"/>
                <c:pt idx="0">
                  <c:v>45657</c:v>
                </c:pt>
                <c:pt idx="1">
                  <c:v>45565</c:v>
                </c:pt>
                <c:pt idx="2">
                  <c:v>45473</c:v>
                </c:pt>
                <c:pt idx="3">
                  <c:v>45382</c:v>
                </c:pt>
              </c:numCache>
            </c:numRef>
          </c:cat>
          <c:val>
            <c:numRef>
              <c:f>Summary!$AG$139:$AG$142</c:f>
              <c:numCache>
                <c:formatCode>0</c:formatCode>
                <c:ptCount val="4"/>
                <c:pt idx="0">
                  <c:v>60</c:v>
                </c:pt>
                <c:pt idx="1">
                  <c:v>60</c:v>
                </c:pt>
                <c:pt idx="2">
                  <c:v>61</c:v>
                </c:pt>
                <c:pt idx="3">
                  <c:v>60</c:v>
                </c:pt>
              </c:numCache>
            </c:numRef>
          </c:val>
          <c:smooth val="0"/>
          <c:extLst>
            <c:ext xmlns:c16="http://schemas.microsoft.com/office/drawing/2014/chart" uri="{C3380CC4-5D6E-409C-BE32-E72D297353CC}">
              <c16:uniqueId val="{00000000-7503-4815-B557-A1522491B6C9}"/>
            </c:ext>
          </c:extLst>
        </c:ser>
        <c:ser>
          <c:idx val="1"/>
          <c:order val="1"/>
          <c:tx>
            <c:strRef>
              <c:f>Summary!$AH$38</c:f>
              <c:strCache>
                <c:ptCount val="1"/>
                <c:pt idx="0">
                  <c:v>Python Modules</c:v>
                </c:pt>
              </c:strCache>
            </c:strRef>
          </c:tx>
          <c:spPr>
            <a:ln w="25400" cap="rnd">
              <a:noFill/>
              <a:round/>
            </a:ln>
            <a:effectLst/>
          </c:spPr>
          <c:marker>
            <c:symbol val="circle"/>
            <c:size val="5"/>
            <c:spPr>
              <a:solidFill>
                <a:schemeClr val="accent1">
                  <a:tint val="77000"/>
                </a:schemeClr>
              </a:solidFill>
              <a:ln w="9525">
                <a:solidFill>
                  <a:schemeClr val="accent1">
                    <a:tint val="77000"/>
                  </a:schemeClr>
                </a:solidFill>
              </a:ln>
              <a:effectLst/>
            </c:spPr>
          </c:marker>
          <c:cat>
            <c:numRef>
              <c:f>Summary!$AF$26:$AF$29</c:f>
              <c:numCache>
                <c:formatCode>m/d/yyyy</c:formatCode>
                <c:ptCount val="4"/>
                <c:pt idx="0">
                  <c:v>45657</c:v>
                </c:pt>
                <c:pt idx="1">
                  <c:v>45565</c:v>
                </c:pt>
                <c:pt idx="2">
                  <c:v>45473</c:v>
                </c:pt>
                <c:pt idx="3">
                  <c:v>45382</c:v>
                </c:pt>
              </c:numCache>
            </c:numRef>
          </c:cat>
          <c:val>
            <c:numRef>
              <c:f>Summary!$AH$139:$AH$142</c:f>
              <c:numCache>
                <c:formatCode>0</c:formatCode>
                <c:ptCount val="4"/>
                <c:pt idx="0">
                  <c:v>48</c:v>
                </c:pt>
                <c:pt idx="1">
                  <c:v>50.333333333333329</c:v>
                </c:pt>
                <c:pt idx="2">
                  <c:v>52</c:v>
                </c:pt>
                <c:pt idx="3">
                  <c:v>56</c:v>
                </c:pt>
              </c:numCache>
            </c:numRef>
          </c:val>
          <c:smooth val="0"/>
          <c:extLst>
            <c:ext xmlns:c16="http://schemas.microsoft.com/office/drawing/2014/chart" uri="{C3380CC4-5D6E-409C-BE32-E72D297353CC}">
              <c16:uniqueId val="{00000001-7503-4815-B557-A1522491B6C9}"/>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
      </c:valAx>
      <c:spPr>
        <a:noFill/>
        <a:ln>
          <a:noFill/>
        </a:ln>
        <a:effectLst/>
      </c:spPr>
    </c:plotArea>
    <c:legend>
      <c:legendPos val="t"/>
      <c:layout>
        <c:manualLayout>
          <c:xMode val="edge"/>
          <c:yMode val="edge"/>
          <c:x val="0.2445986655223267"/>
          <c:y val="9.0275370345110878E-2"/>
          <c:w val="0.58253857850512369"/>
          <c:h val="8.326537462891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(10-Q)</a:t>
            </a:r>
          </a:p>
        </c:rich>
      </c:tx>
      <c:layout>
        <c:manualLayout>
          <c:xMode val="edge"/>
          <c:yMode val="edge"/>
          <c:x val="0.23519472565874391"/>
          <c:y val="2.750951624857584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2378928287686748"/>
          <c:h val="0.72372870791808885"/>
        </c:manualLayout>
      </c:layout>
      <c:lineChart>
        <c:grouping val="standard"/>
        <c:varyColors val="0"/>
        <c:ser>
          <c:idx val="0"/>
          <c:order val="0"/>
          <c:tx>
            <c:strRef>
              <c:f>Summary!$AU$38</c:f>
              <c:strCache>
                <c:ptCount val="1"/>
                <c:pt idx="0">
                  <c:v>Advanced Excel</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Summary!$AF$139:$AF$142</c:f>
              <c:numCache>
                <c:formatCode>m/d/yyyy</c:formatCode>
                <c:ptCount val="4"/>
                <c:pt idx="0">
                  <c:v>45657</c:v>
                </c:pt>
                <c:pt idx="1">
                  <c:v>45565</c:v>
                </c:pt>
                <c:pt idx="2">
                  <c:v>45473</c:v>
                </c:pt>
                <c:pt idx="3">
                  <c:v>45382</c:v>
                </c:pt>
              </c:numCache>
            </c:numRef>
          </c:cat>
          <c:val>
            <c:numRef>
              <c:f>Summary!$AU$139:$AU$142</c:f>
              <c:numCache>
                <c:formatCode>0</c:formatCode>
                <c:ptCount val="4"/>
                <c:pt idx="0">
                  <c:v>352</c:v>
                </c:pt>
                <c:pt idx="1">
                  <c:v>264</c:v>
                </c:pt>
                <c:pt idx="2">
                  <c:v>176</c:v>
                </c:pt>
                <c:pt idx="3">
                  <c:v>88</c:v>
                </c:pt>
              </c:numCache>
            </c:numRef>
          </c:val>
          <c:smooth val="0"/>
          <c:extLst>
            <c:ext xmlns:c16="http://schemas.microsoft.com/office/drawing/2014/chart" uri="{C3380CC4-5D6E-409C-BE32-E72D297353CC}">
              <c16:uniqueId val="{00000000-D26A-47C2-AF39-AFD11F7173E1}"/>
            </c:ext>
          </c:extLst>
        </c:ser>
        <c:ser>
          <c:idx val="2"/>
          <c:order val="1"/>
          <c:tx>
            <c:strRef>
              <c:f>Summary!$AV$38</c:f>
              <c:strCache>
                <c:ptCount val="1"/>
                <c:pt idx="0">
                  <c:v>Python Modules</c:v>
                </c:pt>
              </c:strCache>
            </c:strRef>
          </c:tx>
          <c:spPr>
            <a:ln w="28575" cap="rnd">
              <a:solidFill>
                <a:schemeClr val="accent1">
                  <a:tint val="65000"/>
                </a:schemeClr>
              </a:solidFill>
              <a:round/>
            </a:ln>
            <a:effectLst/>
          </c:spPr>
          <c:marker>
            <c:symbol val="circle"/>
            <c:size val="5"/>
            <c:spPr>
              <a:solidFill>
                <a:schemeClr val="accent1"/>
              </a:solidFill>
              <a:ln w="9525">
                <a:solidFill>
                  <a:schemeClr val="accent1"/>
                </a:solidFill>
              </a:ln>
              <a:effectLst/>
            </c:spPr>
          </c:marker>
          <c:cat>
            <c:numRef>
              <c:f>Summary!$AF$139:$AF$142</c:f>
              <c:numCache>
                <c:formatCode>m/d/yyyy</c:formatCode>
                <c:ptCount val="4"/>
                <c:pt idx="0">
                  <c:v>45657</c:v>
                </c:pt>
                <c:pt idx="1">
                  <c:v>45565</c:v>
                </c:pt>
                <c:pt idx="2">
                  <c:v>45473</c:v>
                </c:pt>
                <c:pt idx="3">
                  <c:v>45382</c:v>
                </c:pt>
              </c:numCache>
            </c:numRef>
          </c:cat>
          <c:val>
            <c:numRef>
              <c:f>Summary!$AV$139:$AV$142</c:f>
              <c:numCache>
                <c:formatCode>0</c:formatCode>
                <c:ptCount val="4"/>
                <c:pt idx="0">
                  <c:v>145.66666666666669</c:v>
                </c:pt>
                <c:pt idx="1">
                  <c:v>105.66666666666667</c:v>
                </c:pt>
                <c:pt idx="2">
                  <c:v>68</c:v>
                </c:pt>
                <c:pt idx="3">
                  <c:v>32</c:v>
                </c:pt>
              </c:numCache>
            </c:numRef>
          </c:val>
          <c:smooth val="0"/>
          <c:extLst>
            <c:ext xmlns:c16="http://schemas.microsoft.com/office/drawing/2014/chart" uri="{C3380CC4-5D6E-409C-BE32-E72D297353CC}">
              <c16:uniqueId val="{00000002-D26A-47C2-AF39-AFD11F7173E1}"/>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50"/>
      </c:valAx>
      <c:spPr>
        <a:noFill/>
        <a:ln>
          <a:noFill/>
        </a:ln>
        <a:effectLst/>
      </c:spPr>
    </c:plotArea>
    <c:legend>
      <c:legendPos val="t"/>
      <c:layout>
        <c:manualLayout>
          <c:xMode val="edge"/>
          <c:yMode val="edge"/>
          <c:x val="0.15351163612576937"/>
          <c:y val="0.10249241160813963"/>
          <c:w val="0.75387931405364006"/>
          <c:h val="5.53161666511870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(Presentation)</a:t>
            </a:r>
          </a:p>
        </c:rich>
      </c:tx>
      <c:layout>
        <c:manualLayout>
          <c:xMode val="edge"/>
          <c:yMode val="edge"/>
          <c:x val="0.18784579346936472"/>
          <c:y val="2.280252406463359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1649700154836657"/>
          <c:h val="0.739421726400594"/>
        </c:manualLayout>
      </c:layout>
      <c:lineChart>
        <c:grouping val="standard"/>
        <c:varyColors val="0"/>
        <c:ser>
          <c:idx val="0"/>
          <c:order val="0"/>
          <c:tx>
            <c:strRef>
              <c:f>Summary!$BI$25</c:f>
              <c:strCache>
                <c:ptCount val="1"/>
                <c:pt idx="0">
                  <c:v>Advanced Excel</c:v>
                </c:pt>
              </c:strCache>
            </c:strRef>
          </c:tx>
          <c:spPr>
            <a:ln w="28575" cap="rnd">
              <a:solidFill>
                <a:schemeClr val="accent1">
                  <a:shade val="76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Summary!$AF$180:$AF$183</c:f>
              <c:numCache>
                <c:formatCode>m/d/yyyy</c:formatCode>
                <c:ptCount val="4"/>
                <c:pt idx="0">
                  <c:v>45657</c:v>
                </c:pt>
                <c:pt idx="1">
                  <c:v>45565</c:v>
                </c:pt>
                <c:pt idx="2">
                  <c:v>45473</c:v>
                </c:pt>
                <c:pt idx="3">
                  <c:v>45382</c:v>
                </c:pt>
              </c:numCache>
            </c:numRef>
          </c:cat>
          <c:val>
            <c:numRef>
              <c:f>Summary!$BI$139:$BI$142</c:f>
              <c:numCache>
                <c:formatCode>0</c:formatCode>
                <c:ptCount val="4"/>
                <c:pt idx="0">
                  <c:v>352</c:v>
                </c:pt>
                <c:pt idx="1">
                  <c:v>264</c:v>
                </c:pt>
                <c:pt idx="2">
                  <c:v>176</c:v>
                </c:pt>
                <c:pt idx="3">
                  <c:v>88</c:v>
                </c:pt>
              </c:numCache>
            </c:numRef>
          </c:val>
          <c:smooth val="0"/>
          <c:extLst>
            <c:ext xmlns:c16="http://schemas.microsoft.com/office/drawing/2014/chart" uri="{C3380CC4-5D6E-409C-BE32-E72D297353CC}">
              <c16:uniqueId val="{00000000-FA81-42BC-A0EB-4826C7239C04}"/>
            </c:ext>
          </c:extLst>
        </c:ser>
        <c:ser>
          <c:idx val="1"/>
          <c:order val="1"/>
          <c:tx>
            <c:strRef>
              <c:f>Summary!$BJ$25</c:f>
              <c:strCache>
                <c:ptCount val="1"/>
                <c:pt idx="0">
                  <c:v>LLM API</c:v>
                </c:pt>
              </c:strCache>
            </c:strRef>
          </c:tx>
          <c:spPr>
            <a:ln w="28575" cap="rnd">
              <a:solidFill>
                <a:schemeClr val="accent1">
                  <a:tint val="77000"/>
                </a:schemeClr>
              </a:solidFill>
              <a:round/>
            </a:ln>
            <a:effectLst/>
          </c:spPr>
          <c:marker>
            <c:symbol val="circle"/>
            <c:size val="5"/>
            <c:spPr>
              <a:solidFill>
                <a:schemeClr val="accent1"/>
              </a:solidFill>
              <a:ln w="9525">
                <a:solidFill>
                  <a:schemeClr val="accent1"/>
                </a:solidFill>
              </a:ln>
              <a:effectLst/>
            </c:spPr>
          </c:marker>
          <c:cat>
            <c:numRef>
              <c:f>Summary!$AF$180:$AF$183</c:f>
              <c:numCache>
                <c:formatCode>m/d/yyyy</c:formatCode>
                <c:ptCount val="4"/>
                <c:pt idx="0">
                  <c:v>45657</c:v>
                </c:pt>
                <c:pt idx="1">
                  <c:v>45565</c:v>
                </c:pt>
                <c:pt idx="2">
                  <c:v>45473</c:v>
                </c:pt>
                <c:pt idx="3">
                  <c:v>45382</c:v>
                </c:pt>
              </c:numCache>
            </c:numRef>
          </c:cat>
          <c:val>
            <c:numRef>
              <c:f>Summary!$BJ$139:$BJ$142</c:f>
              <c:numCache>
                <c:formatCode>0</c:formatCode>
                <c:ptCount val="4"/>
                <c:pt idx="0">
                  <c:v>111</c:v>
                </c:pt>
                <c:pt idx="1">
                  <c:v>83</c:v>
                </c:pt>
                <c:pt idx="2" formatCode="General">
                  <c:v>55</c:v>
                </c:pt>
                <c:pt idx="3" formatCode="General">
                  <c:v>28</c:v>
                </c:pt>
              </c:numCache>
            </c:numRef>
          </c:val>
          <c:smooth val="0"/>
          <c:extLst>
            <c:ext xmlns:c16="http://schemas.microsoft.com/office/drawing/2014/chart" uri="{C3380CC4-5D6E-409C-BE32-E72D297353CC}">
              <c16:uniqueId val="{00000001-FA81-42BC-A0EB-4826C7239C04}"/>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50"/>
      </c:valAx>
      <c:spPr>
        <a:noFill/>
        <a:ln>
          <a:noFill/>
        </a:ln>
        <a:effectLst/>
      </c:spPr>
    </c:plotArea>
    <c:legend>
      <c:legendPos val="t"/>
      <c:layout>
        <c:manualLayout>
          <c:xMode val="edge"/>
          <c:yMode val="edge"/>
          <c:x val="0.13549064431462196"/>
          <c:y val="0.10074521989044473"/>
          <c:w val="0.7553468651610612"/>
          <c:h val="5.60795148310418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Extraction Time Saving vs Manual</a:t>
            </a:r>
          </a:p>
        </c:rich>
      </c:tx>
      <c:layout>
        <c:manualLayout>
          <c:xMode val="edge"/>
          <c:yMode val="edge"/>
          <c:x val="0.24463438528167017"/>
          <c:y val="3.238413492911488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3839488337969137"/>
          <c:h val="0.75814401600899661"/>
        </c:manualLayout>
      </c:layout>
      <c:lineChart>
        <c:grouping val="standard"/>
        <c:varyColors val="0"/>
        <c:ser>
          <c:idx val="0"/>
          <c:order val="0"/>
          <c:tx>
            <c:strRef>
              <c:f>Summary!$AG$38</c:f>
              <c:strCache>
                <c:ptCount val="1"/>
                <c:pt idx="0">
                  <c:v>LLM API</c:v>
                </c:pt>
              </c:strCache>
            </c:strRef>
          </c:tx>
          <c:spPr>
            <a:ln w="25400" cap="rnd">
              <a:noFill/>
              <a:round/>
            </a:ln>
            <a:effectLst/>
          </c:spPr>
          <c:marker>
            <c:symbol val="circle"/>
            <c:size val="5"/>
            <c:spPr>
              <a:solidFill>
                <a:schemeClr val="accent1">
                  <a:shade val="76000"/>
                </a:schemeClr>
              </a:solidFill>
              <a:ln w="9525">
                <a:solidFill>
                  <a:schemeClr val="accent1">
                    <a:shade val="76000"/>
                  </a:schemeClr>
                </a:solidFill>
              </a:ln>
              <a:effectLst/>
            </c:spPr>
          </c:marker>
          <c:cat>
            <c:numRef>
              <c:f>Summary!$AF$26:$AF$29</c:f>
              <c:numCache>
                <c:formatCode>m/d/yyyy</c:formatCode>
                <c:ptCount val="4"/>
                <c:pt idx="0">
                  <c:v>45657</c:v>
                </c:pt>
                <c:pt idx="1">
                  <c:v>45565</c:v>
                </c:pt>
                <c:pt idx="2">
                  <c:v>45473</c:v>
                </c:pt>
                <c:pt idx="3">
                  <c:v>45382</c:v>
                </c:pt>
              </c:numCache>
            </c:numRef>
          </c:cat>
          <c:val>
            <c:numRef>
              <c:f>Summary!$AG$159:$AG$162</c:f>
              <c:numCache>
                <c:formatCode>0</c:formatCode>
                <c:ptCount val="4"/>
                <c:pt idx="0">
                  <c:v>92</c:v>
                </c:pt>
                <c:pt idx="1">
                  <c:v>81</c:v>
                </c:pt>
                <c:pt idx="2">
                  <c:v>91</c:v>
                </c:pt>
                <c:pt idx="3">
                  <c:v>90</c:v>
                </c:pt>
              </c:numCache>
            </c:numRef>
          </c:val>
          <c:smooth val="0"/>
          <c:extLst>
            <c:ext xmlns:c16="http://schemas.microsoft.com/office/drawing/2014/chart" uri="{C3380CC4-5D6E-409C-BE32-E72D297353CC}">
              <c16:uniqueId val="{00000000-CC9C-485E-B550-0E0ECC305A7D}"/>
            </c:ext>
          </c:extLst>
        </c:ser>
        <c:ser>
          <c:idx val="1"/>
          <c:order val="1"/>
          <c:tx>
            <c:strRef>
              <c:f>Summary!$AH$38</c:f>
              <c:strCache>
                <c:ptCount val="1"/>
                <c:pt idx="0">
                  <c:v>Python Modules</c:v>
                </c:pt>
              </c:strCache>
            </c:strRef>
          </c:tx>
          <c:spPr>
            <a:ln w="25400" cap="rnd">
              <a:noFill/>
              <a:round/>
            </a:ln>
            <a:effectLst/>
          </c:spPr>
          <c:marker>
            <c:symbol val="circle"/>
            <c:size val="5"/>
            <c:spPr>
              <a:solidFill>
                <a:schemeClr val="accent1">
                  <a:tint val="77000"/>
                </a:schemeClr>
              </a:solidFill>
              <a:ln w="9525">
                <a:solidFill>
                  <a:schemeClr val="accent1">
                    <a:tint val="77000"/>
                  </a:schemeClr>
                </a:solidFill>
              </a:ln>
              <a:effectLst/>
            </c:spPr>
          </c:marker>
          <c:cat>
            <c:numRef>
              <c:f>Summary!$AF$26:$AF$29</c:f>
              <c:numCache>
                <c:formatCode>m/d/yyyy</c:formatCode>
                <c:ptCount val="4"/>
                <c:pt idx="0">
                  <c:v>45657</c:v>
                </c:pt>
                <c:pt idx="1">
                  <c:v>45565</c:v>
                </c:pt>
                <c:pt idx="2">
                  <c:v>45473</c:v>
                </c:pt>
                <c:pt idx="3">
                  <c:v>45382</c:v>
                </c:pt>
              </c:numCache>
            </c:numRef>
          </c:cat>
          <c:val>
            <c:numRef>
              <c:f>Summary!$AH$159:$AH$162</c:f>
              <c:numCache>
                <c:formatCode>0</c:formatCode>
                <c:ptCount val="4"/>
                <c:pt idx="0">
                  <c:v>-38</c:v>
                </c:pt>
                <c:pt idx="1">
                  <c:v>-11.333333333333314</c:v>
                </c:pt>
                <c:pt idx="2">
                  <c:v>53</c:v>
                </c:pt>
                <c:pt idx="3">
                  <c:v>-9</c:v>
                </c:pt>
              </c:numCache>
            </c:numRef>
          </c:val>
          <c:smooth val="0"/>
          <c:extLst>
            <c:ext xmlns:c16="http://schemas.microsoft.com/office/drawing/2014/chart" uri="{C3380CC4-5D6E-409C-BE32-E72D297353CC}">
              <c16:uniqueId val="{00000001-CC9C-485E-B550-0E0ECC305A7D}"/>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2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50"/>
      </c:valAx>
      <c:spPr>
        <a:noFill/>
        <a:ln>
          <a:noFill/>
        </a:ln>
        <a:effectLst/>
      </c:spPr>
    </c:plotArea>
    <c:legend>
      <c:legendPos val="t"/>
      <c:layout>
        <c:manualLayout>
          <c:xMode val="edge"/>
          <c:yMode val="edge"/>
          <c:x val="0.2445986655223267"/>
          <c:y val="9.0275370345110878E-2"/>
          <c:w val="0.58253857850512369"/>
          <c:h val="8.326537462891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(10-Q)</a:t>
            </a:r>
          </a:p>
        </c:rich>
      </c:tx>
      <c:layout>
        <c:manualLayout>
          <c:xMode val="edge"/>
          <c:yMode val="edge"/>
          <c:x val="0.23519476161384967"/>
          <c:y val="2.286338009638483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2378928287686748"/>
          <c:h val="0.72372870791808885"/>
        </c:manualLayout>
      </c:layout>
      <c:lineChart>
        <c:grouping val="standard"/>
        <c:varyColors val="0"/>
        <c:ser>
          <c:idx val="0"/>
          <c:order val="0"/>
          <c:tx>
            <c:strRef>
              <c:f>Summary!$AU$38</c:f>
              <c:strCache>
                <c:ptCount val="1"/>
                <c:pt idx="0">
                  <c:v>Advanced Excel</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Summary!$AF$159:$AF$162</c:f>
              <c:numCache>
                <c:formatCode>m/d/yyyy</c:formatCode>
                <c:ptCount val="4"/>
                <c:pt idx="0">
                  <c:v>45657</c:v>
                </c:pt>
                <c:pt idx="1">
                  <c:v>45565</c:v>
                </c:pt>
                <c:pt idx="2">
                  <c:v>45473</c:v>
                </c:pt>
                <c:pt idx="3">
                  <c:v>45382</c:v>
                </c:pt>
              </c:numCache>
            </c:numRef>
          </c:cat>
          <c:val>
            <c:numRef>
              <c:f>Summary!$AU$159:$AU$162</c:f>
              <c:numCache>
                <c:formatCode>0</c:formatCode>
                <c:ptCount val="4"/>
                <c:pt idx="0">
                  <c:v>472</c:v>
                </c:pt>
                <c:pt idx="1">
                  <c:v>354</c:v>
                </c:pt>
                <c:pt idx="2">
                  <c:v>236</c:v>
                </c:pt>
                <c:pt idx="3">
                  <c:v>118</c:v>
                </c:pt>
              </c:numCache>
            </c:numRef>
          </c:val>
          <c:smooth val="0"/>
          <c:extLst>
            <c:ext xmlns:c16="http://schemas.microsoft.com/office/drawing/2014/chart" uri="{C3380CC4-5D6E-409C-BE32-E72D297353CC}">
              <c16:uniqueId val="{00000000-E0B1-49C3-A219-CA629E536200}"/>
            </c:ext>
          </c:extLst>
        </c:ser>
        <c:ser>
          <c:idx val="2"/>
          <c:order val="1"/>
          <c:tx>
            <c:strRef>
              <c:f>Summary!$AV$38</c:f>
              <c:strCache>
                <c:ptCount val="1"/>
                <c:pt idx="0">
                  <c:v>Python Modules</c:v>
                </c:pt>
              </c:strCache>
            </c:strRef>
          </c:tx>
          <c:spPr>
            <a:ln w="28575" cap="rnd">
              <a:solidFill>
                <a:schemeClr val="accent1">
                  <a:tint val="65000"/>
                </a:schemeClr>
              </a:solidFill>
              <a:round/>
            </a:ln>
            <a:effectLst/>
          </c:spPr>
          <c:marker>
            <c:symbol val="circle"/>
            <c:size val="5"/>
            <c:spPr>
              <a:solidFill>
                <a:schemeClr val="accent1"/>
              </a:solidFill>
              <a:ln w="9525">
                <a:solidFill>
                  <a:schemeClr val="accent1"/>
                </a:solidFill>
              </a:ln>
              <a:effectLst/>
            </c:spPr>
          </c:marker>
          <c:cat>
            <c:numRef>
              <c:f>Summary!$AF$159:$AF$162</c:f>
              <c:numCache>
                <c:formatCode>m/d/yyyy</c:formatCode>
                <c:ptCount val="4"/>
                <c:pt idx="0">
                  <c:v>45657</c:v>
                </c:pt>
                <c:pt idx="1">
                  <c:v>45565</c:v>
                </c:pt>
                <c:pt idx="2">
                  <c:v>45473</c:v>
                </c:pt>
                <c:pt idx="3">
                  <c:v>45382</c:v>
                </c:pt>
              </c:numCache>
            </c:numRef>
          </c:cat>
          <c:val>
            <c:numRef>
              <c:f>Summary!$AV$159:$AV$162</c:f>
              <c:numCache>
                <c:formatCode>0</c:formatCode>
                <c:ptCount val="4"/>
                <c:pt idx="0">
                  <c:v>477.33333333333331</c:v>
                </c:pt>
                <c:pt idx="1">
                  <c:v>321.33333333333331</c:v>
                </c:pt>
                <c:pt idx="2">
                  <c:v>192</c:v>
                </c:pt>
                <c:pt idx="3">
                  <c:v>127</c:v>
                </c:pt>
              </c:numCache>
            </c:numRef>
          </c:val>
          <c:smooth val="0"/>
          <c:extLst>
            <c:ext xmlns:c16="http://schemas.microsoft.com/office/drawing/2014/chart" uri="{C3380CC4-5D6E-409C-BE32-E72D297353CC}">
              <c16:uniqueId val="{00000002-E0B1-49C3-A219-CA629E536200}"/>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600"/>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4244020556371537"/>
          <c:y val="8.8607772925861153E-2"/>
          <c:w val="0.75387931405364006"/>
          <c:h val="6.941431268947853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(Presentation)</a:t>
            </a:r>
          </a:p>
        </c:rich>
      </c:tx>
      <c:layout>
        <c:manualLayout>
          <c:xMode val="edge"/>
          <c:yMode val="edge"/>
          <c:x val="0.18784579346936472"/>
          <c:y val="2.280252406463359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1649700154836657"/>
          <c:h val="0.739421726400594"/>
        </c:manualLayout>
      </c:layout>
      <c:lineChart>
        <c:grouping val="standard"/>
        <c:varyColors val="0"/>
        <c:ser>
          <c:idx val="0"/>
          <c:order val="0"/>
          <c:tx>
            <c:strRef>
              <c:f>Summary!$BI$25</c:f>
              <c:strCache>
                <c:ptCount val="1"/>
                <c:pt idx="0">
                  <c:v>Advanced Excel</c:v>
                </c:pt>
              </c:strCache>
            </c:strRef>
          </c:tx>
          <c:spPr>
            <a:ln w="28575" cap="rnd">
              <a:solidFill>
                <a:schemeClr val="accent1">
                  <a:shade val="76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Summary!$AF$180:$AF$183</c:f>
              <c:numCache>
                <c:formatCode>m/d/yyyy</c:formatCode>
                <c:ptCount val="4"/>
                <c:pt idx="0">
                  <c:v>45657</c:v>
                </c:pt>
                <c:pt idx="1">
                  <c:v>45565</c:v>
                </c:pt>
                <c:pt idx="2">
                  <c:v>45473</c:v>
                </c:pt>
                <c:pt idx="3">
                  <c:v>45382</c:v>
                </c:pt>
              </c:numCache>
            </c:numRef>
          </c:cat>
          <c:val>
            <c:numRef>
              <c:f>Summary!$BI$159:$BI$162</c:f>
              <c:numCache>
                <c:formatCode>0</c:formatCode>
                <c:ptCount val="4"/>
                <c:pt idx="0">
                  <c:v>472</c:v>
                </c:pt>
                <c:pt idx="1">
                  <c:v>354</c:v>
                </c:pt>
                <c:pt idx="2">
                  <c:v>236</c:v>
                </c:pt>
                <c:pt idx="3">
                  <c:v>118</c:v>
                </c:pt>
              </c:numCache>
            </c:numRef>
          </c:val>
          <c:smooth val="0"/>
          <c:extLst>
            <c:ext xmlns:c16="http://schemas.microsoft.com/office/drawing/2014/chart" uri="{C3380CC4-5D6E-409C-BE32-E72D297353CC}">
              <c16:uniqueId val="{00000000-F95F-46EE-903E-BADA902F6BB4}"/>
            </c:ext>
          </c:extLst>
        </c:ser>
        <c:ser>
          <c:idx val="1"/>
          <c:order val="1"/>
          <c:tx>
            <c:strRef>
              <c:f>Summary!$BJ$25</c:f>
              <c:strCache>
                <c:ptCount val="1"/>
                <c:pt idx="0">
                  <c:v>LLM API</c:v>
                </c:pt>
              </c:strCache>
            </c:strRef>
          </c:tx>
          <c:spPr>
            <a:ln w="28575" cap="rnd">
              <a:solidFill>
                <a:schemeClr val="accent1">
                  <a:tint val="77000"/>
                </a:schemeClr>
              </a:solidFill>
              <a:round/>
            </a:ln>
            <a:effectLst/>
          </c:spPr>
          <c:marker>
            <c:symbol val="circle"/>
            <c:size val="5"/>
            <c:spPr>
              <a:solidFill>
                <a:schemeClr val="accent1"/>
              </a:solidFill>
              <a:ln w="9525">
                <a:solidFill>
                  <a:schemeClr val="accent1"/>
                </a:solidFill>
              </a:ln>
              <a:effectLst/>
            </c:spPr>
          </c:marker>
          <c:cat>
            <c:numRef>
              <c:f>Summary!$AF$180:$AF$183</c:f>
              <c:numCache>
                <c:formatCode>m/d/yyyy</c:formatCode>
                <c:ptCount val="4"/>
                <c:pt idx="0">
                  <c:v>45657</c:v>
                </c:pt>
                <c:pt idx="1">
                  <c:v>45565</c:v>
                </c:pt>
                <c:pt idx="2">
                  <c:v>45473</c:v>
                </c:pt>
                <c:pt idx="3">
                  <c:v>45382</c:v>
                </c:pt>
              </c:numCache>
            </c:numRef>
          </c:cat>
          <c:val>
            <c:numRef>
              <c:f>Summary!$BJ$159:$BJ$162</c:f>
              <c:numCache>
                <c:formatCode>0</c:formatCode>
                <c:ptCount val="4"/>
                <c:pt idx="0">
                  <c:v>118</c:v>
                </c:pt>
                <c:pt idx="1">
                  <c:v>92</c:v>
                </c:pt>
                <c:pt idx="2" formatCode="General">
                  <c:v>55</c:v>
                </c:pt>
                <c:pt idx="3" formatCode="General">
                  <c:v>28</c:v>
                </c:pt>
              </c:numCache>
            </c:numRef>
          </c:val>
          <c:smooth val="0"/>
          <c:extLst>
            <c:ext xmlns:c16="http://schemas.microsoft.com/office/drawing/2014/chart" uri="{C3380CC4-5D6E-409C-BE32-E72D297353CC}">
              <c16:uniqueId val="{00000001-F95F-46EE-903E-BADA902F6BB4}"/>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6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100"/>
      </c:valAx>
      <c:spPr>
        <a:noFill/>
        <a:ln>
          <a:noFill/>
        </a:ln>
        <a:effectLst/>
      </c:spPr>
    </c:plotArea>
    <c:legend>
      <c:legendPos val="t"/>
      <c:layout>
        <c:manualLayout>
          <c:xMode val="edge"/>
          <c:yMode val="edge"/>
          <c:x val="0.13549064431462196"/>
          <c:y val="9.5841949447667801E-2"/>
          <c:w val="0.7553468651610612"/>
          <c:h val="7.07893261593725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Extraction Time Saving vs Manual</a:t>
            </a:r>
          </a:p>
        </c:rich>
      </c:tx>
      <c:layout>
        <c:manualLayout>
          <c:xMode val="edge"/>
          <c:yMode val="edge"/>
          <c:x val="0.24463438528167017"/>
          <c:y val="3.238413492911488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3839488337969137"/>
          <c:h val="0.75814401600899661"/>
        </c:manualLayout>
      </c:layout>
      <c:lineChart>
        <c:grouping val="standard"/>
        <c:varyColors val="0"/>
        <c:ser>
          <c:idx val="0"/>
          <c:order val="0"/>
          <c:tx>
            <c:strRef>
              <c:f>Summary!$AG$25</c:f>
              <c:strCache>
                <c:ptCount val="1"/>
                <c:pt idx="0">
                  <c:v>LLM API</c:v>
                </c:pt>
              </c:strCache>
            </c:strRef>
          </c:tx>
          <c:spPr>
            <a:ln w="25400" cap="rnd">
              <a:noFill/>
              <a:round/>
            </a:ln>
            <a:effectLst/>
          </c:spPr>
          <c:marker>
            <c:symbol val="circle"/>
            <c:size val="5"/>
            <c:spPr>
              <a:solidFill>
                <a:schemeClr val="accent1">
                  <a:shade val="76000"/>
                </a:schemeClr>
              </a:solidFill>
              <a:ln w="9525">
                <a:solidFill>
                  <a:schemeClr val="accent1">
                    <a:shade val="76000"/>
                  </a:schemeClr>
                </a:solidFill>
              </a:ln>
              <a:effectLst/>
            </c:spPr>
          </c:marker>
          <c:cat>
            <c:numRef>
              <c:f>Summary!$AF$39:$AF$42</c:f>
              <c:numCache>
                <c:formatCode>m/d/yyyy</c:formatCode>
                <c:ptCount val="4"/>
                <c:pt idx="0">
                  <c:v>45657</c:v>
                </c:pt>
                <c:pt idx="1">
                  <c:v>45565</c:v>
                </c:pt>
                <c:pt idx="2">
                  <c:v>45473</c:v>
                </c:pt>
                <c:pt idx="3">
                  <c:v>45382</c:v>
                </c:pt>
              </c:numCache>
            </c:numRef>
          </c:cat>
          <c:val>
            <c:numRef>
              <c:f>Summary!$AG$39:$AG$42</c:f>
              <c:numCache>
                <c:formatCode>0</c:formatCode>
                <c:ptCount val="4"/>
                <c:pt idx="0">
                  <c:v>27</c:v>
                </c:pt>
                <c:pt idx="1">
                  <c:v>23.333333333333329</c:v>
                </c:pt>
                <c:pt idx="2">
                  <c:v>31</c:v>
                </c:pt>
                <c:pt idx="3">
                  <c:v>17</c:v>
                </c:pt>
              </c:numCache>
            </c:numRef>
          </c:val>
          <c:smooth val="0"/>
          <c:extLst>
            <c:ext xmlns:c16="http://schemas.microsoft.com/office/drawing/2014/chart" uri="{C3380CC4-5D6E-409C-BE32-E72D297353CC}">
              <c16:uniqueId val="{00000000-DBFE-40FC-B6AA-7C95CB310174}"/>
            </c:ext>
          </c:extLst>
        </c:ser>
        <c:ser>
          <c:idx val="1"/>
          <c:order val="1"/>
          <c:tx>
            <c:strRef>
              <c:f>Summary!$AH$25</c:f>
              <c:strCache>
                <c:ptCount val="1"/>
                <c:pt idx="0">
                  <c:v>Python Modules</c:v>
                </c:pt>
              </c:strCache>
            </c:strRef>
          </c:tx>
          <c:spPr>
            <a:ln w="25400" cap="rnd">
              <a:noFill/>
              <a:round/>
            </a:ln>
            <a:effectLst/>
          </c:spPr>
          <c:marker>
            <c:symbol val="circle"/>
            <c:size val="5"/>
            <c:spPr>
              <a:solidFill>
                <a:schemeClr val="accent1">
                  <a:tint val="77000"/>
                </a:schemeClr>
              </a:solidFill>
              <a:ln w="9525">
                <a:solidFill>
                  <a:schemeClr val="accent1">
                    <a:tint val="77000"/>
                  </a:schemeClr>
                </a:solidFill>
              </a:ln>
              <a:effectLst/>
            </c:spPr>
          </c:marker>
          <c:cat>
            <c:numRef>
              <c:f>Summary!$AF$39:$AF$42</c:f>
              <c:numCache>
                <c:formatCode>m/d/yyyy</c:formatCode>
                <c:ptCount val="4"/>
                <c:pt idx="0">
                  <c:v>45657</c:v>
                </c:pt>
                <c:pt idx="1">
                  <c:v>45565</c:v>
                </c:pt>
                <c:pt idx="2">
                  <c:v>45473</c:v>
                </c:pt>
                <c:pt idx="3">
                  <c:v>45382</c:v>
                </c:pt>
              </c:numCache>
            </c:numRef>
          </c:cat>
          <c:val>
            <c:numRef>
              <c:f>Summary!$AH$39:$AH$42</c:f>
              <c:numCache>
                <c:formatCode>0</c:formatCode>
                <c:ptCount val="4"/>
                <c:pt idx="0">
                  <c:v>-88.84</c:v>
                </c:pt>
                <c:pt idx="1">
                  <c:v>-96.84</c:v>
                </c:pt>
                <c:pt idx="2">
                  <c:v>-77.84</c:v>
                </c:pt>
                <c:pt idx="3">
                  <c:v>-74.84</c:v>
                </c:pt>
              </c:numCache>
            </c:numRef>
          </c:val>
          <c:smooth val="0"/>
          <c:extLst>
            <c:ext xmlns:c16="http://schemas.microsoft.com/office/drawing/2014/chart" uri="{C3380CC4-5D6E-409C-BE32-E72D297353CC}">
              <c16:uniqueId val="{00000001-DBFE-40FC-B6AA-7C95CB310174}"/>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20"/>
      </c:valAx>
      <c:spPr>
        <a:noFill/>
        <a:ln>
          <a:noFill/>
        </a:ln>
        <a:effectLst/>
      </c:spPr>
    </c:plotArea>
    <c:legend>
      <c:legendPos val="t"/>
      <c:layout>
        <c:manualLayout>
          <c:xMode val="edge"/>
          <c:yMode val="edge"/>
          <c:x val="0.2373224048098948"/>
          <c:y val="9.145949926416741E-2"/>
          <c:w val="0.58253857850512369"/>
          <c:h val="8.3265374628914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Cumulative Extraction Time (10-Q)</a:t>
            </a:r>
          </a:p>
        </c:rich>
      </c:tx>
      <c:layout>
        <c:manualLayout>
          <c:xMode val="edge"/>
          <c:yMode val="edge"/>
          <c:x val="0.23519476161384967"/>
          <c:y val="2.286338009638483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566771280048"/>
          <c:y val="0.15299602752358657"/>
          <c:w val="0.82378928287686748"/>
          <c:h val="0.72372870791808885"/>
        </c:manualLayout>
      </c:layout>
      <c:lineChart>
        <c:grouping val="standard"/>
        <c:varyColors val="0"/>
        <c:ser>
          <c:idx val="0"/>
          <c:order val="0"/>
          <c:tx>
            <c:strRef>
              <c:f>Summary!$AU$25</c:f>
              <c:strCache>
                <c:ptCount val="1"/>
                <c:pt idx="0">
                  <c:v>Advanced Excel</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numRef>
              <c:f>Summary!$AF$39:$AF$42</c:f>
              <c:numCache>
                <c:formatCode>m/d/yyyy</c:formatCode>
                <c:ptCount val="4"/>
                <c:pt idx="0">
                  <c:v>45657</c:v>
                </c:pt>
                <c:pt idx="1">
                  <c:v>45565</c:v>
                </c:pt>
                <c:pt idx="2">
                  <c:v>45473</c:v>
                </c:pt>
                <c:pt idx="3">
                  <c:v>45382</c:v>
                </c:pt>
              </c:numCache>
            </c:numRef>
          </c:cat>
          <c:val>
            <c:numRef>
              <c:f>Summary!$AU$26:$AU$29</c:f>
              <c:numCache>
                <c:formatCode>0</c:formatCode>
                <c:ptCount val="4"/>
                <c:pt idx="0">
                  <c:v>304</c:v>
                </c:pt>
                <c:pt idx="1">
                  <c:v>228</c:v>
                </c:pt>
                <c:pt idx="2">
                  <c:v>152</c:v>
                </c:pt>
                <c:pt idx="3">
                  <c:v>76</c:v>
                </c:pt>
              </c:numCache>
            </c:numRef>
          </c:val>
          <c:smooth val="0"/>
          <c:extLst>
            <c:ext xmlns:c16="http://schemas.microsoft.com/office/drawing/2014/chart" uri="{C3380CC4-5D6E-409C-BE32-E72D297353CC}">
              <c16:uniqueId val="{00000000-1F80-4521-B15B-C40C744DA456}"/>
            </c:ext>
          </c:extLst>
        </c:ser>
        <c:ser>
          <c:idx val="2"/>
          <c:order val="1"/>
          <c:tx>
            <c:strRef>
              <c:f>Summary!$AV$25</c:f>
              <c:strCache>
                <c:ptCount val="1"/>
                <c:pt idx="0">
                  <c:v>Python Modules</c:v>
                </c:pt>
              </c:strCache>
            </c:strRef>
          </c:tx>
          <c:spPr>
            <a:ln w="28575" cap="rnd">
              <a:solidFill>
                <a:schemeClr val="accent1">
                  <a:tint val="65000"/>
                </a:schemeClr>
              </a:solidFill>
              <a:round/>
            </a:ln>
            <a:effectLst/>
          </c:spPr>
          <c:marker>
            <c:symbol val="circle"/>
            <c:size val="5"/>
            <c:spPr>
              <a:solidFill>
                <a:schemeClr val="accent1"/>
              </a:solidFill>
              <a:ln w="9525">
                <a:solidFill>
                  <a:schemeClr val="accent1"/>
                </a:solidFill>
              </a:ln>
              <a:effectLst/>
            </c:spPr>
          </c:marker>
          <c:cat>
            <c:numRef>
              <c:f>Summary!$AF$39:$AF$42</c:f>
              <c:numCache>
                <c:formatCode>m/d/yyyy</c:formatCode>
                <c:ptCount val="4"/>
                <c:pt idx="0">
                  <c:v>45657</c:v>
                </c:pt>
                <c:pt idx="1">
                  <c:v>45565</c:v>
                </c:pt>
                <c:pt idx="2">
                  <c:v>45473</c:v>
                </c:pt>
                <c:pt idx="3">
                  <c:v>45382</c:v>
                </c:pt>
              </c:numCache>
            </c:numRef>
          </c:cat>
          <c:val>
            <c:numRef>
              <c:f>Summary!$AV$26:$AV$29</c:f>
              <c:numCache>
                <c:formatCode>0</c:formatCode>
                <c:ptCount val="4"/>
                <c:pt idx="0">
                  <c:v>372</c:v>
                </c:pt>
                <c:pt idx="1">
                  <c:v>282</c:v>
                </c:pt>
                <c:pt idx="2">
                  <c:v>185</c:v>
                </c:pt>
                <c:pt idx="3">
                  <c:v>111</c:v>
                </c:pt>
              </c:numCache>
            </c:numRef>
          </c:val>
          <c:smooth val="0"/>
          <c:extLst>
            <c:ext xmlns:c16="http://schemas.microsoft.com/office/drawing/2014/chart" uri="{C3380CC4-5D6E-409C-BE32-E72D297353CC}">
              <c16:uniqueId val="{00000001-1F80-4521-B15B-C40C744DA456}"/>
            </c:ext>
          </c:extLst>
        </c:ser>
        <c:dLbls>
          <c:showLegendKey val="0"/>
          <c:showVal val="0"/>
          <c:showCatName val="0"/>
          <c:showSerName val="0"/>
          <c:showPercent val="0"/>
          <c:showBubbleSize val="0"/>
        </c:dLbls>
        <c:marker val="1"/>
        <c:smooth val="0"/>
        <c:axId val="1430544944"/>
        <c:axId val="1430545424"/>
      </c:lineChart>
      <c:dateAx>
        <c:axId val="1430544944"/>
        <c:scaling>
          <c:orientation val="minMax"/>
          <c:max val="45657"/>
          <c:min val="4538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5424"/>
        <c:crosses val="autoZero"/>
        <c:auto val="1"/>
        <c:lblOffset val="100"/>
        <c:baseTimeUnit val="days"/>
        <c:majorUnit val="3"/>
        <c:majorTimeUnit val="months"/>
        <c:minorUnit val="1"/>
        <c:minorTimeUnit val="months"/>
      </c:dateAx>
      <c:valAx>
        <c:axId val="1430545424"/>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(seconds)</a:t>
                </a:r>
              </a:p>
            </c:rich>
          </c:tx>
          <c:layout>
            <c:manualLayout>
              <c:xMode val="edge"/>
              <c:yMode val="edge"/>
              <c:x val="3.6496381829169921E-3"/>
              <c:y val="3.8661693101561714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44944"/>
        <c:crossesAt val="45382"/>
        <c:crossBetween val="between"/>
        <c:majorUnit val="50"/>
      </c:valAx>
      <c:spPr>
        <a:noFill/>
        <a:ln>
          <a:noFill/>
        </a:ln>
        <a:effectLst/>
      </c:spPr>
    </c:plotArea>
    <c:legend>
      <c:legendPos val="t"/>
      <c:layout>
        <c:manualLayout>
          <c:xMode val="edge"/>
          <c:yMode val="edge"/>
          <c:x val="0.1679451416275145"/>
          <c:y val="8.8600355326243038E-2"/>
          <c:w val="0.75387931405364006"/>
          <c:h val="8.35126158939494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withinLinear" id="14">
  <a:schemeClr val="accent1"/>
</cs:colorStyle>
</file>

<file path=xl/charts/colors23.xml><?xml version="1.0" encoding="utf-8"?>
<cs:colorStyle xmlns:cs="http://schemas.microsoft.com/office/drawing/2012/chartStyle" xmlns:a="http://schemas.openxmlformats.org/drawingml/2006/main" meth="withinLinear" id="14">
  <a:schemeClr val="accent1"/>
</cs:colorStyle>
</file>

<file path=xl/charts/colors24.xml><?xml version="1.0" encoding="utf-8"?>
<cs:colorStyle xmlns:cs="http://schemas.microsoft.com/office/drawing/2012/chartStyle" xmlns:a="http://schemas.openxmlformats.org/drawingml/2006/main" meth="withinLinear" id="14">
  <a:schemeClr val="accent1"/>
</cs:colorStyle>
</file>

<file path=xl/charts/colors25.xml><?xml version="1.0" encoding="utf-8"?>
<cs:colorStyle xmlns:cs="http://schemas.microsoft.com/office/drawing/2012/chartStyle" xmlns:a="http://schemas.openxmlformats.org/drawingml/2006/main" meth="withinLinear" id="14">
  <a:schemeClr val="accent1"/>
</cs:colorStyle>
</file>

<file path=xl/charts/colors26.xml><?xml version="1.0" encoding="utf-8"?>
<cs:colorStyle xmlns:cs="http://schemas.microsoft.com/office/drawing/2012/chartStyle" xmlns:a="http://schemas.openxmlformats.org/drawingml/2006/main" meth="withinLinear" id="14">
  <a:schemeClr val="accent1"/>
</cs:colorStyle>
</file>

<file path=xl/charts/colors27.xml><?xml version="1.0" encoding="utf-8"?>
<cs:colorStyle xmlns:cs="http://schemas.microsoft.com/office/drawing/2012/chartStyle" xmlns:a="http://schemas.openxmlformats.org/drawingml/2006/main" meth="withinLinear" id="14">
  <a:schemeClr val="accent1"/>
</cs:colorStyle>
</file>

<file path=xl/charts/colors28.xml><?xml version="1.0" encoding="utf-8"?>
<cs:colorStyle xmlns:cs="http://schemas.microsoft.com/office/drawing/2012/chartStyle" xmlns:a="http://schemas.openxmlformats.org/drawingml/2006/main" meth="withinLinear" id="14">
  <a:schemeClr val="accent1"/>
</cs:colorStyle>
</file>

<file path=xl/charts/colors29.xml><?xml version="1.0" encoding="utf-8"?>
<cs:colorStyle xmlns:cs="http://schemas.microsoft.com/office/drawing/2012/chartStyle" xmlns:a="http://schemas.openxmlformats.org/drawingml/2006/main" meth="withinLinear" id="14">
  <a:schemeClr val="accent1"/>
</cs:colorStyle>
</file>

<file path=xl/charts/colors3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18" Type="http://schemas.openxmlformats.org/officeDocument/2006/relationships/chart" Target="../charts/chart17.xml"/><Relationship Id="rId26" Type="http://schemas.openxmlformats.org/officeDocument/2006/relationships/chart" Target="../charts/chart25.xml"/><Relationship Id="rId3" Type="http://schemas.openxmlformats.org/officeDocument/2006/relationships/chart" Target="../charts/chart3.xml"/><Relationship Id="rId21" Type="http://schemas.openxmlformats.org/officeDocument/2006/relationships/chart" Target="../charts/chart20.xml"/><Relationship Id="rId7" Type="http://schemas.openxmlformats.org/officeDocument/2006/relationships/chart" Target="../charts/chart7.xml"/><Relationship Id="rId12" Type="http://schemas.openxmlformats.org/officeDocument/2006/relationships/chart" Target="../charts/chart11.xml"/><Relationship Id="rId17" Type="http://schemas.openxmlformats.org/officeDocument/2006/relationships/chart" Target="../charts/chart16.xml"/><Relationship Id="rId25" Type="http://schemas.openxmlformats.org/officeDocument/2006/relationships/chart" Target="../charts/chart24.xml"/><Relationship Id="rId2" Type="http://schemas.openxmlformats.org/officeDocument/2006/relationships/chart" Target="../charts/chart2.xml"/><Relationship Id="rId16" Type="http://schemas.openxmlformats.org/officeDocument/2006/relationships/chart" Target="../charts/chart15.xml"/><Relationship Id="rId20" Type="http://schemas.openxmlformats.org/officeDocument/2006/relationships/chart" Target="../charts/chart19.xml"/><Relationship Id="rId29" Type="http://schemas.openxmlformats.org/officeDocument/2006/relationships/chart" Target="../charts/chart28.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24" Type="http://schemas.openxmlformats.org/officeDocument/2006/relationships/chart" Target="../charts/chart23.xml"/><Relationship Id="rId5" Type="http://schemas.openxmlformats.org/officeDocument/2006/relationships/chart" Target="../charts/chart5.xml"/><Relationship Id="rId15" Type="http://schemas.openxmlformats.org/officeDocument/2006/relationships/chart" Target="../charts/chart14.xml"/><Relationship Id="rId23" Type="http://schemas.openxmlformats.org/officeDocument/2006/relationships/chart" Target="../charts/chart22.xml"/><Relationship Id="rId28" Type="http://schemas.openxmlformats.org/officeDocument/2006/relationships/chart" Target="../charts/chart27.xml"/><Relationship Id="rId10" Type="http://schemas.openxmlformats.org/officeDocument/2006/relationships/chart" Target="../charts/chart10.xml"/><Relationship Id="rId19" Type="http://schemas.openxmlformats.org/officeDocument/2006/relationships/chart" Target="../charts/chart18.xml"/><Relationship Id="rId31" Type="http://schemas.openxmlformats.org/officeDocument/2006/relationships/chart" Target="../charts/chart3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3.xml"/><Relationship Id="rId22" Type="http://schemas.openxmlformats.org/officeDocument/2006/relationships/chart" Target="../charts/chart21.xml"/><Relationship Id="rId27" Type="http://schemas.openxmlformats.org/officeDocument/2006/relationships/chart" Target="../charts/chart26.xml"/><Relationship Id="rId30" Type="http://schemas.openxmlformats.org/officeDocument/2006/relationships/chart" Target="../charts/chart29.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s>
</file>

<file path=xl/drawings/_rels/drawing3.xml.rels><?xml version="1.0" encoding="UTF-8" standalone="yes"?>
<Relationships xmlns="http://schemas.openxmlformats.org/package/2006/relationships"><Relationship Id="rId13" Type="http://schemas.openxmlformats.org/officeDocument/2006/relationships/image" Target="../media/image26.png"/><Relationship Id="rId18" Type="http://schemas.openxmlformats.org/officeDocument/2006/relationships/image" Target="../media/image34.png"/><Relationship Id="rId26" Type="http://schemas.openxmlformats.org/officeDocument/2006/relationships/image" Target="../media/image42.png"/><Relationship Id="rId39" Type="http://schemas.openxmlformats.org/officeDocument/2006/relationships/image" Target="../media/image55.png"/><Relationship Id="rId21" Type="http://schemas.openxmlformats.org/officeDocument/2006/relationships/image" Target="../media/image37.png"/><Relationship Id="rId34" Type="http://schemas.openxmlformats.org/officeDocument/2006/relationships/image" Target="../media/image50.png"/><Relationship Id="rId42" Type="http://schemas.openxmlformats.org/officeDocument/2006/relationships/image" Target="../media/image58.png"/><Relationship Id="rId47" Type="http://schemas.openxmlformats.org/officeDocument/2006/relationships/image" Target="../media/image63.png"/><Relationship Id="rId7" Type="http://schemas.openxmlformats.org/officeDocument/2006/relationships/image" Target="../media/image14.png"/><Relationship Id="rId2" Type="http://schemas.openxmlformats.org/officeDocument/2006/relationships/image" Target="../media/image3.png"/><Relationship Id="rId16" Type="http://schemas.openxmlformats.org/officeDocument/2006/relationships/image" Target="../media/image32.png"/><Relationship Id="rId29" Type="http://schemas.openxmlformats.org/officeDocument/2006/relationships/image" Target="../media/image45.png"/><Relationship Id="rId1" Type="http://schemas.openxmlformats.org/officeDocument/2006/relationships/image" Target="../media/image2.png"/><Relationship Id="rId6" Type="http://schemas.openxmlformats.org/officeDocument/2006/relationships/image" Target="../media/image12.png"/><Relationship Id="rId11" Type="http://schemas.openxmlformats.org/officeDocument/2006/relationships/image" Target="../media/image22.png"/><Relationship Id="rId24" Type="http://schemas.openxmlformats.org/officeDocument/2006/relationships/image" Target="../media/image40.png"/><Relationship Id="rId32" Type="http://schemas.openxmlformats.org/officeDocument/2006/relationships/image" Target="../media/image48.png"/><Relationship Id="rId37" Type="http://schemas.openxmlformats.org/officeDocument/2006/relationships/image" Target="../media/image53.png"/><Relationship Id="rId40" Type="http://schemas.openxmlformats.org/officeDocument/2006/relationships/image" Target="../media/image56.png"/><Relationship Id="rId45" Type="http://schemas.openxmlformats.org/officeDocument/2006/relationships/image" Target="../media/image61.png"/><Relationship Id="rId5" Type="http://schemas.openxmlformats.org/officeDocument/2006/relationships/image" Target="../media/image10.png"/><Relationship Id="rId15" Type="http://schemas.openxmlformats.org/officeDocument/2006/relationships/image" Target="../media/image30.png"/><Relationship Id="rId23" Type="http://schemas.openxmlformats.org/officeDocument/2006/relationships/image" Target="../media/image39.png"/><Relationship Id="rId28" Type="http://schemas.openxmlformats.org/officeDocument/2006/relationships/image" Target="../media/image44.png"/><Relationship Id="rId36" Type="http://schemas.openxmlformats.org/officeDocument/2006/relationships/image" Target="../media/image52.png"/><Relationship Id="rId10" Type="http://schemas.openxmlformats.org/officeDocument/2006/relationships/image" Target="../media/image20.png"/><Relationship Id="rId19" Type="http://schemas.openxmlformats.org/officeDocument/2006/relationships/image" Target="../media/image35.png"/><Relationship Id="rId31" Type="http://schemas.openxmlformats.org/officeDocument/2006/relationships/image" Target="../media/image47.png"/><Relationship Id="rId44" Type="http://schemas.openxmlformats.org/officeDocument/2006/relationships/image" Target="../media/image60.png"/><Relationship Id="rId4" Type="http://schemas.openxmlformats.org/officeDocument/2006/relationships/image" Target="../media/image8.png"/><Relationship Id="rId9" Type="http://schemas.openxmlformats.org/officeDocument/2006/relationships/image" Target="../media/image18.png"/><Relationship Id="rId14" Type="http://schemas.openxmlformats.org/officeDocument/2006/relationships/image" Target="../media/image28.png"/><Relationship Id="rId22" Type="http://schemas.openxmlformats.org/officeDocument/2006/relationships/image" Target="../media/image38.png"/><Relationship Id="rId27" Type="http://schemas.openxmlformats.org/officeDocument/2006/relationships/image" Target="../media/image43.png"/><Relationship Id="rId30" Type="http://schemas.openxmlformats.org/officeDocument/2006/relationships/image" Target="../media/image46.png"/><Relationship Id="rId35" Type="http://schemas.openxmlformats.org/officeDocument/2006/relationships/image" Target="../media/image51.png"/><Relationship Id="rId43" Type="http://schemas.openxmlformats.org/officeDocument/2006/relationships/image" Target="../media/image59.png"/><Relationship Id="rId8" Type="http://schemas.openxmlformats.org/officeDocument/2006/relationships/image" Target="../media/image16.png"/><Relationship Id="rId3" Type="http://schemas.openxmlformats.org/officeDocument/2006/relationships/image" Target="../media/image6.png"/><Relationship Id="rId12" Type="http://schemas.openxmlformats.org/officeDocument/2006/relationships/image" Target="../media/image24.png"/><Relationship Id="rId17" Type="http://schemas.openxmlformats.org/officeDocument/2006/relationships/image" Target="../media/image33.png"/><Relationship Id="rId25" Type="http://schemas.openxmlformats.org/officeDocument/2006/relationships/image" Target="../media/image41.png"/><Relationship Id="rId33" Type="http://schemas.openxmlformats.org/officeDocument/2006/relationships/image" Target="../media/image49.png"/><Relationship Id="rId38" Type="http://schemas.openxmlformats.org/officeDocument/2006/relationships/image" Target="../media/image54.png"/><Relationship Id="rId46" Type="http://schemas.openxmlformats.org/officeDocument/2006/relationships/image" Target="../media/image62.png"/><Relationship Id="rId20" Type="http://schemas.openxmlformats.org/officeDocument/2006/relationships/image" Target="../media/image36.png"/><Relationship Id="rId41" Type="http://schemas.openxmlformats.org/officeDocument/2006/relationships/image" Target="../media/image57.png"/></Relationships>
</file>

<file path=xl/drawings/_rels/drawing4.xml.rels><?xml version="1.0" encoding="UTF-8" standalone="yes"?>
<Relationships xmlns="http://schemas.openxmlformats.org/package/2006/relationships"><Relationship Id="rId3" Type="http://schemas.openxmlformats.org/officeDocument/2006/relationships/image" Target="../media/image66.png"/><Relationship Id="rId2" Type="http://schemas.openxmlformats.org/officeDocument/2006/relationships/image" Target="../media/image65.png"/><Relationship Id="rId1" Type="http://schemas.openxmlformats.org/officeDocument/2006/relationships/image" Target="../media/image64.png"/><Relationship Id="rId4" Type="http://schemas.openxmlformats.org/officeDocument/2006/relationships/image" Target="../media/image67.png"/></Relationships>
</file>

<file path=xl/drawings/_rels/drawing5.xml.rels><?xml version="1.0" encoding="UTF-8" standalone="yes"?>
<Relationships xmlns="http://schemas.openxmlformats.org/package/2006/relationships"><Relationship Id="rId8" Type="http://schemas.openxmlformats.org/officeDocument/2006/relationships/image" Target="../media/image74.png"/><Relationship Id="rId3" Type="http://schemas.openxmlformats.org/officeDocument/2006/relationships/image" Target="../media/image69.png"/><Relationship Id="rId7" Type="http://schemas.openxmlformats.org/officeDocument/2006/relationships/image" Target="../media/image73.png"/><Relationship Id="rId2" Type="http://schemas.openxmlformats.org/officeDocument/2006/relationships/image" Target="../media/image3.png"/><Relationship Id="rId1" Type="http://schemas.openxmlformats.org/officeDocument/2006/relationships/image" Target="../media/image68.png"/><Relationship Id="rId6" Type="http://schemas.openxmlformats.org/officeDocument/2006/relationships/image" Target="../media/image72.png"/><Relationship Id="rId5" Type="http://schemas.openxmlformats.org/officeDocument/2006/relationships/image" Target="../media/image71.png"/><Relationship Id="rId4" Type="http://schemas.openxmlformats.org/officeDocument/2006/relationships/image" Target="../media/image70.png"/></Relationships>
</file>

<file path=xl/drawings/_rels/drawing6.xml.rels><?xml version="1.0" encoding="UTF-8" standalone="yes"?>
<Relationships xmlns="http://schemas.openxmlformats.org/package/2006/relationships"><Relationship Id="rId3" Type="http://schemas.openxmlformats.org/officeDocument/2006/relationships/image" Target="../media/image77.png"/><Relationship Id="rId2" Type="http://schemas.openxmlformats.org/officeDocument/2006/relationships/image" Target="../media/image76.png"/><Relationship Id="rId1" Type="http://schemas.openxmlformats.org/officeDocument/2006/relationships/image" Target="../media/image75.png"/><Relationship Id="rId4"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80.png"/><Relationship Id="rId2" Type="http://schemas.openxmlformats.org/officeDocument/2006/relationships/image" Target="../media/image79.png"/><Relationship Id="rId1" Type="http://schemas.openxmlformats.org/officeDocument/2006/relationships/image" Target="../media/image78.png"/><Relationship Id="rId4" Type="http://schemas.openxmlformats.org/officeDocument/2006/relationships/image" Target="../media/image81.png"/></Relationships>
</file>

<file path=xl/drawings/_rels/drawing8.xml.rels><?xml version="1.0" encoding="UTF-8" standalone="yes"?>
<Relationships xmlns="http://schemas.openxmlformats.org/package/2006/relationships"><Relationship Id="rId8" Type="http://schemas.openxmlformats.org/officeDocument/2006/relationships/image" Target="../media/image85.png"/><Relationship Id="rId3" Type="http://schemas.openxmlformats.org/officeDocument/2006/relationships/image" Target="../media/image80.png"/><Relationship Id="rId7" Type="http://schemas.openxmlformats.org/officeDocument/2006/relationships/image" Target="../media/image84.png"/><Relationship Id="rId12" Type="http://schemas.openxmlformats.org/officeDocument/2006/relationships/image" Target="../media/image89.png"/><Relationship Id="rId2" Type="http://schemas.openxmlformats.org/officeDocument/2006/relationships/image" Target="../media/image79.png"/><Relationship Id="rId1" Type="http://schemas.openxmlformats.org/officeDocument/2006/relationships/image" Target="../media/image78.png"/><Relationship Id="rId6" Type="http://schemas.openxmlformats.org/officeDocument/2006/relationships/image" Target="../media/image83.png"/><Relationship Id="rId11" Type="http://schemas.openxmlformats.org/officeDocument/2006/relationships/image" Target="../media/image88.png"/><Relationship Id="rId5" Type="http://schemas.openxmlformats.org/officeDocument/2006/relationships/image" Target="../media/image82.png"/><Relationship Id="rId10" Type="http://schemas.openxmlformats.org/officeDocument/2006/relationships/image" Target="../media/image87.png"/><Relationship Id="rId4" Type="http://schemas.openxmlformats.org/officeDocument/2006/relationships/image" Target="../media/image81.png"/><Relationship Id="rId9" Type="http://schemas.openxmlformats.org/officeDocument/2006/relationships/image" Target="../media/image86.png"/></Relationships>
</file>

<file path=xl/drawings/_rels/drawing9.xml.rels><?xml version="1.0" encoding="UTF-8" standalone="yes"?>
<Relationships xmlns="http://schemas.openxmlformats.org/package/2006/relationships"><Relationship Id="rId3" Type="http://schemas.openxmlformats.org/officeDocument/2006/relationships/image" Target="../media/image92.png"/><Relationship Id="rId2" Type="http://schemas.openxmlformats.org/officeDocument/2006/relationships/image" Target="../media/image91.png"/><Relationship Id="rId1" Type="http://schemas.openxmlformats.org/officeDocument/2006/relationships/image" Target="../media/image90.png"/><Relationship Id="rId4" Type="http://schemas.openxmlformats.org/officeDocument/2006/relationships/image" Target="../media/image93.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01.png"/><Relationship Id="rId3" Type="http://schemas.openxmlformats.org/officeDocument/2006/relationships/image" Target="../media/image96.png"/><Relationship Id="rId7" Type="http://schemas.openxmlformats.org/officeDocument/2006/relationships/image" Target="../media/image100.png"/><Relationship Id="rId12" Type="http://schemas.openxmlformats.org/officeDocument/2006/relationships/image" Target="../media/image105.png"/><Relationship Id="rId2" Type="http://schemas.openxmlformats.org/officeDocument/2006/relationships/image" Target="../media/image95.png"/><Relationship Id="rId1" Type="http://schemas.openxmlformats.org/officeDocument/2006/relationships/image" Target="../media/image94.png"/><Relationship Id="rId6" Type="http://schemas.openxmlformats.org/officeDocument/2006/relationships/image" Target="../media/image99.png"/><Relationship Id="rId11" Type="http://schemas.openxmlformats.org/officeDocument/2006/relationships/image" Target="../media/image104.png"/><Relationship Id="rId5" Type="http://schemas.openxmlformats.org/officeDocument/2006/relationships/image" Target="../media/image98.png"/><Relationship Id="rId10" Type="http://schemas.openxmlformats.org/officeDocument/2006/relationships/image" Target="../media/image103.png"/><Relationship Id="rId4" Type="http://schemas.openxmlformats.org/officeDocument/2006/relationships/image" Target="../media/image97.png"/><Relationship Id="rId9" Type="http://schemas.openxmlformats.org/officeDocument/2006/relationships/image" Target="../media/image10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08.png"/><Relationship Id="rId2" Type="http://schemas.openxmlformats.org/officeDocument/2006/relationships/image" Target="../media/image107.png"/><Relationship Id="rId1" Type="http://schemas.openxmlformats.org/officeDocument/2006/relationships/image" Target="../media/image106.png"/><Relationship Id="rId4" Type="http://schemas.openxmlformats.org/officeDocument/2006/relationships/image" Target="../media/image10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12.png"/><Relationship Id="rId2" Type="http://schemas.openxmlformats.org/officeDocument/2006/relationships/image" Target="../media/image111.png"/><Relationship Id="rId1" Type="http://schemas.openxmlformats.org/officeDocument/2006/relationships/image" Target="../media/image110.png"/><Relationship Id="rId4" Type="http://schemas.openxmlformats.org/officeDocument/2006/relationships/image" Target="../media/image113.png"/></Relationships>
</file>

<file path=xl/drawings/_rels/drawing13.xml.rels><?xml version="1.0" encoding="UTF-8" standalone="yes"?>
<Relationships xmlns="http://schemas.openxmlformats.org/package/2006/relationships"><Relationship Id="rId8" Type="http://schemas.openxmlformats.org/officeDocument/2006/relationships/image" Target="../media/image117.png"/><Relationship Id="rId3" Type="http://schemas.openxmlformats.org/officeDocument/2006/relationships/image" Target="../media/image113.png"/><Relationship Id="rId7" Type="http://schemas.openxmlformats.org/officeDocument/2006/relationships/image" Target="../media/image116.png"/><Relationship Id="rId2" Type="http://schemas.openxmlformats.org/officeDocument/2006/relationships/image" Target="../media/image112.png"/><Relationship Id="rId1" Type="http://schemas.openxmlformats.org/officeDocument/2006/relationships/image" Target="../media/image111.png"/><Relationship Id="rId6" Type="http://schemas.openxmlformats.org/officeDocument/2006/relationships/image" Target="../media/image115.png"/><Relationship Id="rId5" Type="http://schemas.openxmlformats.org/officeDocument/2006/relationships/image" Target="../media/image114.png"/><Relationship Id="rId4" Type="http://schemas.openxmlformats.org/officeDocument/2006/relationships/image" Target="../media/image110.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20.png"/><Relationship Id="rId2" Type="http://schemas.openxmlformats.org/officeDocument/2006/relationships/image" Target="../media/image119.png"/><Relationship Id="rId1" Type="http://schemas.openxmlformats.org/officeDocument/2006/relationships/image" Target="../media/image118.png"/><Relationship Id="rId4" Type="http://schemas.openxmlformats.org/officeDocument/2006/relationships/image" Target="../media/image12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124.png"/><Relationship Id="rId2" Type="http://schemas.openxmlformats.org/officeDocument/2006/relationships/image" Target="../media/image123.png"/><Relationship Id="rId1" Type="http://schemas.openxmlformats.org/officeDocument/2006/relationships/image" Target="../media/image122.png"/><Relationship Id="rId4" Type="http://schemas.openxmlformats.org/officeDocument/2006/relationships/image" Target="../media/image125.png"/></Relationships>
</file>

<file path=xl/drawings/_rels/drawing16.xml.rels><?xml version="1.0" encoding="UTF-8" standalone="yes"?>
<Relationships xmlns="http://schemas.openxmlformats.org/package/2006/relationships"><Relationship Id="rId8" Type="http://schemas.openxmlformats.org/officeDocument/2006/relationships/image" Target="../media/image133.png"/><Relationship Id="rId3" Type="http://schemas.openxmlformats.org/officeDocument/2006/relationships/image" Target="../media/image128.png"/><Relationship Id="rId7" Type="http://schemas.openxmlformats.org/officeDocument/2006/relationships/image" Target="../media/image132.png"/><Relationship Id="rId2" Type="http://schemas.openxmlformats.org/officeDocument/2006/relationships/image" Target="../media/image127.png"/><Relationship Id="rId1" Type="http://schemas.openxmlformats.org/officeDocument/2006/relationships/image" Target="../media/image126.png"/><Relationship Id="rId6" Type="http://schemas.openxmlformats.org/officeDocument/2006/relationships/image" Target="../media/image131.png"/><Relationship Id="rId5" Type="http://schemas.openxmlformats.org/officeDocument/2006/relationships/image" Target="../media/image130.png"/><Relationship Id="rId4" Type="http://schemas.openxmlformats.org/officeDocument/2006/relationships/image" Target="../media/image129.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36.png"/><Relationship Id="rId2" Type="http://schemas.openxmlformats.org/officeDocument/2006/relationships/image" Target="../media/image135.png"/><Relationship Id="rId1" Type="http://schemas.openxmlformats.org/officeDocument/2006/relationships/image" Target="../media/image134.png"/><Relationship Id="rId4" Type="http://schemas.openxmlformats.org/officeDocument/2006/relationships/image" Target="../media/image137.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40.png"/><Relationship Id="rId2" Type="http://schemas.openxmlformats.org/officeDocument/2006/relationships/image" Target="../media/image139.png"/><Relationship Id="rId1" Type="http://schemas.openxmlformats.org/officeDocument/2006/relationships/image" Target="../media/image138.png"/><Relationship Id="rId4" Type="http://schemas.openxmlformats.org/officeDocument/2006/relationships/image" Target="../media/image141.png"/></Relationships>
</file>

<file path=xl/drawings/_rels/drawing19.xml.rels><?xml version="1.0" encoding="UTF-8" standalone="yes"?>
<Relationships xmlns="http://schemas.openxmlformats.org/package/2006/relationships"><Relationship Id="rId8" Type="http://schemas.openxmlformats.org/officeDocument/2006/relationships/image" Target="../media/image145.png"/><Relationship Id="rId3" Type="http://schemas.openxmlformats.org/officeDocument/2006/relationships/image" Target="../media/image138.png"/><Relationship Id="rId7" Type="http://schemas.openxmlformats.org/officeDocument/2006/relationships/image" Target="../media/image144.png"/><Relationship Id="rId2" Type="http://schemas.openxmlformats.org/officeDocument/2006/relationships/image" Target="../media/image141.png"/><Relationship Id="rId1" Type="http://schemas.openxmlformats.org/officeDocument/2006/relationships/image" Target="../media/image140.png"/><Relationship Id="rId6" Type="http://schemas.openxmlformats.org/officeDocument/2006/relationships/image" Target="../media/image143.png"/><Relationship Id="rId5" Type="http://schemas.openxmlformats.org/officeDocument/2006/relationships/image" Target="../media/image142.png"/><Relationship Id="rId4" Type="http://schemas.openxmlformats.org/officeDocument/2006/relationships/image" Target="../media/image139.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48.png"/><Relationship Id="rId2" Type="http://schemas.openxmlformats.org/officeDocument/2006/relationships/image" Target="../media/image147.png"/><Relationship Id="rId1" Type="http://schemas.openxmlformats.org/officeDocument/2006/relationships/image" Target="../media/image146.png"/><Relationship Id="rId4" Type="http://schemas.openxmlformats.org/officeDocument/2006/relationships/image" Target="../media/image149.png"/></Relationships>
</file>

<file path=xl/drawings/_rels/drawing21.xml.rels><?xml version="1.0" encoding="UTF-8" standalone="yes"?>
<Relationships xmlns="http://schemas.openxmlformats.org/package/2006/relationships"><Relationship Id="rId3" Type="http://schemas.openxmlformats.org/officeDocument/2006/relationships/image" Target="../media/image152.png"/><Relationship Id="rId2" Type="http://schemas.openxmlformats.org/officeDocument/2006/relationships/image" Target="../media/image151.png"/><Relationship Id="rId1" Type="http://schemas.openxmlformats.org/officeDocument/2006/relationships/image" Target="../media/image150.png"/><Relationship Id="rId4" Type="http://schemas.openxmlformats.org/officeDocument/2006/relationships/image" Target="../media/image153.png"/></Relationships>
</file>

<file path=xl/drawings/_rels/drawing22.xml.rels><?xml version="1.0" encoding="UTF-8" standalone="yes"?>
<Relationships xmlns="http://schemas.openxmlformats.org/package/2006/relationships"><Relationship Id="rId8" Type="http://schemas.openxmlformats.org/officeDocument/2006/relationships/image" Target="../media/image157.png"/><Relationship Id="rId3" Type="http://schemas.openxmlformats.org/officeDocument/2006/relationships/image" Target="../media/image153.png"/><Relationship Id="rId7" Type="http://schemas.openxmlformats.org/officeDocument/2006/relationships/image" Target="../media/image156.png"/><Relationship Id="rId2" Type="http://schemas.openxmlformats.org/officeDocument/2006/relationships/image" Target="../media/image151.png"/><Relationship Id="rId1" Type="http://schemas.openxmlformats.org/officeDocument/2006/relationships/image" Target="../media/image150.png"/><Relationship Id="rId6" Type="http://schemas.openxmlformats.org/officeDocument/2006/relationships/image" Target="../media/image155.png"/><Relationship Id="rId5" Type="http://schemas.openxmlformats.org/officeDocument/2006/relationships/image" Target="../media/image154.png"/><Relationship Id="rId4" Type="http://schemas.openxmlformats.org/officeDocument/2006/relationships/image" Target="../media/image152.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60.png"/><Relationship Id="rId2" Type="http://schemas.openxmlformats.org/officeDocument/2006/relationships/image" Target="../media/image159.png"/><Relationship Id="rId1" Type="http://schemas.openxmlformats.org/officeDocument/2006/relationships/image" Target="../media/image158.png"/><Relationship Id="rId4" Type="http://schemas.openxmlformats.org/officeDocument/2006/relationships/image" Target="../media/image161.png"/></Relationships>
</file>

<file path=xl/drawings/_rels/drawing24.xml.rels><?xml version="1.0" encoding="UTF-8" standalone="yes"?>
<Relationships xmlns="http://schemas.openxmlformats.org/package/2006/relationships"><Relationship Id="rId3" Type="http://schemas.openxmlformats.org/officeDocument/2006/relationships/image" Target="../media/image164.png"/><Relationship Id="rId2" Type="http://schemas.openxmlformats.org/officeDocument/2006/relationships/image" Target="../media/image163.png"/><Relationship Id="rId1" Type="http://schemas.openxmlformats.org/officeDocument/2006/relationships/image" Target="../media/image162.png"/><Relationship Id="rId4" Type="http://schemas.openxmlformats.org/officeDocument/2006/relationships/image" Target="../media/image165.png"/></Relationships>
</file>

<file path=xl/drawings/_rels/drawing25.xml.rels><?xml version="1.0" encoding="UTF-8" standalone="yes"?>
<Relationships xmlns="http://schemas.openxmlformats.org/package/2006/relationships"><Relationship Id="rId8" Type="http://schemas.openxmlformats.org/officeDocument/2006/relationships/image" Target="../media/image169.png"/><Relationship Id="rId3" Type="http://schemas.openxmlformats.org/officeDocument/2006/relationships/image" Target="../media/image163.png"/><Relationship Id="rId7" Type="http://schemas.openxmlformats.org/officeDocument/2006/relationships/image" Target="../media/image168.png"/><Relationship Id="rId2" Type="http://schemas.openxmlformats.org/officeDocument/2006/relationships/image" Target="../media/image165.png"/><Relationship Id="rId1" Type="http://schemas.openxmlformats.org/officeDocument/2006/relationships/image" Target="../media/image164.png"/><Relationship Id="rId6" Type="http://schemas.openxmlformats.org/officeDocument/2006/relationships/image" Target="../media/image167.png"/><Relationship Id="rId5" Type="http://schemas.openxmlformats.org/officeDocument/2006/relationships/image" Target="../media/image166.png"/><Relationship Id="rId4" Type="http://schemas.openxmlformats.org/officeDocument/2006/relationships/image" Target="../media/image162.png"/></Relationships>
</file>

<file path=xl/drawings/_rels/drawing26.xml.rels><?xml version="1.0" encoding="UTF-8" standalone="yes"?>
<Relationships xmlns="http://schemas.openxmlformats.org/package/2006/relationships"><Relationship Id="rId3" Type="http://schemas.openxmlformats.org/officeDocument/2006/relationships/image" Target="../media/image172.png"/><Relationship Id="rId2" Type="http://schemas.openxmlformats.org/officeDocument/2006/relationships/image" Target="../media/image171.png"/><Relationship Id="rId1" Type="http://schemas.openxmlformats.org/officeDocument/2006/relationships/image" Target="../media/image170.png"/><Relationship Id="rId4" Type="http://schemas.openxmlformats.org/officeDocument/2006/relationships/image" Target="../media/image173.png"/></Relationships>
</file>

<file path=xl/drawings/_rels/drawing27.xml.rels><?xml version="1.0" encoding="UTF-8" standalone="yes"?>
<Relationships xmlns="http://schemas.openxmlformats.org/package/2006/relationships"><Relationship Id="rId3" Type="http://schemas.openxmlformats.org/officeDocument/2006/relationships/image" Target="../media/image176.png"/><Relationship Id="rId2" Type="http://schemas.openxmlformats.org/officeDocument/2006/relationships/image" Target="../media/image175.png"/><Relationship Id="rId1" Type="http://schemas.openxmlformats.org/officeDocument/2006/relationships/image" Target="../media/image174.png"/><Relationship Id="rId4" Type="http://schemas.openxmlformats.org/officeDocument/2006/relationships/image" Target="../media/image177.png"/></Relationships>
</file>

<file path=xl/drawings/_rels/drawing28.xml.rels><?xml version="1.0" encoding="UTF-8" standalone="yes"?>
<Relationships xmlns="http://schemas.openxmlformats.org/package/2006/relationships"><Relationship Id="rId8" Type="http://schemas.openxmlformats.org/officeDocument/2006/relationships/image" Target="../media/image181.png"/><Relationship Id="rId3" Type="http://schemas.openxmlformats.org/officeDocument/2006/relationships/image" Target="../media/image176.png"/><Relationship Id="rId7" Type="http://schemas.openxmlformats.org/officeDocument/2006/relationships/image" Target="../media/image180.png"/><Relationship Id="rId2" Type="http://schemas.openxmlformats.org/officeDocument/2006/relationships/image" Target="../media/image175.png"/><Relationship Id="rId1" Type="http://schemas.openxmlformats.org/officeDocument/2006/relationships/image" Target="../media/image174.png"/><Relationship Id="rId6" Type="http://schemas.openxmlformats.org/officeDocument/2006/relationships/image" Target="../media/image179.png"/><Relationship Id="rId5" Type="http://schemas.openxmlformats.org/officeDocument/2006/relationships/image" Target="../media/image178.png"/><Relationship Id="rId4" Type="http://schemas.openxmlformats.org/officeDocument/2006/relationships/image" Target="../media/image177.png"/></Relationships>
</file>

<file path=xl/drawings/_rels/drawing29.xml.rels><?xml version="1.0" encoding="UTF-8" standalone="yes"?>
<Relationships xmlns="http://schemas.openxmlformats.org/package/2006/relationships"><Relationship Id="rId3" Type="http://schemas.openxmlformats.org/officeDocument/2006/relationships/image" Target="../media/image184.png"/><Relationship Id="rId2" Type="http://schemas.openxmlformats.org/officeDocument/2006/relationships/image" Target="../media/image183.png"/><Relationship Id="rId1" Type="http://schemas.openxmlformats.org/officeDocument/2006/relationships/image" Target="../media/image182.png"/><Relationship Id="rId4" Type="http://schemas.openxmlformats.org/officeDocument/2006/relationships/image" Target="../media/image185.png"/></Relationships>
</file>

<file path=xl/drawings/_rels/drawing30.xml.rels><?xml version="1.0" encoding="UTF-8" standalone="yes"?>
<Relationships xmlns="http://schemas.openxmlformats.org/package/2006/relationships"><Relationship Id="rId8" Type="http://schemas.openxmlformats.org/officeDocument/2006/relationships/image" Target="../media/image193.png"/><Relationship Id="rId3" Type="http://schemas.openxmlformats.org/officeDocument/2006/relationships/image" Target="../media/image188.png"/><Relationship Id="rId7" Type="http://schemas.openxmlformats.org/officeDocument/2006/relationships/image" Target="../media/image192.png"/><Relationship Id="rId2" Type="http://schemas.openxmlformats.org/officeDocument/2006/relationships/image" Target="../media/image187.png"/><Relationship Id="rId1" Type="http://schemas.openxmlformats.org/officeDocument/2006/relationships/image" Target="../media/image186.png"/><Relationship Id="rId6" Type="http://schemas.openxmlformats.org/officeDocument/2006/relationships/image" Target="../media/image191.png"/><Relationship Id="rId11" Type="http://schemas.openxmlformats.org/officeDocument/2006/relationships/image" Target="../media/image196.png"/><Relationship Id="rId5" Type="http://schemas.openxmlformats.org/officeDocument/2006/relationships/image" Target="../media/image190.png"/><Relationship Id="rId10" Type="http://schemas.openxmlformats.org/officeDocument/2006/relationships/image" Target="../media/image195.png"/><Relationship Id="rId4" Type="http://schemas.openxmlformats.org/officeDocument/2006/relationships/image" Target="../media/image189.png"/><Relationship Id="rId9" Type="http://schemas.openxmlformats.org/officeDocument/2006/relationships/image" Target="../media/image194.png"/></Relationships>
</file>

<file path=xl/drawings/_rels/drawing31.xml.rels><?xml version="1.0" encoding="UTF-8" standalone="yes"?>
<Relationships xmlns="http://schemas.openxmlformats.org/package/2006/relationships"><Relationship Id="rId3" Type="http://schemas.openxmlformats.org/officeDocument/2006/relationships/image" Target="../media/image199.png"/><Relationship Id="rId2" Type="http://schemas.openxmlformats.org/officeDocument/2006/relationships/image" Target="../media/image198.png"/><Relationship Id="rId1" Type="http://schemas.openxmlformats.org/officeDocument/2006/relationships/image" Target="../media/image197.png"/><Relationship Id="rId4" Type="http://schemas.openxmlformats.org/officeDocument/2006/relationships/image" Target="../media/image200.png"/></Relationships>
</file>

<file path=xl/drawings/_rels/drawing32.xml.rels><?xml version="1.0" encoding="UTF-8" standalone="yes"?>
<Relationships xmlns="http://schemas.openxmlformats.org/package/2006/relationships"><Relationship Id="rId8" Type="http://schemas.openxmlformats.org/officeDocument/2006/relationships/image" Target="../media/image204.png"/><Relationship Id="rId13" Type="http://schemas.openxmlformats.org/officeDocument/2006/relationships/image" Target="../media/image209.png"/><Relationship Id="rId3" Type="http://schemas.openxmlformats.org/officeDocument/2006/relationships/image" Target="../media/image201.png"/><Relationship Id="rId7" Type="http://schemas.openxmlformats.org/officeDocument/2006/relationships/image" Target="../media/image203.png"/><Relationship Id="rId12" Type="http://schemas.openxmlformats.org/officeDocument/2006/relationships/image" Target="../media/image208.png"/><Relationship Id="rId2" Type="http://schemas.openxmlformats.org/officeDocument/2006/relationships/image" Target="../media/image3.png"/><Relationship Id="rId1" Type="http://schemas.openxmlformats.org/officeDocument/2006/relationships/image" Target="../media/image68.png"/><Relationship Id="rId6" Type="http://schemas.openxmlformats.org/officeDocument/2006/relationships/image" Target="../media/image70.png"/><Relationship Id="rId11" Type="http://schemas.openxmlformats.org/officeDocument/2006/relationships/image" Target="../media/image207.png"/><Relationship Id="rId5" Type="http://schemas.openxmlformats.org/officeDocument/2006/relationships/image" Target="../media/image202.png"/><Relationship Id="rId10" Type="http://schemas.openxmlformats.org/officeDocument/2006/relationships/image" Target="../media/image206.png"/><Relationship Id="rId4" Type="http://schemas.openxmlformats.org/officeDocument/2006/relationships/image" Target="../media/image69.png"/><Relationship Id="rId9" Type="http://schemas.openxmlformats.org/officeDocument/2006/relationships/image" Target="../media/image205.png"/></Relationships>
</file>

<file path=xl/drawings/_rels/drawing33.xml.rels><?xml version="1.0" encoding="UTF-8" standalone="yes"?>
<Relationships xmlns="http://schemas.openxmlformats.org/package/2006/relationships"><Relationship Id="rId8" Type="http://schemas.openxmlformats.org/officeDocument/2006/relationships/image" Target="../media/image217.png"/><Relationship Id="rId13" Type="http://schemas.openxmlformats.org/officeDocument/2006/relationships/image" Target="../media/image222.png"/><Relationship Id="rId3" Type="http://schemas.openxmlformats.org/officeDocument/2006/relationships/image" Target="../media/image212.png"/><Relationship Id="rId7" Type="http://schemas.openxmlformats.org/officeDocument/2006/relationships/image" Target="../media/image216.png"/><Relationship Id="rId12" Type="http://schemas.openxmlformats.org/officeDocument/2006/relationships/image" Target="../media/image221.png"/><Relationship Id="rId2" Type="http://schemas.openxmlformats.org/officeDocument/2006/relationships/image" Target="../media/image211.png"/><Relationship Id="rId1" Type="http://schemas.openxmlformats.org/officeDocument/2006/relationships/image" Target="../media/image210.png"/><Relationship Id="rId6" Type="http://schemas.openxmlformats.org/officeDocument/2006/relationships/image" Target="../media/image215.png"/><Relationship Id="rId11" Type="http://schemas.openxmlformats.org/officeDocument/2006/relationships/image" Target="../media/image220.png"/><Relationship Id="rId5" Type="http://schemas.openxmlformats.org/officeDocument/2006/relationships/image" Target="../media/image214.png"/><Relationship Id="rId15" Type="http://schemas.openxmlformats.org/officeDocument/2006/relationships/image" Target="../media/image224.png"/><Relationship Id="rId10" Type="http://schemas.openxmlformats.org/officeDocument/2006/relationships/image" Target="../media/image219.png"/><Relationship Id="rId4" Type="http://schemas.openxmlformats.org/officeDocument/2006/relationships/image" Target="../media/image213.png"/><Relationship Id="rId9" Type="http://schemas.openxmlformats.org/officeDocument/2006/relationships/image" Target="../media/image218.png"/><Relationship Id="rId14" Type="http://schemas.openxmlformats.org/officeDocument/2006/relationships/image" Target="../media/image223.png"/></Relationships>
</file>

<file path=xl/drawings/_rels/drawing34.xml.rels><?xml version="1.0" encoding="UTF-8" standalone="yes"?>
<Relationships xmlns="http://schemas.openxmlformats.org/package/2006/relationships"><Relationship Id="rId8" Type="http://schemas.openxmlformats.org/officeDocument/2006/relationships/image" Target="../media/image232.png"/><Relationship Id="rId3" Type="http://schemas.openxmlformats.org/officeDocument/2006/relationships/image" Target="../media/image227.png"/><Relationship Id="rId7" Type="http://schemas.openxmlformats.org/officeDocument/2006/relationships/image" Target="../media/image231.png"/><Relationship Id="rId2" Type="http://schemas.openxmlformats.org/officeDocument/2006/relationships/image" Target="../media/image226.png"/><Relationship Id="rId1" Type="http://schemas.openxmlformats.org/officeDocument/2006/relationships/image" Target="../media/image225.png"/><Relationship Id="rId6" Type="http://schemas.openxmlformats.org/officeDocument/2006/relationships/image" Target="../media/image230.png"/><Relationship Id="rId5" Type="http://schemas.openxmlformats.org/officeDocument/2006/relationships/image" Target="../media/image229.png"/><Relationship Id="rId4" Type="http://schemas.openxmlformats.org/officeDocument/2006/relationships/image" Target="../media/image228.png"/></Relationships>
</file>

<file path=xl/drawings/_rels/drawing35.xml.rels><?xml version="1.0" encoding="UTF-8" standalone="yes"?>
<Relationships xmlns="http://schemas.openxmlformats.org/package/2006/relationships"><Relationship Id="rId8" Type="http://schemas.openxmlformats.org/officeDocument/2006/relationships/image" Target="../media/image240.png"/><Relationship Id="rId3" Type="http://schemas.openxmlformats.org/officeDocument/2006/relationships/image" Target="../media/image235.png"/><Relationship Id="rId7" Type="http://schemas.openxmlformats.org/officeDocument/2006/relationships/image" Target="../media/image239.png"/><Relationship Id="rId2" Type="http://schemas.openxmlformats.org/officeDocument/2006/relationships/image" Target="../media/image234.png"/><Relationship Id="rId1" Type="http://schemas.openxmlformats.org/officeDocument/2006/relationships/image" Target="../media/image233.png"/><Relationship Id="rId6" Type="http://schemas.openxmlformats.org/officeDocument/2006/relationships/image" Target="../media/image238.png"/><Relationship Id="rId5" Type="http://schemas.openxmlformats.org/officeDocument/2006/relationships/image" Target="../media/image237.png"/><Relationship Id="rId4" Type="http://schemas.openxmlformats.org/officeDocument/2006/relationships/image" Target="../media/image236.png"/></Relationships>
</file>

<file path=xl/drawings/_rels/drawing36.xml.rels><?xml version="1.0" encoding="UTF-8" standalone="yes"?>
<Relationships xmlns="http://schemas.openxmlformats.org/package/2006/relationships"><Relationship Id="rId3" Type="http://schemas.openxmlformats.org/officeDocument/2006/relationships/image" Target="../media/image243.png"/><Relationship Id="rId2" Type="http://schemas.openxmlformats.org/officeDocument/2006/relationships/image" Target="../media/image242.png"/><Relationship Id="rId1" Type="http://schemas.openxmlformats.org/officeDocument/2006/relationships/image" Target="../media/image241.png"/><Relationship Id="rId4" Type="http://schemas.openxmlformats.org/officeDocument/2006/relationships/image" Target="../media/image244.png"/></Relationships>
</file>

<file path=xl/drawings/_rels/drawing37.xml.rels><?xml version="1.0" encoding="UTF-8" standalone="yes"?>
<Relationships xmlns="http://schemas.openxmlformats.org/package/2006/relationships"><Relationship Id="rId3" Type="http://schemas.openxmlformats.org/officeDocument/2006/relationships/image" Target="../media/image247.png"/><Relationship Id="rId2" Type="http://schemas.openxmlformats.org/officeDocument/2006/relationships/image" Target="../media/image246.png"/><Relationship Id="rId1" Type="http://schemas.openxmlformats.org/officeDocument/2006/relationships/image" Target="../media/image245.png"/><Relationship Id="rId4" Type="http://schemas.openxmlformats.org/officeDocument/2006/relationships/image" Target="../media/image248.png"/></Relationships>
</file>

<file path=xl/drawings/_rels/drawing38.xml.rels><?xml version="1.0" encoding="UTF-8" standalone="yes"?>
<Relationships xmlns="http://schemas.openxmlformats.org/package/2006/relationships"><Relationship Id="rId3" Type="http://schemas.openxmlformats.org/officeDocument/2006/relationships/image" Target="../media/image251.png"/><Relationship Id="rId2" Type="http://schemas.openxmlformats.org/officeDocument/2006/relationships/image" Target="../media/image250.png"/><Relationship Id="rId1" Type="http://schemas.openxmlformats.org/officeDocument/2006/relationships/image" Target="../media/image249.png"/><Relationship Id="rId4" Type="http://schemas.openxmlformats.org/officeDocument/2006/relationships/image" Target="../media/image252.png"/></Relationships>
</file>

<file path=xl/drawings/_rels/drawing39.xml.rels><?xml version="1.0" encoding="UTF-8" standalone="yes"?>
<Relationships xmlns="http://schemas.openxmlformats.org/package/2006/relationships"><Relationship Id="rId3" Type="http://schemas.openxmlformats.org/officeDocument/2006/relationships/image" Target="../media/image255.png"/><Relationship Id="rId2" Type="http://schemas.openxmlformats.org/officeDocument/2006/relationships/image" Target="../media/image254.png"/><Relationship Id="rId1" Type="http://schemas.openxmlformats.org/officeDocument/2006/relationships/image" Target="../media/image253.png"/><Relationship Id="rId4" Type="http://schemas.openxmlformats.org/officeDocument/2006/relationships/image" Target="../media/image256.png"/></Relationships>
</file>

<file path=xl/drawings/_rels/drawing40.xml.rels><?xml version="1.0" encoding="UTF-8" standalone="yes"?>
<Relationships xmlns="http://schemas.openxmlformats.org/package/2006/relationships"><Relationship Id="rId3" Type="http://schemas.openxmlformats.org/officeDocument/2006/relationships/image" Target="../media/image259.png"/><Relationship Id="rId2" Type="http://schemas.openxmlformats.org/officeDocument/2006/relationships/image" Target="../media/image258.png"/><Relationship Id="rId1" Type="http://schemas.openxmlformats.org/officeDocument/2006/relationships/image" Target="../media/image257.png"/><Relationship Id="rId4" Type="http://schemas.openxmlformats.org/officeDocument/2006/relationships/image" Target="../media/image260.png"/></Relationships>
</file>

<file path=xl/drawings/_rels/drawing41.xml.rels><?xml version="1.0" encoding="UTF-8" standalone="yes"?>
<Relationships xmlns="http://schemas.openxmlformats.org/package/2006/relationships"><Relationship Id="rId8" Type="http://schemas.openxmlformats.org/officeDocument/2006/relationships/image" Target="../media/image188.png"/><Relationship Id="rId3" Type="http://schemas.openxmlformats.org/officeDocument/2006/relationships/image" Target="../media/image187.png"/><Relationship Id="rId7" Type="http://schemas.openxmlformats.org/officeDocument/2006/relationships/image" Target="../media/image264.png"/><Relationship Id="rId2" Type="http://schemas.openxmlformats.org/officeDocument/2006/relationships/image" Target="../media/image261.png"/><Relationship Id="rId1" Type="http://schemas.openxmlformats.org/officeDocument/2006/relationships/image" Target="../media/image186.png"/><Relationship Id="rId6" Type="http://schemas.openxmlformats.org/officeDocument/2006/relationships/image" Target="../media/image189.png"/><Relationship Id="rId5" Type="http://schemas.openxmlformats.org/officeDocument/2006/relationships/image" Target="../media/image263.png"/><Relationship Id="rId4" Type="http://schemas.openxmlformats.org/officeDocument/2006/relationships/image" Target="../media/image262.png"/></Relationships>
</file>

<file path=xl/drawings/drawing1.xml><?xml version="1.0" encoding="utf-8"?>
<xdr:wsDr xmlns:xdr="http://schemas.openxmlformats.org/drawingml/2006/spreadsheetDrawing" xmlns:a="http://schemas.openxmlformats.org/drawingml/2006/main">
  <xdr:twoCellAnchor>
    <xdr:from>
      <xdr:col>34</xdr:col>
      <xdr:colOff>248921</xdr:colOff>
      <xdr:row>13</xdr:row>
      <xdr:rowOff>137160</xdr:rowOff>
    </xdr:from>
    <xdr:to>
      <xdr:col>43</xdr:col>
      <xdr:colOff>104985</xdr:colOff>
      <xdr:row>29</xdr:row>
      <xdr:rowOff>48260</xdr:rowOff>
    </xdr:to>
    <xdr:graphicFrame macro="">
      <xdr:nvGraphicFramePr>
        <xdr:cNvPr id="2" name="Chart 1">
          <a:extLst>
            <a:ext uri="{FF2B5EF4-FFF2-40B4-BE49-F238E27FC236}">
              <a16:creationId xmlns:a16="http://schemas.microsoft.com/office/drawing/2014/main" id="{26B89E08-03E5-1407-00B9-77CA66BCD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65</xdr:col>
      <xdr:colOff>202354</xdr:colOff>
      <xdr:row>14</xdr:row>
      <xdr:rowOff>20782</xdr:rowOff>
    </xdr:from>
    <xdr:to>
      <xdr:col>71</xdr:col>
      <xdr:colOff>76200</xdr:colOff>
      <xdr:row>29</xdr:row>
      <xdr:rowOff>15241</xdr:rowOff>
    </xdr:to>
    <xdr:graphicFrame macro="">
      <xdr:nvGraphicFramePr>
        <xdr:cNvPr id="4" name="Chart 3">
          <a:extLst>
            <a:ext uri="{FF2B5EF4-FFF2-40B4-BE49-F238E27FC236}">
              <a16:creationId xmlns:a16="http://schemas.microsoft.com/office/drawing/2014/main" id="{F5A6B133-469E-49E5-9D8A-360D32CEC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343747</xdr:colOff>
      <xdr:row>29</xdr:row>
      <xdr:rowOff>94827</xdr:rowOff>
    </xdr:from>
    <xdr:to>
      <xdr:col>57</xdr:col>
      <xdr:colOff>30477</xdr:colOff>
      <xdr:row>44</xdr:row>
      <xdr:rowOff>80434</xdr:rowOff>
    </xdr:to>
    <xdr:graphicFrame macro="">
      <xdr:nvGraphicFramePr>
        <xdr:cNvPr id="7" name="Chart 6">
          <a:extLst>
            <a:ext uri="{FF2B5EF4-FFF2-40B4-BE49-F238E27FC236}">
              <a16:creationId xmlns:a16="http://schemas.microsoft.com/office/drawing/2014/main" id="{B2424B90-22F8-4D0B-B2BE-D020E324E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65</xdr:col>
      <xdr:colOff>266700</xdr:colOff>
      <xdr:row>29</xdr:row>
      <xdr:rowOff>167640</xdr:rowOff>
    </xdr:from>
    <xdr:to>
      <xdr:col>71</xdr:col>
      <xdr:colOff>152400</xdr:colOff>
      <xdr:row>44</xdr:row>
      <xdr:rowOff>45721</xdr:rowOff>
    </xdr:to>
    <xdr:graphicFrame macro="">
      <xdr:nvGraphicFramePr>
        <xdr:cNvPr id="8" name="Chart 7">
          <a:extLst>
            <a:ext uri="{FF2B5EF4-FFF2-40B4-BE49-F238E27FC236}">
              <a16:creationId xmlns:a16="http://schemas.microsoft.com/office/drawing/2014/main" id="{04FEE181-20FB-4200-8F28-342CA4310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297180</xdr:colOff>
      <xdr:row>168</xdr:row>
      <xdr:rowOff>137160</xdr:rowOff>
    </xdr:from>
    <xdr:to>
      <xdr:col>43</xdr:col>
      <xdr:colOff>153244</xdr:colOff>
      <xdr:row>183</xdr:row>
      <xdr:rowOff>116840</xdr:rowOff>
    </xdr:to>
    <xdr:graphicFrame macro="">
      <xdr:nvGraphicFramePr>
        <xdr:cNvPr id="10" name="Chart 9">
          <a:extLst>
            <a:ext uri="{FF2B5EF4-FFF2-40B4-BE49-F238E27FC236}">
              <a16:creationId xmlns:a16="http://schemas.microsoft.com/office/drawing/2014/main" id="{4A644D98-8D12-4716-B893-02A280610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51</xdr:col>
      <xdr:colOff>487680</xdr:colOff>
      <xdr:row>167</xdr:row>
      <xdr:rowOff>160020</xdr:rowOff>
    </xdr:from>
    <xdr:to>
      <xdr:col>57</xdr:col>
      <xdr:colOff>22010</xdr:colOff>
      <xdr:row>182</xdr:row>
      <xdr:rowOff>168487</xdr:rowOff>
    </xdr:to>
    <xdr:graphicFrame macro="">
      <xdr:nvGraphicFramePr>
        <xdr:cNvPr id="11" name="Chart 10">
          <a:extLst>
            <a:ext uri="{FF2B5EF4-FFF2-40B4-BE49-F238E27FC236}">
              <a16:creationId xmlns:a16="http://schemas.microsoft.com/office/drawing/2014/main" id="{B9AE6ABF-2C2C-4C82-A2D3-B9BBD0BE3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66</xdr:col>
      <xdr:colOff>130233</xdr:colOff>
      <xdr:row>169</xdr:row>
      <xdr:rowOff>7619</xdr:rowOff>
    </xdr:from>
    <xdr:to>
      <xdr:col>72</xdr:col>
      <xdr:colOff>15933</xdr:colOff>
      <xdr:row>183</xdr:row>
      <xdr:rowOff>76200</xdr:rowOff>
    </xdr:to>
    <xdr:graphicFrame macro="">
      <xdr:nvGraphicFramePr>
        <xdr:cNvPr id="12" name="Chart 11">
          <a:extLst>
            <a:ext uri="{FF2B5EF4-FFF2-40B4-BE49-F238E27FC236}">
              <a16:creationId xmlns:a16="http://schemas.microsoft.com/office/drawing/2014/main" id="{C170D33B-5A94-4406-9E4A-59F95DDD4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281940</xdr:colOff>
      <xdr:row>93</xdr:row>
      <xdr:rowOff>106680</xdr:rowOff>
    </xdr:from>
    <xdr:to>
      <xdr:col>43</xdr:col>
      <xdr:colOff>91440</xdr:colOff>
      <xdr:row>108</xdr:row>
      <xdr:rowOff>0</xdr:rowOff>
    </xdr:to>
    <xdr:graphicFrame macro="">
      <xdr:nvGraphicFramePr>
        <xdr:cNvPr id="5" name="Chart 4">
          <a:extLst>
            <a:ext uri="{FF2B5EF4-FFF2-40B4-BE49-F238E27FC236}">
              <a16:creationId xmlns:a16="http://schemas.microsoft.com/office/drawing/2014/main" id="{7356D59E-A25C-4DE5-9038-56A6D53EB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51</xdr:col>
      <xdr:colOff>407247</xdr:colOff>
      <xdr:row>92</xdr:row>
      <xdr:rowOff>143933</xdr:rowOff>
    </xdr:from>
    <xdr:to>
      <xdr:col>57</xdr:col>
      <xdr:colOff>93977</xdr:colOff>
      <xdr:row>107</xdr:row>
      <xdr:rowOff>153247</xdr:rowOff>
    </xdr:to>
    <xdr:graphicFrame macro="">
      <xdr:nvGraphicFramePr>
        <xdr:cNvPr id="9" name="Chart 8">
          <a:extLst>
            <a:ext uri="{FF2B5EF4-FFF2-40B4-BE49-F238E27FC236}">
              <a16:creationId xmlns:a16="http://schemas.microsoft.com/office/drawing/2014/main" id="{36D60056-CA3E-466B-BD12-F3E30173A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65</xdr:col>
      <xdr:colOff>491836</xdr:colOff>
      <xdr:row>93</xdr:row>
      <xdr:rowOff>71351</xdr:rowOff>
    </xdr:from>
    <xdr:to>
      <xdr:col>71</xdr:col>
      <xdr:colOff>377536</xdr:colOff>
      <xdr:row>107</xdr:row>
      <xdr:rowOff>147552</xdr:rowOff>
    </xdr:to>
    <xdr:graphicFrame macro="">
      <xdr:nvGraphicFramePr>
        <xdr:cNvPr id="13" name="Chart 12">
          <a:extLst>
            <a:ext uri="{FF2B5EF4-FFF2-40B4-BE49-F238E27FC236}">
              <a16:creationId xmlns:a16="http://schemas.microsoft.com/office/drawing/2014/main" id="{DCFBB66C-AD55-4F69-B37D-C79E118E0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0</xdr:colOff>
      <xdr:row>6</xdr:row>
      <xdr:rowOff>73851</xdr:rowOff>
    </xdr:from>
    <xdr:to>
      <xdr:col>29</xdr:col>
      <xdr:colOff>126937</xdr:colOff>
      <xdr:row>15</xdr:row>
      <xdr:rowOff>104986</xdr:rowOff>
    </xdr:to>
    <xdr:pic>
      <xdr:nvPicPr>
        <xdr:cNvPr id="14" name="Picture 13">
          <a:extLst>
            <a:ext uri="{FF2B5EF4-FFF2-40B4-BE49-F238E27FC236}">
              <a16:creationId xmlns:a16="http://schemas.microsoft.com/office/drawing/2014/main" id="{ABF8DA07-8017-412F-9775-8DE8E3B838E8}"/>
            </a:ext>
          </a:extLst>
        </xdr:cNvPr>
        <xdr:cNvPicPr>
          <a:picLocks noChangeAspect="1"/>
        </xdr:cNvPicPr>
      </xdr:nvPicPr>
      <xdr:blipFill>
        <a:blip xmlns:r="http://schemas.openxmlformats.org/officeDocument/2006/relationships" r:embed="rId11"/>
        <a:stretch>
          <a:fillRect/>
        </a:stretch>
      </xdr:blipFill>
      <xdr:spPr>
        <a:xfrm>
          <a:off x="5989320" y="1163511"/>
          <a:ext cx="4714177" cy="1677055"/>
        </a:xfrm>
        <a:prstGeom prst="rect">
          <a:avLst/>
        </a:prstGeom>
      </xdr:spPr>
    </xdr:pic>
    <xdr:clientData/>
  </xdr:twoCellAnchor>
  <xdr:twoCellAnchor>
    <xdr:from>
      <xdr:col>34</xdr:col>
      <xdr:colOff>381000</xdr:colOff>
      <xdr:row>44</xdr:row>
      <xdr:rowOff>76200</xdr:rowOff>
    </xdr:from>
    <xdr:to>
      <xdr:col>45</xdr:col>
      <xdr:colOff>99060</xdr:colOff>
      <xdr:row>58</xdr:row>
      <xdr:rowOff>114300</xdr:rowOff>
    </xdr:to>
    <xdr:graphicFrame macro="">
      <xdr:nvGraphicFramePr>
        <xdr:cNvPr id="15" name="Chart 14">
          <a:extLst>
            <a:ext uri="{FF2B5EF4-FFF2-40B4-BE49-F238E27FC236}">
              <a16:creationId xmlns:a16="http://schemas.microsoft.com/office/drawing/2014/main" id="{C47D8249-724D-4EE0-975E-74C01DE1E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51</xdr:col>
      <xdr:colOff>403398</xdr:colOff>
      <xdr:row>44</xdr:row>
      <xdr:rowOff>137391</xdr:rowOff>
    </xdr:from>
    <xdr:to>
      <xdr:col>57</xdr:col>
      <xdr:colOff>90128</xdr:colOff>
      <xdr:row>59</xdr:row>
      <xdr:rowOff>130618</xdr:rowOff>
    </xdr:to>
    <xdr:graphicFrame macro="">
      <xdr:nvGraphicFramePr>
        <xdr:cNvPr id="16" name="Chart 15">
          <a:extLst>
            <a:ext uri="{FF2B5EF4-FFF2-40B4-BE49-F238E27FC236}">
              <a16:creationId xmlns:a16="http://schemas.microsoft.com/office/drawing/2014/main" id="{71627293-C6B0-4A3A-BB7A-0D5DEFC45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65</xdr:col>
      <xdr:colOff>388620</xdr:colOff>
      <xdr:row>44</xdr:row>
      <xdr:rowOff>129540</xdr:rowOff>
    </xdr:from>
    <xdr:to>
      <xdr:col>71</xdr:col>
      <xdr:colOff>274320</xdr:colOff>
      <xdr:row>59</xdr:row>
      <xdr:rowOff>15241</xdr:rowOff>
    </xdr:to>
    <xdr:graphicFrame macro="">
      <xdr:nvGraphicFramePr>
        <xdr:cNvPr id="17" name="Chart 16">
          <a:extLst>
            <a:ext uri="{FF2B5EF4-FFF2-40B4-BE49-F238E27FC236}">
              <a16:creationId xmlns:a16="http://schemas.microsoft.com/office/drawing/2014/main" id="{6D77EA03-1148-4B87-86B5-A06901D88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34</xdr:col>
      <xdr:colOff>365760</xdr:colOff>
      <xdr:row>112</xdr:row>
      <xdr:rowOff>0</xdr:rowOff>
    </xdr:from>
    <xdr:to>
      <xdr:col>43</xdr:col>
      <xdr:colOff>175260</xdr:colOff>
      <xdr:row>126</xdr:row>
      <xdr:rowOff>68580</xdr:rowOff>
    </xdr:to>
    <xdr:graphicFrame macro="">
      <xdr:nvGraphicFramePr>
        <xdr:cNvPr id="18" name="Chart 17">
          <a:extLst>
            <a:ext uri="{FF2B5EF4-FFF2-40B4-BE49-F238E27FC236}">
              <a16:creationId xmlns:a16="http://schemas.microsoft.com/office/drawing/2014/main" id="{22844081-09F0-4C59-8027-8E8DA8938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51</xdr:col>
      <xdr:colOff>411480</xdr:colOff>
      <xdr:row>110</xdr:row>
      <xdr:rowOff>65194</xdr:rowOff>
    </xdr:from>
    <xdr:to>
      <xdr:col>57</xdr:col>
      <xdr:colOff>98210</xdr:colOff>
      <xdr:row>125</xdr:row>
      <xdr:rowOff>74508</xdr:rowOff>
    </xdr:to>
    <xdr:graphicFrame macro="">
      <xdr:nvGraphicFramePr>
        <xdr:cNvPr id="19" name="Chart 18">
          <a:extLst>
            <a:ext uri="{FF2B5EF4-FFF2-40B4-BE49-F238E27FC236}">
              <a16:creationId xmlns:a16="http://schemas.microsoft.com/office/drawing/2014/main" id="{544CC4E7-9D50-4D80-9D65-29C07D9AA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65</xdr:col>
      <xdr:colOff>459971</xdr:colOff>
      <xdr:row>111</xdr:row>
      <xdr:rowOff>135774</xdr:rowOff>
    </xdr:from>
    <xdr:to>
      <xdr:col>71</xdr:col>
      <xdr:colOff>345671</xdr:colOff>
      <xdr:row>126</xdr:row>
      <xdr:rowOff>31866</xdr:rowOff>
    </xdr:to>
    <xdr:graphicFrame macro="">
      <xdr:nvGraphicFramePr>
        <xdr:cNvPr id="20" name="Chart 19">
          <a:extLst>
            <a:ext uri="{FF2B5EF4-FFF2-40B4-BE49-F238E27FC236}">
              <a16:creationId xmlns:a16="http://schemas.microsoft.com/office/drawing/2014/main" id="{3968F6B6-CC4F-4FC1-9192-B658E7B1E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34</xdr:col>
      <xdr:colOff>403860</xdr:colOff>
      <xdr:row>59</xdr:row>
      <xdr:rowOff>121920</xdr:rowOff>
    </xdr:from>
    <xdr:to>
      <xdr:col>43</xdr:col>
      <xdr:colOff>160020</xdr:colOff>
      <xdr:row>73</xdr:row>
      <xdr:rowOff>137160</xdr:rowOff>
    </xdr:to>
    <xdr:graphicFrame macro="">
      <xdr:nvGraphicFramePr>
        <xdr:cNvPr id="21" name="Chart 20">
          <a:extLst>
            <a:ext uri="{FF2B5EF4-FFF2-40B4-BE49-F238E27FC236}">
              <a16:creationId xmlns:a16="http://schemas.microsoft.com/office/drawing/2014/main" id="{518EC76A-D1ED-4301-A5BD-9F9BAC908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51</xdr:col>
      <xdr:colOff>355599</xdr:colOff>
      <xdr:row>59</xdr:row>
      <xdr:rowOff>111760</xdr:rowOff>
    </xdr:from>
    <xdr:to>
      <xdr:col>57</xdr:col>
      <xdr:colOff>42329</xdr:colOff>
      <xdr:row>74</xdr:row>
      <xdr:rowOff>112607</xdr:rowOff>
    </xdr:to>
    <xdr:graphicFrame macro="">
      <xdr:nvGraphicFramePr>
        <xdr:cNvPr id="22" name="Chart 21">
          <a:extLst>
            <a:ext uri="{FF2B5EF4-FFF2-40B4-BE49-F238E27FC236}">
              <a16:creationId xmlns:a16="http://schemas.microsoft.com/office/drawing/2014/main" id="{B8C4D337-E418-44B9-BEBF-5F7D5D8DB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65</xdr:col>
      <xdr:colOff>388620</xdr:colOff>
      <xdr:row>60</xdr:row>
      <xdr:rowOff>0</xdr:rowOff>
    </xdr:from>
    <xdr:to>
      <xdr:col>71</xdr:col>
      <xdr:colOff>274320</xdr:colOff>
      <xdr:row>74</xdr:row>
      <xdr:rowOff>68581</xdr:rowOff>
    </xdr:to>
    <xdr:graphicFrame macro="">
      <xdr:nvGraphicFramePr>
        <xdr:cNvPr id="23" name="Chart 22">
          <a:extLst>
            <a:ext uri="{FF2B5EF4-FFF2-40B4-BE49-F238E27FC236}">
              <a16:creationId xmlns:a16="http://schemas.microsoft.com/office/drawing/2014/main" id="{089594B5-9C29-4F62-A343-FAB5979C1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34</xdr:col>
      <xdr:colOff>396240</xdr:colOff>
      <xdr:row>75</xdr:row>
      <xdr:rowOff>144780</xdr:rowOff>
    </xdr:from>
    <xdr:to>
      <xdr:col>43</xdr:col>
      <xdr:colOff>152400</xdr:colOff>
      <xdr:row>89</xdr:row>
      <xdr:rowOff>160020</xdr:rowOff>
    </xdr:to>
    <xdr:graphicFrame macro="">
      <xdr:nvGraphicFramePr>
        <xdr:cNvPr id="24" name="Chart 23">
          <a:extLst>
            <a:ext uri="{FF2B5EF4-FFF2-40B4-BE49-F238E27FC236}">
              <a16:creationId xmlns:a16="http://schemas.microsoft.com/office/drawing/2014/main" id="{FBE2835B-0331-42EE-9A2A-D1EBB91C1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51</xdr:col>
      <xdr:colOff>370840</xdr:colOff>
      <xdr:row>75</xdr:row>
      <xdr:rowOff>104140</xdr:rowOff>
    </xdr:from>
    <xdr:to>
      <xdr:col>57</xdr:col>
      <xdr:colOff>57570</xdr:colOff>
      <xdr:row>90</xdr:row>
      <xdr:rowOff>104987</xdr:rowOff>
    </xdr:to>
    <xdr:graphicFrame macro="">
      <xdr:nvGraphicFramePr>
        <xdr:cNvPr id="25" name="Chart 24">
          <a:extLst>
            <a:ext uri="{FF2B5EF4-FFF2-40B4-BE49-F238E27FC236}">
              <a16:creationId xmlns:a16="http://schemas.microsoft.com/office/drawing/2014/main" id="{6C15FA28-6868-4A27-8E86-D2F807735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65</xdr:col>
      <xdr:colOff>381000</xdr:colOff>
      <xdr:row>76</xdr:row>
      <xdr:rowOff>76200</xdr:rowOff>
    </xdr:from>
    <xdr:to>
      <xdr:col>71</xdr:col>
      <xdr:colOff>266700</xdr:colOff>
      <xdr:row>90</xdr:row>
      <xdr:rowOff>144781</xdr:rowOff>
    </xdr:to>
    <xdr:graphicFrame macro="">
      <xdr:nvGraphicFramePr>
        <xdr:cNvPr id="26" name="Chart 25">
          <a:extLst>
            <a:ext uri="{FF2B5EF4-FFF2-40B4-BE49-F238E27FC236}">
              <a16:creationId xmlns:a16="http://schemas.microsoft.com/office/drawing/2014/main" id="{E38315DB-5A56-4240-B2C5-A371CB5D9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34</xdr:col>
      <xdr:colOff>335280</xdr:colOff>
      <xdr:row>128</xdr:row>
      <xdr:rowOff>68580</xdr:rowOff>
    </xdr:from>
    <xdr:to>
      <xdr:col>43</xdr:col>
      <xdr:colOff>144780</xdr:colOff>
      <xdr:row>142</xdr:row>
      <xdr:rowOff>137160</xdr:rowOff>
    </xdr:to>
    <xdr:graphicFrame macro="">
      <xdr:nvGraphicFramePr>
        <xdr:cNvPr id="27" name="Chart 26">
          <a:extLst>
            <a:ext uri="{FF2B5EF4-FFF2-40B4-BE49-F238E27FC236}">
              <a16:creationId xmlns:a16="http://schemas.microsoft.com/office/drawing/2014/main" id="{2DD95369-152E-42E1-B3F5-F80FE0D83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51</xdr:col>
      <xdr:colOff>491683</xdr:colOff>
      <xdr:row>127</xdr:row>
      <xdr:rowOff>96520</xdr:rowOff>
    </xdr:from>
    <xdr:to>
      <xdr:col>58</xdr:col>
      <xdr:colOff>21395</xdr:colOff>
      <xdr:row>142</xdr:row>
      <xdr:rowOff>97367</xdr:rowOff>
    </xdr:to>
    <xdr:graphicFrame macro="">
      <xdr:nvGraphicFramePr>
        <xdr:cNvPr id="28" name="Chart 27">
          <a:extLst>
            <a:ext uri="{FF2B5EF4-FFF2-40B4-BE49-F238E27FC236}">
              <a16:creationId xmlns:a16="http://schemas.microsoft.com/office/drawing/2014/main" id="{C3AA8B2B-95E9-40C9-9675-D0C52E45B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65</xdr:col>
      <xdr:colOff>545176</xdr:colOff>
      <xdr:row>128</xdr:row>
      <xdr:rowOff>20781</xdr:rowOff>
    </xdr:from>
    <xdr:to>
      <xdr:col>71</xdr:col>
      <xdr:colOff>430876</xdr:colOff>
      <xdr:row>142</xdr:row>
      <xdr:rowOff>89362</xdr:rowOff>
    </xdr:to>
    <xdr:graphicFrame macro="">
      <xdr:nvGraphicFramePr>
        <xdr:cNvPr id="29" name="Chart 28">
          <a:extLst>
            <a:ext uri="{FF2B5EF4-FFF2-40B4-BE49-F238E27FC236}">
              <a16:creationId xmlns:a16="http://schemas.microsoft.com/office/drawing/2014/main" id="{9947210C-025A-4021-8F84-784DDE418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34</xdr:col>
      <xdr:colOff>342900</xdr:colOff>
      <xdr:row>147</xdr:row>
      <xdr:rowOff>152400</xdr:rowOff>
    </xdr:from>
    <xdr:to>
      <xdr:col>43</xdr:col>
      <xdr:colOff>152400</xdr:colOff>
      <xdr:row>162</xdr:row>
      <xdr:rowOff>45720</xdr:rowOff>
    </xdr:to>
    <xdr:graphicFrame macro="">
      <xdr:nvGraphicFramePr>
        <xdr:cNvPr id="30" name="Chart 29">
          <a:extLst>
            <a:ext uri="{FF2B5EF4-FFF2-40B4-BE49-F238E27FC236}">
              <a16:creationId xmlns:a16="http://schemas.microsoft.com/office/drawing/2014/main" id="{83DEDF21-B46A-408A-9A55-E42B37CBF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52</xdr:col>
      <xdr:colOff>5080</xdr:colOff>
      <xdr:row>147</xdr:row>
      <xdr:rowOff>34713</xdr:rowOff>
    </xdr:from>
    <xdr:to>
      <xdr:col>57</xdr:col>
      <xdr:colOff>47410</xdr:colOff>
      <xdr:row>162</xdr:row>
      <xdr:rowOff>35560</xdr:rowOff>
    </xdr:to>
    <xdr:graphicFrame macro="">
      <xdr:nvGraphicFramePr>
        <xdr:cNvPr id="31" name="Chart 30">
          <a:extLst>
            <a:ext uri="{FF2B5EF4-FFF2-40B4-BE49-F238E27FC236}">
              <a16:creationId xmlns:a16="http://schemas.microsoft.com/office/drawing/2014/main" id="{C741BD7E-EE30-44C7-95EB-314B32909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66</xdr:col>
      <xdr:colOff>44336</xdr:colOff>
      <xdr:row>148</xdr:row>
      <xdr:rowOff>2078</xdr:rowOff>
    </xdr:from>
    <xdr:to>
      <xdr:col>71</xdr:col>
      <xdr:colOff>539636</xdr:colOff>
      <xdr:row>162</xdr:row>
      <xdr:rowOff>70659</xdr:rowOff>
    </xdr:to>
    <xdr:graphicFrame macro="">
      <xdr:nvGraphicFramePr>
        <xdr:cNvPr id="32" name="Chart 31">
          <a:extLst>
            <a:ext uri="{FF2B5EF4-FFF2-40B4-BE49-F238E27FC236}">
              <a16:creationId xmlns:a16="http://schemas.microsoft.com/office/drawing/2014/main" id="{3CD02031-5B91-4BF2-8AAF-1E101F48A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34</xdr:col>
      <xdr:colOff>313267</xdr:colOff>
      <xdr:row>29</xdr:row>
      <xdr:rowOff>101600</xdr:rowOff>
    </xdr:from>
    <xdr:to>
      <xdr:col>43</xdr:col>
      <xdr:colOff>169331</xdr:colOff>
      <xdr:row>44</xdr:row>
      <xdr:rowOff>63499</xdr:rowOff>
    </xdr:to>
    <xdr:graphicFrame macro="">
      <xdr:nvGraphicFramePr>
        <xdr:cNvPr id="33" name="Chart 32">
          <a:extLst>
            <a:ext uri="{FF2B5EF4-FFF2-40B4-BE49-F238E27FC236}">
              <a16:creationId xmlns:a16="http://schemas.microsoft.com/office/drawing/2014/main" id="{30EB44D6-6026-4FE3-8F0F-E956AC93D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51</xdr:col>
      <xdr:colOff>262466</xdr:colOff>
      <xdr:row>12</xdr:row>
      <xdr:rowOff>143934</xdr:rowOff>
    </xdr:from>
    <xdr:to>
      <xdr:col>56</xdr:col>
      <xdr:colOff>101596</xdr:colOff>
      <xdr:row>28</xdr:row>
      <xdr:rowOff>70274</xdr:rowOff>
    </xdr:to>
    <xdr:graphicFrame macro="">
      <xdr:nvGraphicFramePr>
        <xdr:cNvPr id="6" name="Chart 5">
          <a:extLst>
            <a:ext uri="{FF2B5EF4-FFF2-40B4-BE49-F238E27FC236}">
              <a16:creationId xmlns:a16="http://schemas.microsoft.com/office/drawing/2014/main" id="{4C6C179C-D1D4-430E-AC7D-1099EFDF5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38098</xdr:colOff>
      <xdr:row>29</xdr:row>
      <xdr:rowOff>132450</xdr:rowOff>
    </xdr:from>
    <xdr:to>
      <xdr:col>15</xdr:col>
      <xdr:colOff>50948</xdr:colOff>
      <xdr:row>43</xdr:row>
      <xdr:rowOff>124691</xdr:rowOff>
    </xdr:to>
    <xdr:pic>
      <xdr:nvPicPr>
        <xdr:cNvPr id="3" name="Picture 2">
          <a:extLst>
            <a:ext uri="{FF2B5EF4-FFF2-40B4-BE49-F238E27FC236}">
              <a16:creationId xmlns:a16="http://schemas.microsoft.com/office/drawing/2014/main" id="{8C2A5ABC-894F-4DE9-E7DF-37CA82EA8839}"/>
            </a:ext>
          </a:extLst>
        </xdr:cNvPr>
        <xdr:cNvPicPr>
          <a:picLocks noChangeAspect="1"/>
        </xdr:cNvPicPr>
      </xdr:nvPicPr>
      <xdr:blipFill>
        <a:blip xmlns:r="http://schemas.openxmlformats.org/officeDocument/2006/relationships" r:embed="rId1"/>
        <a:stretch>
          <a:fillRect/>
        </a:stretch>
      </xdr:blipFill>
      <xdr:spPr>
        <a:xfrm>
          <a:off x="6390407" y="478814"/>
          <a:ext cx="3795141" cy="2416786"/>
        </a:xfrm>
        <a:prstGeom prst="rect">
          <a:avLst/>
        </a:prstGeom>
      </xdr:spPr>
    </xdr:pic>
    <xdr:clientData/>
  </xdr:twoCellAnchor>
  <xdr:twoCellAnchor editAs="oneCell">
    <xdr:from>
      <xdr:col>24</xdr:col>
      <xdr:colOff>0</xdr:colOff>
      <xdr:row>220</xdr:row>
      <xdr:rowOff>146859</xdr:rowOff>
    </xdr:from>
    <xdr:to>
      <xdr:col>30</xdr:col>
      <xdr:colOff>92419</xdr:colOff>
      <xdr:row>246</xdr:row>
      <xdr:rowOff>70659</xdr:rowOff>
    </xdr:to>
    <xdr:pic>
      <xdr:nvPicPr>
        <xdr:cNvPr id="4" name="Picture 3">
          <a:extLst>
            <a:ext uri="{FF2B5EF4-FFF2-40B4-BE49-F238E27FC236}">
              <a16:creationId xmlns:a16="http://schemas.microsoft.com/office/drawing/2014/main" id="{48984612-53D9-4696-95B4-9C13C9AFA30F}"/>
            </a:ext>
          </a:extLst>
        </xdr:cNvPr>
        <xdr:cNvPicPr>
          <a:picLocks noChangeAspect="1"/>
        </xdr:cNvPicPr>
      </xdr:nvPicPr>
      <xdr:blipFill>
        <a:blip xmlns:r="http://schemas.openxmlformats.org/officeDocument/2006/relationships" r:embed="rId2"/>
        <a:stretch>
          <a:fillRect/>
        </a:stretch>
      </xdr:blipFill>
      <xdr:spPr>
        <a:xfrm>
          <a:off x="14493239" y="9360132"/>
          <a:ext cx="3049671" cy="4426527"/>
        </a:xfrm>
        <a:prstGeom prst="rect">
          <a:avLst/>
        </a:prstGeom>
      </xdr:spPr>
    </xdr:pic>
    <xdr:clientData/>
  </xdr:twoCellAnchor>
  <xdr:twoCellAnchor editAs="oneCell">
    <xdr:from>
      <xdr:col>2</xdr:col>
      <xdr:colOff>579120</xdr:colOff>
      <xdr:row>232</xdr:row>
      <xdr:rowOff>75644</xdr:rowOff>
    </xdr:from>
    <xdr:to>
      <xdr:col>22</xdr:col>
      <xdr:colOff>3423</xdr:colOff>
      <xdr:row>247</xdr:row>
      <xdr:rowOff>30759</xdr:rowOff>
    </xdr:to>
    <xdr:pic>
      <xdr:nvPicPr>
        <xdr:cNvPr id="6" name="Picture 5">
          <a:extLst>
            <a:ext uri="{FF2B5EF4-FFF2-40B4-BE49-F238E27FC236}">
              <a16:creationId xmlns:a16="http://schemas.microsoft.com/office/drawing/2014/main" id="{6189B676-8FA3-4ACC-29EF-8C6CD8DD9266}"/>
            </a:ext>
          </a:extLst>
        </xdr:cNvPr>
        <xdr:cNvPicPr>
          <a:picLocks noChangeAspect="1"/>
        </xdr:cNvPicPr>
      </xdr:nvPicPr>
      <xdr:blipFill>
        <a:blip xmlns:r="http://schemas.openxmlformats.org/officeDocument/2006/relationships" r:embed="rId3"/>
        <a:stretch>
          <a:fillRect/>
        </a:stretch>
      </xdr:blipFill>
      <xdr:spPr>
        <a:xfrm>
          <a:off x="1325880" y="11094164"/>
          <a:ext cx="13054471" cy="2584015"/>
        </a:xfrm>
        <a:prstGeom prst="rect">
          <a:avLst/>
        </a:prstGeom>
      </xdr:spPr>
    </xdr:pic>
    <xdr:clientData/>
  </xdr:twoCellAnchor>
  <xdr:twoCellAnchor editAs="oneCell">
    <xdr:from>
      <xdr:col>2</xdr:col>
      <xdr:colOff>586740</xdr:colOff>
      <xdr:row>58</xdr:row>
      <xdr:rowOff>95500</xdr:rowOff>
    </xdr:from>
    <xdr:to>
      <xdr:col>21</xdr:col>
      <xdr:colOff>7642</xdr:colOff>
      <xdr:row>71</xdr:row>
      <xdr:rowOff>76449</xdr:rowOff>
    </xdr:to>
    <xdr:pic>
      <xdr:nvPicPr>
        <xdr:cNvPr id="7" name="Picture 6">
          <a:extLst>
            <a:ext uri="{FF2B5EF4-FFF2-40B4-BE49-F238E27FC236}">
              <a16:creationId xmlns:a16="http://schemas.microsoft.com/office/drawing/2014/main" id="{36DDB6B1-72CD-9479-43E0-74237165F998}"/>
            </a:ext>
          </a:extLst>
        </xdr:cNvPr>
        <xdr:cNvPicPr>
          <a:picLocks noChangeAspect="1"/>
        </xdr:cNvPicPr>
      </xdr:nvPicPr>
      <xdr:blipFill>
        <a:blip xmlns:r="http://schemas.openxmlformats.org/officeDocument/2006/relationships" r:embed="rId4"/>
        <a:stretch>
          <a:fillRect/>
        </a:stretch>
      </xdr:blipFill>
      <xdr:spPr>
        <a:xfrm>
          <a:off x="1333500" y="5574280"/>
          <a:ext cx="12764907" cy="2259329"/>
        </a:xfrm>
        <a:prstGeom prst="rect">
          <a:avLst/>
        </a:prstGeom>
      </xdr:spPr>
    </xdr:pic>
    <xdr:clientData/>
  </xdr:twoCellAnchor>
  <xdr:twoCellAnchor editAs="oneCell">
    <xdr:from>
      <xdr:col>24</xdr:col>
      <xdr:colOff>0</xdr:colOff>
      <xdr:row>256</xdr:row>
      <xdr:rowOff>99059</xdr:rowOff>
    </xdr:from>
    <xdr:to>
      <xdr:col>32</xdr:col>
      <xdr:colOff>171861</xdr:colOff>
      <xdr:row>274</xdr:row>
      <xdr:rowOff>154827</xdr:rowOff>
    </xdr:to>
    <xdr:pic>
      <xdr:nvPicPr>
        <xdr:cNvPr id="2" name="Picture 1">
          <a:extLst>
            <a:ext uri="{FF2B5EF4-FFF2-40B4-BE49-F238E27FC236}">
              <a16:creationId xmlns:a16="http://schemas.microsoft.com/office/drawing/2014/main" id="{60BB533D-A97F-B180-9F09-AFBB827EDD75}"/>
            </a:ext>
          </a:extLst>
        </xdr:cNvPr>
        <xdr:cNvPicPr>
          <a:picLocks noChangeAspect="1"/>
        </xdr:cNvPicPr>
      </xdr:nvPicPr>
      <xdr:blipFill>
        <a:blip xmlns:r="http://schemas.openxmlformats.org/officeDocument/2006/relationships" r:embed="rId5"/>
        <a:stretch>
          <a:fillRect/>
        </a:stretch>
      </xdr:blipFill>
      <xdr:spPr>
        <a:xfrm>
          <a:off x="15372723" y="15546877"/>
          <a:ext cx="4348313" cy="3173041"/>
        </a:xfrm>
        <a:prstGeom prst="rect">
          <a:avLst/>
        </a:prstGeom>
      </xdr:spPr>
    </xdr:pic>
    <xdr:clientData/>
  </xdr:twoCellAnchor>
  <xdr:twoCellAnchor editAs="oneCell">
    <xdr:from>
      <xdr:col>2</xdr:col>
      <xdr:colOff>114300</xdr:colOff>
      <xdr:row>262</xdr:row>
      <xdr:rowOff>96415</xdr:rowOff>
    </xdr:from>
    <xdr:to>
      <xdr:col>23</xdr:col>
      <xdr:colOff>240398</xdr:colOff>
      <xdr:row>275</xdr:row>
      <xdr:rowOff>68805</xdr:rowOff>
    </xdr:to>
    <xdr:pic>
      <xdr:nvPicPr>
        <xdr:cNvPr id="5" name="Picture 4">
          <a:extLst>
            <a:ext uri="{FF2B5EF4-FFF2-40B4-BE49-F238E27FC236}">
              <a16:creationId xmlns:a16="http://schemas.microsoft.com/office/drawing/2014/main" id="{B54ACF81-741A-A562-00B5-7196B75F42BC}"/>
            </a:ext>
          </a:extLst>
        </xdr:cNvPr>
        <xdr:cNvPicPr>
          <a:picLocks noChangeAspect="1"/>
        </xdr:cNvPicPr>
      </xdr:nvPicPr>
      <xdr:blipFill>
        <a:blip xmlns:r="http://schemas.openxmlformats.org/officeDocument/2006/relationships" r:embed="rId6"/>
        <a:stretch>
          <a:fillRect/>
        </a:stretch>
      </xdr:blipFill>
      <xdr:spPr>
        <a:xfrm>
          <a:off x="998220" y="19992235"/>
          <a:ext cx="14113648" cy="2250770"/>
        </a:xfrm>
        <a:prstGeom prst="rect">
          <a:avLst/>
        </a:prstGeom>
      </xdr:spPr>
    </xdr:pic>
    <xdr:clientData/>
  </xdr:twoCellAnchor>
  <xdr:twoCellAnchor editAs="oneCell">
    <xdr:from>
      <xdr:col>24</xdr:col>
      <xdr:colOff>0</xdr:colOff>
      <xdr:row>287</xdr:row>
      <xdr:rowOff>33251</xdr:rowOff>
    </xdr:from>
    <xdr:to>
      <xdr:col>32</xdr:col>
      <xdr:colOff>140306</xdr:colOff>
      <xdr:row>302</xdr:row>
      <xdr:rowOff>105529</xdr:rowOff>
    </xdr:to>
    <xdr:pic>
      <xdr:nvPicPr>
        <xdr:cNvPr id="8" name="Picture 7">
          <a:extLst>
            <a:ext uri="{FF2B5EF4-FFF2-40B4-BE49-F238E27FC236}">
              <a16:creationId xmlns:a16="http://schemas.microsoft.com/office/drawing/2014/main" id="{0F09A793-52C4-B669-22E1-19039E43924A}"/>
            </a:ext>
          </a:extLst>
        </xdr:cNvPr>
        <xdr:cNvPicPr>
          <a:picLocks noChangeAspect="1"/>
        </xdr:cNvPicPr>
      </xdr:nvPicPr>
      <xdr:blipFill>
        <a:blip xmlns:r="http://schemas.openxmlformats.org/officeDocument/2006/relationships" r:embed="rId7"/>
        <a:stretch>
          <a:fillRect/>
        </a:stretch>
      </xdr:blipFill>
      <xdr:spPr>
        <a:xfrm>
          <a:off x="15086907" y="20849706"/>
          <a:ext cx="4316758" cy="2670005"/>
        </a:xfrm>
        <a:prstGeom prst="rect">
          <a:avLst/>
        </a:prstGeom>
      </xdr:spPr>
    </xdr:pic>
    <xdr:clientData/>
  </xdr:twoCellAnchor>
  <xdr:twoCellAnchor editAs="oneCell">
    <xdr:from>
      <xdr:col>2</xdr:col>
      <xdr:colOff>228600</xdr:colOff>
      <xdr:row>291</xdr:row>
      <xdr:rowOff>156455</xdr:rowOff>
    </xdr:from>
    <xdr:to>
      <xdr:col>22</xdr:col>
      <xdr:colOff>530650</xdr:colOff>
      <xdr:row>302</xdr:row>
      <xdr:rowOff>129735</xdr:rowOff>
    </xdr:to>
    <xdr:pic>
      <xdr:nvPicPr>
        <xdr:cNvPr id="9" name="Picture 8">
          <a:extLst>
            <a:ext uri="{FF2B5EF4-FFF2-40B4-BE49-F238E27FC236}">
              <a16:creationId xmlns:a16="http://schemas.microsoft.com/office/drawing/2014/main" id="{D562D6C4-6186-CCAC-247A-692EEAF3D4D1}"/>
            </a:ext>
          </a:extLst>
        </xdr:cNvPr>
        <xdr:cNvPicPr>
          <a:picLocks noChangeAspect="1"/>
        </xdr:cNvPicPr>
      </xdr:nvPicPr>
      <xdr:blipFill>
        <a:blip xmlns:r="http://schemas.openxmlformats.org/officeDocument/2006/relationships" r:embed="rId8"/>
        <a:stretch>
          <a:fillRect/>
        </a:stretch>
      </xdr:blipFill>
      <xdr:spPr>
        <a:xfrm>
          <a:off x="1112520" y="25226255"/>
          <a:ext cx="13686927" cy="1901140"/>
        </a:xfrm>
        <a:prstGeom prst="rect">
          <a:avLst/>
        </a:prstGeom>
      </xdr:spPr>
    </xdr:pic>
    <xdr:clientData/>
  </xdr:twoCellAnchor>
  <xdr:twoCellAnchor editAs="oneCell">
    <xdr:from>
      <xdr:col>24</xdr:col>
      <xdr:colOff>0</xdr:colOff>
      <xdr:row>312</xdr:row>
      <xdr:rowOff>51262</xdr:rowOff>
    </xdr:from>
    <xdr:to>
      <xdr:col>32</xdr:col>
      <xdr:colOff>344686</xdr:colOff>
      <xdr:row>329</xdr:row>
      <xdr:rowOff>140253</xdr:rowOff>
    </xdr:to>
    <xdr:pic>
      <xdr:nvPicPr>
        <xdr:cNvPr id="10" name="Picture 9">
          <a:extLst>
            <a:ext uri="{FF2B5EF4-FFF2-40B4-BE49-F238E27FC236}">
              <a16:creationId xmlns:a16="http://schemas.microsoft.com/office/drawing/2014/main" id="{8238523E-B882-4BA9-1989-1D0D0C134C3D}"/>
            </a:ext>
          </a:extLst>
        </xdr:cNvPr>
        <xdr:cNvPicPr>
          <a:picLocks noChangeAspect="1"/>
        </xdr:cNvPicPr>
      </xdr:nvPicPr>
      <xdr:blipFill>
        <a:blip xmlns:r="http://schemas.openxmlformats.org/officeDocument/2006/relationships" r:embed="rId9"/>
        <a:stretch>
          <a:fillRect/>
        </a:stretch>
      </xdr:blipFill>
      <xdr:spPr>
        <a:xfrm>
          <a:off x="15385550" y="25197262"/>
          <a:ext cx="4521138" cy="3033083"/>
        </a:xfrm>
        <a:prstGeom prst="rect">
          <a:avLst/>
        </a:prstGeom>
      </xdr:spPr>
    </xdr:pic>
    <xdr:clientData/>
  </xdr:twoCellAnchor>
  <xdr:twoCellAnchor editAs="oneCell">
    <xdr:from>
      <xdr:col>2</xdr:col>
      <xdr:colOff>243840</xdr:colOff>
      <xdr:row>317</xdr:row>
      <xdr:rowOff>38844</xdr:rowOff>
    </xdr:from>
    <xdr:to>
      <xdr:col>23</xdr:col>
      <xdr:colOff>171817</xdr:colOff>
      <xdr:row>329</xdr:row>
      <xdr:rowOff>137383</xdr:rowOff>
    </xdr:to>
    <xdr:pic>
      <xdr:nvPicPr>
        <xdr:cNvPr id="11" name="Picture 10">
          <a:extLst>
            <a:ext uri="{FF2B5EF4-FFF2-40B4-BE49-F238E27FC236}">
              <a16:creationId xmlns:a16="http://schemas.microsoft.com/office/drawing/2014/main" id="{5DD040D5-D803-70C2-5579-A7975DB477EF}"/>
            </a:ext>
          </a:extLst>
        </xdr:cNvPr>
        <xdr:cNvPicPr>
          <a:picLocks noChangeAspect="1"/>
        </xdr:cNvPicPr>
      </xdr:nvPicPr>
      <xdr:blipFill>
        <a:blip xmlns:r="http://schemas.openxmlformats.org/officeDocument/2006/relationships" r:embed="rId10"/>
        <a:stretch>
          <a:fillRect/>
        </a:stretch>
      </xdr:blipFill>
      <xdr:spPr>
        <a:xfrm>
          <a:off x="1127760" y="26777424"/>
          <a:ext cx="13915527" cy="2201659"/>
        </a:xfrm>
        <a:prstGeom prst="rect">
          <a:avLst/>
        </a:prstGeom>
      </xdr:spPr>
    </xdr:pic>
    <xdr:clientData/>
  </xdr:twoCellAnchor>
  <xdr:twoCellAnchor editAs="oneCell">
    <xdr:from>
      <xdr:col>13</xdr:col>
      <xdr:colOff>60447</xdr:colOff>
      <xdr:row>339</xdr:row>
      <xdr:rowOff>20780</xdr:rowOff>
    </xdr:from>
    <xdr:to>
      <xdr:col>21</xdr:col>
      <xdr:colOff>104383</xdr:colOff>
      <xdr:row>362</xdr:row>
      <xdr:rowOff>90054</xdr:rowOff>
    </xdr:to>
    <xdr:pic>
      <xdr:nvPicPr>
        <xdr:cNvPr id="12" name="Picture 11">
          <a:extLst>
            <a:ext uri="{FF2B5EF4-FFF2-40B4-BE49-F238E27FC236}">
              <a16:creationId xmlns:a16="http://schemas.microsoft.com/office/drawing/2014/main" id="{2171750A-34C9-25E8-FAD5-EFDBEFCB0222}"/>
            </a:ext>
          </a:extLst>
        </xdr:cNvPr>
        <xdr:cNvPicPr>
          <a:picLocks noChangeAspect="1"/>
        </xdr:cNvPicPr>
      </xdr:nvPicPr>
      <xdr:blipFill>
        <a:blip xmlns:r="http://schemas.openxmlformats.org/officeDocument/2006/relationships" r:embed="rId11"/>
        <a:stretch>
          <a:fillRect/>
        </a:stretch>
      </xdr:blipFill>
      <xdr:spPr>
        <a:xfrm>
          <a:off x="8975847" y="29842689"/>
          <a:ext cx="4955372" cy="4052456"/>
        </a:xfrm>
        <a:prstGeom prst="rect">
          <a:avLst/>
        </a:prstGeom>
      </xdr:spPr>
    </xdr:pic>
    <xdr:clientData/>
  </xdr:twoCellAnchor>
  <xdr:twoCellAnchor editAs="oneCell">
    <xdr:from>
      <xdr:col>2</xdr:col>
      <xdr:colOff>304799</xdr:colOff>
      <xdr:row>364</xdr:row>
      <xdr:rowOff>60733</xdr:rowOff>
    </xdr:from>
    <xdr:to>
      <xdr:col>22</xdr:col>
      <xdr:colOff>425356</xdr:colOff>
      <xdr:row>378</xdr:row>
      <xdr:rowOff>49435</xdr:rowOff>
    </xdr:to>
    <xdr:pic>
      <xdr:nvPicPr>
        <xdr:cNvPr id="14" name="Picture 13">
          <a:extLst>
            <a:ext uri="{FF2B5EF4-FFF2-40B4-BE49-F238E27FC236}">
              <a16:creationId xmlns:a16="http://schemas.microsoft.com/office/drawing/2014/main" id="{11677E79-8B51-C86C-9AAC-A481B813D4EB}"/>
            </a:ext>
          </a:extLst>
        </xdr:cNvPr>
        <xdr:cNvPicPr>
          <a:picLocks noChangeAspect="1"/>
        </xdr:cNvPicPr>
      </xdr:nvPicPr>
      <xdr:blipFill>
        <a:blip xmlns:r="http://schemas.openxmlformats.org/officeDocument/2006/relationships" r:embed="rId12"/>
        <a:stretch>
          <a:fillRect/>
        </a:stretch>
      </xdr:blipFill>
      <xdr:spPr>
        <a:xfrm>
          <a:off x="1191490" y="34212188"/>
          <a:ext cx="13504048" cy="2413247"/>
        </a:xfrm>
        <a:prstGeom prst="rect">
          <a:avLst/>
        </a:prstGeom>
      </xdr:spPr>
    </xdr:pic>
    <xdr:clientData/>
  </xdr:twoCellAnchor>
  <xdr:twoCellAnchor editAs="oneCell">
    <xdr:from>
      <xdr:col>19</xdr:col>
      <xdr:colOff>216148</xdr:colOff>
      <xdr:row>388</xdr:row>
      <xdr:rowOff>131617</xdr:rowOff>
    </xdr:from>
    <xdr:to>
      <xdr:col>24</xdr:col>
      <xdr:colOff>393396</xdr:colOff>
      <xdr:row>405</xdr:row>
      <xdr:rowOff>39323</xdr:rowOff>
    </xdr:to>
    <xdr:pic>
      <xdr:nvPicPr>
        <xdr:cNvPr id="15" name="Picture 14">
          <a:extLst>
            <a:ext uri="{FF2B5EF4-FFF2-40B4-BE49-F238E27FC236}">
              <a16:creationId xmlns:a16="http://schemas.microsoft.com/office/drawing/2014/main" id="{2398FE54-CE13-C43B-E4F7-6C571ACA65CA}"/>
            </a:ext>
          </a:extLst>
        </xdr:cNvPr>
        <xdr:cNvPicPr>
          <a:picLocks noChangeAspect="1"/>
        </xdr:cNvPicPr>
      </xdr:nvPicPr>
      <xdr:blipFill>
        <a:blip xmlns:r="http://schemas.openxmlformats.org/officeDocument/2006/relationships" r:embed="rId13"/>
        <a:stretch>
          <a:fillRect/>
        </a:stretch>
      </xdr:blipFill>
      <xdr:spPr>
        <a:xfrm>
          <a:off x="12650603" y="38439435"/>
          <a:ext cx="3315303" cy="2851797"/>
        </a:xfrm>
        <a:prstGeom prst="rect">
          <a:avLst/>
        </a:prstGeom>
      </xdr:spPr>
    </xdr:pic>
    <xdr:clientData/>
  </xdr:twoCellAnchor>
  <xdr:twoCellAnchor editAs="oneCell">
    <xdr:from>
      <xdr:col>2</xdr:col>
      <xdr:colOff>228599</xdr:colOff>
      <xdr:row>393</xdr:row>
      <xdr:rowOff>74070</xdr:rowOff>
    </xdr:from>
    <xdr:to>
      <xdr:col>18</xdr:col>
      <xdr:colOff>221699</xdr:colOff>
      <xdr:row>404</xdr:row>
      <xdr:rowOff>160271</xdr:rowOff>
    </xdr:to>
    <xdr:pic>
      <xdr:nvPicPr>
        <xdr:cNvPr id="16" name="Picture 15">
          <a:extLst>
            <a:ext uri="{FF2B5EF4-FFF2-40B4-BE49-F238E27FC236}">
              <a16:creationId xmlns:a16="http://schemas.microsoft.com/office/drawing/2014/main" id="{1FB220C7-5CBD-773B-B6AF-47BA0E00FB4E}"/>
            </a:ext>
          </a:extLst>
        </xdr:cNvPr>
        <xdr:cNvPicPr>
          <a:picLocks noChangeAspect="1"/>
        </xdr:cNvPicPr>
      </xdr:nvPicPr>
      <xdr:blipFill>
        <a:blip xmlns:r="http://schemas.openxmlformats.org/officeDocument/2006/relationships" r:embed="rId14"/>
        <a:stretch>
          <a:fillRect/>
        </a:stretch>
      </xdr:blipFill>
      <xdr:spPr>
        <a:xfrm>
          <a:off x="1115290" y="39247797"/>
          <a:ext cx="11173718" cy="1991201"/>
        </a:xfrm>
        <a:prstGeom prst="rect">
          <a:avLst/>
        </a:prstGeom>
      </xdr:spPr>
    </xdr:pic>
    <xdr:clientData/>
  </xdr:twoCellAnchor>
  <xdr:twoCellAnchor editAs="oneCell">
    <xdr:from>
      <xdr:col>11</xdr:col>
      <xdr:colOff>547254</xdr:colOff>
      <xdr:row>409</xdr:row>
      <xdr:rowOff>124691</xdr:rowOff>
    </xdr:from>
    <xdr:to>
      <xdr:col>34</xdr:col>
      <xdr:colOff>199952</xdr:colOff>
      <xdr:row>417</xdr:row>
      <xdr:rowOff>95714</xdr:rowOff>
    </xdr:to>
    <xdr:pic>
      <xdr:nvPicPr>
        <xdr:cNvPr id="17" name="Picture 16">
          <a:extLst>
            <a:ext uri="{FF2B5EF4-FFF2-40B4-BE49-F238E27FC236}">
              <a16:creationId xmlns:a16="http://schemas.microsoft.com/office/drawing/2014/main" id="{A4F1CDEF-19BC-9FA8-20D4-133744E5E461}"/>
            </a:ext>
          </a:extLst>
        </xdr:cNvPr>
        <xdr:cNvPicPr>
          <a:picLocks noChangeAspect="1"/>
        </xdr:cNvPicPr>
      </xdr:nvPicPr>
      <xdr:blipFill>
        <a:blip xmlns:r="http://schemas.openxmlformats.org/officeDocument/2006/relationships" r:embed="rId15"/>
        <a:stretch>
          <a:fillRect/>
        </a:stretch>
      </xdr:blipFill>
      <xdr:spPr>
        <a:xfrm>
          <a:off x="8243454" y="42069327"/>
          <a:ext cx="13160880" cy="1356478"/>
        </a:xfrm>
        <a:prstGeom prst="rect">
          <a:avLst/>
        </a:prstGeom>
      </xdr:spPr>
    </xdr:pic>
    <xdr:clientData/>
  </xdr:twoCellAnchor>
  <xdr:twoCellAnchor editAs="oneCell">
    <xdr:from>
      <xdr:col>2</xdr:col>
      <xdr:colOff>297872</xdr:colOff>
      <xdr:row>420</xdr:row>
      <xdr:rowOff>108297</xdr:rowOff>
    </xdr:from>
    <xdr:to>
      <xdr:col>20</xdr:col>
      <xdr:colOff>646336</xdr:colOff>
      <xdr:row>434</xdr:row>
      <xdr:rowOff>125662</xdr:rowOff>
    </xdr:to>
    <xdr:pic>
      <xdr:nvPicPr>
        <xdr:cNvPr id="18" name="Picture 17">
          <a:extLst>
            <a:ext uri="{FF2B5EF4-FFF2-40B4-BE49-F238E27FC236}">
              <a16:creationId xmlns:a16="http://schemas.microsoft.com/office/drawing/2014/main" id="{7B2831FD-FDDE-4C1A-6694-C9EE34824BCE}"/>
            </a:ext>
          </a:extLst>
        </xdr:cNvPr>
        <xdr:cNvPicPr>
          <a:picLocks noChangeAspect="1"/>
        </xdr:cNvPicPr>
      </xdr:nvPicPr>
      <xdr:blipFill>
        <a:blip xmlns:r="http://schemas.openxmlformats.org/officeDocument/2006/relationships" r:embed="rId16"/>
        <a:stretch>
          <a:fillRect/>
        </a:stretch>
      </xdr:blipFill>
      <xdr:spPr>
        <a:xfrm>
          <a:off x="1184563" y="43957933"/>
          <a:ext cx="12360355" cy="2441910"/>
        </a:xfrm>
        <a:prstGeom prst="rect">
          <a:avLst/>
        </a:prstGeom>
      </xdr:spPr>
    </xdr:pic>
    <xdr:clientData/>
  </xdr:twoCellAnchor>
  <xdr:twoCellAnchor editAs="oneCell">
    <xdr:from>
      <xdr:col>6</xdr:col>
      <xdr:colOff>6925</xdr:colOff>
      <xdr:row>436</xdr:row>
      <xdr:rowOff>11106</xdr:rowOff>
    </xdr:from>
    <xdr:to>
      <xdr:col>18</xdr:col>
      <xdr:colOff>321070</xdr:colOff>
      <xdr:row>453</xdr:row>
      <xdr:rowOff>39887</xdr:rowOff>
    </xdr:to>
    <xdr:pic>
      <xdr:nvPicPr>
        <xdr:cNvPr id="19" name="Picture 18">
          <a:extLst>
            <a:ext uri="{FF2B5EF4-FFF2-40B4-BE49-F238E27FC236}">
              <a16:creationId xmlns:a16="http://schemas.microsoft.com/office/drawing/2014/main" id="{51057774-F5CC-0B2C-E943-6F69C514649A}"/>
            </a:ext>
          </a:extLst>
        </xdr:cNvPr>
        <xdr:cNvPicPr>
          <a:picLocks noChangeAspect="1"/>
        </xdr:cNvPicPr>
      </xdr:nvPicPr>
      <xdr:blipFill>
        <a:blip xmlns:r="http://schemas.openxmlformats.org/officeDocument/2006/relationships" r:embed="rId17"/>
        <a:stretch>
          <a:fillRect/>
        </a:stretch>
      </xdr:blipFill>
      <xdr:spPr>
        <a:xfrm>
          <a:off x="4738252" y="46597015"/>
          <a:ext cx="7650127" cy="2972872"/>
        </a:xfrm>
        <a:prstGeom prst="rect">
          <a:avLst/>
        </a:prstGeom>
      </xdr:spPr>
    </xdr:pic>
    <xdr:clientData/>
  </xdr:twoCellAnchor>
  <xdr:twoCellAnchor editAs="oneCell">
    <xdr:from>
      <xdr:col>2</xdr:col>
      <xdr:colOff>249382</xdr:colOff>
      <xdr:row>467</xdr:row>
      <xdr:rowOff>52994</xdr:rowOff>
    </xdr:from>
    <xdr:to>
      <xdr:col>20</xdr:col>
      <xdr:colOff>958757</xdr:colOff>
      <xdr:row>479</xdr:row>
      <xdr:rowOff>15465</xdr:rowOff>
    </xdr:to>
    <xdr:pic>
      <xdr:nvPicPr>
        <xdr:cNvPr id="20" name="Picture 19">
          <a:extLst>
            <a:ext uri="{FF2B5EF4-FFF2-40B4-BE49-F238E27FC236}">
              <a16:creationId xmlns:a16="http://schemas.microsoft.com/office/drawing/2014/main" id="{EB1167DC-A850-8BC4-E489-756A3B223F71}"/>
            </a:ext>
          </a:extLst>
        </xdr:cNvPr>
        <xdr:cNvPicPr>
          <a:picLocks noChangeAspect="1"/>
        </xdr:cNvPicPr>
      </xdr:nvPicPr>
      <xdr:blipFill>
        <a:blip xmlns:r="http://schemas.openxmlformats.org/officeDocument/2006/relationships" r:embed="rId18"/>
        <a:stretch>
          <a:fillRect/>
        </a:stretch>
      </xdr:blipFill>
      <xdr:spPr>
        <a:xfrm>
          <a:off x="1136073" y="52007539"/>
          <a:ext cx="12721266" cy="2040653"/>
        </a:xfrm>
        <a:prstGeom prst="rect">
          <a:avLst/>
        </a:prstGeom>
      </xdr:spPr>
    </xdr:pic>
    <xdr:clientData/>
  </xdr:twoCellAnchor>
  <xdr:twoCellAnchor editAs="oneCell">
    <xdr:from>
      <xdr:col>8</xdr:col>
      <xdr:colOff>441959</xdr:colOff>
      <xdr:row>73</xdr:row>
      <xdr:rowOff>25334</xdr:rowOff>
    </xdr:from>
    <xdr:to>
      <xdr:col>15</xdr:col>
      <xdr:colOff>457198</xdr:colOff>
      <xdr:row>89</xdr:row>
      <xdr:rowOff>53340</xdr:rowOff>
    </xdr:to>
    <xdr:pic>
      <xdr:nvPicPr>
        <xdr:cNvPr id="13" name="Picture 12">
          <a:extLst>
            <a:ext uri="{FF2B5EF4-FFF2-40B4-BE49-F238E27FC236}">
              <a16:creationId xmlns:a16="http://schemas.microsoft.com/office/drawing/2014/main" id="{58AD6A4D-501C-14D7-C444-3AA42FA3A385}"/>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842759" y="8087294"/>
          <a:ext cx="3794759" cy="2839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236220</xdr:colOff>
      <xdr:row>100</xdr:row>
      <xdr:rowOff>171214</xdr:rowOff>
    </xdr:from>
    <xdr:to>
      <xdr:col>20</xdr:col>
      <xdr:colOff>826445</xdr:colOff>
      <xdr:row>112</xdr:row>
      <xdr:rowOff>61183</xdr:rowOff>
    </xdr:to>
    <xdr:pic>
      <xdr:nvPicPr>
        <xdr:cNvPr id="21" name="Picture 20">
          <a:extLst>
            <a:ext uri="{FF2B5EF4-FFF2-40B4-BE49-F238E27FC236}">
              <a16:creationId xmlns:a16="http://schemas.microsoft.com/office/drawing/2014/main" id="{BFFB7505-0409-6B7C-CF52-505FF641FD23}"/>
            </a:ext>
          </a:extLst>
        </xdr:cNvPr>
        <xdr:cNvPicPr>
          <a:picLocks noChangeAspect="1"/>
        </xdr:cNvPicPr>
      </xdr:nvPicPr>
      <xdr:blipFill>
        <a:blip xmlns:r="http://schemas.openxmlformats.org/officeDocument/2006/relationships" r:embed="rId20"/>
        <a:stretch>
          <a:fillRect/>
        </a:stretch>
      </xdr:blipFill>
      <xdr:spPr>
        <a:xfrm>
          <a:off x="1120140" y="12972814"/>
          <a:ext cx="12597267" cy="1993089"/>
        </a:xfrm>
        <a:prstGeom prst="rect">
          <a:avLst/>
        </a:prstGeom>
      </xdr:spPr>
    </xdr:pic>
    <xdr:clientData/>
  </xdr:twoCellAnchor>
  <xdr:twoCellAnchor editAs="oneCell">
    <xdr:from>
      <xdr:col>21</xdr:col>
      <xdr:colOff>312420</xdr:colOff>
      <xdr:row>124</xdr:row>
      <xdr:rowOff>127804</xdr:rowOff>
    </xdr:from>
    <xdr:to>
      <xdr:col>27</xdr:col>
      <xdr:colOff>466205</xdr:colOff>
      <xdr:row>141</xdr:row>
      <xdr:rowOff>22860</xdr:rowOff>
    </xdr:to>
    <xdr:pic>
      <xdr:nvPicPr>
        <xdr:cNvPr id="22" name="Picture 21">
          <a:extLst>
            <a:ext uri="{FF2B5EF4-FFF2-40B4-BE49-F238E27FC236}">
              <a16:creationId xmlns:a16="http://schemas.microsoft.com/office/drawing/2014/main" id="{424A26AF-8275-9440-6E7E-94B0EF68DF94}"/>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180820" y="17143264"/>
          <a:ext cx="3444239" cy="2874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182880</xdr:colOff>
      <xdr:row>127</xdr:row>
      <xdr:rowOff>137160</xdr:rowOff>
    </xdr:from>
    <xdr:to>
      <xdr:col>21</xdr:col>
      <xdr:colOff>79727</xdr:colOff>
      <xdr:row>140</xdr:row>
      <xdr:rowOff>152649</xdr:rowOff>
    </xdr:to>
    <xdr:pic>
      <xdr:nvPicPr>
        <xdr:cNvPr id="23" name="Picture 22">
          <a:extLst>
            <a:ext uri="{FF2B5EF4-FFF2-40B4-BE49-F238E27FC236}">
              <a16:creationId xmlns:a16="http://schemas.microsoft.com/office/drawing/2014/main" id="{AAA839F9-D981-ECCA-BB18-AA46655E5591}"/>
            </a:ext>
          </a:extLst>
        </xdr:cNvPr>
        <xdr:cNvPicPr>
          <a:picLocks noChangeAspect="1"/>
        </xdr:cNvPicPr>
      </xdr:nvPicPr>
      <xdr:blipFill>
        <a:blip xmlns:r="http://schemas.openxmlformats.org/officeDocument/2006/relationships" r:embed="rId22"/>
        <a:stretch>
          <a:fillRect/>
        </a:stretch>
      </xdr:blipFill>
      <xdr:spPr>
        <a:xfrm>
          <a:off x="1066800" y="17853660"/>
          <a:ext cx="12978309" cy="2293869"/>
        </a:xfrm>
        <a:prstGeom prst="rect">
          <a:avLst/>
        </a:prstGeom>
      </xdr:spPr>
    </xdr:pic>
    <xdr:clientData/>
  </xdr:twoCellAnchor>
  <xdr:twoCellAnchor editAs="oneCell">
    <xdr:from>
      <xdr:col>21</xdr:col>
      <xdr:colOff>399342</xdr:colOff>
      <xdr:row>153</xdr:row>
      <xdr:rowOff>160020</xdr:rowOff>
    </xdr:from>
    <xdr:to>
      <xdr:col>28</xdr:col>
      <xdr:colOff>246610</xdr:colOff>
      <xdr:row>168</xdr:row>
      <xdr:rowOff>152400</xdr:rowOff>
    </xdr:to>
    <xdr:pic>
      <xdr:nvPicPr>
        <xdr:cNvPr id="24" name="Picture 23">
          <a:extLst>
            <a:ext uri="{FF2B5EF4-FFF2-40B4-BE49-F238E27FC236}">
              <a16:creationId xmlns:a16="http://schemas.microsoft.com/office/drawing/2014/main" id="{ED61F350-C5E1-3212-350C-A2EB63AC89BD}"/>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4267742" y="22258020"/>
          <a:ext cx="3761177" cy="262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259080</xdr:colOff>
      <xdr:row>155</xdr:row>
      <xdr:rowOff>10866</xdr:rowOff>
    </xdr:from>
    <xdr:to>
      <xdr:col>21</xdr:col>
      <xdr:colOff>133027</xdr:colOff>
      <xdr:row>166</xdr:row>
      <xdr:rowOff>160245</xdr:rowOff>
    </xdr:to>
    <xdr:pic>
      <xdr:nvPicPr>
        <xdr:cNvPr id="25" name="Picture 24">
          <a:extLst>
            <a:ext uri="{FF2B5EF4-FFF2-40B4-BE49-F238E27FC236}">
              <a16:creationId xmlns:a16="http://schemas.microsoft.com/office/drawing/2014/main" id="{524FB192-2BCA-33CA-0957-97B77961A6F4}"/>
            </a:ext>
          </a:extLst>
        </xdr:cNvPr>
        <xdr:cNvPicPr>
          <a:picLocks noChangeAspect="1"/>
        </xdr:cNvPicPr>
      </xdr:nvPicPr>
      <xdr:blipFill>
        <a:blip xmlns:r="http://schemas.openxmlformats.org/officeDocument/2006/relationships" r:embed="rId24"/>
        <a:stretch>
          <a:fillRect/>
        </a:stretch>
      </xdr:blipFill>
      <xdr:spPr>
        <a:xfrm>
          <a:off x="1143000" y="22467006"/>
          <a:ext cx="12955409" cy="2077239"/>
        </a:xfrm>
        <a:prstGeom prst="rect">
          <a:avLst/>
        </a:prstGeom>
      </xdr:spPr>
    </xdr:pic>
    <xdr:clientData/>
  </xdr:twoCellAnchor>
  <xdr:twoCellAnchor editAs="oneCell">
    <xdr:from>
      <xdr:col>8</xdr:col>
      <xdr:colOff>406099</xdr:colOff>
      <xdr:row>168</xdr:row>
      <xdr:rowOff>45720</xdr:rowOff>
    </xdr:from>
    <xdr:to>
      <xdr:col>16</xdr:col>
      <xdr:colOff>45719</xdr:colOff>
      <xdr:row>185</xdr:row>
      <xdr:rowOff>83820</xdr:rowOff>
    </xdr:to>
    <xdr:pic>
      <xdr:nvPicPr>
        <xdr:cNvPr id="26" name="Picture 25">
          <a:extLst>
            <a:ext uri="{FF2B5EF4-FFF2-40B4-BE49-F238E27FC236}">
              <a16:creationId xmlns:a16="http://schemas.microsoft.com/office/drawing/2014/main" id="{98B9D17E-F7FE-3088-334A-41A44EE70DFD}"/>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806899" y="24780240"/>
          <a:ext cx="4028740" cy="3032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280357</xdr:colOff>
      <xdr:row>197</xdr:row>
      <xdr:rowOff>133063</xdr:rowOff>
    </xdr:from>
    <xdr:to>
      <xdr:col>23</xdr:col>
      <xdr:colOff>697219</xdr:colOff>
      <xdr:row>212</xdr:row>
      <xdr:rowOff>129072</xdr:rowOff>
    </xdr:to>
    <xdr:pic>
      <xdr:nvPicPr>
        <xdr:cNvPr id="28" name="Picture 27">
          <a:extLst>
            <a:ext uri="{FF2B5EF4-FFF2-40B4-BE49-F238E27FC236}">
              <a16:creationId xmlns:a16="http://schemas.microsoft.com/office/drawing/2014/main" id="{58ABA84D-24FE-21A8-26E4-563DCFB93767}"/>
            </a:ext>
          </a:extLst>
        </xdr:cNvPr>
        <xdr:cNvPicPr>
          <a:picLocks noChangeAspect="1"/>
        </xdr:cNvPicPr>
      </xdr:nvPicPr>
      <xdr:blipFill>
        <a:blip xmlns:r="http://schemas.openxmlformats.org/officeDocument/2006/relationships" r:embed="rId26"/>
        <a:stretch>
          <a:fillRect/>
        </a:stretch>
      </xdr:blipFill>
      <xdr:spPr>
        <a:xfrm>
          <a:off x="1164565" y="29498818"/>
          <a:ext cx="14421324" cy="2583933"/>
        </a:xfrm>
        <a:prstGeom prst="rect">
          <a:avLst/>
        </a:prstGeom>
      </xdr:spPr>
    </xdr:pic>
    <xdr:clientData/>
  </xdr:twoCellAnchor>
  <xdr:twoCellAnchor editAs="oneCell">
    <xdr:from>
      <xdr:col>11</xdr:col>
      <xdr:colOff>599274</xdr:colOff>
      <xdr:row>484</xdr:row>
      <xdr:rowOff>43392</xdr:rowOff>
    </xdr:from>
    <xdr:to>
      <xdr:col>22</xdr:col>
      <xdr:colOff>534053</xdr:colOff>
      <xdr:row>506</xdr:row>
      <xdr:rowOff>164314</xdr:rowOff>
    </xdr:to>
    <xdr:pic>
      <xdr:nvPicPr>
        <xdr:cNvPr id="29" name="Picture 28">
          <a:extLst>
            <a:ext uri="{FF2B5EF4-FFF2-40B4-BE49-F238E27FC236}">
              <a16:creationId xmlns:a16="http://schemas.microsoft.com/office/drawing/2014/main" id="{A8DC3E8B-7E4F-7EE2-B823-B6F714F7184E}"/>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343965" y="79229047"/>
          <a:ext cx="6363288" cy="3930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214745</xdr:colOff>
      <xdr:row>509</xdr:row>
      <xdr:rowOff>150519</xdr:rowOff>
    </xdr:from>
    <xdr:to>
      <xdr:col>22</xdr:col>
      <xdr:colOff>309673</xdr:colOff>
      <xdr:row>523</xdr:row>
      <xdr:rowOff>124943</xdr:rowOff>
    </xdr:to>
    <xdr:pic>
      <xdr:nvPicPr>
        <xdr:cNvPr id="30" name="Picture 29">
          <a:extLst>
            <a:ext uri="{FF2B5EF4-FFF2-40B4-BE49-F238E27FC236}">
              <a16:creationId xmlns:a16="http://schemas.microsoft.com/office/drawing/2014/main" id="{EE123F22-BA6A-7787-8423-DF310F084A9E}"/>
            </a:ext>
          </a:extLst>
        </xdr:cNvPr>
        <xdr:cNvPicPr>
          <a:picLocks noChangeAspect="1"/>
        </xdr:cNvPicPr>
      </xdr:nvPicPr>
      <xdr:blipFill>
        <a:blip xmlns:r="http://schemas.openxmlformats.org/officeDocument/2006/relationships" r:embed="rId28"/>
        <a:stretch>
          <a:fillRect/>
        </a:stretch>
      </xdr:blipFill>
      <xdr:spPr>
        <a:xfrm>
          <a:off x="1101436" y="83665719"/>
          <a:ext cx="13478419" cy="2398969"/>
        </a:xfrm>
        <a:prstGeom prst="rect">
          <a:avLst/>
        </a:prstGeom>
      </xdr:spPr>
    </xdr:pic>
    <xdr:clientData/>
  </xdr:twoCellAnchor>
  <xdr:twoCellAnchor editAs="oneCell">
    <xdr:from>
      <xdr:col>7</xdr:col>
      <xdr:colOff>152401</xdr:colOff>
      <xdr:row>524</xdr:row>
      <xdr:rowOff>106328</xdr:rowOff>
    </xdr:from>
    <xdr:to>
      <xdr:col>22</xdr:col>
      <xdr:colOff>504457</xdr:colOff>
      <xdr:row>536</xdr:row>
      <xdr:rowOff>135976</xdr:rowOff>
    </xdr:to>
    <xdr:pic>
      <xdr:nvPicPr>
        <xdr:cNvPr id="31" name="Picture 30">
          <a:extLst>
            <a:ext uri="{FF2B5EF4-FFF2-40B4-BE49-F238E27FC236}">
              <a16:creationId xmlns:a16="http://schemas.microsoft.com/office/drawing/2014/main" id="{CD6C35DF-5A67-0D9C-4D82-4CCDF4C99373}"/>
            </a:ext>
          </a:extLst>
        </xdr:cNvPr>
        <xdr:cNvPicPr>
          <a:picLocks noChangeAspect="1"/>
        </xdr:cNvPicPr>
      </xdr:nvPicPr>
      <xdr:blipFill>
        <a:blip xmlns:r="http://schemas.openxmlformats.org/officeDocument/2006/relationships" r:embed="rId29"/>
        <a:stretch>
          <a:fillRect/>
        </a:stretch>
      </xdr:blipFill>
      <xdr:spPr>
        <a:xfrm>
          <a:off x="5978237" y="86219255"/>
          <a:ext cx="8796402" cy="2107830"/>
        </a:xfrm>
        <a:prstGeom prst="rect">
          <a:avLst/>
        </a:prstGeom>
      </xdr:spPr>
    </xdr:pic>
    <xdr:clientData/>
  </xdr:twoCellAnchor>
  <xdr:twoCellAnchor editAs="oneCell">
    <xdr:from>
      <xdr:col>2</xdr:col>
      <xdr:colOff>325581</xdr:colOff>
      <xdr:row>1</xdr:row>
      <xdr:rowOff>67886</xdr:rowOff>
    </xdr:from>
    <xdr:to>
      <xdr:col>21</xdr:col>
      <xdr:colOff>252152</xdr:colOff>
      <xdr:row>25</xdr:row>
      <xdr:rowOff>90054</xdr:rowOff>
    </xdr:to>
    <xdr:pic>
      <xdr:nvPicPr>
        <xdr:cNvPr id="27" name="Picture 26">
          <a:extLst>
            <a:ext uri="{FF2B5EF4-FFF2-40B4-BE49-F238E27FC236}">
              <a16:creationId xmlns:a16="http://schemas.microsoft.com/office/drawing/2014/main" id="{B9669053-3086-9F54-384E-87BF3323B155}"/>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212272" y="241068"/>
          <a:ext cx="13012189" cy="4185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38098</xdr:colOff>
      <xdr:row>29</xdr:row>
      <xdr:rowOff>132450</xdr:rowOff>
    </xdr:from>
    <xdr:to>
      <xdr:col>15</xdr:col>
      <xdr:colOff>50948</xdr:colOff>
      <xdr:row>43</xdr:row>
      <xdr:rowOff>124691</xdr:rowOff>
    </xdr:to>
    <xdr:pic>
      <xdr:nvPicPr>
        <xdr:cNvPr id="2" name="Picture 1">
          <a:extLst>
            <a:ext uri="{FF2B5EF4-FFF2-40B4-BE49-F238E27FC236}">
              <a16:creationId xmlns:a16="http://schemas.microsoft.com/office/drawing/2014/main" id="{36742BFE-024E-4270-B085-179D77909A9B}"/>
            </a:ext>
          </a:extLst>
        </xdr:cNvPr>
        <xdr:cNvPicPr>
          <a:picLocks noChangeAspect="1"/>
        </xdr:cNvPicPr>
      </xdr:nvPicPr>
      <xdr:blipFill>
        <a:blip xmlns:r="http://schemas.openxmlformats.org/officeDocument/2006/relationships" r:embed="rId1"/>
        <a:stretch>
          <a:fillRect/>
        </a:stretch>
      </xdr:blipFill>
      <xdr:spPr>
        <a:xfrm>
          <a:off x="6537958" y="5222610"/>
          <a:ext cx="3792370" cy="2445881"/>
        </a:xfrm>
        <a:prstGeom prst="rect">
          <a:avLst/>
        </a:prstGeom>
      </xdr:spPr>
    </xdr:pic>
    <xdr:clientData/>
  </xdr:twoCellAnchor>
  <xdr:twoCellAnchor editAs="oneCell">
    <xdr:from>
      <xdr:col>25</xdr:col>
      <xdr:colOff>77892</xdr:colOff>
      <xdr:row>228</xdr:row>
      <xdr:rowOff>145473</xdr:rowOff>
    </xdr:from>
    <xdr:to>
      <xdr:col>29</xdr:col>
      <xdr:colOff>175544</xdr:colOff>
      <xdr:row>249</xdr:row>
      <xdr:rowOff>98367</xdr:rowOff>
    </xdr:to>
    <xdr:pic>
      <xdr:nvPicPr>
        <xdr:cNvPr id="3" name="Picture 2">
          <a:extLst>
            <a:ext uri="{FF2B5EF4-FFF2-40B4-BE49-F238E27FC236}">
              <a16:creationId xmlns:a16="http://schemas.microsoft.com/office/drawing/2014/main" id="{2910594D-B53D-4C51-B856-986C3A5F3399}"/>
            </a:ext>
          </a:extLst>
        </xdr:cNvPr>
        <xdr:cNvPicPr>
          <a:picLocks noChangeAspect="1"/>
        </xdr:cNvPicPr>
      </xdr:nvPicPr>
      <xdr:blipFill>
        <a:blip xmlns:r="http://schemas.openxmlformats.org/officeDocument/2006/relationships" r:embed="rId2"/>
        <a:stretch>
          <a:fillRect/>
        </a:stretch>
      </xdr:blipFill>
      <xdr:spPr>
        <a:xfrm>
          <a:off x="16793401" y="39901091"/>
          <a:ext cx="2473707" cy="3589713"/>
        </a:xfrm>
        <a:prstGeom prst="rect">
          <a:avLst/>
        </a:prstGeom>
      </xdr:spPr>
    </xdr:pic>
    <xdr:clientData/>
  </xdr:twoCellAnchor>
  <xdr:twoCellAnchor editAs="oneCell">
    <xdr:from>
      <xdr:col>23</xdr:col>
      <xdr:colOff>270163</xdr:colOff>
      <xdr:row>259</xdr:row>
      <xdr:rowOff>36713</xdr:rowOff>
    </xdr:from>
    <xdr:to>
      <xdr:col>30</xdr:col>
      <xdr:colOff>178787</xdr:colOff>
      <xdr:row>277</xdr:row>
      <xdr:rowOff>92481</xdr:rowOff>
    </xdr:to>
    <xdr:pic>
      <xdr:nvPicPr>
        <xdr:cNvPr id="6" name="Picture 5">
          <a:extLst>
            <a:ext uri="{FF2B5EF4-FFF2-40B4-BE49-F238E27FC236}">
              <a16:creationId xmlns:a16="http://schemas.microsoft.com/office/drawing/2014/main" id="{FF9CDD49-DA52-4E2F-B7FA-561619247D61}"/>
            </a:ext>
          </a:extLst>
        </xdr:cNvPr>
        <xdr:cNvPicPr>
          <a:picLocks noChangeAspect="1"/>
        </xdr:cNvPicPr>
      </xdr:nvPicPr>
      <xdr:blipFill>
        <a:blip xmlns:r="http://schemas.openxmlformats.org/officeDocument/2006/relationships" r:embed="rId3"/>
        <a:stretch>
          <a:fillRect/>
        </a:stretch>
      </xdr:blipFill>
      <xdr:spPr>
        <a:xfrm>
          <a:off x="15461672" y="45160968"/>
          <a:ext cx="4349006" cy="3173040"/>
        </a:xfrm>
        <a:prstGeom prst="rect">
          <a:avLst/>
        </a:prstGeom>
      </xdr:spPr>
    </xdr:pic>
    <xdr:clientData/>
  </xdr:twoCellAnchor>
  <xdr:twoCellAnchor editAs="oneCell">
    <xdr:from>
      <xdr:col>23</xdr:col>
      <xdr:colOff>200891</xdr:colOff>
      <xdr:row>289</xdr:row>
      <xdr:rowOff>40178</xdr:rowOff>
    </xdr:from>
    <xdr:to>
      <xdr:col>30</xdr:col>
      <xdr:colOff>77960</xdr:colOff>
      <xdr:row>304</xdr:row>
      <xdr:rowOff>112455</xdr:rowOff>
    </xdr:to>
    <xdr:pic>
      <xdr:nvPicPr>
        <xdr:cNvPr id="8" name="Picture 7">
          <a:extLst>
            <a:ext uri="{FF2B5EF4-FFF2-40B4-BE49-F238E27FC236}">
              <a16:creationId xmlns:a16="http://schemas.microsoft.com/office/drawing/2014/main" id="{4427B60C-281B-4920-90D0-B29EEC84E777}"/>
            </a:ext>
          </a:extLst>
        </xdr:cNvPr>
        <xdr:cNvPicPr>
          <a:picLocks noChangeAspect="1"/>
        </xdr:cNvPicPr>
      </xdr:nvPicPr>
      <xdr:blipFill>
        <a:blip xmlns:r="http://schemas.openxmlformats.org/officeDocument/2006/relationships" r:embed="rId4"/>
        <a:stretch>
          <a:fillRect/>
        </a:stretch>
      </xdr:blipFill>
      <xdr:spPr>
        <a:xfrm>
          <a:off x="15392400" y="50359887"/>
          <a:ext cx="4317451" cy="2670005"/>
        </a:xfrm>
        <a:prstGeom prst="rect">
          <a:avLst/>
        </a:prstGeom>
      </xdr:spPr>
    </xdr:pic>
    <xdr:clientData/>
  </xdr:twoCellAnchor>
  <xdr:twoCellAnchor editAs="oneCell">
    <xdr:from>
      <xdr:col>23</xdr:col>
      <xdr:colOff>166254</xdr:colOff>
      <xdr:row>312</xdr:row>
      <xdr:rowOff>169026</xdr:rowOff>
    </xdr:from>
    <xdr:to>
      <xdr:col>30</xdr:col>
      <xdr:colOff>247703</xdr:colOff>
      <xdr:row>330</xdr:row>
      <xdr:rowOff>84835</xdr:rowOff>
    </xdr:to>
    <xdr:pic>
      <xdr:nvPicPr>
        <xdr:cNvPr id="10" name="Picture 9">
          <a:extLst>
            <a:ext uri="{FF2B5EF4-FFF2-40B4-BE49-F238E27FC236}">
              <a16:creationId xmlns:a16="http://schemas.microsoft.com/office/drawing/2014/main" id="{234FB997-C4E5-4D75-9F69-6C3B67EDC344}"/>
            </a:ext>
          </a:extLst>
        </xdr:cNvPr>
        <xdr:cNvPicPr>
          <a:picLocks noChangeAspect="1"/>
        </xdr:cNvPicPr>
      </xdr:nvPicPr>
      <xdr:blipFill>
        <a:blip xmlns:r="http://schemas.openxmlformats.org/officeDocument/2006/relationships" r:embed="rId5"/>
        <a:stretch>
          <a:fillRect/>
        </a:stretch>
      </xdr:blipFill>
      <xdr:spPr>
        <a:xfrm>
          <a:off x="15357763" y="54471917"/>
          <a:ext cx="4521831" cy="3033082"/>
        </a:xfrm>
        <a:prstGeom prst="rect">
          <a:avLst/>
        </a:prstGeom>
      </xdr:spPr>
    </xdr:pic>
    <xdr:clientData/>
  </xdr:twoCellAnchor>
  <xdr:twoCellAnchor editAs="oneCell">
    <xdr:from>
      <xdr:col>8</xdr:col>
      <xdr:colOff>210310</xdr:colOff>
      <xdr:row>333</xdr:row>
      <xdr:rowOff>124691</xdr:rowOff>
    </xdr:from>
    <xdr:to>
      <xdr:col>15</xdr:col>
      <xdr:colOff>256783</xdr:colOff>
      <xdr:row>351</xdr:row>
      <xdr:rowOff>138544</xdr:rowOff>
    </xdr:to>
    <xdr:pic>
      <xdr:nvPicPr>
        <xdr:cNvPr id="12" name="Picture 11">
          <a:extLst>
            <a:ext uri="{FF2B5EF4-FFF2-40B4-BE49-F238E27FC236}">
              <a16:creationId xmlns:a16="http://schemas.microsoft.com/office/drawing/2014/main" id="{B0C4F99A-8BCD-45E6-A879-4D534D06CDCC}"/>
            </a:ext>
          </a:extLst>
        </xdr:cNvPr>
        <xdr:cNvPicPr>
          <a:picLocks noChangeAspect="1"/>
        </xdr:cNvPicPr>
      </xdr:nvPicPr>
      <xdr:blipFill>
        <a:blip xmlns:r="http://schemas.openxmlformats.org/officeDocument/2006/relationships" r:embed="rId6"/>
        <a:stretch>
          <a:fillRect/>
        </a:stretch>
      </xdr:blipFill>
      <xdr:spPr>
        <a:xfrm>
          <a:off x="6708092" y="58064400"/>
          <a:ext cx="3828764" cy="3131126"/>
        </a:xfrm>
        <a:prstGeom prst="rect">
          <a:avLst/>
        </a:prstGeom>
      </xdr:spPr>
    </xdr:pic>
    <xdr:clientData/>
  </xdr:twoCellAnchor>
  <xdr:twoCellAnchor editAs="oneCell">
    <xdr:from>
      <xdr:col>18</xdr:col>
      <xdr:colOff>396257</xdr:colOff>
      <xdr:row>389</xdr:row>
      <xdr:rowOff>76199</xdr:rowOff>
    </xdr:from>
    <xdr:to>
      <xdr:col>23</xdr:col>
      <xdr:colOff>587360</xdr:colOff>
      <xdr:row>405</xdr:row>
      <xdr:rowOff>157087</xdr:rowOff>
    </xdr:to>
    <xdr:pic>
      <xdr:nvPicPr>
        <xdr:cNvPr id="14" name="Picture 13">
          <a:extLst>
            <a:ext uri="{FF2B5EF4-FFF2-40B4-BE49-F238E27FC236}">
              <a16:creationId xmlns:a16="http://schemas.microsoft.com/office/drawing/2014/main" id="{D2562DDA-984E-4907-A483-09A062A992E1}"/>
            </a:ext>
          </a:extLst>
        </xdr:cNvPr>
        <xdr:cNvPicPr>
          <a:picLocks noChangeAspect="1"/>
        </xdr:cNvPicPr>
      </xdr:nvPicPr>
      <xdr:blipFill>
        <a:blip xmlns:r="http://schemas.openxmlformats.org/officeDocument/2006/relationships" r:embed="rId7"/>
        <a:stretch>
          <a:fillRect/>
        </a:stretch>
      </xdr:blipFill>
      <xdr:spPr>
        <a:xfrm>
          <a:off x="12463566" y="67714090"/>
          <a:ext cx="3315303" cy="2851797"/>
        </a:xfrm>
        <a:prstGeom prst="rect">
          <a:avLst/>
        </a:prstGeom>
      </xdr:spPr>
    </xdr:pic>
    <xdr:clientData/>
  </xdr:twoCellAnchor>
  <xdr:twoCellAnchor editAs="oneCell">
    <xdr:from>
      <xdr:col>11</xdr:col>
      <xdr:colOff>235527</xdr:colOff>
      <xdr:row>414</xdr:row>
      <xdr:rowOff>19350</xdr:rowOff>
    </xdr:from>
    <xdr:to>
      <xdr:col>27</xdr:col>
      <xdr:colOff>123753</xdr:colOff>
      <xdr:row>420</xdr:row>
      <xdr:rowOff>12587</xdr:rowOff>
    </xdr:to>
    <xdr:pic>
      <xdr:nvPicPr>
        <xdr:cNvPr id="16" name="Picture 15">
          <a:extLst>
            <a:ext uri="{FF2B5EF4-FFF2-40B4-BE49-F238E27FC236}">
              <a16:creationId xmlns:a16="http://schemas.microsoft.com/office/drawing/2014/main" id="{0B8A469C-3ABB-46F5-ABE8-E01D4C727772}"/>
            </a:ext>
          </a:extLst>
        </xdr:cNvPr>
        <xdr:cNvPicPr>
          <a:picLocks noChangeAspect="1"/>
        </xdr:cNvPicPr>
      </xdr:nvPicPr>
      <xdr:blipFill>
        <a:blip xmlns:r="http://schemas.openxmlformats.org/officeDocument/2006/relationships" r:embed="rId8"/>
        <a:stretch>
          <a:fillRect/>
        </a:stretch>
      </xdr:blipFill>
      <xdr:spPr>
        <a:xfrm>
          <a:off x="8077200" y="71986786"/>
          <a:ext cx="10015898" cy="1032327"/>
        </a:xfrm>
        <a:prstGeom prst="rect">
          <a:avLst/>
        </a:prstGeom>
      </xdr:spPr>
    </xdr:pic>
    <xdr:clientData/>
  </xdr:twoCellAnchor>
  <xdr:twoCellAnchor editAs="oneCell">
    <xdr:from>
      <xdr:col>6</xdr:col>
      <xdr:colOff>6925</xdr:colOff>
      <xdr:row>437</xdr:row>
      <xdr:rowOff>11106</xdr:rowOff>
    </xdr:from>
    <xdr:to>
      <xdr:col>18</xdr:col>
      <xdr:colOff>321070</xdr:colOff>
      <xdr:row>454</xdr:row>
      <xdr:rowOff>39887</xdr:rowOff>
    </xdr:to>
    <xdr:pic>
      <xdr:nvPicPr>
        <xdr:cNvPr id="18" name="Picture 17">
          <a:extLst>
            <a:ext uri="{FF2B5EF4-FFF2-40B4-BE49-F238E27FC236}">
              <a16:creationId xmlns:a16="http://schemas.microsoft.com/office/drawing/2014/main" id="{5A3DB98A-FAE1-461D-B04E-CF976B8A7AD7}"/>
            </a:ext>
          </a:extLst>
        </xdr:cNvPr>
        <xdr:cNvPicPr>
          <a:picLocks noChangeAspect="1"/>
        </xdr:cNvPicPr>
      </xdr:nvPicPr>
      <xdr:blipFill>
        <a:blip xmlns:r="http://schemas.openxmlformats.org/officeDocument/2006/relationships" r:embed="rId9"/>
        <a:stretch>
          <a:fillRect/>
        </a:stretch>
      </xdr:blipFill>
      <xdr:spPr>
        <a:xfrm>
          <a:off x="4738945" y="76470186"/>
          <a:ext cx="7644585" cy="3008201"/>
        </a:xfrm>
        <a:prstGeom prst="rect">
          <a:avLst/>
        </a:prstGeom>
      </xdr:spPr>
    </xdr:pic>
    <xdr:clientData/>
  </xdr:twoCellAnchor>
  <xdr:twoCellAnchor editAs="oneCell">
    <xdr:from>
      <xdr:col>8</xdr:col>
      <xdr:colOff>441959</xdr:colOff>
      <xdr:row>73</xdr:row>
      <xdr:rowOff>25334</xdr:rowOff>
    </xdr:from>
    <xdr:to>
      <xdr:col>15</xdr:col>
      <xdr:colOff>457198</xdr:colOff>
      <xdr:row>89</xdr:row>
      <xdr:rowOff>53339</xdr:rowOff>
    </xdr:to>
    <xdr:pic>
      <xdr:nvPicPr>
        <xdr:cNvPr id="20" name="Picture 19">
          <a:extLst>
            <a:ext uri="{FF2B5EF4-FFF2-40B4-BE49-F238E27FC236}">
              <a16:creationId xmlns:a16="http://schemas.microsoft.com/office/drawing/2014/main" id="{392A8971-19D9-4ECC-A7FF-0ACD1FE874D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941819" y="12826934"/>
          <a:ext cx="3794759" cy="2839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312420</xdr:colOff>
      <xdr:row>124</xdr:row>
      <xdr:rowOff>127804</xdr:rowOff>
    </xdr:from>
    <xdr:to>
      <xdr:col>26</xdr:col>
      <xdr:colOff>154478</xdr:colOff>
      <xdr:row>141</xdr:row>
      <xdr:rowOff>22860</xdr:rowOff>
    </xdr:to>
    <xdr:pic>
      <xdr:nvPicPr>
        <xdr:cNvPr id="22" name="Picture 21">
          <a:extLst>
            <a:ext uri="{FF2B5EF4-FFF2-40B4-BE49-F238E27FC236}">
              <a16:creationId xmlns:a16="http://schemas.microsoft.com/office/drawing/2014/main" id="{A821E286-CE91-445E-B836-7D777AD7F83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4264640" y="21882904"/>
          <a:ext cx="3445625" cy="2874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399342</xdr:colOff>
      <xdr:row>153</xdr:row>
      <xdr:rowOff>160020</xdr:rowOff>
    </xdr:from>
    <xdr:to>
      <xdr:col>27</xdr:col>
      <xdr:colOff>66501</xdr:colOff>
      <xdr:row>168</xdr:row>
      <xdr:rowOff>152399</xdr:rowOff>
    </xdr:to>
    <xdr:pic>
      <xdr:nvPicPr>
        <xdr:cNvPr id="24" name="Picture 23">
          <a:extLst>
            <a:ext uri="{FF2B5EF4-FFF2-40B4-BE49-F238E27FC236}">
              <a16:creationId xmlns:a16="http://schemas.microsoft.com/office/drawing/2014/main" id="{559A58A0-2978-4E14-A2A8-37C973C41C9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67742" y="26997660"/>
          <a:ext cx="3763948" cy="2628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406099</xdr:colOff>
      <xdr:row>168</xdr:row>
      <xdr:rowOff>45720</xdr:rowOff>
    </xdr:from>
    <xdr:to>
      <xdr:col>16</xdr:col>
      <xdr:colOff>45719</xdr:colOff>
      <xdr:row>185</xdr:row>
      <xdr:rowOff>83821</xdr:rowOff>
    </xdr:to>
    <xdr:pic>
      <xdr:nvPicPr>
        <xdr:cNvPr id="26" name="Picture 25">
          <a:extLst>
            <a:ext uri="{FF2B5EF4-FFF2-40B4-BE49-F238E27FC236}">
              <a16:creationId xmlns:a16="http://schemas.microsoft.com/office/drawing/2014/main" id="{ECCBC231-9B37-4E8D-B17D-DF3D54D98BF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905959" y="29519880"/>
          <a:ext cx="4028740" cy="3032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599274</xdr:colOff>
      <xdr:row>485</xdr:row>
      <xdr:rowOff>43392</xdr:rowOff>
    </xdr:from>
    <xdr:to>
      <xdr:col>22</xdr:col>
      <xdr:colOff>534053</xdr:colOff>
      <xdr:row>507</xdr:row>
      <xdr:rowOff>164314</xdr:rowOff>
    </xdr:to>
    <xdr:pic>
      <xdr:nvPicPr>
        <xdr:cNvPr id="28" name="Picture 27">
          <a:extLst>
            <a:ext uri="{FF2B5EF4-FFF2-40B4-BE49-F238E27FC236}">
              <a16:creationId xmlns:a16="http://schemas.microsoft.com/office/drawing/2014/main" id="{A9F29C78-82B3-4382-9CE4-4CCD7869221B}"/>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8440254" y="84922572"/>
          <a:ext cx="6358439" cy="3976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152401</xdr:colOff>
      <xdr:row>525</xdr:row>
      <xdr:rowOff>106328</xdr:rowOff>
    </xdr:from>
    <xdr:to>
      <xdr:col>22</xdr:col>
      <xdr:colOff>504457</xdr:colOff>
      <xdr:row>537</xdr:row>
      <xdr:rowOff>135977</xdr:rowOff>
    </xdr:to>
    <xdr:pic>
      <xdr:nvPicPr>
        <xdr:cNvPr id="30" name="Picture 29">
          <a:extLst>
            <a:ext uri="{FF2B5EF4-FFF2-40B4-BE49-F238E27FC236}">
              <a16:creationId xmlns:a16="http://schemas.microsoft.com/office/drawing/2014/main" id="{CBD35275-C040-4A13-89CB-834AB2860ABE}"/>
            </a:ext>
          </a:extLst>
        </xdr:cNvPr>
        <xdr:cNvPicPr>
          <a:picLocks noChangeAspect="1"/>
        </xdr:cNvPicPr>
      </xdr:nvPicPr>
      <xdr:blipFill>
        <a:blip xmlns:r="http://schemas.openxmlformats.org/officeDocument/2006/relationships" r:embed="rId15"/>
        <a:stretch>
          <a:fillRect/>
        </a:stretch>
      </xdr:blipFill>
      <xdr:spPr>
        <a:xfrm>
          <a:off x="5981701" y="91995908"/>
          <a:ext cx="8787396" cy="2132769"/>
        </a:xfrm>
        <a:prstGeom prst="rect">
          <a:avLst/>
        </a:prstGeom>
      </xdr:spPr>
    </xdr:pic>
    <xdr:clientData/>
  </xdr:twoCellAnchor>
  <xdr:twoCellAnchor editAs="oneCell">
    <xdr:from>
      <xdr:col>11</xdr:col>
      <xdr:colOff>401782</xdr:colOff>
      <xdr:row>188</xdr:row>
      <xdr:rowOff>27709</xdr:rowOff>
    </xdr:from>
    <xdr:to>
      <xdr:col>26</xdr:col>
      <xdr:colOff>56231</xdr:colOff>
      <xdr:row>195</xdr:row>
      <xdr:rowOff>11881</xdr:rowOff>
    </xdr:to>
    <xdr:pic>
      <xdr:nvPicPr>
        <xdr:cNvPr id="33" name="Picture 32">
          <a:extLst>
            <a:ext uri="{FF2B5EF4-FFF2-40B4-BE49-F238E27FC236}">
              <a16:creationId xmlns:a16="http://schemas.microsoft.com/office/drawing/2014/main" id="{F945954A-C30C-7BB3-57AF-EE42C8BE389A}"/>
            </a:ext>
          </a:extLst>
        </xdr:cNvPr>
        <xdr:cNvPicPr>
          <a:picLocks noChangeAspect="1"/>
        </xdr:cNvPicPr>
      </xdr:nvPicPr>
      <xdr:blipFill>
        <a:blip xmlns:r="http://schemas.openxmlformats.org/officeDocument/2006/relationships" r:embed="rId16"/>
        <a:stretch>
          <a:fillRect/>
        </a:stretch>
      </xdr:blipFill>
      <xdr:spPr>
        <a:xfrm>
          <a:off x="8243455" y="32641309"/>
          <a:ext cx="9373412" cy="1196444"/>
        </a:xfrm>
        <a:prstGeom prst="rect">
          <a:avLst/>
        </a:prstGeom>
      </xdr:spPr>
    </xdr:pic>
    <xdr:clientData/>
  </xdr:twoCellAnchor>
  <xdr:twoCellAnchor editAs="oneCell">
    <xdr:from>
      <xdr:col>2</xdr:col>
      <xdr:colOff>284017</xdr:colOff>
      <xdr:row>197</xdr:row>
      <xdr:rowOff>57294</xdr:rowOff>
    </xdr:from>
    <xdr:to>
      <xdr:col>25</xdr:col>
      <xdr:colOff>19414</xdr:colOff>
      <xdr:row>213</xdr:row>
      <xdr:rowOff>39040</xdr:rowOff>
    </xdr:to>
    <xdr:pic>
      <xdr:nvPicPr>
        <xdr:cNvPr id="34" name="Picture 33">
          <a:extLst>
            <a:ext uri="{FF2B5EF4-FFF2-40B4-BE49-F238E27FC236}">
              <a16:creationId xmlns:a16="http://schemas.microsoft.com/office/drawing/2014/main" id="{B3CC1401-2776-ECD5-31BA-4FD5D36FDF48}"/>
            </a:ext>
          </a:extLst>
        </xdr:cNvPr>
        <xdr:cNvPicPr>
          <a:picLocks noChangeAspect="1"/>
        </xdr:cNvPicPr>
      </xdr:nvPicPr>
      <xdr:blipFill>
        <a:blip xmlns:r="http://schemas.openxmlformats.org/officeDocument/2006/relationships" r:embed="rId17"/>
        <a:stretch>
          <a:fillRect/>
        </a:stretch>
      </xdr:blipFill>
      <xdr:spPr>
        <a:xfrm>
          <a:off x="1170708" y="34229530"/>
          <a:ext cx="15564215" cy="2752655"/>
        </a:xfrm>
        <a:prstGeom prst="rect">
          <a:avLst/>
        </a:prstGeom>
      </xdr:spPr>
    </xdr:pic>
    <xdr:clientData/>
  </xdr:twoCellAnchor>
  <xdr:twoCellAnchor editAs="oneCell">
    <xdr:from>
      <xdr:col>12</xdr:col>
      <xdr:colOff>27710</xdr:colOff>
      <xdr:row>50</xdr:row>
      <xdr:rowOff>34637</xdr:rowOff>
    </xdr:from>
    <xdr:to>
      <xdr:col>26</xdr:col>
      <xdr:colOff>337483</xdr:colOff>
      <xdr:row>57</xdr:row>
      <xdr:rowOff>4954</xdr:rowOff>
    </xdr:to>
    <xdr:pic>
      <xdr:nvPicPr>
        <xdr:cNvPr id="35" name="Picture 34">
          <a:extLst>
            <a:ext uri="{FF2B5EF4-FFF2-40B4-BE49-F238E27FC236}">
              <a16:creationId xmlns:a16="http://schemas.microsoft.com/office/drawing/2014/main" id="{426DE850-B268-793A-0072-28C6DF59550F}"/>
            </a:ext>
          </a:extLst>
        </xdr:cNvPr>
        <xdr:cNvPicPr>
          <a:picLocks noChangeAspect="1"/>
        </xdr:cNvPicPr>
      </xdr:nvPicPr>
      <xdr:blipFill>
        <a:blip xmlns:r="http://schemas.openxmlformats.org/officeDocument/2006/relationships" r:embed="rId18"/>
        <a:stretch>
          <a:fillRect/>
        </a:stretch>
      </xdr:blipFill>
      <xdr:spPr>
        <a:xfrm>
          <a:off x="8478983" y="8742219"/>
          <a:ext cx="9419136" cy="1196444"/>
        </a:xfrm>
        <a:prstGeom prst="rect">
          <a:avLst/>
        </a:prstGeom>
      </xdr:spPr>
    </xdr:pic>
    <xdr:clientData/>
  </xdr:twoCellAnchor>
  <xdr:twoCellAnchor editAs="oneCell">
    <xdr:from>
      <xdr:col>3</xdr:col>
      <xdr:colOff>6928</xdr:colOff>
      <xdr:row>57</xdr:row>
      <xdr:rowOff>41266</xdr:rowOff>
    </xdr:from>
    <xdr:to>
      <xdr:col>23</xdr:col>
      <xdr:colOff>199524</xdr:colOff>
      <xdr:row>71</xdr:row>
      <xdr:rowOff>129787</xdr:rowOff>
    </xdr:to>
    <xdr:pic>
      <xdr:nvPicPr>
        <xdr:cNvPr id="36" name="Picture 35">
          <a:extLst>
            <a:ext uri="{FF2B5EF4-FFF2-40B4-BE49-F238E27FC236}">
              <a16:creationId xmlns:a16="http://schemas.microsoft.com/office/drawing/2014/main" id="{7A78363C-CE9E-D9B5-37A5-A08F3724769D}"/>
            </a:ext>
          </a:extLst>
        </xdr:cNvPr>
        <xdr:cNvPicPr>
          <a:picLocks noChangeAspect="1"/>
        </xdr:cNvPicPr>
      </xdr:nvPicPr>
      <xdr:blipFill>
        <a:blip xmlns:r="http://schemas.openxmlformats.org/officeDocument/2006/relationships" r:embed="rId19"/>
        <a:stretch>
          <a:fillRect/>
        </a:stretch>
      </xdr:blipFill>
      <xdr:spPr>
        <a:xfrm>
          <a:off x="1219201" y="9933411"/>
          <a:ext cx="14171832" cy="2513067"/>
        </a:xfrm>
        <a:prstGeom prst="rect">
          <a:avLst/>
        </a:prstGeom>
      </xdr:spPr>
    </xdr:pic>
    <xdr:clientData/>
  </xdr:twoCellAnchor>
  <xdr:twoCellAnchor editAs="oneCell">
    <xdr:from>
      <xdr:col>11</xdr:col>
      <xdr:colOff>429490</xdr:colOff>
      <xdr:row>90</xdr:row>
      <xdr:rowOff>124691</xdr:rowOff>
    </xdr:from>
    <xdr:to>
      <xdr:col>26</xdr:col>
      <xdr:colOff>137284</xdr:colOff>
      <xdr:row>98</xdr:row>
      <xdr:rowOff>88093</xdr:rowOff>
    </xdr:to>
    <xdr:pic>
      <xdr:nvPicPr>
        <xdr:cNvPr id="37" name="Picture 36">
          <a:extLst>
            <a:ext uri="{FF2B5EF4-FFF2-40B4-BE49-F238E27FC236}">
              <a16:creationId xmlns:a16="http://schemas.microsoft.com/office/drawing/2014/main" id="{ECE35101-1048-8B6E-B777-774058EC82ED}"/>
            </a:ext>
          </a:extLst>
        </xdr:cNvPr>
        <xdr:cNvPicPr>
          <a:picLocks noChangeAspect="1"/>
        </xdr:cNvPicPr>
      </xdr:nvPicPr>
      <xdr:blipFill>
        <a:blip xmlns:r="http://schemas.openxmlformats.org/officeDocument/2006/relationships" r:embed="rId20"/>
        <a:stretch>
          <a:fillRect/>
        </a:stretch>
      </xdr:blipFill>
      <xdr:spPr>
        <a:xfrm>
          <a:off x="8271163" y="15738764"/>
          <a:ext cx="9426757" cy="1348857"/>
        </a:xfrm>
        <a:prstGeom prst="rect">
          <a:avLst/>
        </a:prstGeom>
      </xdr:spPr>
    </xdr:pic>
    <xdr:clientData/>
  </xdr:twoCellAnchor>
  <xdr:twoCellAnchor editAs="oneCell">
    <xdr:from>
      <xdr:col>2</xdr:col>
      <xdr:colOff>228600</xdr:colOff>
      <xdr:row>99</xdr:row>
      <xdr:rowOff>146770</xdr:rowOff>
    </xdr:from>
    <xdr:to>
      <xdr:col>23</xdr:col>
      <xdr:colOff>348464</xdr:colOff>
      <xdr:row>112</xdr:row>
      <xdr:rowOff>163013</xdr:rowOff>
    </xdr:to>
    <xdr:pic>
      <xdr:nvPicPr>
        <xdr:cNvPr id="38" name="Picture 37">
          <a:extLst>
            <a:ext uri="{FF2B5EF4-FFF2-40B4-BE49-F238E27FC236}">
              <a16:creationId xmlns:a16="http://schemas.microsoft.com/office/drawing/2014/main" id="{5DD65FC9-DD6A-79E6-AB93-ADC58DEF1CBE}"/>
            </a:ext>
          </a:extLst>
        </xdr:cNvPr>
        <xdr:cNvPicPr>
          <a:picLocks noChangeAspect="1"/>
        </xdr:cNvPicPr>
      </xdr:nvPicPr>
      <xdr:blipFill>
        <a:blip xmlns:r="http://schemas.openxmlformats.org/officeDocument/2006/relationships" r:embed="rId21"/>
        <a:stretch>
          <a:fillRect/>
        </a:stretch>
      </xdr:blipFill>
      <xdr:spPr>
        <a:xfrm>
          <a:off x="1115291" y="17319479"/>
          <a:ext cx="14424682" cy="2267606"/>
        </a:xfrm>
        <a:prstGeom prst="rect">
          <a:avLst/>
        </a:prstGeom>
      </xdr:spPr>
    </xdr:pic>
    <xdr:clientData/>
  </xdr:twoCellAnchor>
  <xdr:twoCellAnchor editAs="oneCell">
    <xdr:from>
      <xdr:col>11</xdr:col>
      <xdr:colOff>491836</xdr:colOff>
      <xdr:row>353</xdr:row>
      <xdr:rowOff>96982</xdr:rowOff>
    </xdr:from>
    <xdr:to>
      <xdr:col>26</xdr:col>
      <xdr:colOff>192009</xdr:colOff>
      <xdr:row>362</xdr:row>
      <xdr:rowOff>115823</xdr:rowOff>
    </xdr:to>
    <xdr:pic>
      <xdr:nvPicPr>
        <xdr:cNvPr id="39" name="Picture 38">
          <a:extLst>
            <a:ext uri="{FF2B5EF4-FFF2-40B4-BE49-F238E27FC236}">
              <a16:creationId xmlns:a16="http://schemas.microsoft.com/office/drawing/2014/main" id="{FCA41646-160F-115F-D24E-5F6D20283DEC}"/>
            </a:ext>
          </a:extLst>
        </xdr:cNvPr>
        <xdr:cNvPicPr>
          <a:picLocks noChangeAspect="1"/>
        </xdr:cNvPicPr>
      </xdr:nvPicPr>
      <xdr:blipFill>
        <a:blip xmlns:r="http://schemas.openxmlformats.org/officeDocument/2006/relationships" r:embed="rId22"/>
        <a:stretch>
          <a:fillRect/>
        </a:stretch>
      </xdr:blipFill>
      <xdr:spPr>
        <a:xfrm>
          <a:off x="8333509" y="61285582"/>
          <a:ext cx="9419136" cy="1577477"/>
        </a:xfrm>
        <a:prstGeom prst="rect">
          <a:avLst/>
        </a:prstGeom>
      </xdr:spPr>
    </xdr:pic>
    <xdr:clientData/>
  </xdr:twoCellAnchor>
  <xdr:twoCellAnchor editAs="oneCell">
    <xdr:from>
      <xdr:col>3</xdr:col>
      <xdr:colOff>0</xdr:colOff>
      <xdr:row>364</xdr:row>
      <xdr:rowOff>83212</xdr:rowOff>
    </xdr:from>
    <xdr:to>
      <xdr:col>20</xdr:col>
      <xdr:colOff>917192</xdr:colOff>
      <xdr:row>377</xdr:row>
      <xdr:rowOff>60517</xdr:rowOff>
    </xdr:to>
    <xdr:pic>
      <xdr:nvPicPr>
        <xdr:cNvPr id="40" name="Picture 39">
          <a:extLst>
            <a:ext uri="{FF2B5EF4-FFF2-40B4-BE49-F238E27FC236}">
              <a16:creationId xmlns:a16="http://schemas.microsoft.com/office/drawing/2014/main" id="{FD6CA39C-8990-F5ED-89D0-51F4E5DB81C4}"/>
            </a:ext>
          </a:extLst>
        </xdr:cNvPr>
        <xdr:cNvPicPr>
          <a:picLocks noChangeAspect="1"/>
        </xdr:cNvPicPr>
      </xdr:nvPicPr>
      <xdr:blipFill>
        <a:blip xmlns:r="http://schemas.openxmlformats.org/officeDocument/2006/relationships" r:embed="rId23"/>
        <a:stretch>
          <a:fillRect/>
        </a:stretch>
      </xdr:blipFill>
      <xdr:spPr>
        <a:xfrm>
          <a:off x="1212273" y="63176812"/>
          <a:ext cx="12603501" cy="2228668"/>
        </a:xfrm>
        <a:prstGeom prst="rect">
          <a:avLst/>
        </a:prstGeom>
      </xdr:spPr>
    </xdr:pic>
    <xdr:clientData/>
  </xdr:twoCellAnchor>
  <xdr:twoCellAnchor editAs="oneCell">
    <xdr:from>
      <xdr:col>2</xdr:col>
      <xdr:colOff>290946</xdr:colOff>
      <xdr:row>127</xdr:row>
      <xdr:rowOff>102902</xdr:rowOff>
    </xdr:from>
    <xdr:to>
      <xdr:col>20</xdr:col>
      <xdr:colOff>459981</xdr:colOff>
      <xdr:row>140</xdr:row>
      <xdr:rowOff>25879</xdr:rowOff>
    </xdr:to>
    <xdr:pic>
      <xdr:nvPicPr>
        <xdr:cNvPr id="4" name="Picture 3">
          <a:extLst>
            <a:ext uri="{FF2B5EF4-FFF2-40B4-BE49-F238E27FC236}">
              <a16:creationId xmlns:a16="http://schemas.microsoft.com/office/drawing/2014/main" id="{385BF4CB-11E6-D35A-A9F5-659BA57C2510}"/>
            </a:ext>
          </a:extLst>
        </xdr:cNvPr>
        <xdr:cNvPicPr>
          <a:picLocks noChangeAspect="1"/>
        </xdr:cNvPicPr>
      </xdr:nvPicPr>
      <xdr:blipFill>
        <a:blip xmlns:r="http://schemas.openxmlformats.org/officeDocument/2006/relationships" r:embed="rId24"/>
        <a:stretch>
          <a:fillRect/>
        </a:stretch>
      </xdr:blipFill>
      <xdr:spPr>
        <a:xfrm>
          <a:off x="1177637" y="22173193"/>
          <a:ext cx="12180926" cy="2174341"/>
        </a:xfrm>
        <a:prstGeom prst="rect">
          <a:avLst/>
        </a:prstGeom>
      </xdr:spPr>
    </xdr:pic>
    <xdr:clientData/>
  </xdr:twoCellAnchor>
  <xdr:twoCellAnchor editAs="oneCell">
    <xdr:from>
      <xdr:col>11</xdr:col>
      <xdr:colOff>477982</xdr:colOff>
      <xdr:row>118</xdr:row>
      <xdr:rowOff>13854</xdr:rowOff>
    </xdr:from>
    <xdr:to>
      <xdr:col>25</xdr:col>
      <xdr:colOff>672732</xdr:colOff>
      <xdr:row>123</xdr:row>
      <xdr:rowOff>115769</xdr:rowOff>
    </xdr:to>
    <xdr:pic>
      <xdr:nvPicPr>
        <xdr:cNvPr id="5" name="Picture 4">
          <a:extLst>
            <a:ext uri="{FF2B5EF4-FFF2-40B4-BE49-F238E27FC236}">
              <a16:creationId xmlns:a16="http://schemas.microsoft.com/office/drawing/2014/main" id="{E5A863D8-F94D-74ED-09B0-CE3819BAA4AA}"/>
            </a:ext>
          </a:extLst>
        </xdr:cNvPr>
        <xdr:cNvPicPr>
          <a:picLocks noChangeAspect="1"/>
        </xdr:cNvPicPr>
      </xdr:nvPicPr>
      <xdr:blipFill>
        <a:blip xmlns:r="http://schemas.openxmlformats.org/officeDocument/2006/relationships" r:embed="rId25"/>
        <a:stretch>
          <a:fillRect/>
        </a:stretch>
      </xdr:blipFill>
      <xdr:spPr>
        <a:xfrm>
          <a:off x="8319655" y="20525509"/>
          <a:ext cx="9068586" cy="967824"/>
        </a:xfrm>
        <a:prstGeom prst="rect">
          <a:avLst/>
        </a:prstGeom>
      </xdr:spPr>
    </xdr:pic>
    <xdr:clientData/>
  </xdr:twoCellAnchor>
  <xdr:twoCellAnchor editAs="oneCell">
    <xdr:from>
      <xdr:col>2</xdr:col>
      <xdr:colOff>270163</xdr:colOff>
      <xdr:row>154</xdr:row>
      <xdr:rowOff>40179</xdr:rowOff>
    </xdr:from>
    <xdr:to>
      <xdr:col>20</xdr:col>
      <xdr:colOff>1045338</xdr:colOff>
      <xdr:row>166</xdr:row>
      <xdr:rowOff>14772</xdr:rowOff>
    </xdr:to>
    <xdr:pic>
      <xdr:nvPicPr>
        <xdr:cNvPr id="17" name="Picture 16">
          <a:extLst>
            <a:ext uri="{FF2B5EF4-FFF2-40B4-BE49-F238E27FC236}">
              <a16:creationId xmlns:a16="http://schemas.microsoft.com/office/drawing/2014/main" id="{D0163464-38F1-F1B7-D5E5-05F4D062C1C7}"/>
            </a:ext>
          </a:extLst>
        </xdr:cNvPr>
        <xdr:cNvPicPr>
          <a:picLocks noChangeAspect="1"/>
        </xdr:cNvPicPr>
      </xdr:nvPicPr>
      <xdr:blipFill>
        <a:blip xmlns:r="http://schemas.openxmlformats.org/officeDocument/2006/relationships" r:embed="rId26"/>
        <a:stretch>
          <a:fillRect/>
        </a:stretch>
      </xdr:blipFill>
      <xdr:spPr>
        <a:xfrm>
          <a:off x="1156854" y="26959561"/>
          <a:ext cx="12787066" cy="2059702"/>
        </a:xfrm>
        <a:prstGeom prst="rect">
          <a:avLst/>
        </a:prstGeom>
      </xdr:spPr>
    </xdr:pic>
    <xdr:clientData/>
  </xdr:twoCellAnchor>
  <xdr:twoCellAnchor editAs="oneCell">
    <xdr:from>
      <xdr:col>11</xdr:col>
      <xdr:colOff>415636</xdr:colOff>
      <xdr:row>144</xdr:row>
      <xdr:rowOff>166254</xdr:rowOff>
    </xdr:from>
    <xdr:to>
      <xdr:col>25</xdr:col>
      <xdr:colOff>496076</xdr:colOff>
      <xdr:row>149</xdr:row>
      <xdr:rowOff>77652</xdr:rowOff>
    </xdr:to>
    <xdr:pic>
      <xdr:nvPicPr>
        <xdr:cNvPr id="19" name="Picture 18">
          <a:extLst>
            <a:ext uri="{FF2B5EF4-FFF2-40B4-BE49-F238E27FC236}">
              <a16:creationId xmlns:a16="http://schemas.microsoft.com/office/drawing/2014/main" id="{7F01B3C5-7E35-FC6E-C094-63E697DE54EB}"/>
            </a:ext>
          </a:extLst>
        </xdr:cNvPr>
        <xdr:cNvPicPr>
          <a:picLocks noChangeAspect="1"/>
        </xdr:cNvPicPr>
      </xdr:nvPicPr>
      <xdr:blipFill>
        <a:blip xmlns:r="http://schemas.openxmlformats.org/officeDocument/2006/relationships" r:embed="rId27"/>
        <a:stretch>
          <a:fillRect/>
        </a:stretch>
      </xdr:blipFill>
      <xdr:spPr>
        <a:xfrm>
          <a:off x="8257309" y="25353818"/>
          <a:ext cx="8954276" cy="777307"/>
        </a:xfrm>
        <a:prstGeom prst="rect">
          <a:avLst/>
        </a:prstGeom>
      </xdr:spPr>
    </xdr:pic>
    <xdr:clientData/>
  </xdr:twoCellAnchor>
  <xdr:twoCellAnchor editAs="oneCell">
    <xdr:from>
      <xdr:col>2</xdr:col>
      <xdr:colOff>290944</xdr:colOff>
      <xdr:row>233</xdr:row>
      <xdr:rowOff>13675</xdr:rowOff>
    </xdr:from>
    <xdr:to>
      <xdr:col>24</xdr:col>
      <xdr:colOff>165574</xdr:colOff>
      <xdr:row>245</xdr:row>
      <xdr:rowOff>61157</xdr:rowOff>
    </xdr:to>
    <xdr:pic>
      <xdr:nvPicPr>
        <xdr:cNvPr id="21" name="Picture 20">
          <a:extLst>
            <a:ext uri="{FF2B5EF4-FFF2-40B4-BE49-F238E27FC236}">
              <a16:creationId xmlns:a16="http://schemas.microsoft.com/office/drawing/2014/main" id="{9F42AD5C-3764-2044-F62F-BFA2D1EB0532}"/>
            </a:ext>
          </a:extLst>
        </xdr:cNvPr>
        <xdr:cNvPicPr>
          <a:picLocks noChangeAspect="1"/>
        </xdr:cNvPicPr>
      </xdr:nvPicPr>
      <xdr:blipFill>
        <a:blip xmlns:r="http://schemas.openxmlformats.org/officeDocument/2006/relationships" r:embed="rId28"/>
        <a:stretch>
          <a:fillRect/>
        </a:stretch>
      </xdr:blipFill>
      <xdr:spPr>
        <a:xfrm>
          <a:off x="1177635" y="40635202"/>
          <a:ext cx="15100775" cy="2125664"/>
        </a:xfrm>
        <a:prstGeom prst="rect">
          <a:avLst/>
        </a:prstGeom>
      </xdr:spPr>
    </xdr:pic>
    <xdr:clientData/>
  </xdr:twoCellAnchor>
  <xdr:twoCellAnchor editAs="oneCell">
    <xdr:from>
      <xdr:col>11</xdr:col>
      <xdr:colOff>277090</xdr:colOff>
      <xdr:row>221</xdr:row>
      <xdr:rowOff>166255</xdr:rowOff>
    </xdr:from>
    <xdr:to>
      <xdr:col>25</xdr:col>
      <xdr:colOff>456599</xdr:colOff>
      <xdr:row>226</xdr:row>
      <xdr:rowOff>70033</xdr:rowOff>
    </xdr:to>
    <xdr:pic>
      <xdr:nvPicPr>
        <xdr:cNvPr id="23" name="Picture 22">
          <a:extLst>
            <a:ext uri="{FF2B5EF4-FFF2-40B4-BE49-F238E27FC236}">
              <a16:creationId xmlns:a16="http://schemas.microsoft.com/office/drawing/2014/main" id="{6D882F4D-FF32-F598-7FEF-7DBE0A334195}"/>
            </a:ext>
          </a:extLst>
        </xdr:cNvPr>
        <xdr:cNvPicPr>
          <a:picLocks noChangeAspect="1"/>
        </xdr:cNvPicPr>
      </xdr:nvPicPr>
      <xdr:blipFill>
        <a:blip xmlns:r="http://schemas.openxmlformats.org/officeDocument/2006/relationships" r:embed="rId29"/>
        <a:stretch>
          <a:fillRect/>
        </a:stretch>
      </xdr:blipFill>
      <xdr:spPr>
        <a:xfrm>
          <a:off x="8118763" y="38709600"/>
          <a:ext cx="9053345" cy="769687"/>
        </a:xfrm>
        <a:prstGeom prst="rect">
          <a:avLst/>
        </a:prstGeom>
      </xdr:spPr>
    </xdr:pic>
    <xdr:clientData/>
  </xdr:twoCellAnchor>
  <xdr:twoCellAnchor editAs="oneCell">
    <xdr:from>
      <xdr:col>2</xdr:col>
      <xdr:colOff>228600</xdr:colOff>
      <xdr:row>261</xdr:row>
      <xdr:rowOff>65354</xdr:rowOff>
    </xdr:from>
    <xdr:to>
      <xdr:col>23</xdr:col>
      <xdr:colOff>116390</xdr:colOff>
      <xdr:row>274</xdr:row>
      <xdr:rowOff>74344</xdr:rowOff>
    </xdr:to>
    <xdr:pic>
      <xdr:nvPicPr>
        <xdr:cNvPr id="25" name="Picture 24">
          <a:extLst>
            <a:ext uri="{FF2B5EF4-FFF2-40B4-BE49-F238E27FC236}">
              <a16:creationId xmlns:a16="http://schemas.microsoft.com/office/drawing/2014/main" id="{8D3E839E-5B0F-7FEF-BBEC-5BD8E1127824}"/>
            </a:ext>
          </a:extLst>
        </xdr:cNvPr>
        <xdr:cNvPicPr>
          <a:picLocks noChangeAspect="1"/>
        </xdr:cNvPicPr>
      </xdr:nvPicPr>
      <xdr:blipFill>
        <a:blip xmlns:r="http://schemas.openxmlformats.org/officeDocument/2006/relationships" r:embed="rId30"/>
        <a:stretch>
          <a:fillRect/>
        </a:stretch>
      </xdr:blipFill>
      <xdr:spPr>
        <a:xfrm>
          <a:off x="1115291" y="45535972"/>
          <a:ext cx="14192608" cy="2260354"/>
        </a:xfrm>
        <a:prstGeom prst="rect">
          <a:avLst/>
        </a:prstGeom>
      </xdr:spPr>
    </xdr:pic>
    <xdr:clientData/>
  </xdr:twoCellAnchor>
  <xdr:twoCellAnchor editAs="oneCell">
    <xdr:from>
      <xdr:col>11</xdr:col>
      <xdr:colOff>235527</xdr:colOff>
      <xdr:row>253</xdr:row>
      <xdr:rowOff>103910</xdr:rowOff>
    </xdr:from>
    <xdr:to>
      <xdr:col>25</xdr:col>
      <xdr:colOff>445518</xdr:colOff>
      <xdr:row>257</xdr:row>
      <xdr:rowOff>158008</xdr:rowOff>
    </xdr:to>
    <xdr:pic>
      <xdr:nvPicPr>
        <xdr:cNvPr id="27" name="Picture 26">
          <a:extLst>
            <a:ext uri="{FF2B5EF4-FFF2-40B4-BE49-F238E27FC236}">
              <a16:creationId xmlns:a16="http://schemas.microsoft.com/office/drawing/2014/main" id="{02121C79-31E5-9709-AC2A-1E157B3D619F}"/>
            </a:ext>
          </a:extLst>
        </xdr:cNvPr>
        <xdr:cNvPicPr>
          <a:picLocks noChangeAspect="1"/>
        </xdr:cNvPicPr>
      </xdr:nvPicPr>
      <xdr:blipFill>
        <a:blip xmlns:r="http://schemas.openxmlformats.org/officeDocument/2006/relationships" r:embed="rId31"/>
        <a:stretch>
          <a:fillRect/>
        </a:stretch>
      </xdr:blipFill>
      <xdr:spPr>
        <a:xfrm>
          <a:off x="8077200" y="44189074"/>
          <a:ext cx="9083827" cy="746825"/>
        </a:xfrm>
        <a:prstGeom prst="rect">
          <a:avLst/>
        </a:prstGeom>
      </xdr:spPr>
    </xdr:pic>
    <xdr:clientData/>
  </xdr:twoCellAnchor>
  <xdr:twoCellAnchor editAs="oneCell">
    <xdr:from>
      <xdr:col>2</xdr:col>
      <xdr:colOff>256308</xdr:colOff>
      <xdr:row>289</xdr:row>
      <xdr:rowOff>48714</xdr:rowOff>
    </xdr:from>
    <xdr:to>
      <xdr:col>22</xdr:col>
      <xdr:colOff>815351</xdr:colOff>
      <xdr:row>302</xdr:row>
      <xdr:rowOff>18927</xdr:rowOff>
    </xdr:to>
    <xdr:pic>
      <xdr:nvPicPr>
        <xdr:cNvPr id="29" name="Picture 28">
          <a:extLst>
            <a:ext uri="{FF2B5EF4-FFF2-40B4-BE49-F238E27FC236}">
              <a16:creationId xmlns:a16="http://schemas.microsoft.com/office/drawing/2014/main" id="{71D3487E-5F7D-CA4A-84F0-61618634A9E9}"/>
            </a:ext>
          </a:extLst>
        </xdr:cNvPr>
        <xdr:cNvPicPr>
          <a:picLocks noChangeAspect="1"/>
        </xdr:cNvPicPr>
      </xdr:nvPicPr>
      <xdr:blipFill>
        <a:blip xmlns:r="http://schemas.openxmlformats.org/officeDocument/2006/relationships" r:embed="rId32"/>
        <a:stretch>
          <a:fillRect/>
        </a:stretch>
      </xdr:blipFill>
      <xdr:spPr>
        <a:xfrm>
          <a:off x="1142999" y="50368423"/>
          <a:ext cx="13942534" cy="2221577"/>
        </a:xfrm>
        <a:prstGeom prst="rect">
          <a:avLst/>
        </a:prstGeom>
      </xdr:spPr>
    </xdr:pic>
    <xdr:clientData/>
  </xdr:twoCellAnchor>
  <xdr:twoCellAnchor editAs="oneCell">
    <xdr:from>
      <xdr:col>11</xdr:col>
      <xdr:colOff>339436</xdr:colOff>
      <xdr:row>281</xdr:row>
      <xdr:rowOff>83128</xdr:rowOff>
    </xdr:from>
    <xdr:to>
      <xdr:col>25</xdr:col>
      <xdr:colOff>587530</xdr:colOff>
      <xdr:row>285</xdr:row>
      <xdr:rowOff>160088</xdr:rowOff>
    </xdr:to>
    <xdr:pic>
      <xdr:nvPicPr>
        <xdr:cNvPr id="31" name="Picture 30">
          <a:extLst>
            <a:ext uri="{FF2B5EF4-FFF2-40B4-BE49-F238E27FC236}">
              <a16:creationId xmlns:a16="http://schemas.microsoft.com/office/drawing/2014/main" id="{D7B1AD90-A184-4F6A-AB97-0EF3D925BC88}"/>
            </a:ext>
          </a:extLst>
        </xdr:cNvPr>
        <xdr:cNvPicPr>
          <a:picLocks noChangeAspect="1"/>
        </xdr:cNvPicPr>
      </xdr:nvPicPr>
      <xdr:blipFill>
        <a:blip xmlns:r="http://schemas.openxmlformats.org/officeDocument/2006/relationships" r:embed="rId33"/>
        <a:stretch>
          <a:fillRect/>
        </a:stretch>
      </xdr:blipFill>
      <xdr:spPr>
        <a:xfrm>
          <a:off x="8181109" y="49017383"/>
          <a:ext cx="9121930" cy="769687"/>
        </a:xfrm>
        <a:prstGeom prst="rect">
          <a:avLst/>
        </a:prstGeom>
      </xdr:spPr>
    </xdr:pic>
    <xdr:clientData/>
  </xdr:twoCellAnchor>
  <xdr:twoCellAnchor editAs="oneCell">
    <xdr:from>
      <xdr:col>11</xdr:col>
      <xdr:colOff>270164</xdr:colOff>
      <xdr:row>308</xdr:row>
      <xdr:rowOff>131618</xdr:rowOff>
    </xdr:from>
    <xdr:to>
      <xdr:col>25</xdr:col>
      <xdr:colOff>480155</xdr:colOff>
      <xdr:row>311</xdr:row>
      <xdr:rowOff>160761</xdr:rowOff>
    </xdr:to>
    <xdr:pic>
      <xdr:nvPicPr>
        <xdr:cNvPr id="41" name="Picture 40">
          <a:extLst>
            <a:ext uri="{FF2B5EF4-FFF2-40B4-BE49-F238E27FC236}">
              <a16:creationId xmlns:a16="http://schemas.microsoft.com/office/drawing/2014/main" id="{71EF721C-534F-8A99-AFFD-900B3B2CCA82}"/>
            </a:ext>
          </a:extLst>
        </xdr:cNvPr>
        <xdr:cNvPicPr>
          <a:picLocks noChangeAspect="1"/>
        </xdr:cNvPicPr>
      </xdr:nvPicPr>
      <xdr:blipFill>
        <a:blip xmlns:r="http://schemas.openxmlformats.org/officeDocument/2006/relationships" r:embed="rId34"/>
        <a:stretch>
          <a:fillRect/>
        </a:stretch>
      </xdr:blipFill>
      <xdr:spPr>
        <a:xfrm>
          <a:off x="8111837" y="53741782"/>
          <a:ext cx="9083827" cy="548688"/>
        </a:xfrm>
        <a:prstGeom prst="rect">
          <a:avLst/>
        </a:prstGeom>
      </xdr:spPr>
    </xdr:pic>
    <xdr:clientData/>
  </xdr:twoCellAnchor>
  <xdr:twoCellAnchor editAs="oneCell">
    <xdr:from>
      <xdr:col>3</xdr:col>
      <xdr:colOff>117762</xdr:colOff>
      <xdr:row>316</xdr:row>
      <xdr:rowOff>14719</xdr:rowOff>
    </xdr:from>
    <xdr:to>
      <xdr:col>22</xdr:col>
      <xdr:colOff>844446</xdr:colOff>
      <xdr:row>328</xdr:row>
      <xdr:rowOff>137383</xdr:rowOff>
    </xdr:to>
    <xdr:pic>
      <xdr:nvPicPr>
        <xdr:cNvPr id="42" name="Picture 41">
          <a:extLst>
            <a:ext uri="{FF2B5EF4-FFF2-40B4-BE49-F238E27FC236}">
              <a16:creationId xmlns:a16="http://schemas.microsoft.com/office/drawing/2014/main" id="{C169BBAC-98AC-7707-4FCD-508F9016F0F9}"/>
            </a:ext>
          </a:extLst>
        </xdr:cNvPr>
        <xdr:cNvPicPr>
          <a:picLocks noChangeAspect="1"/>
        </xdr:cNvPicPr>
      </xdr:nvPicPr>
      <xdr:blipFill>
        <a:blip xmlns:r="http://schemas.openxmlformats.org/officeDocument/2006/relationships" r:embed="rId35"/>
        <a:stretch>
          <a:fillRect/>
        </a:stretch>
      </xdr:blipFill>
      <xdr:spPr>
        <a:xfrm>
          <a:off x="1330035" y="55010337"/>
          <a:ext cx="13784593" cy="2200846"/>
        </a:xfrm>
        <a:prstGeom prst="rect">
          <a:avLst/>
        </a:prstGeom>
      </xdr:spPr>
    </xdr:pic>
    <xdr:clientData/>
  </xdr:twoCellAnchor>
  <xdr:twoCellAnchor editAs="oneCell">
    <xdr:from>
      <xdr:col>2</xdr:col>
      <xdr:colOff>207817</xdr:colOff>
      <xdr:row>394</xdr:row>
      <xdr:rowOff>1914</xdr:rowOff>
    </xdr:from>
    <xdr:to>
      <xdr:col>17</xdr:col>
      <xdr:colOff>723216</xdr:colOff>
      <xdr:row>405</xdr:row>
      <xdr:rowOff>45967</xdr:rowOff>
    </xdr:to>
    <xdr:pic>
      <xdr:nvPicPr>
        <xdr:cNvPr id="43" name="Picture 42">
          <a:extLst>
            <a:ext uri="{FF2B5EF4-FFF2-40B4-BE49-F238E27FC236}">
              <a16:creationId xmlns:a16="http://schemas.microsoft.com/office/drawing/2014/main" id="{77C7B89D-EA99-F856-E0C6-48AC24FB5B86}"/>
            </a:ext>
          </a:extLst>
        </xdr:cNvPr>
        <xdr:cNvPicPr>
          <a:picLocks noChangeAspect="1"/>
        </xdr:cNvPicPr>
      </xdr:nvPicPr>
      <xdr:blipFill>
        <a:blip xmlns:r="http://schemas.openxmlformats.org/officeDocument/2006/relationships" r:embed="rId36"/>
        <a:stretch>
          <a:fillRect/>
        </a:stretch>
      </xdr:blipFill>
      <xdr:spPr>
        <a:xfrm>
          <a:off x="1094508" y="68505714"/>
          <a:ext cx="10947872" cy="1949053"/>
        </a:xfrm>
        <a:prstGeom prst="rect">
          <a:avLst/>
        </a:prstGeom>
      </xdr:spPr>
    </xdr:pic>
    <xdr:clientData/>
  </xdr:twoCellAnchor>
  <xdr:twoCellAnchor editAs="oneCell">
    <xdr:from>
      <xdr:col>11</xdr:col>
      <xdr:colOff>374073</xdr:colOff>
      <xdr:row>382</xdr:row>
      <xdr:rowOff>166255</xdr:rowOff>
    </xdr:from>
    <xdr:to>
      <xdr:col>25</xdr:col>
      <xdr:colOff>530720</xdr:colOff>
      <xdr:row>387</xdr:row>
      <xdr:rowOff>62412</xdr:rowOff>
    </xdr:to>
    <xdr:pic>
      <xdr:nvPicPr>
        <xdr:cNvPr id="44" name="Picture 43">
          <a:extLst>
            <a:ext uri="{FF2B5EF4-FFF2-40B4-BE49-F238E27FC236}">
              <a16:creationId xmlns:a16="http://schemas.microsoft.com/office/drawing/2014/main" id="{F8B2FE81-EFD3-8F4C-5289-BAE9F0AC58D6}"/>
            </a:ext>
          </a:extLst>
        </xdr:cNvPr>
        <xdr:cNvPicPr>
          <a:picLocks noChangeAspect="1"/>
        </xdr:cNvPicPr>
      </xdr:nvPicPr>
      <xdr:blipFill>
        <a:blip xmlns:r="http://schemas.openxmlformats.org/officeDocument/2006/relationships" r:embed="rId37"/>
        <a:stretch>
          <a:fillRect/>
        </a:stretch>
      </xdr:blipFill>
      <xdr:spPr>
        <a:xfrm>
          <a:off x="8215746" y="66591873"/>
          <a:ext cx="9030483" cy="762066"/>
        </a:xfrm>
        <a:prstGeom prst="rect">
          <a:avLst/>
        </a:prstGeom>
      </xdr:spPr>
    </xdr:pic>
    <xdr:clientData/>
  </xdr:twoCellAnchor>
  <xdr:twoCellAnchor editAs="oneCell">
    <xdr:from>
      <xdr:col>11</xdr:col>
      <xdr:colOff>221673</xdr:colOff>
      <xdr:row>407</xdr:row>
      <xdr:rowOff>152400</xdr:rowOff>
    </xdr:from>
    <xdr:to>
      <xdr:col>25</xdr:col>
      <xdr:colOff>462147</xdr:colOff>
      <xdr:row>413</xdr:row>
      <xdr:rowOff>88754</xdr:rowOff>
    </xdr:to>
    <xdr:pic>
      <xdr:nvPicPr>
        <xdr:cNvPr id="45" name="Picture 44">
          <a:extLst>
            <a:ext uri="{FF2B5EF4-FFF2-40B4-BE49-F238E27FC236}">
              <a16:creationId xmlns:a16="http://schemas.microsoft.com/office/drawing/2014/main" id="{F0E8380E-3DB9-BB00-A3F6-04CEDC3FF4EF}"/>
            </a:ext>
          </a:extLst>
        </xdr:cNvPr>
        <xdr:cNvPicPr>
          <a:picLocks noChangeAspect="1"/>
        </xdr:cNvPicPr>
      </xdr:nvPicPr>
      <xdr:blipFill>
        <a:blip xmlns:r="http://schemas.openxmlformats.org/officeDocument/2006/relationships" r:embed="rId38"/>
        <a:stretch>
          <a:fillRect/>
        </a:stretch>
      </xdr:blipFill>
      <xdr:spPr>
        <a:xfrm>
          <a:off x="8063346" y="70907564"/>
          <a:ext cx="9114310" cy="975445"/>
        </a:xfrm>
        <a:prstGeom prst="rect">
          <a:avLst/>
        </a:prstGeom>
      </xdr:spPr>
    </xdr:pic>
    <xdr:clientData/>
  </xdr:twoCellAnchor>
  <xdr:twoCellAnchor editAs="oneCell">
    <xdr:from>
      <xdr:col>2</xdr:col>
      <xdr:colOff>270163</xdr:colOff>
      <xdr:row>420</xdr:row>
      <xdr:rowOff>172919</xdr:rowOff>
    </xdr:from>
    <xdr:to>
      <xdr:col>22</xdr:col>
      <xdr:colOff>157953</xdr:colOff>
      <xdr:row>434</xdr:row>
      <xdr:rowOff>163044</xdr:rowOff>
    </xdr:to>
    <xdr:pic>
      <xdr:nvPicPr>
        <xdr:cNvPr id="46" name="Picture 45">
          <a:extLst>
            <a:ext uri="{FF2B5EF4-FFF2-40B4-BE49-F238E27FC236}">
              <a16:creationId xmlns:a16="http://schemas.microsoft.com/office/drawing/2014/main" id="{3E862B16-BC79-6BAE-5BB2-553245B2B6BC}"/>
            </a:ext>
          </a:extLst>
        </xdr:cNvPr>
        <xdr:cNvPicPr>
          <a:picLocks noChangeAspect="1"/>
        </xdr:cNvPicPr>
      </xdr:nvPicPr>
      <xdr:blipFill>
        <a:blip xmlns:r="http://schemas.openxmlformats.org/officeDocument/2006/relationships" r:embed="rId39"/>
        <a:stretch>
          <a:fillRect/>
        </a:stretch>
      </xdr:blipFill>
      <xdr:spPr>
        <a:xfrm>
          <a:off x="1156854" y="73179446"/>
          <a:ext cx="13271281" cy="2414671"/>
        </a:xfrm>
        <a:prstGeom prst="rect">
          <a:avLst/>
        </a:prstGeom>
      </xdr:spPr>
    </xdr:pic>
    <xdr:clientData/>
  </xdr:twoCellAnchor>
  <xdr:twoCellAnchor editAs="oneCell">
    <xdr:from>
      <xdr:col>2</xdr:col>
      <xdr:colOff>311726</xdr:colOff>
      <xdr:row>468</xdr:row>
      <xdr:rowOff>161395</xdr:rowOff>
    </xdr:from>
    <xdr:to>
      <xdr:col>20</xdr:col>
      <xdr:colOff>1040490</xdr:colOff>
      <xdr:row>480</xdr:row>
      <xdr:rowOff>132535</xdr:rowOff>
    </xdr:to>
    <xdr:pic>
      <xdr:nvPicPr>
        <xdr:cNvPr id="47" name="Picture 46">
          <a:extLst>
            <a:ext uri="{FF2B5EF4-FFF2-40B4-BE49-F238E27FC236}">
              <a16:creationId xmlns:a16="http://schemas.microsoft.com/office/drawing/2014/main" id="{AA6E8601-2103-B888-25F8-72F10F611FD0}"/>
            </a:ext>
          </a:extLst>
        </xdr:cNvPr>
        <xdr:cNvPicPr>
          <a:picLocks noChangeAspect="1"/>
        </xdr:cNvPicPr>
      </xdr:nvPicPr>
      <xdr:blipFill>
        <a:blip xmlns:r="http://schemas.openxmlformats.org/officeDocument/2006/relationships" r:embed="rId40"/>
        <a:stretch>
          <a:fillRect/>
        </a:stretch>
      </xdr:blipFill>
      <xdr:spPr>
        <a:xfrm>
          <a:off x="1198417" y="81480650"/>
          <a:ext cx="12740655" cy="2049322"/>
        </a:xfrm>
        <a:prstGeom prst="rect">
          <a:avLst/>
        </a:prstGeom>
      </xdr:spPr>
    </xdr:pic>
    <xdr:clientData/>
  </xdr:twoCellAnchor>
  <xdr:twoCellAnchor editAs="oneCell">
    <xdr:from>
      <xdr:col>11</xdr:col>
      <xdr:colOff>547254</xdr:colOff>
      <xdr:row>459</xdr:row>
      <xdr:rowOff>124691</xdr:rowOff>
    </xdr:from>
    <xdr:to>
      <xdr:col>25</xdr:col>
      <xdr:colOff>764866</xdr:colOff>
      <xdr:row>464</xdr:row>
      <xdr:rowOff>5607</xdr:rowOff>
    </xdr:to>
    <xdr:pic>
      <xdr:nvPicPr>
        <xdr:cNvPr id="48" name="Picture 47">
          <a:extLst>
            <a:ext uri="{FF2B5EF4-FFF2-40B4-BE49-F238E27FC236}">
              <a16:creationId xmlns:a16="http://schemas.microsoft.com/office/drawing/2014/main" id="{FF06644E-5F78-AD2A-A8CF-2548FFAAEE85}"/>
            </a:ext>
          </a:extLst>
        </xdr:cNvPr>
        <xdr:cNvPicPr>
          <a:picLocks noChangeAspect="1"/>
        </xdr:cNvPicPr>
      </xdr:nvPicPr>
      <xdr:blipFill>
        <a:blip xmlns:r="http://schemas.openxmlformats.org/officeDocument/2006/relationships" r:embed="rId41"/>
        <a:stretch>
          <a:fillRect/>
        </a:stretch>
      </xdr:blipFill>
      <xdr:spPr>
        <a:xfrm>
          <a:off x="8388927" y="79885309"/>
          <a:ext cx="9091448" cy="746825"/>
        </a:xfrm>
        <a:prstGeom prst="rect">
          <a:avLst/>
        </a:prstGeom>
      </xdr:spPr>
    </xdr:pic>
    <xdr:clientData/>
  </xdr:twoCellAnchor>
  <xdr:twoCellAnchor editAs="oneCell">
    <xdr:from>
      <xdr:col>2</xdr:col>
      <xdr:colOff>277089</xdr:colOff>
      <xdr:row>510</xdr:row>
      <xdr:rowOff>87799</xdr:rowOff>
    </xdr:from>
    <xdr:to>
      <xdr:col>20</xdr:col>
      <xdr:colOff>924799</xdr:colOff>
      <xdr:row>523</xdr:row>
      <xdr:rowOff>95153</xdr:rowOff>
    </xdr:to>
    <xdr:pic>
      <xdr:nvPicPr>
        <xdr:cNvPr id="49" name="Picture 48">
          <a:extLst>
            <a:ext uri="{FF2B5EF4-FFF2-40B4-BE49-F238E27FC236}">
              <a16:creationId xmlns:a16="http://schemas.microsoft.com/office/drawing/2014/main" id="{1AFAC004-191B-B323-13C1-3E2C162233E9}"/>
            </a:ext>
          </a:extLst>
        </xdr:cNvPr>
        <xdr:cNvPicPr>
          <a:picLocks noChangeAspect="1"/>
        </xdr:cNvPicPr>
      </xdr:nvPicPr>
      <xdr:blipFill>
        <a:blip xmlns:r="http://schemas.openxmlformats.org/officeDocument/2006/relationships" r:embed="rId42"/>
        <a:stretch>
          <a:fillRect/>
        </a:stretch>
      </xdr:blipFill>
      <xdr:spPr>
        <a:xfrm>
          <a:off x="1163780" y="88687617"/>
          <a:ext cx="12659601" cy="2258718"/>
        </a:xfrm>
        <a:prstGeom prst="rect">
          <a:avLst/>
        </a:prstGeom>
      </xdr:spPr>
    </xdr:pic>
    <xdr:clientData/>
  </xdr:twoCellAnchor>
  <xdr:twoCellAnchor editAs="oneCell">
    <xdr:from>
      <xdr:col>21</xdr:col>
      <xdr:colOff>76200</xdr:colOff>
      <xdr:row>510</xdr:row>
      <xdr:rowOff>83127</xdr:rowOff>
    </xdr:from>
    <xdr:to>
      <xdr:col>35</xdr:col>
      <xdr:colOff>587530</xdr:colOff>
      <xdr:row>517</xdr:row>
      <xdr:rowOff>21574</xdr:rowOff>
    </xdr:to>
    <xdr:pic>
      <xdr:nvPicPr>
        <xdr:cNvPr id="50" name="Picture 49">
          <a:extLst>
            <a:ext uri="{FF2B5EF4-FFF2-40B4-BE49-F238E27FC236}">
              <a16:creationId xmlns:a16="http://schemas.microsoft.com/office/drawing/2014/main" id="{195709E2-EBEA-F10C-8BB1-76224C87F1B8}"/>
            </a:ext>
          </a:extLst>
        </xdr:cNvPr>
        <xdr:cNvPicPr>
          <a:picLocks noChangeAspect="1"/>
        </xdr:cNvPicPr>
      </xdr:nvPicPr>
      <xdr:blipFill>
        <a:blip xmlns:r="http://schemas.openxmlformats.org/officeDocument/2006/relationships" r:embed="rId43"/>
        <a:stretch>
          <a:fillRect/>
        </a:stretch>
      </xdr:blipFill>
      <xdr:spPr>
        <a:xfrm>
          <a:off x="14048509" y="88682945"/>
          <a:ext cx="9121930" cy="1150720"/>
        </a:xfrm>
        <a:prstGeom prst="rect">
          <a:avLst/>
        </a:prstGeom>
      </xdr:spPr>
    </xdr:pic>
    <xdr:clientData/>
  </xdr:twoCellAnchor>
  <xdr:twoCellAnchor editAs="oneCell">
    <xdr:from>
      <xdr:col>11</xdr:col>
      <xdr:colOff>311728</xdr:colOff>
      <xdr:row>541</xdr:row>
      <xdr:rowOff>20781</xdr:rowOff>
    </xdr:from>
    <xdr:to>
      <xdr:col>25</xdr:col>
      <xdr:colOff>445513</xdr:colOff>
      <xdr:row>546</xdr:row>
      <xdr:rowOff>115075</xdr:rowOff>
    </xdr:to>
    <xdr:pic>
      <xdr:nvPicPr>
        <xdr:cNvPr id="51" name="Picture 50">
          <a:extLst>
            <a:ext uri="{FF2B5EF4-FFF2-40B4-BE49-F238E27FC236}">
              <a16:creationId xmlns:a16="http://schemas.microsoft.com/office/drawing/2014/main" id="{42EC3707-30E3-A32C-218F-088F9437219E}"/>
            </a:ext>
          </a:extLst>
        </xdr:cNvPr>
        <xdr:cNvPicPr>
          <a:picLocks noChangeAspect="1"/>
        </xdr:cNvPicPr>
      </xdr:nvPicPr>
      <xdr:blipFill>
        <a:blip xmlns:r="http://schemas.openxmlformats.org/officeDocument/2006/relationships" r:embed="rId44"/>
        <a:stretch>
          <a:fillRect/>
        </a:stretch>
      </xdr:blipFill>
      <xdr:spPr>
        <a:xfrm>
          <a:off x="8153401" y="93989236"/>
          <a:ext cx="9007621" cy="960203"/>
        </a:xfrm>
        <a:prstGeom prst="rect">
          <a:avLst/>
        </a:prstGeom>
      </xdr:spPr>
    </xdr:pic>
    <xdr:clientData/>
  </xdr:twoCellAnchor>
  <xdr:twoCellAnchor editAs="oneCell">
    <xdr:from>
      <xdr:col>2</xdr:col>
      <xdr:colOff>166253</xdr:colOff>
      <xdr:row>550</xdr:row>
      <xdr:rowOff>77631</xdr:rowOff>
    </xdr:from>
    <xdr:to>
      <xdr:col>23</xdr:col>
      <xdr:colOff>139944</xdr:colOff>
      <xdr:row>563</xdr:row>
      <xdr:rowOff>102747</xdr:rowOff>
    </xdr:to>
    <xdr:pic>
      <xdr:nvPicPr>
        <xdr:cNvPr id="52" name="Picture 51">
          <a:extLst>
            <a:ext uri="{FF2B5EF4-FFF2-40B4-BE49-F238E27FC236}">
              <a16:creationId xmlns:a16="http://schemas.microsoft.com/office/drawing/2014/main" id="{EE75124B-5CB8-428D-EA0A-853A54F2FCF5}"/>
            </a:ext>
          </a:extLst>
        </xdr:cNvPr>
        <xdr:cNvPicPr>
          <a:picLocks noChangeAspect="1"/>
        </xdr:cNvPicPr>
      </xdr:nvPicPr>
      <xdr:blipFill>
        <a:blip xmlns:r="http://schemas.openxmlformats.org/officeDocument/2006/relationships" r:embed="rId45"/>
        <a:stretch>
          <a:fillRect/>
        </a:stretch>
      </xdr:blipFill>
      <xdr:spPr>
        <a:xfrm>
          <a:off x="1052944" y="95618576"/>
          <a:ext cx="14278509" cy="2276479"/>
        </a:xfrm>
        <a:prstGeom prst="rect">
          <a:avLst/>
        </a:prstGeom>
      </xdr:spPr>
    </xdr:pic>
    <xdr:clientData/>
  </xdr:twoCellAnchor>
  <xdr:twoCellAnchor editAs="oneCell">
    <xdr:from>
      <xdr:col>11</xdr:col>
      <xdr:colOff>173182</xdr:colOff>
      <xdr:row>2</xdr:row>
      <xdr:rowOff>25236</xdr:rowOff>
    </xdr:from>
    <xdr:to>
      <xdr:col>23</xdr:col>
      <xdr:colOff>1103</xdr:colOff>
      <xdr:row>25</xdr:row>
      <xdr:rowOff>109686</xdr:rowOff>
    </xdr:to>
    <xdr:pic>
      <xdr:nvPicPr>
        <xdr:cNvPr id="53" name="Picture 52">
          <a:extLst>
            <a:ext uri="{FF2B5EF4-FFF2-40B4-BE49-F238E27FC236}">
              <a16:creationId xmlns:a16="http://schemas.microsoft.com/office/drawing/2014/main" id="{8E8ACA1D-5105-05B7-9F62-F87C58119AEF}"/>
            </a:ext>
          </a:extLst>
        </xdr:cNvPr>
        <xdr:cNvPicPr>
          <a:picLocks noChangeAspect="1"/>
        </xdr:cNvPicPr>
      </xdr:nvPicPr>
      <xdr:blipFill>
        <a:blip xmlns:r="http://schemas.openxmlformats.org/officeDocument/2006/relationships" r:embed="rId46"/>
        <a:stretch>
          <a:fillRect/>
        </a:stretch>
      </xdr:blipFill>
      <xdr:spPr>
        <a:xfrm>
          <a:off x="8014855" y="371600"/>
          <a:ext cx="7177757" cy="4074559"/>
        </a:xfrm>
        <a:prstGeom prst="rect">
          <a:avLst/>
        </a:prstGeom>
      </xdr:spPr>
    </xdr:pic>
    <xdr:clientData/>
  </xdr:twoCellAnchor>
  <xdr:twoCellAnchor editAs="oneCell">
    <xdr:from>
      <xdr:col>3</xdr:col>
      <xdr:colOff>11308</xdr:colOff>
      <xdr:row>2</xdr:row>
      <xdr:rowOff>13855</xdr:rowOff>
    </xdr:from>
    <xdr:to>
      <xdr:col>10</xdr:col>
      <xdr:colOff>355372</xdr:colOff>
      <xdr:row>25</xdr:row>
      <xdr:rowOff>62346</xdr:rowOff>
    </xdr:to>
    <xdr:pic>
      <xdr:nvPicPr>
        <xdr:cNvPr id="54" name="Picture 53">
          <a:extLst>
            <a:ext uri="{FF2B5EF4-FFF2-40B4-BE49-F238E27FC236}">
              <a16:creationId xmlns:a16="http://schemas.microsoft.com/office/drawing/2014/main" id="{854280F7-B485-60E5-E73D-BD68BFC65782}"/>
            </a:ext>
          </a:extLst>
        </xdr:cNvPr>
        <xdr:cNvPicPr>
          <a:picLocks noChangeAspect="1"/>
        </xdr:cNvPicPr>
      </xdr:nvPicPr>
      <xdr:blipFill>
        <a:blip xmlns:r="http://schemas.openxmlformats.org/officeDocument/2006/relationships" r:embed="rId47"/>
        <a:stretch>
          <a:fillRect/>
        </a:stretch>
      </xdr:blipFill>
      <xdr:spPr>
        <a:xfrm>
          <a:off x="1223581" y="360219"/>
          <a:ext cx="6585536" cy="4038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243840</xdr:colOff>
      <xdr:row>16</xdr:row>
      <xdr:rowOff>38100</xdr:rowOff>
    </xdr:from>
    <xdr:to>
      <xdr:col>24</xdr:col>
      <xdr:colOff>259768</xdr:colOff>
      <xdr:row>26</xdr:row>
      <xdr:rowOff>23017</xdr:rowOff>
    </xdr:to>
    <xdr:pic>
      <xdr:nvPicPr>
        <xdr:cNvPr id="10" name="Picture 9">
          <a:extLst>
            <a:ext uri="{FF2B5EF4-FFF2-40B4-BE49-F238E27FC236}">
              <a16:creationId xmlns:a16="http://schemas.microsoft.com/office/drawing/2014/main" id="{356D7B5C-E734-4ECE-B542-D3638F3B99A3}"/>
            </a:ext>
          </a:extLst>
        </xdr:cNvPr>
        <xdr:cNvPicPr>
          <a:picLocks noChangeAspect="1"/>
        </xdr:cNvPicPr>
      </xdr:nvPicPr>
      <xdr:blipFill>
        <a:blip xmlns:r="http://schemas.openxmlformats.org/officeDocument/2006/relationships" r:embed="rId1"/>
        <a:stretch>
          <a:fillRect/>
        </a:stretch>
      </xdr:blipFill>
      <xdr:spPr>
        <a:xfrm>
          <a:off x="7589520" y="2956560"/>
          <a:ext cx="7940728" cy="1813717"/>
        </a:xfrm>
        <a:prstGeom prst="rect">
          <a:avLst/>
        </a:prstGeom>
      </xdr:spPr>
    </xdr:pic>
    <xdr:clientData/>
  </xdr:twoCellAnchor>
  <xdr:twoCellAnchor editAs="oneCell">
    <xdr:from>
      <xdr:col>11</xdr:col>
      <xdr:colOff>281939</xdr:colOff>
      <xdr:row>3</xdr:row>
      <xdr:rowOff>146020</xdr:rowOff>
    </xdr:from>
    <xdr:to>
      <xdr:col>24</xdr:col>
      <xdr:colOff>295384</xdr:colOff>
      <xdr:row>13</xdr:row>
      <xdr:rowOff>121920</xdr:rowOff>
    </xdr:to>
    <xdr:pic>
      <xdr:nvPicPr>
        <xdr:cNvPr id="2" name="Picture 1">
          <a:extLst>
            <a:ext uri="{FF2B5EF4-FFF2-40B4-BE49-F238E27FC236}">
              <a16:creationId xmlns:a16="http://schemas.microsoft.com/office/drawing/2014/main" id="{446BDC6C-2563-855D-44C9-26B88A8C69A8}"/>
            </a:ext>
          </a:extLst>
        </xdr:cNvPr>
        <xdr:cNvPicPr>
          <a:picLocks noChangeAspect="1"/>
        </xdr:cNvPicPr>
      </xdr:nvPicPr>
      <xdr:blipFill>
        <a:blip xmlns:r="http://schemas.openxmlformats.org/officeDocument/2006/relationships" r:embed="rId2"/>
        <a:stretch>
          <a:fillRect/>
        </a:stretch>
      </xdr:blipFill>
      <xdr:spPr>
        <a:xfrm>
          <a:off x="7627619" y="687040"/>
          <a:ext cx="7938245" cy="1804700"/>
        </a:xfrm>
        <a:prstGeom prst="rect">
          <a:avLst/>
        </a:prstGeom>
      </xdr:spPr>
    </xdr:pic>
    <xdr:clientData/>
  </xdr:twoCellAnchor>
  <xdr:twoCellAnchor editAs="oneCell">
    <xdr:from>
      <xdr:col>11</xdr:col>
      <xdr:colOff>274320</xdr:colOff>
      <xdr:row>30</xdr:row>
      <xdr:rowOff>1171</xdr:rowOff>
    </xdr:from>
    <xdr:to>
      <xdr:col>24</xdr:col>
      <xdr:colOff>201999</xdr:colOff>
      <xdr:row>39</xdr:row>
      <xdr:rowOff>137160</xdr:rowOff>
    </xdr:to>
    <xdr:pic>
      <xdr:nvPicPr>
        <xdr:cNvPr id="3" name="Picture 2">
          <a:extLst>
            <a:ext uri="{FF2B5EF4-FFF2-40B4-BE49-F238E27FC236}">
              <a16:creationId xmlns:a16="http://schemas.microsoft.com/office/drawing/2014/main" id="{985AA4FE-755B-38C8-E62F-3FBCDA6F9354}"/>
            </a:ext>
          </a:extLst>
        </xdr:cNvPr>
        <xdr:cNvPicPr>
          <a:picLocks noChangeAspect="1"/>
        </xdr:cNvPicPr>
      </xdr:nvPicPr>
      <xdr:blipFill>
        <a:blip xmlns:r="http://schemas.openxmlformats.org/officeDocument/2006/relationships" r:embed="rId3"/>
        <a:stretch>
          <a:fillRect/>
        </a:stretch>
      </xdr:blipFill>
      <xdr:spPr>
        <a:xfrm>
          <a:off x="7620000" y="5464711"/>
          <a:ext cx="7852479" cy="1781909"/>
        </a:xfrm>
        <a:prstGeom prst="rect">
          <a:avLst/>
        </a:prstGeom>
      </xdr:spPr>
    </xdr:pic>
    <xdr:clientData/>
  </xdr:twoCellAnchor>
  <xdr:twoCellAnchor editAs="oneCell">
    <xdr:from>
      <xdr:col>11</xdr:col>
      <xdr:colOff>274320</xdr:colOff>
      <xdr:row>43</xdr:row>
      <xdr:rowOff>126876</xdr:rowOff>
    </xdr:from>
    <xdr:to>
      <xdr:col>24</xdr:col>
      <xdr:colOff>282796</xdr:colOff>
      <xdr:row>53</xdr:row>
      <xdr:rowOff>91633</xdr:rowOff>
    </xdr:to>
    <xdr:pic>
      <xdr:nvPicPr>
        <xdr:cNvPr id="4" name="Picture 3">
          <a:extLst>
            <a:ext uri="{FF2B5EF4-FFF2-40B4-BE49-F238E27FC236}">
              <a16:creationId xmlns:a16="http://schemas.microsoft.com/office/drawing/2014/main" id="{418F5936-F1A8-2BC9-C441-C68EE82C32E4}"/>
            </a:ext>
          </a:extLst>
        </xdr:cNvPr>
        <xdr:cNvPicPr>
          <a:picLocks noChangeAspect="1"/>
        </xdr:cNvPicPr>
      </xdr:nvPicPr>
      <xdr:blipFill>
        <a:blip xmlns:r="http://schemas.openxmlformats.org/officeDocument/2006/relationships" r:embed="rId4"/>
        <a:stretch>
          <a:fillRect/>
        </a:stretch>
      </xdr:blipFill>
      <xdr:spPr>
        <a:xfrm>
          <a:off x="7620000" y="7952616"/>
          <a:ext cx="7933276" cy="17935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335280</xdr:colOff>
      <xdr:row>45</xdr:row>
      <xdr:rowOff>160020</xdr:rowOff>
    </xdr:from>
    <xdr:to>
      <xdr:col>15</xdr:col>
      <xdr:colOff>457199</xdr:colOff>
      <xdr:row>67</xdr:row>
      <xdr:rowOff>33941</xdr:rowOff>
    </xdr:to>
    <xdr:pic>
      <xdr:nvPicPr>
        <xdr:cNvPr id="12" name="Picture 11">
          <a:extLst>
            <a:ext uri="{FF2B5EF4-FFF2-40B4-BE49-F238E27FC236}">
              <a16:creationId xmlns:a16="http://schemas.microsoft.com/office/drawing/2014/main" id="{7E16F100-5AC0-4575-B49B-434A17F0FD7E}"/>
            </a:ext>
          </a:extLst>
        </xdr:cNvPr>
        <xdr:cNvPicPr>
          <a:picLocks noChangeAspect="1"/>
        </xdr:cNvPicPr>
      </xdr:nvPicPr>
      <xdr:blipFill>
        <a:blip xmlns:r="http://schemas.openxmlformats.org/officeDocument/2006/relationships" r:embed="rId1"/>
        <a:stretch>
          <a:fillRect/>
        </a:stretch>
      </xdr:blipFill>
      <xdr:spPr>
        <a:xfrm>
          <a:off x="7269480" y="8244840"/>
          <a:ext cx="3169919" cy="3729641"/>
        </a:xfrm>
        <a:prstGeom prst="rect">
          <a:avLst/>
        </a:prstGeom>
      </xdr:spPr>
    </xdr:pic>
    <xdr:clientData/>
  </xdr:twoCellAnchor>
  <xdr:twoCellAnchor editAs="oneCell">
    <xdr:from>
      <xdr:col>11</xdr:col>
      <xdr:colOff>68580</xdr:colOff>
      <xdr:row>2</xdr:row>
      <xdr:rowOff>30480</xdr:rowOff>
    </xdr:from>
    <xdr:to>
      <xdr:col>16</xdr:col>
      <xdr:colOff>69558</xdr:colOff>
      <xdr:row>27</xdr:row>
      <xdr:rowOff>45720</xdr:rowOff>
    </xdr:to>
    <xdr:pic>
      <xdr:nvPicPr>
        <xdr:cNvPr id="14" name="Picture 13">
          <a:extLst>
            <a:ext uri="{FF2B5EF4-FFF2-40B4-BE49-F238E27FC236}">
              <a16:creationId xmlns:a16="http://schemas.microsoft.com/office/drawing/2014/main" id="{72ED5D44-EE01-4F8B-9ABC-8CC66551871B}"/>
            </a:ext>
          </a:extLst>
        </xdr:cNvPr>
        <xdr:cNvPicPr>
          <a:picLocks noChangeAspect="1"/>
        </xdr:cNvPicPr>
      </xdr:nvPicPr>
      <xdr:blipFill>
        <a:blip xmlns:r="http://schemas.openxmlformats.org/officeDocument/2006/relationships" r:embed="rId2"/>
        <a:stretch>
          <a:fillRect/>
        </a:stretch>
      </xdr:blipFill>
      <xdr:spPr>
        <a:xfrm>
          <a:off x="7170420" y="381000"/>
          <a:ext cx="3048978" cy="4488180"/>
        </a:xfrm>
        <a:prstGeom prst="rect">
          <a:avLst/>
        </a:prstGeom>
      </xdr:spPr>
    </xdr:pic>
    <xdr:clientData/>
  </xdr:twoCellAnchor>
  <xdr:twoCellAnchor editAs="oneCell">
    <xdr:from>
      <xdr:col>9</xdr:col>
      <xdr:colOff>137160</xdr:colOff>
      <xdr:row>87</xdr:row>
      <xdr:rowOff>5250</xdr:rowOff>
    </xdr:from>
    <xdr:to>
      <xdr:col>15</xdr:col>
      <xdr:colOff>533400</xdr:colOff>
      <xdr:row>103</xdr:row>
      <xdr:rowOff>154756</xdr:rowOff>
    </xdr:to>
    <xdr:pic>
      <xdr:nvPicPr>
        <xdr:cNvPr id="16" name="Picture 15">
          <a:extLst>
            <a:ext uri="{FF2B5EF4-FFF2-40B4-BE49-F238E27FC236}">
              <a16:creationId xmlns:a16="http://schemas.microsoft.com/office/drawing/2014/main" id="{3910EE57-8924-496F-880D-2C52446C7932}"/>
            </a:ext>
          </a:extLst>
        </xdr:cNvPr>
        <xdr:cNvPicPr>
          <a:picLocks noChangeAspect="1"/>
        </xdr:cNvPicPr>
      </xdr:nvPicPr>
      <xdr:blipFill>
        <a:blip xmlns:r="http://schemas.openxmlformats.org/officeDocument/2006/relationships" r:embed="rId3"/>
        <a:stretch>
          <a:fillRect/>
        </a:stretch>
      </xdr:blipFill>
      <xdr:spPr>
        <a:xfrm>
          <a:off x="6461760" y="15557670"/>
          <a:ext cx="4053840" cy="2968906"/>
        </a:xfrm>
        <a:prstGeom prst="rect">
          <a:avLst/>
        </a:prstGeom>
      </xdr:spPr>
    </xdr:pic>
    <xdr:clientData/>
  </xdr:twoCellAnchor>
  <xdr:twoCellAnchor editAs="oneCell">
    <xdr:from>
      <xdr:col>9</xdr:col>
      <xdr:colOff>187213</xdr:colOff>
      <xdr:row>123</xdr:row>
      <xdr:rowOff>60960</xdr:rowOff>
    </xdr:from>
    <xdr:to>
      <xdr:col>16</xdr:col>
      <xdr:colOff>86995</xdr:colOff>
      <xdr:row>140</xdr:row>
      <xdr:rowOff>106680</xdr:rowOff>
    </xdr:to>
    <xdr:pic>
      <xdr:nvPicPr>
        <xdr:cNvPr id="17" name="Picture 16">
          <a:extLst>
            <a:ext uri="{FF2B5EF4-FFF2-40B4-BE49-F238E27FC236}">
              <a16:creationId xmlns:a16="http://schemas.microsoft.com/office/drawing/2014/main" id="{E01B10D8-EA4F-4AC9-9DA6-5DBCAC0DD75E}"/>
            </a:ext>
          </a:extLst>
        </xdr:cNvPr>
        <xdr:cNvPicPr>
          <a:picLocks noChangeAspect="1"/>
        </xdr:cNvPicPr>
      </xdr:nvPicPr>
      <xdr:blipFill>
        <a:blip xmlns:r="http://schemas.openxmlformats.org/officeDocument/2006/relationships" r:embed="rId4"/>
        <a:stretch>
          <a:fillRect/>
        </a:stretch>
      </xdr:blipFill>
      <xdr:spPr>
        <a:xfrm>
          <a:off x="6511813" y="22067520"/>
          <a:ext cx="4166982" cy="3025140"/>
        </a:xfrm>
        <a:prstGeom prst="rect">
          <a:avLst/>
        </a:prstGeom>
      </xdr:spPr>
    </xdr:pic>
    <xdr:clientData/>
  </xdr:twoCellAnchor>
  <xdr:twoCellAnchor editAs="oneCell">
    <xdr:from>
      <xdr:col>1</xdr:col>
      <xdr:colOff>0</xdr:colOff>
      <xdr:row>45</xdr:row>
      <xdr:rowOff>41326</xdr:rowOff>
    </xdr:from>
    <xdr:to>
      <xdr:col>9</xdr:col>
      <xdr:colOff>253298</xdr:colOff>
      <xdr:row>67</xdr:row>
      <xdr:rowOff>83820</xdr:rowOff>
    </xdr:to>
    <xdr:pic>
      <xdr:nvPicPr>
        <xdr:cNvPr id="19" name="Picture 18">
          <a:extLst>
            <a:ext uri="{FF2B5EF4-FFF2-40B4-BE49-F238E27FC236}">
              <a16:creationId xmlns:a16="http://schemas.microsoft.com/office/drawing/2014/main" id="{B8C2FE7A-8372-B6A9-0BCB-3D2992DE3DAF}"/>
            </a:ext>
          </a:extLst>
        </xdr:cNvPr>
        <xdr:cNvPicPr>
          <a:picLocks noChangeAspect="1"/>
        </xdr:cNvPicPr>
      </xdr:nvPicPr>
      <xdr:blipFill>
        <a:blip xmlns:r="http://schemas.openxmlformats.org/officeDocument/2006/relationships" r:embed="rId5"/>
        <a:stretch>
          <a:fillRect/>
        </a:stretch>
      </xdr:blipFill>
      <xdr:spPr>
        <a:xfrm>
          <a:off x="609600" y="391846"/>
          <a:ext cx="5968298" cy="3898214"/>
        </a:xfrm>
        <a:prstGeom prst="rect">
          <a:avLst/>
        </a:prstGeom>
      </xdr:spPr>
    </xdr:pic>
    <xdr:clientData/>
  </xdr:twoCellAnchor>
  <xdr:twoCellAnchor editAs="oneCell">
    <xdr:from>
      <xdr:col>1</xdr:col>
      <xdr:colOff>3148</xdr:colOff>
      <xdr:row>86</xdr:row>
      <xdr:rowOff>30479</xdr:rowOff>
    </xdr:from>
    <xdr:to>
      <xdr:col>7</xdr:col>
      <xdr:colOff>289559</xdr:colOff>
      <xdr:row>105</xdr:row>
      <xdr:rowOff>66360</xdr:rowOff>
    </xdr:to>
    <xdr:pic>
      <xdr:nvPicPr>
        <xdr:cNvPr id="20" name="Picture 19">
          <a:extLst>
            <a:ext uri="{FF2B5EF4-FFF2-40B4-BE49-F238E27FC236}">
              <a16:creationId xmlns:a16="http://schemas.microsoft.com/office/drawing/2014/main" id="{5F2EDF55-A337-F1F3-E62A-2417BE320846}"/>
            </a:ext>
          </a:extLst>
        </xdr:cNvPr>
        <xdr:cNvPicPr>
          <a:picLocks noChangeAspect="1"/>
        </xdr:cNvPicPr>
      </xdr:nvPicPr>
      <xdr:blipFill>
        <a:blip xmlns:r="http://schemas.openxmlformats.org/officeDocument/2006/relationships" r:embed="rId6"/>
        <a:stretch>
          <a:fillRect/>
        </a:stretch>
      </xdr:blipFill>
      <xdr:spPr>
        <a:xfrm>
          <a:off x="612748" y="7673339"/>
          <a:ext cx="5224171" cy="3396301"/>
        </a:xfrm>
        <a:prstGeom prst="rect">
          <a:avLst/>
        </a:prstGeom>
      </xdr:spPr>
    </xdr:pic>
    <xdr:clientData/>
  </xdr:twoCellAnchor>
  <xdr:twoCellAnchor editAs="oneCell">
    <xdr:from>
      <xdr:col>1</xdr:col>
      <xdr:colOff>0</xdr:colOff>
      <xdr:row>122</xdr:row>
      <xdr:rowOff>71983</xdr:rowOff>
    </xdr:from>
    <xdr:to>
      <xdr:col>8</xdr:col>
      <xdr:colOff>61542</xdr:colOff>
      <xdr:row>142</xdr:row>
      <xdr:rowOff>76580</xdr:rowOff>
    </xdr:to>
    <xdr:pic>
      <xdr:nvPicPr>
        <xdr:cNvPr id="22" name="Picture 21">
          <a:extLst>
            <a:ext uri="{FF2B5EF4-FFF2-40B4-BE49-F238E27FC236}">
              <a16:creationId xmlns:a16="http://schemas.microsoft.com/office/drawing/2014/main" id="{BED122A2-2DF7-988E-C629-9D3B1EC070E1}"/>
            </a:ext>
          </a:extLst>
        </xdr:cNvPr>
        <xdr:cNvPicPr>
          <a:picLocks noChangeAspect="1"/>
        </xdr:cNvPicPr>
      </xdr:nvPicPr>
      <xdr:blipFill>
        <a:blip xmlns:r="http://schemas.openxmlformats.org/officeDocument/2006/relationships" r:embed="rId7"/>
        <a:stretch>
          <a:fillRect/>
        </a:stretch>
      </xdr:blipFill>
      <xdr:spPr>
        <a:xfrm>
          <a:off x="609600" y="14168983"/>
          <a:ext cx="5365062" cy="3509797"/>
        </a:xfrm>
        <a:prstGeom prst="rect">
          <a:avLst/>
        </a:prstGeom>
      </xdr:spPr>
    </xdr:pic>
    <xdr:clientData/>
  </xdr:twoCellAnchor>
  <xdr:twoCellAnchor editAs="oneCell">
    <xdr:from>
      <xdr:col>1</xdr:col>
      <xdr:colOff>0</xdr:colOff>
      <xdr:row>2</xdr:row>
      <xdr:rowOff>68580</xdr:rowOff>
    </xdr:from>
    <xdr:to>
      <xdr:col>10</xdr:col>
      <xdr:colOff>434926</xdr:colOff>
      <xdr:row>26</xdr:row>
      <xdr:rowOff>152780</xdr:rowOff>
    </xdr:to>
    <xdr:pic>
      <xdr:nvPicPr>
        <xdr:cNvPr id="23" name="Picture 22">
          <a:extLst>
            <a:ext uri="{FF2B5EF4-FFF2-40B4-BE49-F238E27FC236}">
              <a16:creationId xmlns:a16="http://schemas.microsoft.com/office/drawing/2014/main" id="{30CD7B25-DB45-46AB-4C80-D8F69D45675D}"/>
            </a:ext>
          </a:extLst>
        </xdr:cNvPr>
        <xdr:cNvPicPr>
          <a:picLocks noChangeAspect="1"/>
        </xdr:cNvPicPr>
      </xdr:nvPicPr>
      <xdr:blipFill>
        <a:blip xmlns:r="http://schemas.openxmlformats.org/officeDocument/2006/relationships" r:embed="rId8"/>
        <a:stretch>
          <a:fillRect/>
        </a:stretch>
      </xdr:blipFill>
      <xdr:spPr>
        <a:xfrm>
          <a:off x="609600" y="20772120"/>
          <a:ext cx="6759526" cy="43818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815340</xdr:colOff>
      <xdr:row>14</xdr:row>
      <xdr:rowOff>45719</xdr:rowOff>
    </xdr:from>
    <xdr:ext cx="4686300" cy="1663775"/>
    <xdr:pic>
      <xdr:nvPicPr>
        <xdr:cNvPr id="3" name="Picture 2">
          <a:extLst>
            <a:ext uri="{FF2B5EF4-FFF2-40B4-BE49-F238E27FC236}">
              <a16:creationId xmlns:a16="http://schemas.microsoft.com/office/drawing/2014/main" id="{D1D4B5FA-0187-4771-BFC4-FF75622F07A3}"/>
            </a:ext>
          </a:extLst>
        </xdr:cNvPr>
        <xdr:cNvPicPr>
          <a:picLocks noChangeAspect="1"/>
        </xdr:cNvPicPr>
      </xdr:nvPicPr>
      <xdr:blipFill>
        <a:blip xmlns:r="http://schemas.openxmlformats.org/officeDocument/2006/relationships" r:embed="rId1"/>
        <a:stretch>
          <a:fillRect/>
        </a:stretch>
      </xdr:blipFill>
      <xdr:spPr>
        <a:xfrm>
          <a:off x="1013460" y="10286999"/>
          <a:ext cx="4686300" cy="1663775"/>
        </a:xfrm>
        <a:prstGeom prst="rect">
          <a:avLst/>
        </a:prstGeom>
      </xdr:spPr>
    </xdr:pic>
    <xdr:clientData/>
  </xdr:oneCellAnchor>
  <xdr:oneCellAnchor>
    <xdr:from>
      <xdr:col>7</xdr:col>
      <xdr:colOff>769620</xdr:colOff>
      <xdr:row>14</xdr:row>
      <xdr:rowOff>82368</xdr:rowOff>
    </xdr:from>
    <xdr:ext cx="4662249" cy="1632132"/>
    <xdr:pic>
      <xdr:nvPicPr>
        <xdr:cNvPr id="4" name="Picture 3">
          <a:extLst>
            <a:ext uri="{FF2B5EF4-FFF2-40B4-BE49-F238E27FC236}">
              <a16:creationId xmlns:a16="http://schemas.microsoft.com/office/drawing/2014/main" id="{A438F04D-150E-4EDC-867E-536C7565DEB2}"/>
            </a:ext>
          </a:extLst>
        </xdr:cNvPr>
        <xdr:cNvPicPr>
          <a:picLocks noChangeAspect="1"/>
        </xdr:cNvPicPr>
      </xdr:nvPicPr>
      <xdr:blipFill>
        <a:blip xmlns:r="http://schemas.openxmlformats.org/officeDocument/2006/relationships" r:embed="rId2"/>
        <a:stretch>
          <a:fillRect/>
        </a:stretch>
      </xdr:blipFill>
      <xdr:spPr>
        <a:xfrm>
          <a:off x="6118860" y="10323648"/>
          <a:ext cx="4662249" cy="1632132"/>
        </a:xfrm>
        <a:prstGeom prst="rect">
          <a:avLst/>
        </a:prstGeom>
      </xdr:spPr>
    </xdr:pic>
    <xdr:clientData/>
  </xdr:oneCellAnchor>
  <xdr:oneCellAnchor>
    <xdr:from>
      <xdr:col>8</xdr:col>
      <xdr:colOff>0</xdr:colOff>
      <xdr:row>3</xdr:row>
      <xdr:rowOff>7620</xdr:rowOff>
    </xdr:from>
    <xdr:ext cx="4563106" cy="1661160"/>
    <xdr:pic>
      <xdr:nvPicPr>
        <xdr:cNvPr id="5" name="Picture 4">
          <a:extLst>
            <a:ext uri="{FF2B5EF4-FFF2-40B4-BE49-F238E27FC236}">
              <a16:creationId xmlns:a16="http://schemas.microsoft.com/office/drawing/2014/main" id="{F3B5CBA0-0968-4992-B532-5499CCBCCDC1}"/>
            </a:ext>
          </a:extLst>
        </xdr:cNvPr>
        <xdr:cNvPicPr>
          <a:picLocks noChangeAspect="1"/>
        </xdr:cNvPicPr>
      </xdr:nvPicPr>
      <xdr:blipFill>
        <a:blip xmlns:r="http://schemas.openxmlformats.org/officeDocument/2006/relationships" r:embed="rId3"/>
        <a:stretch>
          <a:fillRect/>
        </a:stretch>
      </xdr:blipFill>
      <xdr:spPr>
        <a:xfrm>
          <a:off x="6156960" y="8145780"/>
          <a:ext cx="4563106" cy="1661160"/>
        </a:xfrm>
        <a:prstGeom prst="rect">
          <a:avLst/>
        </a:prstGeom>
      </xdr:spPr>
    </xdr:pic>
    <xdr:clientData/>
  </xdr:oneCellAnchor>
  <xdr:oneCellAnchor>
    <xdr:from>
      <xdr:col>0</xdr:col>
      <xdr:colOff>817229</xdr:colOff>
      <xdr:row>2</xdr:row>
      <xdr:rowOff>144780</xdr:rowOff>
    </xdr:from>
    <xdr:ext cx="4646760" cy="1653700"/>
    <xdr:pic>
      <xdr:nvPicPr>
        <xdr:cNvPr id="6" name="Picture 5">
          <a:extLst>
            <a:ext uri="{FF2B5EF4-FFF2-40B4-BE49-F238E27FC236}">
              <a16:creationId xmlns:a16="http://schemas.microsoft.com/office/drawing/2014/main" id="{7B7ABB7C-D5B4-4620-95E9-0E45639833CD}"/>
            </a:ext>
          </a:extLst>
        </xdr:cNvPr>
        <xdr:cNvPicPr>
          <a:picLocks noChangeAspect="1"/>
        </xdr:cNvPicPr>
      </xdr:nvPicPr>
      <xdr:blipFill>
        <a:blip xmlns:r="http://schemas.openxmlformats.org/officeDocument/2006/relationships" r:embed="rId4"/>
        <a:stretch>
          <a:fillRect/>
        </a:stretch>
      </xdr:blipFill>
      <xdr:spPr>
        <a:xfrm>
          <a:off x="1015349" y="8107680"/>
          <a:ext cx="4646760" cy="1653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563880</xdr:colOff>
      <xdr:row>37</xdr:row>
      <xdr:rowOff>139436</xdr:rowOff>
    </xdr:from>
    <xdr:to>
      <xdr:col>9</xdr:col>
      <xdr:colOff>160889</xdr:colOff>
      <xdr:row>51</xdr:row>
      <xdr:rowOff>145075</xdr:rowOff>
    </xdr:to>
    <xdr:pic>
      <xdr:nvPicPr>
        <xdr:cNvPr id="2" name="Picture 1">
          <a:extLst>
            <a:ext uri="{FF2B5EF4-FFF2-40B4-BE49-F238E27FC236}">
              <a16:creationId xmlns:a16="http://schemas.microsoft.com/office/drawing/2014/main" id="{A3A3D54C-05DF-4C72-8B5C-C9B8DC6EC4EE}"/>
            </a:ext>
          </a:extLst>
        </xdr:cNvPr>
        <xdr:cNvPicPr>
          <a:picLocks noChangeAspect="1"/>
        </xdr:cNvPicPr>
      </xdr:nvPicPr>
      <xdr:blipFill>
        <a:blip xmlns:r="http://schemas.openxmlformats.org/officeDocument/2006/relationships" r:embed="rId1"/>
        <a:stretch>
          <a:fillRect/>
        </a:stretch>
      </xdr:blipFill>
      <xdr:spPr>
        <a:xfrm>
          <a:off x="563880" y="10388336"/>
          <a:ext cx="7262729" cy="2466899"/>
        </a:xfrm>
        <a:prstGeom prst="rect">
          <a:avLst/>
        </a:prstGeom>
      </xdr:spPr>
    </xdr:pic>
    <xdr:clientData/>
  </xdr:twoCellAnchor>
  <xdr:twoCellAnchor editAs="oneCell">
    <xdr:from>
      <xdr:col>1</xdr:col>
      <xdr:colOff>7620</xdr:colOff>
      <xdr:row>64</xdr:row>
      <xdr:rowOff>160020</xdr:rowOff>
    </xdr:from>
    <xdr:to>
      <xdr:col>12</xdr:col>
      <xdr:colOff>412337</xdr:colOff>
      <xdr:row>77</xdr:row>
      <xdr:rowOff>103236</xdr:rowOff>
    </xdr:to>
    <xdr:pic>
      <xdr:nvPicPr>
        <xdr:cNvPr id="3" name="Picture 2">
          <a:extLst>
            <a:ext uri="{FF2B5EF4-FFF2-40B4-BE49-F238E27FC236}">
              <a16:creationId xmlns:a16="http://schemas.microsoft.com/office/drawing/2014/main" id="{65FCC23C-86F8-4C0E-A425-6B25AEE68D81}"/>
            </a:ext>
          </a:extLst>
        </xdr:cNvPr>
        <xdr:cNvPicPr>
          <a:picLocks noChangeAspect="1"/>
        </xdr:cNvPicPr>
      </xdr:nvPicPr>
      <xdr:blipFill>
        <a:blip xmlns:r="http://schemas.openxmlformats.org/officeDocument/2006/relationships" r:embed="rId2"/>
        <a:stretch>
          <a:fillRect/>
        </a:stretch>
      </xdr:blipFill>
      <xdr:spPr>
        <a:xfrm>
          <a:off x="617220" y="12778740"/>
          <a:ext cx="9061037" cy="2221596"/>
        </a:xfrm>
        <a:prstGeom prst="rect">
          <a:avLst/>
        </a:prstGeom>
      </xdr:spPr>
    </xdr:pic>
    <xdr:clientData/>
  </xdr:twoCellAnchor>
  <xdr:twoCellAnchor editAs="oneCell">
    <xdr:from>
      <xdr:col>1</xdr:col>
      <xdr:colOff>0</xdr:colOff>
      <xdr:row>90</xdr:row>
      <xdr:rowOff>137160</xdr:rowOff>
    </xdr:from>
    <xdr:to>
      <xdr:col>11</xdr:col>
      <xdr:colOff>221840</xdr:colOff>
      <xdr:row>102</xdr:row>
      <xdr:rowOff>128962</xdr:rowOff>
    </xdr:to>
    <xdr:pic>
      <xdr:nvPicPr>
        <xdr:cNvPr id="4" name="Picture 3">
          <a:extLst>
            <a:ext uri="{FF2B5EF4-FFF2-40B4-BE49-F238E27FC236}">
              <a16:creationId xmlns:a16="http://schemas.microsoft.com/office/drawing/2014/main" id="{17F2E5DB-C544-49EC-9BB3-B18C14B2CEBA}"/>
            </a:ext>
          </a:extLst>
        </xdr:cNvPr>
        <xdr:cNvPicPr>
          <a:picLocks noChangeAspect="1"/>
        </xdr:cNvPicPr>
      </xdr:nvPicPr>
      <xdr:blipFill>
        <a:blip xmlns:r="http://schemas.openxmlformats.org/officeDocument/2006/relationships" r:embed="rId3"/>
        <a:stretch>
          <a:fillRect/>
        </a:stretch>
      </xdr:blipFill>
      <xdr:spPr>
        <a:xfrm>
          <a:off x="609600" y="17396460"/>
          <a:ext cx="8497160" cy="2094922"/>
        </a:xfrm>
        <a:prstGeom prst="rect">
          <a:avLst/>
        </a:prstGeom>
      </xdr:spPr>
    </xdr:pic>
    <xdr:clientData/>
  </xdr:twoCellAnchor>
  <xdr:twoCellAnchor editAs="oneCell">
    <xdr:from>
      <xdr:col>1</xdr:col>
      <xdr:colOff>0</xdr:colOff>
      <xdr:row>13</xdr:row>
      <xdr:rowOff>0</xdr:rowOff>
    </xdr:from>
    <xdr:to>
      <xdr:col>12</xdr:col>
      <xdr:colOff>298020</xdr:colOff>
      <xdr:row>25</xdr:row>
      <xdr:rowOff>8753</xdr:rowOff>
    </xdr:to>
    <xdr:pic>
      <xdr:nvPicPr>
        <xdr:cNvPr id="5" name="Picture 4">
          <a:extLst>
            <a:ext uri="{FF2B5EF4-FFF2-40B4-BE49-F238E27FC236}">
              <a16:creationId xmlns:a16="http://schemas.microsoft.com/office/drawing/2014/main" id="{9C1CC158-3046-420C-A1AB-4D03E1986B5A}"/>
            </a:ext>
          </a:extLst>
        </xdr:cNvPr>
        <xdr:cNvPicPr>
          <a:picLocks noChangeAspect="1"/>
        </xdr:cNvPicPr>
      </xdr:nvPicPr>
      <xdr:blipFill>
        <a:blip xmlns:r="http://schemas.openxmlformats.org/officeDocument/2006/relationships" r:embed="rId4"/>
        <a:stretch>
          <a:fillRect/>
        </a:stretch>
      </xdr:blipFill>
      <xdr:spPr>
        <a:xfrm>
          <a:off x="609600" y="2362200"/>
          <a:ext cx="8954340" cy="211187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xdr:colOff>
      <xdr:row>60</xdr:row>
      <xdr:rowOff>94120</xdr:rowOff>
    </xdr:from>
    <xdr:to>
      <xdr:col>12</xdr:col>
      <xdr:colOff>1</xdr:colOff>
      <xdr:row>72</xdr:row>
      <xdr:rowOff>110971</xdr:rowOff>
    </xdr:to>
    <xdr:pic>
      <xdr:nvPicPr>
        <xdr:cNvPr id="2" name="Picture 1">
          <a:extLst>
            <a:ext uri="{FF2B5EF4-FFF2-40B4-BE49-F238E27FC236}">
              <a16:creationId xmlns:a16="http://schemas.microsoft.com/office/drawing/2014/main" id="{A1DDC9FF-C6B8-45FE-904D-69FC1A4AB9E1}"/>
            </a:ext>
          </a:extLst>
        </xdr:cNvPr>
        <xdr:cNvPicPr>
          <a:picLocks noChangeAspect="1"/>
        </xdr:cNvPicPr>
      </xdr:nvPicPr>
      <xdr:blipFill rotWithShape="1">
        <a:blip xmlns:r="http://schemas.openxmlformats.org/officeDocument/2006/relationships" r:embed="rId1"/>
        <a:srcRect t="27962"/>
        <a:stretch>
          <a:fillRect/>
        </a:stretch>
      </xdr:blipFill>
      <xdr:spPr>
        <a:xfrm>
          <a:off x="281941" y="11143120"/>
          <a:ext cx="8663940" cy="2119971"/>
        </a:xfrm>
        <a:prstGeom prst="rect">
          <a:avLst/>
        </a:prstGeom>
      </xdr:spPr>
    </xdr:pic>
    <xdr:clientData/>
  </xdr:twoCellAnchor>
  <xdr:twoCellAnchor editAs="oneCell">
    <xdr:from>
      <xdr:col>1</xdr:col>
      <xdr:colOff>30480</xdr:colOff>
      <xdr:row>118</xdr:row>
      <xdr:rowOff>46624</xdr:rowOff>
    </xdr:from>
    <xdr:to>
      <xdr:col>11</xdr:col>
      <xdr:colOff>38957</xdr:colOff>
      <xdr:row>129</xdr:row>
      <xdr:rowOff>95615</xdr:rowOff>
    </xdr:to>
    <xdr:pic>
      <xdr:nvPicPr>
        <xdr:cNvPr id="3" name="Picture 2">
          <a:extLst>
            <a:ext uri="{FF2B5EF4-FFF2-40B4-BE49-F238E27FC236}">
              <a16:creationId xmlns:a16="http://schemas.microsoft.com/office/drawing/2014/main" id="{A8C01DC6-3883-4633-A1AA-CD85B93A860B}"/>
            </a:ext>
          </a:extLst>
        </xdr:cNvPr>
        <xdr:cNvPicPr>
          <a:picLocks noChangeAspect="1"/>
        </xdr:cNvPicPr>
      </xdr:nvPicPr>
      <xdr:blipFill>
        <a:blip xmlns:r="http://schemas.openxmlformats.org/officeDocument/2006/relationships" r:embed="rId2"/>
        <a:stretch>
          <a:fillRect/>
        </a:stretch>
      </xdr:blipFill>
      <xdr:spPr>
        <a:xfrm>
          <a:off x="312420" y="22876144"/>
          <a:ext cx="8062817" cy="1976851"/>
        </a:xfrm>
        <a:prstGeom prst="rect">
          <a:avLst/>
        </a:prstGeom>
      </xdr:spPr>
    </xdr:pic>
    <xdr:clientData/>
  </xdr:twoCellAnchor>
  <xdr:twoCellAnchor editAs="oneCell">
    <xdr:from>
      <xdr:col>1</xdr:col>
      <xdr:colOff>0</xdr:colOff>
      <xdr:row>175</xdr:row>
      <xdr:rowOff>98305</xdr:rowOff>
    </xdr:from>
    <xdr:to>
      <xdr:col>10</xdr:col>
      <xdr:colOff>282800</xdr:colOff>
      <xdr:row>186</xdr:row>
      <xdr:rowOff>75621</xdr:rowOff>
    </xdr:to>
    <xdr:pic>
      <xdr:nvPicPr>
        <xdr:cNvPr id="4" name="Picture 3">
          <a:extLst>
            <a:ext uri="{FF2B5EF4-FFF2-40B4-BE49-F238E27FC236}">
              <a16:creationId xmlns:a16="http://schemas.microsoft.com/office/drawing/2014/main" id="{4A63C128-7A97-40FC-A681-F690241B27D8}"/>
            </a:ext>
          </a:extLst>
        </xdr:cNvPr>
        <xdr:cNvPicPr>
          <a:picLocks noChangeAspect="1"/>
        </xdr:cNvPicPr>
      </xdr:nvPicPr>
      <xdr:blipFill>
        <a:blip xmlns:r="http://schemas.openxmlformats.org/officeDocument/2006/relationships" r:embed="rId3"/>
        <a:stretch>
          <a:fillRect/>
        </a:stretch>
      </xdr:blipFill>
      <xdr:spPr>
        <a:xfrm>
          <a:off x="281940" y="33054805"/>
          <a:ext cx="7727540" cy="1905176"/>
        </a:xfrm>
        <a:prstGeom prst="rect">
          <a:avLst/>
        </a:prstGeom>
      </xdr:spPr>
    </xdr:pic>
    <xdr:clientData/>
  </xdr:twoCellAnchor>
  <xdr:twoCellAnchor editAs="oneCell">
    <xdr:from>
      <xdr:col>0</xdr:col>
      <xdr:colOff>274320</xdr:colOff>
      <xdr:row>2</xdr:row>
      <xdr:rowOff>53340</xdr:rowOff>
    </xdr:from>
    <xdr:to>
      <xdr:col>12</xdr:col>
      <xdr:colOff>106680</xdr:colOff>
      <xdr:row>13</xdr:row>
      <xdr:rowOff>165340</xdr:rowOff>
    </xdr:to>
    <xdr:pic>
      <xdr:nvPicPr>
        <xdr:cNvPr id="8" name="Picture 7">
          <a:extLst>
            <a:ext uri="{FF2B5EF4-FFF2-40B4-BE49-F238E27FC236}">
              <a16:creationId xmlns:a16="http://schemas.microsoft.com/office/drawing/2014/main" id="{A16BA00F-7D48-4FA1-A61C-831113FF3B1A}"/>
            </a:ext>
          </a:extLst>
        </xdr:cNvPr>
        <xdr:cNvPicPr>
          <a:picLocks noChangeAspect="1"/>
        </xdr:cNvPicPr>
      </xdr:nvPicPr>
      <xdr:blipFill>
        <a:blip xmlns:r="http://schemas.openxmlformats.org/officeDocument/2006/relationships" r:embed="rId4"/>
        <a:stretch>
          <a:fillRect/>
        </a:stretch>
      </xdr:blipFill>
      <xdr:spPr>
        <a:xfrm>
          <a:off x="274320" y="403860"/>
          <a:ext cx="8778240" cy="2070340"/>
        </a:xfrm>
        <a:prstGeom prst="rect">
          <a:avLst/>
        </a:prstGeom>
      </xdr:spPr>
    </xdr:pic>
    <xdr:clientData/>
  </xdr:twoCellAnchor>
  <xdr:twoCellAnchor editAs="oneCell">
    <xdr:from>
      <xdr:col>0</xdr:col>
      <xdr:colOff>259080</xdr:colOff>
      <xdr:row>25</xdr:row>
      <xdr:rowOff>106680</xdr:rowOff>
    </xdr:from>
    <xdr:to>
      <xdr:col>9</xdr:col>
      <xdr:colOff>351162</xdr:colOff>
      <xdr:row>35</xdr:row>
      <xdr:rowOff>83977</xdr:rowOff>
    </xdr:to>
    <xdr:pic>
      <xdr:nvPicPr>
        <xdr:cNvPr id="21" name="Picture 20">
          <a:extLst>
            <a:ext uri="{FF2B5EF4-FFF2-40B4-BE49-F238E27FC236}">
              <a16:creationId xmlns:a16="http://schemas.microsoft.com/office/drawing/2014/main" id="{3683B783-75DA-0A47-94EB-308BD7F6EA1A}"/>
            </a:ext>
          </a:extLst>
        </xdr:cNvPr>
        <xdr:cNvPicPr>
          <a:picLocks noChangeAspect="1"/>
        </xdr:cNvPicPr>
      </xdr:nvPicPr>
      <xdr:blipFill>
        <a:blip xmlns:r="http://schemas.openxmlformats.org/officeDocument/2006/relationships" r:embed="rId5"/>
        <a:stretch>
          <a:fillRect/>
        </a:stretch>
      </xdr:blipFill>
      <xdr:spPr>
        <a:xfrm>
          <a:off x="259080" y="4488180"/>
          <a:ext cx="7407282" cy="1806097"/>
        </a:xfrm>
        <a:prstGeom prst="rect">
          <a:avLst/>
        </a:prstGeom>
      </xdr:spPr>
    </xdr:pic>
    <xdr:clientData/>
  </xdr:twoCellAnchor>
  <xdr:twoCellAnchor editAs="oneCell">
    <xdr:from>
      <xdr:col>0</xdr:col>
      <xdr:colOff>274320</xdr:colOff>
      <xdr:row>49</xdr:row>
      <xdr:rowOff>45720</xdr:rowOff>
    </xdr:from>
    <xdr:to>
      <xdr:col>8</xdr:col>
      <xdr:colOff>99643</xdr:colOff>
      <xdr:row>57</xdr:row>
      <xdr:rowOff>122053</xdr:rowOff>
    </xdr:to>
    <xdr:pic>
      <xdr:nvPicPr>
        <xdr:cNvPr id="22" name="Picture 21">
          <a:extLst>
            <a:ext uri="{FF2B5EF4-FFF2-40B4-BE49-F238E27FC236}">
              <a16:creationId xmlns:a16="http://schemas.microsoft.com/office/drawing/2014/main" id="{EF85DD6A-E3C7-FD28-8BDA-FC44911E14ED}"/>
            </a:ext>
          </a:extLst>
        </xdr:cNvPr>
        <xdr:cNvPicPr>
          <a:picLocks noChangeAspect="1"/>
        </xdr:cNvPicPr>
      </xdr:nvPicPr>
      <xdr:blipFill>
        <a:blip xmlns:r="http://schemas.openxmlformats.org/officeDocument/2006/relationships" r:embed="rId6"/>
        <a:stretch>
          <a:fillRect/>
        </a:stretch>
      </xdr:blipFill>
      <xdr:spPr>
        <a:xfrm>
          <a:off x="274320" y="7109460"/>
          <a:ext cx="6729043" cy="1539373"/>
        </a:xfrm>
        <a:prstGeom prst="rect">
          <a:avLst/>
        </a:prstGeom>
      </xdr:spPr>
    </xdr:pic>
    <xdr:clientData/>
  </xdr:twoCellAnchor>
  <xdr:twoCellAnchor editAs="oneCell">
    <xdr:from>
      <xdr:col>0</xdr:col>
      <xdr:colOff>274320</xdr:colOff>
      <xdr:row>84</xdr:row>
      <xdr:rowOff>144780</xdr:rowOff>
    </xdr:from>
    <xdr:to>
      <xdr:col>9</xdr:col>
      <xdr:colOff>213989</xdr:colOff>
      <xdr:row>94</xdr:row>
      <xdr:rowOff>114456</xdr:rowOff>
    </xdr:to>
    <xdr:pic>
      <xdr:nvPicPr>
        <xdr:cNvPr id="23" name="Picture 22">
          <a:extLst>
            <a:ext uri="{FF2B5EF4-FFF2-40B4-BE49-F238E27FC236}">
              <a16:creationId xmlns:a16="http://schemas.microsoft.com/office/drawing/2014/main" id="{E5076CC2-692A-C391-17BD-C81EA78DAC13}"/>
            </a:ext>
          </a:extLst>
        </xdr:cNvPr>
        <xdr:cNvPicPr>
          <a:picLocks noChangeAspect="1"/>
        </xdr:cNvPicPr>
      </xdr:nvPicPr>
      <xdr:blipFill>
        <a:blip xmlns:r="http://schemas.openxmlformats.org/officeDocument/2006/relationships" r:embed="rId7"/>
        <a:stretch>
          <a:fillRect/>
        </a:stretch>
      </xdr:blipFill>
      <xdr:spPr>
        <a:xfrm>
          <a:off x="274320" y="15659100"/>
          <a:ext cx="7254869" cy="1798476"/>
        </a:xfrm>
        <a:prstGeom prst="rect">
          <a:avLst/>
        </a:prstGeom>
      </xdr:spPr>
    </xdr:pic>
    <xdr:clientData/>
  </xdr:twoCellAnchor>
  <xdr:twoCellAnchor editAs="oneCell">
    <xdr:from>
      <xdr:col>1</xdr:col>
      <xdr:colOff>15240</xdr:colOff>
      <xdr:row>107</xdr:row>
      <xdr:rowOff>38100</xdr:rowOff>
    </xdr:from>
    <xdr:to>
      <xdr:col>8</xdr:col>
      <xdr:colOff>175848</xdr:colOff>
      <xdr:row>115</xdr:row>
      <xdr:rowOff>152537</xdr:rowOff>
    </xdr:to>
    <xdr:pic>
      <xdr:nvPicPr>
        <xdr:cNvPr id="24" name="Picture 23">
          <a:extLst>
            <a:ext uri="{FF2B5EF4-FFF2-40B4-BE49-F238E27FC236}">
              <a16:creationId xmlns:a16="http://schemas.microsoft.com/office/drawing/2014/main" id="{68AF46F9-3425-D10B-8B9D-B5BF22AE83E8}"/>
            </a:ext>
          </a:extLst>
        </xdr:cNvPr>
        <xdr:cNvPicPr>
          <a:picLocks noChangeAspect="1"/>
        </xdr:cNvPicPr>
      </xdr:nvPicPr>
      <xdr:blipFill>
        <a:blip xmlns:r="http://schemas.openxmlformats.org/officeDocument/2006/relationships" r:embed="rId8"/>
        <a:stretch>
          <a:fillRect/>
        </a:stretch>
      </xdr:blipFill>
      <xdr:spPr>
        <a:xfrm>
          <a:off x="297180" y="15948660"/>
          <a:ext cx="6782388" cy="1577477"/>
        </a:xfrm>
        <a:prstGeom prst="rect">
          <a:avLst/>
        </a:prstGeom>
      </xdr:spPr>
    </xdr:pic>
    <xdr:clientData/>
  </xdr:twoCellAnchor>
  <xdr:twoCellAnchor editAs="oneCell">
    <xdr:from>
      <xdr:col>0</xdr:col>
      <xdr:colOff>236220</xdr:colOff>
      <xdr:row>141</xdr:row>
      <xdr:rowOff>129540</xdr:rowOff>
    </xdr:from>
    <xdr:to>
      <xdr:col>8</xdr:col>
      <xdr:colOff>389232</xdr:colOff>
      <xdr:row>151</xdr:row>
      <xdr:rowOff>114457</xdr:rowOff>
    </xdr:to>
    <xdr:pic>
      <xdr:nvPicPr>
        <xdr:cNvPr id="25" name="Picture 24">
          <a:extLst>
            <a:ext uri="{FF2B5EF4-FFF2-40B4-BE49-F238E27FC236}">
              <a16:creationId xmlns:a16="http://schemas.microsoft.com/office/drawing/2014/main" id="{A54D2187-D774-2124-9468-89763FC914FD}"/>
            </a:ext>
          </a:extLst>
        </xdr:cNvPr>
        <xdr:cNvPicPr>
          <a:picLocks noChangeAspect="1"/>
        </xdr:cNvPicPr>
      </xdr:nvPicPr>
      <xdr:blipFill>
        <a:blip xmlns:r="http://schemas.openxmlformats.org/officeDocument/2006/relationships" r:embed="rId9"/>
        <a:stretch>
          <a:fillRect/>
        </a:stretch>
      </xdr:blipFill>
      <xdr:spPr>
        <a:xfrm>
          <a:off x="236220" y="27256740"/>
          <a:ext cx="7056732" cy="1813717"/>
        </a:xfrm>
        <a:prstGeom prst="rect">
          <a:avLst/>
        </a:prstGeom>
      </xdr:spPr>
    </xdr:pic>
    <xdr:clientData/>
  </xdr:twoCellAnchor>
  <xdr:twoCellAnchor editAs="oneCell">
    <xdr:from>
      <xdr:col>1</xdr:col>
      <xdr:colOff>7620</xdr:colOff>
      <xdr:row>164</xdr:row>
      <xdr:rowOff>38100</xdr:rowOff>
    </xdr:from>
    <xdr:to>
      <xdr:col>8</xdr:col>
      <xdr:colOff>130124</xdr:colOff>
      <xdr:row>172</xdr:row>
      <xdr:rowOff>114433</xdr:rowOff>
    </xdr:to>
    <xdr:pic>
      <xdr:nvPicPr>
        <xdr:cNvPr id="26" name="Picture 25">
          <a:extLst>
            <a:ext uri="{FF2B5EF4-FFF2-40B4-BE49-F238E27FC236}">
              <a16:creationId xmlns:a16="http://schemas.microsoft.com/office/drawing/2014/main" id="{437CFCEE-45CD-99D8-ECBB-B0B5B2FD50FC}"/>
            </a:ext>
          </a:extLst>
        </xdr:cNvPr>
        <xdr:cNvPicPr>
          <a:picLocks noChangeAspect="1"/>
        </xdr:cNvPicPr>
      </xdr:nvPicPr>
      <xdr:blipFill>
        <a:blip xmlns:r="http://schemas.openxmlformats.org/officeDocument/2006/relationships" r:embed="rId10"/>
        <a:stretch>
          <a:fillRect/>
        </a:stretch>
      </xdr:blipFill>
      <xdr:spPr>
        <a:xfrm>
          <a:off x="289560" y="29237940"/>
          <a:ext cx="6744284" cy="1539373"/>
        </a:xfrm>
        <a:prstGeom prst="rect">
          <a:avLst/>
        </a:prstGeom>
      </xdr:spPr>
    </xdr:pic>
    <xdr:clientData/>
  </xdr:twoCellAnchor>
  <xdr:twoCellAnchor editAs="oneCell">
    <xdr:from>
      <xdr:col>0</xdr:col>
      <xdr:colOff>259080</xdr:colOff>
      <xdr:row>198</xdr:row>
      <xdr:rowOff>76200</xdr:rowOff>
    </xdr:from>
    <xdr:to>
      <xdr:col>6</xdr:col>
      <xdr:colOff>168149</xdr:colOff>
      <xdr:row>208</xdr:row>
      <xdr:rowOff>45876</xdr:rowOff>
    </xdr:to>
    <xdr:pic>
      <xdr:nvPicPr>
        <xdr:cNvPr id="27" name="Picture 26">
          <a:extLst>
            <a:ext uri="{FF2B5EF4-FFF2-40B4-BE49-F238E27FC236}">
              <a16:creationId xmlns:a16="http://schemas.microsoft.com/office/drawing/2014/main" id="{54A8B44B-D2F8-7F67-3EEB-2B471B8EDBEA}"/>
            </a:ext>
          </a:extLst>
        </xdr:cNvPr>
        <xdr:cNvPicPr>
          <a:picLocks noChangeAspect="1"/>
        </xdr:cNvPicPr>
      </xdr:nvPicPr>
      <xdr:blipFill>
        <a:blip xmlns:r="http://schemas.openxmlformats.org/officeDocument/2006/relationships" r:embed="rId11"/>
        <a:stretch>
          <a:fillRect/>
        </a:stretch>
      </xdr:blipFill>
      <xdr:spPr>
        <a:xfrm>
          <a:off x="259080" y="37071300"/>
          <a:ext cx="5875529" cy="1798476"/>
        </a:xfrm>
        <a:prstGeom prst="rect">
          <a:avLst/>
        </a:prstGeom>
      </xdr:spPr>
    </xdr:pic>
    <xdr:clientData/>
  </xdr:twoCellAnchor>
  <xdr:twoCellAnchor editAs="oneCell">
    <xdr:from>
      <xdr:col>0</xdr:col>
      <xdr:colOff>236220</xdr:colOff>
      <xdr:row>221</xdr:row>
      <xdr:rowOff>68580</xdr:rowOff>
    </xdr:from>
    <xdr:to>
      <xdr:col>8</xdr:col>
      <xdr:colOff>84405</xdr:colOff>
      <xdr:row>230</xdr:row>
      <xdr:rowOff>30613</xdr:rowOff>
    </xdr:to>
    <xdr:pic>
      <xdr:nvPicPr>
        <xdr:cNvPr id="28" name="Picture 27">
          <a:extLst>
            <a:ext uri="{FF2B5EF4-FFF2-40B4-BE49-F238E27FC236}">
              <a16:creationId xmlns:a16="http://schemas.microsoft.com/office/drawing/2014/main" id="{26A4F860-E65F-C7E5-B7DC-EC9950FE58B2}"/>
            </a:ext>
          </a:extLst>
        </xdr:cNvPr>
        <xdr:cNvPicPr>
          <a:picLocks noChangeAspect="1"/>
        </xdr:cNvPicPr>
      </xdr:nvPicPr>
      <xdr:blipFill>
        <a:blip xmlns:r="http://schemas.openxmlformats.org/officeDocument/2006/relationships" r:embed="rId12"/>
        <a:stretch>
          <a:fillRect/>
        </a:stretch>
      </xdr:blipFill>
      <xdr:spPr>
        <a:xfrm>
          <a:off x="236220" y="35501580"/>
          <a:ext cx="6751905" cy="153937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10</xdr:col>
      <xdr:colOff>0</xdr:colOff>
      <xdr:row>2</xdr:row>
      <xdr:rowOff>99060</xdr:rowOff>
    </xdr:from>
    <xdr:ext cx="4816257" cy="1486029"/>
    <xdr:pic>
      <xdr:nvPicPr>
        <xdr:cNvPr id="2" name="Picture 1">
          <a:extLst>
            <a:ext uri="{FF2B5EF4-FFF2-40B4-BE49-F238E27FC236}">
              <a16:creationId xmlns:a16="http://schemas.microsoft.com/office/drawing/2014/main" id="{140F15D6-275B-405D-AFA7-6B566C6C4B81}"/>
            </a:ext>
          </a:extLst>
        </xdr:cNvPr>
        <xdr:cNvPicPr>
          <a:picLocks noChangeAspect="1"/>
        </xdr:cNvPicPr>
      </xdr:nvPicPr>
      <xdr:blipFill>
        <a:blip xmlns:r="http://schemas.openxmlformats.org/officeDocument/2006/relationships" r:embed="rId1"/>
        <a:stretch>
          <a:fillRect/>
        </a:stretch>
      </xdr:blipFill>
      <xdr:spPr>
        <a:xfrm>
          <a:off x="822960" y="9212580"/>
          <a:ext cx="4816257" cy="1486029"/>
        </a:xfrm>
        <a:prstGeom prst="rect">
          <a:avLst/>
        </a:prstGeom>
      </xdr:spPr>
    </xdr:pic>
    <xdr:clientData/>
  </xdr:oneCellAnchor>
  <xdr:oneCellAnchor>
    <xdr:from>
      <xdr:col>1</xdr:col>
      <xdr:colOff>45720</xdr:colOff>
      <xdr:row>13</xdr:row>
      <xdr:rowOff>53340</xdr:rowOff>
    </xdr:from>
    <xdr:ext cx="4823878" cy="1501270"/>
    <xdr:pic>
      <xdr:nvPicPr>
        <xdr:cNvPr id="3" name="Picture 2">
          <a:extLst>
            <a:ext uri="{FF2B5EF4-FFF2-40B4-BE49-F238E27FC236}">
              <a16:creationId xmlns:a16="http://schemas.microsoft.com/office/drawing/2014/main" id="{813DB576-C115-40B2-82C7-8FAA313D0619}"/>
            </a:ext>
          </a:extLst>
        </xdr:cNvPr>
        <xdr:cNvPicPr>
          <a:picLocks noChangeAspect="1"/>
        </xdr:cNvPicPr>
      </xdr:nvPicPr>
      <xdr:blipFill>
        <a:blip xmlns:r="http://schemas.openxmlformats.org/officeDocument/2006/relationships" r:embed="rId2"/>
        <a:stretch>
          <a:fillRect/>
        </a:stretch>
      </xdr:blipFill>
      <xdr:spPr>
        <a:xfrm>
          <a:off x="655320" y="2796540"/>
          <a:ext cx="4823878" cy="1501270"/>
        </a:xfrm>
        <a:prstGeom prst="rect">
          <a:avLst/>
        </a:prstGeom>
      </xdr:spPr>
    </xdr:pic>
    <xdr:clientData/>
  </xdr:oneCellAnchor>
  <xdr:oneCellAnchor>
    <xdr:from>
      <xdr:col>10</xdr:col>
      <xdr:colOff>15240</xdr:colOff>
      <xdr:row>13</xdr:row>
      <xdr:rowOff>60960</xdr:rowOff>
    </xdr:from>
    <xdr:ext cx="4780395" cy="1485900"/>
    <xdr:pic>
      <xdr:nvPicPr>
        <xdr:cNvPr id="4" name="Picture 3">
          <a:extLst>
            <a:ext uri="{FF2B5EF4-FFF2-40B4-BE49-F238E27FC236}">
              <a16:creationId xmlns:a16="http://schemas.microsoft.com/office/drawing/2014/main" id="{8CDA53B8-F4C7-4747-8BBF-4FB7E26CC9BF}"/>
            </a:ext>
          </a:extLst>
        </xdr:cNvPr>
        <xdr:cNvPicPr>
          <a:picLocks noChangeAspect="1"/>
        </xdr:cNvPicPr>
      </xdr:nvPicPr>
      <xdr:blipFill>
        <a:blip xmlns:r="http://schemas.openxmlformats.org/officeDocument/2006/relationships" r:embed="rId3"/>
        <a:stretch>
          <a:fillRect/>
        </a:stretch>
      </xdr:blipFill>
      <xdr:spPr>
        <a:xfrm>
          <a:off x="5745480" y="2438400"/>
          <a:ext cx="4780395" cy="1485900"/>
        </a:xfrm>
        <a:prstGeom prst="rect">
          <a:avLst/>
        </a:prstGeom>
      </xdr:spPr>
    </xdr:pic>
    <xdr:clientData/>
  </xdr:oneCellAnchor>
  <xdr:oneCellAnchor>
    <xdr:from>
      <xdr:col>1</xdr:col>
      <xdr:colOff>0</xdr:colOff>
      <xdr:row>2</xdr:row>
      <xdr:rowOff>106680</xdr:rowOff>
    </xdr:from>
    <xdr:ext cx="4808637" cy="1493649"/>
    <xdr:pic>
      <xdr:nvPicPr>
        <xdr:cNvPr id="5" name="Picture 4">
          <a:extLst>
            <a:ext uri="{FF2B5EF4-FFF2-40B4-BE49-F238E27FC236}">
              <a16:creationId xmlns:a16="http://schemas.microsoft.com/office/drawing/2014/main" id="{8665F4D1-8F36-4C52-99EC-6611848F7ECF}"/>
            </a:ext>
          </a:extLst>
        </xdr:cNvPr>
        <xdr:cNvPicPr>
          <a:picLocks noChangeAspect="1"/>
        </xdr:cNvPicPr>
      </xdr:nvPicPr>
      <xdr:blipFill>
        <a:blip xmlns:r="http://schemas.openxmlformats.org/officeDocument/2006/relationships" r:embed="rId4"/>
        <a:stretch>
          <a:fillRect/>
        </a:stretch>
      </xdr:blipFill>
      <xdr:spPr>
        <a:xfrm>
          <a:off x="609600" y="655320"/>
          <a:ext cx="4808637" cy="1493649"/>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9</xdr:col>
      <xdr:colOff>274320</xdr:colOff>
      <xdr:row>49</xdr:row>
      <xdr:rowOff>88436</xdr:rowOff>
    </xdr:from>
    <xdr:to>
      <xdr:col>22</xdr:col>
      <xdr:colOff>266700</xdr:colOff>
      <xdr:row>80</xdr:row>
      <xdr:rowOff>153200</xdr:rowOff>
    </xdr:to>
    <xdr:pic>
      <xdr:nvPicPr>
        <xdr:cNvPr id="2" name="Picture 1">
          <a:extLst>
            <a:ext uri="{FF2B5EF4-FFF2-40B4-BE49-F238E27FC236}">
              <a16:creationId xmlns:a16="http://schemas.microsoft.com/office/drawing/2014/main" id="{BAEF8C94-9810-4E8B-9BD5-D343EE4749D5}"/>
            </a:ext>
          </a:extLst>
        </xdr:cNvPr>
        <xdr:cNvPicPr>
          <a:picLocks noChangeAspect="1"/>
        </xdr:cNvPicPr>
      </xdr:nvPicPr>
      <xdr:blipFill>
        <a:blip xmlns:r="http://schemas.openxmlformats.org/officeDocument/2006/relationships" r:embed="rId1"/>
        <a:stretch>
          <a:fillRect/>
        </a:stretch>
      </xdr:blipFill>
      <xdr:spPr>
        <a:xfrm>
          <a:off x="6911340" y="8676176"/>
          <a:ext cx="7917180" cy="5596884"/>
        </a:xfrm>
        <a:prstGeom prst="rect">
          <a:avLst/>
        </a:prstGeom>
      </xdr:spPr>
    </xdr:pic>
    <xdr:clientData/>
  </xdr:twoCellAnchor>
  <xdr:twoCellAnchor editAs="oneCell">
    <xdr:from>
      <xdr:col>10</xdr:col>
      <xdr:colOff>80333</xdr:colOff>
      <xdr:row>98</xdr:row>
      <xdr:rowOff>91440</xdr:rowOff>
    </xdr:from>
    <xdr:to>
      <xdr:col>23</xdr:col>
      <xdr:colOff>140913</xdr:colOff>
      <xdr:row>126</xdr:row>
      <xdr:rowOff>15240</xdr:rowOff>
    </xdr:to>
    <xdr:pic>
      <xdr:nvPicPr>
        <xdr:cNvPr id="3" name="Picture 2">
          <a:extLst>
            <a:ext uri="{FF2B5EF4-FFF2-40B4-BE49-F238E27FC236}">
              <a16:creationId xmlns:a16="http://schemas.microsoft.com/office/drawing/2014/main" id="{EFCD7E32-7E8A-83C4-6ABA-C1A9514F7080}"/>
            </a:ext>
          </a:extLst>
        </xdr:cNvPr>
        <xdr:cNvPicPr>
          <a:picLocks noChangeAspect="1"/>
        </xdr:cNvPicPr>
      </xdr:nvPicPr>
      <xdr:blipFill>
        <a:blip xmlns:r="http://schemas.openxmlformats.org/officeDocument/2006/relationships" r:embed="rId2"/>
        <a:stretch>
          <a:fillRect/>
        </a:stretch>
      </xdr:blipFill>
      <xdr:spPr>
        <a:xfrm>
          <a:off x="7326953" y="17632680"/>
          <a:ext cx="7985380" cy="4937760"/>
        </a:xfrm>
        <a:prstGeom prst="rect">
          <a:avLst/>
        </a:prstGeom>
      </xdr:spPr>
    </xdr:pic>
    <xdr:clientData/>
  </xdr:twoCellAnchor>
  <xdr:twoCellAnchor editAs="oneCell">
    <xdr:from>
      <xdr:col>9</xdr:col>
      <xdr:colOff>578036</xdr:colOff>
      <xdr:row>146</xdr:row>
      <xdr:rowOff>0</xdr:rowOff>
    </xdr:from>
    <xdr:to>
      <xdr:col>23</xdr:col>
      <xdr:colOff>149746</xdr:colOff>
      <xdr:row>173</xdr:row>
      <xdr:rowOff>99060</xdr:rowOff>
    </xdr:to>
    <xdr:pic>
      <xdr:nvPicPr>
        <xdr:cNvPr id="4" name="Picture 3">
          <a:extLst>
            <a:ext uri="{FF2B5EF4-FFF2-40B4-BE49-F238E27FC236}">
              <a16:creationId xmlns:a16="http://schemas.microsoft.com/office/drawing/2014/main" id="{99E9D35E-52CF-E06A-1AEF-FB0E5A5FB6D6}"/>
            </a:ext>
          </a:extLst>
        </xdr:cNvPr>
        <xdr:cNvPicPr>
          <a:picLocks noChangeAspect="1"/>
        </xdr:cNvPicPr>
      </xdr:nvPicPr>
      <xdr:blipFill>
        <a:blip xmlns:r="http://schemas.openxmlformats.org/officeDocument/2006/relationships" r:embed="rId3"/>
        <a:stretch>
          <a:fillRect/>
        </a:stretch>
      </xdr:blipFill>
      <xdr:spPr>
        <a:xfrm>
          <a:off x="7215056" y="26212800"/>
          <a:ext cx="8106110" cy="4930140"/>
        </a:xfrm>
        <a:prstGeom prst="rect">
          <a:avLst/>
        </a:prstGeom>
      </xdr:spPr>
    </xdr:pic>
    <xdr:clientData/>
  </xdr:twoCellAnchor>
  <xdr:twoCellAnchor editAs="oneCell">
    <xdr:from>
      <xdr:col>9</xdr:col>
      <xdr:colOff>114300</xdr:colOff>
      <xdr:row>3</xdr:row>
      <xdr:rowOff>173562</xdr:rowOff>
    </xdr:from>
    <xdr:to>
      <xdr:col>22</xdr:col>
      <xdr:colOff>266700</xdr:colOff>
      <xdr:row>32</xdr:row>
      <xdr:rowOff>30787</xdr:rowOff>
    </xdr:to>
    <xdr:pic>
      <xdr:nvPicPr>
        <xdr:cNvPr id="5" name="Picture 4">
          <a:extLst>
            <a:ext uri="{FF2B5EF4-FFF2-40B4-BE49-F238E27FC236}">
              <a16:creationId xmlns:a16="http://schemas.microsoft.com/office/drawing/2014/main" id="{D610AE69-1C0D-197B-D7BB-738D710476AF}"/>
            </a:ext>
          </a:extLst>
        </xdr:cNvPr>
        <xdr:cNvPicPr>
          <a:picLocks noChangeAspect="1"/>
        </xdr:cNvPicPr>
      </xdr:nvPicPr>
      <xdr:blipFill>
        <a:blip xmlns:r="http://schemas.openxmlformats.org/officeDocument/2006/relationships" r:embed="rId4"/>
        <a:stretch>
          <a:fillRect/>
        </a:stretch>
      </xdr:blipFill>
      <xdr:spPr>
        <a:xfrm>
          <a:off x="6751320" y="699342"/>
          <a:ext cx="8077200" cy="5054065"/>
        </a:xfrm>
        <a:prstGeom prst="rect">
          <a:avLst/>
        </a:prstGeom>
      </xdr:spPr>
    </xdr:pic>
    <xdr:clientData/>
  </xdr:twoCellAnchor>
  <xdr:twoCellAnchor editAs="oneCell">
    <xdr:from>
      <xdr:col>1</xdr:col>
      <xdr:colOff>121920</xdr:colOff>
      <xdr:row>49</xdr:row>
      <xdr:rowOff>68580</xdr:rowOff>
    </xdr:from>
    <xdr:to>
      <xdr:col>8</xdr:col>
      <xdr:colOff>244345</xdr:colOff>
      <xdr:row>61</xdr:row>
      <xdr:rowOff>122107</xdr:rowOff>
    </xdr:to>
    <xdr:pic>
      <xdr:nvPicPr>
        <xdr:cNvPr id="7" name="Picture 6">
          <a:extLst>
            <a:ext uri="{FF2B5EF4-FFF2-40B4-BE49-F238E27FC236}">
              <a16:creationId xmlns:a16="http://schemas.microsoft.com/office/drawing/2014/main" id="{4AD0E987-8204-3A86-D038-0EE1EE8C5BF6}"/>
            </a:ext>
          </a:extLst>
        </xdr:cNvPr>
        <xdr:cNvPicPr>
          <a:picLocks noChangeAspect="1"/>
        </xdr:cNvPicPr>
      </xdr:nvPicPr>
      <xdr:blipFill>
        <a:blip xmlns:r="http://schemas.openxmlformats.org/officeDocument/2006/relationships" r:embed="rId5"/>
        <a:stretch>
          <a:fillRect/>
        </a:stretch>
      </xdr:blipFill>
      <xdr:spPr>
        <a:xfrm>
          <a:off x="441960" y="8656320"/>
          <a:ext cx="5829805" cy="2156647"/>
        </a:xfrm>
        <a:prstGeom prst="rect">
          <a:avLst/>
        </a:prstGeom>
      </xdr:spPr>
    </xdr:pic>
    <xdr:clientData/>
  </xdr:twoCellAnchor>
  <xdr:twoCellAnchor editAs="oneCell">
    <xdr:from>
      <xdr:col>9</xdr:col>
      <xdr:colOff>327660</xdr:colOff>
      <xdr:row>82</xdr:row>
      <xdr:rowOff>173490</xdr:rowOff>
    </xdr:from>
    <xdr:to>
      <xdr:col>19</xdr:col>
      <xdr:colOff>290146</xdr:colOff>
      <xdr:row>93</xdr:row>
      <xdr:rowOff>129730</xdr:rowOff>
    </xdr:to>
    <xdr:pic>
      <xdr:nvPicPr>
        <xdr:cNvPr id="8" name="Picture 7">
          <a:extLst>
            <a:ext uri="{FF2B5EF4-FFF2-40B4-BE49-F238E27FC236}">
              <a16:creationId xmlns:a16="http://schemas.microsoft.com/office/drawing/2014/main" id="{B5AB5F6D-EAC9-CA2E-E49C-664F564847F8}"/>
            </a:ext>
          </a:extLst>
        </xdr:cNvPr>
        <xdr:cNvPicPr>
          <a:picLocks noChangeAspect="1"/>
        </xdr:cNvPicPr>
      </xdr:nvPicPr>
      <xdr:blipFill>
        <a:blip xmlns:r="http://schemas.openxmlformats.org/officeDocument/2006/relationships" r:embed="rId6"/>
        <a:stretch>
          <a:fillRect/>
        </a:stretch>
      </xdr:blipFill>
      <xdr:spPr>
        <a:xfrm>
          <a:off x="6964680" y="14643870"/>
          <a:ext cx="6058486" cy="1960300"/>
        </a:xfrm>
        <a:prstGeom prst="rect">
          <a:avLst/>
        </a:prstGeom>
      </xdr:spPr>
    </xdr:pic>
    <xdr:clientData/>
  </xdr:twoCellAnchor>
  <xdr:twoCellAnchor editAs="oneCell">
    <xdr:from>
      <xdr:col>1</xdr:col>
      <xdr:colOff>0</xdr:colOff>
      <xdr:row>4</xdr:row>
      <xdr:rowOff>53340</xdr:rowOff>
    </xdr:from>
    <xdr:to>
      <xdr:col>8</xdr:col>
      <xdr:colOff>137667</xdr:colOff>
      <xdr:row>15</xdr:row>
      <xdr:rowOff>53507</xdr:rowOff>
    </xdr:to>
    <xdr:pic>
      <xdr:nvPicPr>
        <xdr:cNvPr id="9" name="Picture 8">
          <a:extLst>
            <a:ext uri="{FF2B5EF4-FFF2-40B4-BE49-F238E27FC236}">
              <a16:creationId xmlns:a16="http://schemas.microsoft.com/office/drawing/2014/main" id="{563747D5-A532-A296-7ABB-7DEBE9834318}"/>
            </a:ext>
          </a:extLst>
        </xdr:cNvPr>
        <xdr:cNvPicPr>
          <a:picLocks noChangeAspect="1"/>
        </xdr:cNvPicPr>
      </xdr:nvPicPr>
      <xdr:blipFill>
        <a:blip xmlns:r="http://schemas.openxmlformats.org/officeDocument/2006/relationships" r:embed="rId7"/>
        <a:stretch>
          <a:fillRect/>
        </a:stretch>
      </xdr:blipFill>
      <xdr:spPr>
        <a:xfrm>
          <a:off x="320040" y="754380"/>
          <a:ext cx="5845047" cy="1928027"/>
        </a:xfrm>
        <a:prstGeom prst="rect">
          <a:avLst/>
        </a:prstGeom>
      </xdr:spPr>
    </xdr:pic>
    <xdr:clientData/>
  </xdr:twoCellAnchor>
  <xdr:twoCellAnchor editAs="oneCell">
    <xdr:from>
      <xdr:col>9</xdr:col>
      <xdr:colOff>388620</xdr:colOff>
      <xdr:row>35</xdr:row>
      <xdr:rowOff>53340</xdr:rowOff>
    </xdr:from>
    <xdr:to>
      <xdr:col>20</xdr:col>
      <xdr:colOff>412063</xdr:colOff>
      <xdr:row>44</xdr:row>
      <xdr:rowOff>129689</xdr:rowOff>
    </xdr:to>
    <xdr:pic>
      <xdr:nvPicPr>
        <xdr:cNvPr id="10" name="Picture 9">
          <a:extLst>
            <a:ext uri="{FF2B5EF4-FFF2-40B4-BE49-F238E27FC236}">
              <a16:creationId xmlns:a16="http://schemas.microsoft.com/office/drawing/2014/main" id="{946E272E-1B74-AD5B-4703-83EB3F0A7BA0}"/>
            </a:ext>
          </a:extLst>
        </xdr:cNvPr>
        <xdr:cNvPicPr>
          <a:picLocks noChangeAspect="1"/>
        </xdr:cNvPicPr>
      </xdr:nvPicPr>
      <xdr:blipFill>
        <a:blip xmlns:r="http://schemas.openxmlformats.org/officeDocument/2006/relationships" r:embed="rId8"/>
        <a:stretch>
          <a:fillRect/>
        </a:stretch>
      </xdr:blipFill>
      <xdr:spPr>
        <a:xfrm>
          <a:off x="7025640" y="6301740"/>
          <a:ext cx="6729043" cy="1722269"/>
        </a:xfrm>
        <a:prstGeom prst="rect">
          <a:avLst/>
        </a:prstGeom>
      </xdr:spPr>
    </xdr:pic>
    <xdr:clientData/>
  </xdr:twoCellAnchor>
  <xdr:twoCellAnchor editAs="oneCell">
    <xdr:from>
      <xdr:col>1</xdr:col>
      <xdr:colOff>0</xdr:colOff>
      <xdr:row>98</xdr:row>
      <xdr:rowOff>0</xdr:rowOff>
    </xdr:from>
    <xdr:to>
      <xdr:col>8</xdr:col>
      <xdr:colOff>145287</xdr:colOff>
      <xdr:row>110</xdr:row>
      <xdr:rowOff>45906</xdr:rowOff>
    </xdr:to>
    <xdr:pic>
      <xdr:nvPicPr>
        <xdr:cNvPr id="11" name="Picture 10">
          <a:extLst>
            <a:ext uri="{FF2B5EF4-FFF2-40B4-BE49-F238E27FC236}">
              <a16:creationId xmlns:a16="http://schemas.microsoft.com/office/drawing/2014/main" id="{F6E440DA-1EBE-1DD2-2F70-BB5225DF3182}"/>
            </a:ext>
          </a:extLst>
        </xdr:cNvPr>
        <xdr:cNvPicPr>
          <a:picLocks noChangeAspect="1"/>
        </xdr:cNvPicPr>
      </xdr:nvPicPr>
      <xdr:blipFill>
        <a:blip xmlns:r="http://schemas.openxmlformats.org/officeDocument/2006/relationships" r:embed="rId9"/>
        <a:stretch>
          <a:fillRect/>
        </a:stretch>
      </xdr:blipFill>
      <xdr:spPr>
        <a:xfrm>
          <a:off x="320040" y="17541240"/>
          <a:ext cx="5852667" cy="2149026"/>
        </a:xfrm>
        <a:prstGeom prst="rect">
          <a:avLst/>
        </a:prstGeom>
      </xdr:spPr>
    </xdr:pic>
    <xdr:clientData/>
  </xdr:twoCellAnchor>
  <xdr:twoCellAnchor editAs="oneCell">
    <xdr:from>
      <xdr:col>10</xdr:col>
      <xdr:colOff>7620</xdr:colOff>
      <xdr:row>130</xdr:row>
      <xdr:rowOff>53340</xdr:rowOff>
    </xdr:from>
    <xdr:to>
      <xdr:col>21</xdr:col>
      <xdr:colOff>23442</xdr:colOff>
      <xdr:row>140</xdr:row>
      <xdr:rowOff>106843</xdr:rowOff>
    </xdr:to>
    <xdr:pic>
      <xdr:nvPicPr>
        <xdr:cNvPr id="12" name="Picture 11">
          <a:extLst>
            <a:ext uri="{FF2B5EF4-FFF2-40B4-BE49-F238E27FC236}">
              <a16:creationId xmlns:a16="http://schemas.microsoft.com/office/drawing/2014/main" id="{3390DD91-6FD1-3A9D-2A16-A54674EE3A1A}"/>
            </a:ext>
          </a:extLst>
        </xdr:cNvPr>
        <xdr:cNvPicPr>
          <a:picLocks noChangeAspect="1"/>
        </xdr:cNvPicPr>
      </xdr:nvPicPr>
      <xdr:blipFill>
        <a:blip xmlns:r="http://schemas.openxmlformats.org/officeDocument/2006/relationships" r:embed="rId10"/>
        <a:stretch>
          <a:fillRect/>
        </a:stretch>
      </xdr:blipFill>
      <xdr:spPr>
        <a:xfrm>
          <a:off x="7254240" y="23324820"/>
          <a:ext cx="6721422" cy="1882303"/>
        </a:xfrm>
        <a:prstGeom prst="rect">
          <a:avLst/>
        </a:prstGeom>
      </xdr:spPr>
    </xdr:pic>
    <xdr:clientData/>
  </xdr:twoCellAnchor>
  <xdr:twoCellAnchor editAs="oneCell">
    <xdr:from>
      <xdr:col>1</xdr:col>
      <xdr:colOff>0</xdr:colOff>
      <xdr:row>145</xdr:row>
      <xdr:rowOff>0</xdr:rowOff>
    </xdr:from>
    <xdr:to>
      <xdr:col>8</xdr:col>
      <xdr:colOff>91943</xdr:colOff>
      <xdr:row>157</xdr:row>
      <xdr:rowOff>7803</xdr:rowOff>
    </xdr:to>
    <xdr:pic>
      <xdr:nvPicPr>
        <xdr:cNvPr id="15" name="Picture 14">
          <a:extLst>
            <a:ext uri="{FF2B5EF4-FFF2-40B4-BE49-F238E27FC236}">
              <a16:creationId xmlns:a16="http://schemas.microsoft.com/office/drawing/2014/main" id="{EB7F9119-3A1C-4C8C-DEAB-ADA05F8C1EA5}"/>
            </a:ext>
          </a:extLst>
        </xdr:cNvPr>
        <xdr:cNvPicPr>
          <a:picLocks noChangeAspect="1"/>
        </xdr:cNvPicPr>
      </xdr:nvPicPr>
      <xdr:blipFill>
        <a:blip xmlns:r="http://schemas.openxmlformats.org/officeDocument/2006/relationships" r:embed="rId11"/>
        <a:stretch>
          <a:fillRect/>
        </a:stretch>
      </xdr:blipFill>
      <xdr:spPr>
        <a:xfrm>
          <a:off x="320040" y="25976580"/>
          <a:ext cx="5799323" cy="2110923"/>
        </a:xfrm>
        <a:prstGeom prst="rect">
          <a:avLst/>
        </a:prstGeom>
      </xdr:spPr>
    </xdr:pic>
    <xdr:clientData/>
  </xdr:twoCellAnchor>
  <xdr:twoCellAnchor editAs="oneCell">
    <xdr:from>
      <xdr:col>10</xdr:col>
      <xdr:colOff>0</xdr:colOff>
      <xdr:row>176</xdr:row>
      <xdr:rowOff>0</xdr:rowOff>
    </xdr:from>
    <xdr:to>
      <xdr:col>21</xdr:col>
      <xdr:colOff>38684</xdr:colOff>
      <xdr:row>186</xdr:row>
      <xdr:rowOff>53503</xdr:rowOff>
    </xdr:to>
    <xdr:pic>
      <xdr:nvPicPr>
        <xdr:cNvPr id="16" name="Picture 15">
          <a:extLst>
            <a:ext uri="{FF2B5EF4-FFF2-40B4-BE49-F238E27FC236}">
              <a16:creationId xmlns:a16="http://schemas.microsoft.com/office/drawing/2014/main" id="{96629598-2AAC-C3EB-A3C5-1F15C68E6586}"/>
            </a:ext>
          </a:extLst>
        </xdr:cNvPr>
        <xdr:cNvPicPr>
          <a:picLocks noChangeAspect="1"/>
        </xdr:cNvPicPr>
      </xdr:nvPicPr>
      <xdr:blipFill>
        <a:blip xmlns:r="http://schemas.openxmlformats.org/officeDocument/2006/relationships" r:embed="rId12"/>
        <a:stretch>
          <a:fillRect/>
        </a:stretch>
      </xdr:blipFill>
      <xdr:spPr>
        <a:xfrm>
          <a:off x="7246620" y="31508700"/>
          <a:ext cx="6744284" cy="188230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10</xdr:col>
      <xdr:colOff>15240</xdr:colOff>
      <xdr:row>2</xdr:row>
      <xdr:rowOff>39216</xdr:rowOff>
    </xdr:from>
    <xdr:ext cx="4716780" cy="1777976"/>
    <xdr:pic>
      <xdr:nvPicPr>
        <xdr:cNvPr id="2" name="Picture 1">
          <a:extLst>
            <a:ext uri="{FF2B5EF4-FFF2-40B4-BE49-F238E27FC236}">
              <a16:creationId xmlns:a16="http://schemas.microsoft.com/office/drawing/2014/main" id="{249C4800-02A4-417D-84F4-B8BEBA6D5972}"/>
            </a:ext>
          </a:extLst>
        </xdr:cNvPr>
        <xdr:cNvPicPr>
          <a:picLocks noChangeAspect="1"/>
        </xdr:cNvPicPr>
      </xdr:nvPicPr>
      <xdr:blipFill>
        <a:blip xmlns:r="http://schemas.openxmlformats.org/officeDocument/2006/relationships" r:embed="rId1"/>
        <a:stretch>
          <a:fillRect/>
        </a:stretch>
      </xdr:blipFill>
      <xdr:spPr>
        <a:xfrm>
          <a:off x="6720840" y="404976"/>
          <a:ext cx="4716780" cy="1777976"/>
        </a:xfrm>
        <a:prstGeom prst="rect">
          <a:avLst/>
        </a:prstGeom>
      </xdr:spPr>
    </xdr:pic>
    <xdr:clientData/>
  </xdr:oneCellAnchor>
  <xdr:oneCellAnchor>
    <xdr:from>
      <xdr:col>10</xdr:col>
      <xdr:colOff>7620</xdr:colOff>
      <xdr:row>14</xdr:row>
      <xdr:rowOff>83820</xdr:rowOff>
    </xdr:from>
    <xdr:ext cx="5000459" cy="1920240"/>
    <xdr:pic>
      <xdr:nvPicPr>
        <xdr:cNvPr id="3" name="Picture 2">
          <a:extLst>
            <a:ext uri="{FF2B5EF4-FFF2-40B4-BE49-F238E27FC236}">
              <a16:creationId xmlns:a16="http://schemas.microsoft.com/office/drawing/2014/main" id="{5AA33860-D093-427B-87B8-C1FB49F3AA76}"/>
            </a:ext>
          </a:extLst>
        </xdr:cNvPr>
        <xdr:cNvPicPr>
          <a:picLocks noChangeAspect="1"/>
        </xdr:cNvPicPr>
      </xdr:nvPicPr>
      <xdr:blipFill>
        <a:blip xmlns:r="http://schemas.openxmlformats.org/officeDocument/2006/relationships" r:embed="rId2"/>
        <a:stretch>
          <a:fillRect/>
        </a:stretch>
      </xdr:blipFill>
      <xdr:spPr>
        <a:xfrm>
          <a:off x="6103620" y="2644140"/>
          <a:ext cx="5000459" cy="1920240"/>
        </a:xfrm>
        <a:prstGeom prst="rect">
          <a:avLst/>
        </a:prstGeom>
      </xdr:spPr>
    </xdr:pic>
    <xdr:clientData/>
  </xdr:oneCellAnchor>
  <xdr:oneCellAnchor>
    <xdr:from>
      <xdr:col>1</xdr:col>
      <xdr:colOff>22859</xdr:colOff>
      <xdr:row>2</xdr:row>
      <xdr:rowOff>38100</xdr:rowOff>
    </xdr:from>
    <xdr:ext cx="5206207" cy="1767840"/>
    <xdr:pic>
      <xdr:nvPicPr>
        <xdr:cNvPr id="4" name="Picture 3">
          <a:extLst>
            <a:ext uri="{FF2B5EF4-FFF2-40B4-BE49-F238E27FC236}">
              <a16:creationId xmlns:a16="http://schemas.microsoft.com/office/drawing/2014/main" id="{9BF1163D-5550-473D-98B4-FDFEBB7A2A58}"/>
            </a:ext>
          </a:extLst>
        </xdr:cNvPr>
        <xdr:cNvPicPr>
          <a:picLocks noChangeAspect="1"/>
        </xdr:cNvPicPr>
      </xdr:nvPicPr>
      <xdr:blipFill>
        <a:blip xmlns:r="http://schemas.openxmlformats.org/officeDocument/2006/relationships" r:embed="rId3"/>
        <a:stretch>
          <a:fillRect/>
        </a:stretch>
      </xdr:blipFill>
      <xdr:spPr>
        <a:xfrm>
          <a:off x="632459" y="403860"/>
          <a:ext cx="5206207" cy="1767840"/>
        </a:xfrm>
        <a:prstGeom prst="rect">
          <a:avLst/>
        </a:prstGeom>
      </xdr:spPr>
    </xdr:pic>
    <xdr:clientData/>
  </xdr:oneCellAnchor>
  <xdr:oneCellAnchor>
    <xdr:from>
      <xdr:col>1</xdr:col>
      <xdr:colOff>7620</xdr:colOff>
      <xdr:row>14</xdr:row>
      <xdr:rowOff>114300</xdr:rowOff>
    </xdr:from>
    <xdr:ext cx="4915326" cy="1882303"/>
    <xdr:pic>
      <xdr:nvPicPr>
        <xdr:cNvPr id="5" name="Picture 4">
          <a:extLst>
            <a:ext uri="{FF2B5EF4-FFF2-40B4-BE49-F238E27FC236}">
              <a16:creationId xmlns:a16="http://schemas.microsoft.com/office/drawing/2014/main" id="{83ED8051-0695-4C05-A39C-14BBF7E70B40}"/>
            </a:ext>
          </a:extLst>
        </xdr:cNvPr>
        <xdr:cNvPicPr>
          <a:picLocks noChangeAspect="1"/>
        </xdr:cNvPicPr>
      </xdr:nvPicPr>
      <xdr:blipFill>
        <a:blip xmlns:r="http://schemas.openxmlformats.org/officeDocument/2006/relationships" r:embed="rId4"/>
        <a:stretch>
          <a:fillRect/>
        </a:stretch>
      </xdr:blipFill>
      <xdr:spPr>
        <a:xfrm>
          <a:off x="845820" y="38846760"/>
          <a:ext cx="4915326" cy="1882303"/>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9</xdr:col>
      <xdr:colOff>60960</xdr:colOff>
      <xdr:row>1</xdr:row>
      <xdr:rowOff>106680</xdr:rowOff>
    </xdr:from>
    <xdr:to>
      <xdr:col>24</xdr:col>
      <xdr:colOff>542052</xdr:colOff>
      <xdr:row>19</xdr:row>
      <xdr:rowOff>140208</xdr:rowOff>
    </xdr:to>
    <xdr:pic>
      <xdr:nvPicPr>
        <xdr:cNvPr id="2" name="Picture 1">
          <a:extLst>
            <a:ext uri="{FF2B5EF4-FFF2-40B4-BE49-F238E27FC236}">
              <a16:creationId xmlns:a16="http://schemas.microsoft.com/office/drawing/2014/main" id="{9C957B2D-308A-4671-B6FE-3D1AA3CD27A2}"/>
            </a:ext>
          </a:extLst>
        </xdr:cNvPr>
        <xdr:cNvPicPr>
          <a:picLocks noChangeAspect="1"/>
        </xdr:cNvPicPr>
      </xdr:nvPicPr>
      <xdr:blipFill>
        <a:blip xmlns:r="http://schemas.openxmlformats.org/officeDocument/2006/relationships" r:embed="rId1"/>
        <a:stretch>
          <a:fillRect/>
        </a:stretch>
      </xdr:blipFill>
      <xdr:spPr>
        <a:xfrm>
          <a:off x="7536180" y="289560"/>
          <a:ext cx="9625092" cy="3325368"/>
        </a:xfrm>
        <a:prstGeom prst="rect">
          <a:avLst/>
        </a:prstGeom>
      </xdr:spPr>
    </xdr:pic>
    <xdr:clientData/>
  </xdr:twoCellAnchor>
  <xdr:twoCellAnchor editAs="oneCell">
    <xdr:from>
      <xdr:col>9</xdr:col>
      <xdr:colOff>114300</xdr:colOff>
      <xdr:row>22</xdr:row>
      <xdr:rowOff>76200</xdr:rowOff>
    </xdr:from>
    <xdr:to>
      <xdr:col>25</xdr:col>
      <xdr:colOff>71628</xdr:colOff>
      <xdr:row>42</xdr:row>
      <xdr:rowOff>15240</xdr:rowOff>
    </xdr:to>
    <xdr:pic>
      <xdr:nvPicPr>
        <xdr:cNvPr id="3" name="Picture 2">
          <a:extLst>
            <a:ext uri="{FF2B5EF4-FFF2-40B4-BE49-F238E27FC236}">
              <a16:creationId xmlns:a16="http://schemas.microsoft.com/office/drawing/2014/main" id="{690E7B2B-9677-4C3F-9FAB-FBF6B6C160E8}"/>
            </a:ext>
          </a:extLst>
        </xdr:cNvPr>
        <xdr:cNvPicPr>
          <a:picLocks noChangeAspect="1"/>
        </xdr:cNvPicPr>
      </xdr:nvPicPr>
      <xdr:blipFill>
        <a:blip xmlns:r="http://schemas.openxmlformats.org/officeDocument/2006/relationships" r:embed="rId2"/>
        <a:stretch>
          <a:fillRect/>
        </a:stretch>
      </xdr:blipFill>
      <xdr:spPr>
        <a:xfrm>
          <a:off x="6979920" y="4099560"/>
          <a:ext cx="9710928" cy="3596640"/>
        </a:xfrm>
        <a:prstGeom prst="rect">
          <a:avLst/>
        </a:prstGeom>
      </xdr:spPr>
    </xdr:pic>
    <xdr:clientData/>
  </xdr:twoCellAnchor>
  <xdr:twoCellAnchor editAs="oneCell">
    <xdr:from>
      <xdr:col>9</xdr:col>
      <xdr:colOff>68580</xdr:colOff>
      <xdr:row>44</xdr:row>
      <xdr:rowOff>121920</xdr:rowOff>
    </xdr:from>
    <xdr:to>
      <xdr:col>28</xdr:col>
      <xdr:colOff>351548</xdr:colOff>
      <xdr:row>64</xdr:row>
      <xdr:rowOff>23168</xdr:rowOff>
    </xdr:to>
    <xdr:pic>
      <xdr:nvPicPr>
        <xdr:cNvPr id="4" name="Picture 3">
          <a:extLst>
            <a:ext uri="{FF2B5EF4-FFF2-40B4-BE49-F238E27FC236}">
              <a16:creationId xmlns:a16="http://schemas.microsoft.com/office/drawing/2014/main" id="{8EC91F0C-A5A6-45D8-B405-4ECC644222EE}"/>
            </a:ext>
          </a:extLst>
        </xdr:cNvPr>
        <xdr:cNvPicPr>
          <a:picLocks noChangeAspect="1"/>
        </xdr:cNvPicPr>
      </xdr:nvPicPr>
      <xdr:blipFill>
        <a:blip xmlns:r="http://schemas.openxmlformats.org/officeDocument/2006/relationships" r:embed="rId3"/>
        <a:stretch>
          <a:fillRect/>
        </a:stretch>
      </xdr:blipFill>
      <xdr:spPr>
        <a:xfrm>
          <a:off x="6934200" y="8168640"/>
          <a:ext cx="11865368" cy="3558848"/>
        </a:xfrm>
        <a:prstGeom prst="rect">
          <a:avLst/>
        </a:prstGeom>
      </xdr:spPr>
    </xdr:pic>
    <xdr:clientData/>
  </xdr:twoCellAnchor>
  <xdr:twoCellAnchor editAs="oneCell">
    <xdr:from>
      <xdr:col>9</xdr:col>
      <xdr:colOff>83820</xdr:colOff>
      <xdr:row>67</xdr:row>
      <xdr:rowOff>0</xdr:rowOff>
    </xdr:from>
    <xdr:to>
      <xdr:col>28</xdr:col>
      <xdr:colOff>336306</xdr:colOff>
      <xdr:row>86</xdr:row>
      <xdr:rowOff>91749</xdr:rowOff>
    </xdr:to>
    <xdr:pic>
      <xdr:nvPicPr>
        <xdr:cNvPr id="5" name="Picture 4">
          <a:extLst>
            <a:ext uri="{FF2B5EF4-FFF2-40B4-BE49-F238E27FC236}">
              <a16:creationId xmlns:a16="http://schemas.microsoft.com/office/drawing/2014/main" id="{A04615FF-64FE-443F-8083-63AB6AFB8703}"/>
            </a:ext>
          </a:extLst>
        </xdr:cNvPr>
        <xdr:cNvPicPr>
          <a:picLocks noChangeAspect="1"/>
        </xdr:cNvPicPr>
      </xdr:nvPicPr>
      <xdr:blipFill>
        <a:blip xmlns:r="http://schemas.openxmlformats.org/officeDocument/2006/relationships" r:embed="rId4"/>
        <a:stretch>
          <a:fillRect/>
        </a:stretch>
      </xdr:blipFill>
      <xdr:spPr>
        <a:xfrm>
          <a:off x="6949440" y="12252960"/>
          <a:ext cx="11834886" cy="356646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38100</xdr:colOff>
      <xdr:row>60</xdr:row>
      <xdr:rowOff>114300</xdr:rowOff>
    </xdr:from>
    <xdr:to>
      <xdr:col>15</xdr:col>
      <xdr:colOff>358140</xdr:colOff>
      <xdr:row>76</xdr:row>
      <xdr:rowOff>27376</xdr:rowOff>
    </xdr:to>
    <xdr:pic>
      <xdr:nvPicPr>
        <xdr:cNvPr id="2" name="Picture 1">
          <a:extLst>
            <a:ext uri="{FF2B5EF4-FFF2-40B4-BE49-F238E27FC236}">
              <a16:creationId xmlns:a16="http://schemas.microsoft.com/office/drawing/2014/main" id="{E350044E-3FED-40F1-84C8-B0074F349F8E}"/>
            </a:ext>
          </a:extLst>
        </xdr:cNvPr>
        <xdr:cNvPicPr>
          <a:picLocks noChangeAspect="1"/>
        </xdr:cNvPicPr>
      </xdr:nvPicPr>
      <xdr:blipFill>
        <a:blip xmlns:r="http://schemas.openxmlformats.org/officeDocument/2006/relationships" r:embed="rId1"/>
        <a:stretch>
          <a:fillRect/>
        </a:stretch>
      </xdr:blipFill>
      <xdr:spPr>
        <a:xfrm>
          <a:off x="2766060" y="2918460"/>
          <a:ext cx="7665720" cy="2839156"/>
        </a:xfrm>
        <a:prstGeom prst="rect">
          <a:avLst/>
        </a:prstGeom>
      </xdr:spPr>
    </xdr:pic>
    <xdr:clientData/>
  </xdr:twoCellAnchor>
  <xdr:twoCellAnchor editAs="oneCell">
    <xdr:from>
      <xdr:col>4</xdr:col>
      <xdr:colOff>22860</xdr:colOff>
      <xdr:row>112</xdr:row>
      <xdr:rowOff>173463</xdr:rowOff>
    </xdr:from>
    <xdr:to>
      <xdr:col>16</xdr:col>
      <xdr:colOff>426720</xdr:colOff>
      <xdr:row>126</xdr:row>
      <xdr:rowOff>120348</xdr:rowOff>
    </xdr:to>
    <xdr:pic>
      <xdr:nvPicPr>
        <xdr:cNvPr id="3" name="Picture 2">
          <a:extLst>
            <a:ext uri="{FF2B5EF4-FFF2-40B4-BE49-F238E27FC236}">
              <a16:creationId xmlns:a16="http://schemas.microsoft.com/office/drawing/2014/main" id="{0A6EF873-DF91-493B-973F-DE7E1278F145}"/>
            </a:ext>
          </a:extLst>
        </xdr:cNvPr>
        <xdr:cNvPicPr>
          <a:picLocks noChangeAspect="1"/>
        </xdr:cNvPicPr>
      </xdr:nvPicPr>
      <xdr:blipFill>
        <a:blip xmlns:r="http://schemas.openxmlformats.org/officeDocument/2006/relationships" r:embed="rId2"/>
        <a:stretch>
          <a:fillRect/>
        </a:stretch>
      </xdr:blipFill>
      <xdr:spPr>
        <a:xfrm>
          <a:off x="2750820" y="12319743"/>
          <a:ext cx="8359140" cy="2507205"/>
        </a:xfrm>
        <a:prstGeom prst="rect">
          <a:avLst/>
        </a:prstGeom>
      </xdr:spPr>
    </xdr:pic>
    <xdr:clientData/>
  </xdr:twoCellAnchor>
  <xdr:twoCellAnchor editAs="oneCell">
    <xdr:from>
      <xdr:col>3</xdr:col>
      <xdr:colOff>472440</xdr:colOff>
      <xdr:row>163</xdr:row>
      <xdr:rowOff>27188</xdr:rowOff>
    </xdr:from>
    <xdr:to>
      <xdr:col>16</xdr:col>
      <xdr:colOff>542046</xdr:colOff>
      <xdr:row>177</xdr:row>
      <xdr:rowOff>68889</xdr:rowOff>
    </xdr:to>
    <xdr:pic>
      <xdr:nvPicPr>
        <xdr:cNvPr id="4" name="Picture 3">
          <a:extLst>
            <a:ext uri="{FF2B5EF4-FFF2-40B4-BE49-F238E27FC236}">
              <a16:creationId xmlns:a16="http://schemas.microsoft.com/office/drawing/2014/main" id="{FA3F57C7-F6E2-4F8E-A5F2-C899D07606C6}"/>
            </a:ext>
          </a:extLst>
        </xdr:cNvPr>
        <xdr:cNvPicPr>
          <a:picLocks noChangeAspect="1"/>
        </xdr:cNvPicPr>
      </xdr:nvPicPr>
      <xdr:blipFill>
        <a:blip xmlns:r="http://schemas.openxmlformats.org/officeDocument/2006/relationships" r:embed="rId3"/>
        <a:stretch>
          <a:fillRect/>
        </a:stretch>
      </xdr:blipFill>
      <xdr:spPr>
        <a:xfrm>
          <a:off x="2590800" y="21332708"/>
          <a:ext cx="8634486" cy="2602021"/>
        </a:xfrm>
        <a:prstGeom prst="rect">
          <a:avLst/>
        </a:prstGeom>
      </xdr:spPr>
    </xdr:pic>
    <xdr:clientData/>
  </xdr:twoCellAnchor>
  <xdr:twoCellAnchor editAs="oneCell">
    <xdr:from>
      <xdr:col>3</xdr:col>
      <xdr:colOff>533400</xdr:colOff>
      <xdr:row>14</xdr:row>
      <xdr:rowOff>175260</xdr:rowOff>
    </xdr:from>
    <xdr:to>
      <xdr:col>16</xdr:col>
      <xdr:colOff>531878</xdr:colOff>
      <xdr:row>31</xdr:row>
      <xdr:rowOff>24850</xdr:rowOff>
    </xdr:to>
    <xdr:pic>
      <xdr:nvPicPr>
        <xdr:cNvPr id="5" name="Picture 4">
          <a:extLst>
            <a:ext uri="{FF2B5EF4-FFF2-40B4-BE49-F238E27FC236}">
              <a16:creationId xmlns:a16="http://schemas.microsoft.com/office/drawing/2014/main" id="{62F13FA2-537A-4348-93AE-859088B58D70}"/>
            </a:ext>
          </a:extLst>
        </xdr:cNvPr>
        <xdr:cNvPicPr>
          <a:picLocks noChangeAspect="1"/>
        </xdr:cNvPicPr>
      </xdr:nvPicPr>
      <xdr:blipFill>
        <a:blip xmlns:r="http://schemas.openxmlformats.org/officeDocument/2006/relationships" r:embed="rId4"/>
        <a:stretch>
          <a:fillRect/>
        </a:stretch>
      </xdr:blipFill>
      <xdr:spPr>
        <a:xfrm>
          <a:off x="2651760" y="29093160"/>
          <a:ext cx="8563358" cy="2958550"/>
        </a:xfrm>
        <a:prstGeom prst="rect">
          <a:avLst/>
        </a:prstGeom>
      </xdr:spPr>
    </xdr:pic>
    <xdr:clientData/>
  </xdr:twoCellAnchor>
  <xdr:twoCellAnchor editAs="oneCell">
    <xdr:from>
      <xdr:col>1</xdr:col>
      <xdr:colOff>7620</xdr:colOff>
      <xdr:row>46</xdr:row>
      <xdr:rowOff>144780</xdr:rowOff>
    </xdr:from>
    <xdr:to>
      <xdr:col>8</xdr:col>
      <xdr:colOff>251962</xdr:colOff>
      <xdr:row>58</xdr:row>
      <xdr:rowOff>144962</xdr:rowOff>
    </xdr:to>
    <xdr:pic>
      <xdr:nvPicPr>
        <xdr:cNvPr id="11" name="Picture 10">
          <a:extLst>
            <a:ext uri="{FF2B5EF4-FFF2-40B4-BE49-F238E27FC236}">
              <a16:creationId xmlns:a16="http://schemas.microsoft.com/office/drawing/2014/main" id="{650FBF38-C753-5A54-B4FD-343FACF8B57C}"/>
            </a:ext>
          </a:extLst>
        </xdr:cNvPr>
        <xdr:cNvPicPr>
          <a:picLocks noChangeAspect="1"/>
        </xdr:cNvPicPr>
      </xdr:nvPicPr>
      <xdr:blipFill>
        <a:blip xmlns:r="http://schemas.openxmlformats.org/officeDocument/2006/relationships" r:embed="rId5"/>
        <a:stretch>
          <a:fillRect/>
        </a:stretch>
      </xdr:blipFill>
      <xdr:spPr>
        <a:xfrm>
          <a:off x="266700" y="845820"/>
          <a:ext cx="5791702" cy="2103302"/>
        </a:xfrm>
        <a:prstGeom prst="rect">
          <a:avLst/>
        </a:prstGeom>
      </xdr:spPr>
    </xdr:pic>
    <xdr:clientData/>
  </xdr:twoCellAnchor>
  <xdr:twoCellAnchor editAs="oneCell">
    <xdr:from>
      <xdr:col>1</xdr:col>
      <xdr:colOff>32874</xdr:colOff>
      <xdr:row>91</xdr:row>
      <xdr:rowOff>129540</xdr:rowOff>
    </xdr:from>
    <xdr:to>
      <xdr:col>9</xdr:col>
      <xdr:colOff>339286</xdr:colOff>
      <xdr:row>110</xdr:row>
      <xdr:rowOff>137160</xdr:rowOff>
    </xdr:to>
    <xdr:pic>
      <xdr:nvPicPr>
        <xdr:cNvPr id="12" name="Picture 11">
          <a:extLst>
            <a:ext uri="{FF2B5EF4-FFF2-40B4-BE49-F238E27FC236}">
              <a16:creationId xmlns:a16="http://schemas.microsoft.com/office/drawing/2014/main" id="{5B753961-2917-02BB-999E-EBDE1B338E00}"/>
            </a:ext>
          </a:extLst>
        </xdr:cNvPr>
        <xdr:cNvPicPr>
          <a:picLocks noChangeAspect="1"/>
        </xdr:cNvPicPr>
      </xdr:nvPicPr>
      <xdr:blipFill>
        <a:blip xmlns:r="http://schemas.openxmlformats.org/officeDocument/2006/relationships" r:embed="rId6"/>
        <a:stretch>
          <a:fillRect/>
        </a:stretch>
      </xdr:blipFill>
      <xdr:spPr>
        <a:xfrm>
          <a:off x="291954" y="8930640"/>
          <a:ext cx="6463372" cy="3337560"/>
        </a:xfrm>
        <a:prstGeom prst="rect">
          <a:avLst/>
        </a:prstGeom>
      </xdr:spPr>
    </xdr:pic>
    <xdr:clientData/>
  </xdr:twoCellAnchor>
  <xdr:twoCellAnchor editAs="oneCell">
    <xdr:from>
      <xdr:col>1</xdr:col>
      <xdr:colOff>45720</xdr:colOff>
      <xdr:row>141</xdr:row>
      <xdr:rowOff>36150</xdr:rowOff>
    </xdr:from>
    <xdr:to>
      <xdr:col>9</xdr:col>
      <xdr:colOff>236806</xdr:colOff>
      <xdr:row>161</xdr:row>
      <xdr:rowOff>145113</xdr:rowOff>
    </xdr:to>
    <xdr:pic>
      <xdr:nvPicPr>
        <xdr:cNvPr id="15" name="Picture 14">
          <a:extLst>
            <a:ext uri="{FF2B5EF4-FFF2-40B4-BE49-F238E27FC236}">
              <a16:creationId xmlns:a16="http://schemas.microsoft.com/office/drawing/2014/main" id="{E94817F3-8530-2D3A-180D-B81304B3196F}"/>
            </a:ext>
          </a:extLst>
        </xdr:cNvPr>
        <xdr:cNvPicPr>
          <a:picLocks noChangeAspect="1"/>
        </xdr:cNvPicPr>
      </xdr:nvPicPr>
      <xdr:blipFill>
        <a:blip xmlns:r="http://schemas.openxmlformats.org/officeDocument/2006/relationships" r:embed="rId7"/>
        <a:stretch>
          <a:fillRect/>
        </a:stretch>
      </xdr:blipFill>
      <xdr:spPr>
        <a:xfrm>
          <a:off x="304800" y="17828850"/>
          <a:ext cx="6348046" cy="3614163"/>
        </a:xfrm>
        <a:prstGeom prst="rect">
          <a:avLst/>
        </a:prstGeom>
      </xdr:spPr>
    </xdr:pic>
    <xdr:clientData/>
  </xdr:twoCellAnchor>
  <xdr:twoCellAnchor editAs="oneCell">
    <xdr:from>
      <xdr:col>1</xdr:col>
      <xdr:colOff>0</xdr:colOff>
      <xdr:row>3</xdr:row>
      <xdr:rowOff>0</xdr:rowOff>
    </xdr:from>
    <xdr:to>
      <xdr:col>8</xdr:col>
      <xdr:colOff>259583</xdr:colOff>
      <xdr:row>13</xdr:row>
      <xdr:rowOff>154</xdr:rowOff>
    </xdr:to>
    <xdr:pic>
      <xdr:nvPicPr>
        <xdr:cNvPr id="17" name="Picture 16">
          <a:extLst>
            <a:ext uri="{FF2B5EF4-FFF2-40B4-BE49-F238E27FC236}">
              <a16:creationId xmlns:a16="http://schemas.microsoft.com/office/drawing/2014/main" id="{6CF8FA6B-7199-886C-F699-533ACD7FC771}"/>
            </a:ext>
          </a:extLst>
        </xdr:cNvPr>
        <xdr:cNvPicPr>
          <a:picLocks noChangeAspect="1"/>
        </xdr:cNvPicPr>
      </xdr:nvPicPr>
      <xdr:blipFill>
        <a:blip xmlns:r="http://schemas.openxmlformats.org/officeDocument/2006/relationships" r:embed="rId8"/>
        <a:stretch>
          <a:fillRect/>
        </a:stretch>
      </xdr:blipFill>
      <xdr:spPr>
        <a:xfrm>
          <a:off x="259080" y="27652980"/>
          <a:ext cx="5806943" cy="177561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10</xdr:col>
      <xdr:colOff>22860</xdr:colOff>
      <xdr:row>2</xdr:row>
      <xdr:rowOff>106680</xdr:rowOff>
    </xdr:from>
    <xdr:ext cx="4976291" cy="1508891"/>
    <xdr:pic>
      <xdr:nvPicPr>
        <xdr:cNvPr id="2" name="Picture 1">
          <a:extLst>
            <a:ext uri="{FF2B5EF4-FFF2-40B4-BE49-F238E27FC236}">
              <a16:creationId xmlns:a16="http://schemas.microsoft.com/office/drawing/2014/main" id="{B71317A3-E85C-4110-96C3-A843E764DEBA}"/>
            </a:ext>
          </a:extLst>
        </xdr:cNvPr>
        <xdr:cNvPicPr>
          <a:picLocks noChangeAspect="1"/>
        </xdr:cNvPicPr>
      </xdr:nvPicPr>
      <xdr:blipFill>
        <a:blip xmlns:r="http://schemas.openxmlformats.org/officeDocument/2006/relationships" r:embed="rId1"/>
        <a:stretch>
          <a:fillRect/>
        </a:stretch>
      </xdr:blipFill>
      <xdr:spPr>
        <a:xfrm>
          <a:off x="6118860" y="472440"/>
          <a:ext cx="4976291" cy="1508891"/>
        </a:xfrm>
        <a:prstGeom prst="rect">
          <a:avLst/>
        </a:prstGeom>
      </xdr:spPr>
    </xdr:pic>
    <xdr:clientData/>
  </xdr:oneCellAnchor>
  <xdr:oneCellAnchor>
    <xdr:from>
      <xdr:col>1</xdr:col>
      <xdr:colOff>7620</xdr:colOff>
      <xdr:row>13</xdr:row>
      <xdr:rowOff>83820</xdr:rowOff>
    </xdr:from>
    <xdr:ext cx="4854361" cy="1501270"/>
    <xdr:pic>
      <xdr:nvPicPr>
        <xdr:cNvPr id="3" name="Picture 2">
          <a:extLst>
            <a:ext uri="{FF2B5EF4-FFF2-40B4-BE49-F238E27FC236}">
              <a16:creationId xmlns:a16="http://schemas.microsoft.com/office/drawing/2014/main" id="{7A12D95A-459D-45E8-9346-57DB3D9C1FF8}"/>
            </a:ext>
          </a:extLst>
        </xdr:cNvPr>
        <xdr:cNvPicPr>
          <a:picLocks noChangeAspect="1"/>
        </xdr:cNvPicPr>
      </xdr:nvPicPr>
      <xdr:blipFill>
        <a:blip xmlns:r="http://schemas.openxmlformats.org/officeDocument/2006/relationships" r:embed="rId2"/>
        <a:stretch>
          <a:fillRect/>
        </a:stretch>
      </xdr:blipFill>
      <xdr:spPr>
        <a:xfrm>
          <a:off x="830580" y="20238720"/>
          <a:ext cx="4854361" cy="1501270"/>
        </a:xfrm>
        <a:prstGeom prst="rect">
          <a:avLst/>
        </a:prstGeom>
      </xdr:spPr>
    </xdr:pic>
    <xdr:clientData/>
  </xdr:oneCellAnchor>
  <xdr:oneCellAnchor>
    <xdr:from>
      <xdr:col>10</xdr:col>
      <xdr:colOff>15240</xdr:colOff>
      <xdr:row>13</xdr:row>
      <xdr:rowOff>58595</xdr:rowOff>
    </xdr:from>
    <xdr:ext cx="5006340" cy="1553692"/>
    <xdr:pic>
      <xdr:nvPicPr>
        <xdr:cNvPr id="4" name="Picture 3">
          <a:extLst>
            <a:ext uri="{FF2B5EF4-FFF2-40B4-BE49-F238E27FC236}">
              <a16:creationId xmlns:a16="http://schemas.microsoft.com/office/drawing/2014/main" id="{2A38426A-CD3B-480A-A21B-186130C61D44}"/>
            </a:ext>
          </a:extLst>
        </xdr:cNvPr>
        <xdr:cNvPicPr>
          <a:picLocks noChangeAspect="1"/>
        </xdr:cNvPicPr>
      </xdr:nvPicPr>
      <xdr:blipFill>
        <a:blip xmlns:r="http://schemas.openxmlformats.org/officeDocument/2006/relationships" r:embed="rId3"/>
        <a:stretch>
          <a:fillRect/>
        </a:stretch>
      </xdr:blipFill>
      <xdr:spPr>
        <a:xfrm>
          <a:off x="6111240" y="2436035"/>
          <a:ext cx="5006340" cy="1553692"/>
        </a:xfrm>
        <a:prstGeom prst="rect">
          <a:avLst/>
        </a:prstGeom>
      </xdr:spPr>
    </xdr:pic>
    <xdr:clientData/>
  </xdr:oneCellAnchor>
  <xdr:oneCellAnchor>
    <xdr:from>
      <xdr:col>1</xdr:col>
      <xdr:colOff>0</xdr:colOff>
      <xdr:row>2</xdr:row>
      <xdr:rowOff>83820</xdr:rowOff>
    </xdr:from>
    <xdr:ext cx="5006774" cy="1539373"/>
    <xdr:pic>
      <xdr:nvPicPr>
        <xdr:cNvPr id="5" name="Picture 4">
          <a:extLst>
            <a:ext uri="{FF2B5EF4-FFF2-40B4-BE49-F238E27FC236}">
              <a16:creationId xmlns:a16="http://schemas.microsoft.com/office/drawing/2014/main" id="{C8B37FD7-44B7-4F9F-ACF5-0FC3AAAEF5A1}"/>
            </a:ext>
          </a:extLst>
        </xdr:cNvPr>
        <xdr:cNvPicPr>
          <a:picLocks noChangeAspect="1"/>
        </xdr:cNvPicPr>
      </xdr:nvPicPr>
      <xdr:blipFill>
        <a:blip xmlns:r="http://schemas.openxmlformats.org/officeDocument/2006/relationships" r:embed="rId4"/>
        <a:stretch>
          <a:fillRect/>
        </a:stretch>
      </xdr:blipFill>
      <xdr:spPr>
        <a:xfrm>
          <a:off x="822960" y="45300900"/>
          <a:ext cx="5006774" cy="1539373"/>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11</xdr:col>
      <xdr:colOff>396240</xdr:colOff>
      <xdr:row>12</xdr:row>
      <xdr:rowOff>0</xdr:rowOff>
    </xdr:from>
    <xdr:to>
      <xdr:col>24</xdr:col>
      <xdr:colOff>412168</xdr:colOff>
      <xdr:row>22</xdr:row>
      <xdr:rowOff>152572</xdr:rowOff>
    </xdr:to>
    <xdr:pic>
      <xdr:nvPicPr>
        <xdr:cNvPr id="2" name="Picture 1">
          <a:extLst>
            <a:ext uri="{FF2B5EF4-FFF2-40B4-BE49-F238E27FC236}">
              <a16:creationId xmlns:a16="http://schemas.microsoft.com/office/drawing/2014/main" id="{CDCBB6DE-5772-43E6-8A83-14238FC4EF68}"/>
            </a:ext>
          </a:extLst>
        </xdr:cNvPr>
        <xdr:cNvPicPr>
          <a:picLocks noChangeAspect="1"/>
        </xdr:cNvPicPr>
      </xdr:nvPicPr>
      <xdr:blipFill>
        <a:blip xmlns:r="http://schemas.openxmlformats.org/officeDocument/2006/relationships" r:embed="rId1"/>
        <a:stretch>
          <a:fillRect/>
        </a:stretch>
      </xdr:blipFill>
      <xdr:spPr>
        <a:xfrm>
          <a:off x="7543800" y="2194560"/>
          <a:ext cx="7940728" cy="1981372"/>
        </a:xfrm>
        <a:prstGeom prst="rect">
          <a:avLst/>
        </a:prstGeom>
      </xdr:spPr>
    </xdr:pic>
    <xdr:clientData/>
  </xdr:twoCellAnchor>
  <xdr:twoCellAnchor editAs="oneCell">
    <xdr:from>
      <xdr:col>11</xdr:col>
      <xdr:colOff>320040</xdr:colOff>
      <xdr:row>23</xdr:row>
      <xdr:rowOff>68580</xdr:rowOff>
    </xdr:from>
    <xdr:to>
      <xdr:col>24</xdr:col>
      <xdr:colOff>335968</xdr:colOff>
      <xdr:row>33</xdr:row>
      <xdr:rowOff>160186</xdr:rowOff>
    </xdr:to>
    <xdr:pic>
      <xdr:nvPicPr>
        <xdr:cNvPr id="3" name="Picture 2">
          <a:extLst>
            <a:ext uri="{FF2B5EF4-FFF2-40B4-BE49-F238E27FC236}">
              <a16:creationId xmlns:a16="http://schemas.microsoft.com/office/drawing/2014/main" id="{5660854B-99F8-4E30-A966-2F5C332E5ADB}"/>
            </a:ext>
          </a:extLst>
        </xdr:cNvPr>
        <xdr:cNvPicPr>
          <a:picLocks noChangeAspect="1"/>
        </xdr:cNvPicPr>
      </xdr:nvPicPr>
      <xdr:blipFill>
        <a:blip xmlns:r="http://schemas.openxmlformats.org/officeDocument/2006/relationships" r:embed="rId2"/>
        <a:stretch>
          <a:fillRect/>
        </a:stretch>
      </xdr:blipFill>
      <xdr:spPr>
        <a:xfrm>
          <a:off x="7467600" y="7018020"/>
          <a:ext cx="7940728" cy="1920406"/>
        </a:xfrm>
        <a:prstGeom prst="rect">
          <a:avLst/>
        </a:prstGeom>
      </xdr:spPr>
    </xdr:pic>
    <xdr:clientData/>
  </xdr:twoCellAnchor>
  <xdr:twoCellAnchor editAs="oneCell">
    <xdr:from>
      <xdr:col>11</xdr:col>
      <xdr:colOff>304800</xdr:colOff>
      <xdr:row>35</xdr:row>
      <xdr:rowOff>76054</xdr:rowOff>
    </xdr:from>
    <xdr:to>
      <xdr:col>24</xdr:col>
      <xdr:colOff>274320</xdr:colOff>
      <xdr:row>46</xdr:row>
      <xdr:rowOff>34166</xdr:rowOff>
    </xdr:to>
    <xdr:pic>
      <xdr:nvPicPr>
        <xdr:cNvPr id="4" name="Picture 3">
          <a:extLst>
            <a:ext uri="{FF2B5EF4-FFF2-40B4-BE49-F238E27FC236}">
              <a16:creationId xmlns:a16="http://schemas.microsoft.com/office/drawing/2014/main" id="{08C54DDA-947A-4E16-AFD0-8A7CA889BB8F}"/>
            </a:ext>
          </a:extLst>
        </xdr:cNvPr>
        <xdr:cNvPicPr>
          <a:picLocks noChangeAspect="1"/>
        </xdr:cNvPicPr>
      </xdr:nvPicPr>
      <xdr:blipFill>
        <a:blip xmlns:r="http://schemas.openxmlformats.org/officeDocument/2006/relationships" r:embed="rId3"/>
        <a:stretch>
          <a:fillRect/>
        </a:stretch>
      </xdr:blipFill>
      <xdr:spPr>
        <a:xfrm>
          <a:off x="7452360" y="9220054"/>
          <a:ext cx="7894320" cy="1969792"/>
        </a:xfrm>
        <a:prstGeom prst="rect">
          <a:avLst/>
        </a:prstGeom>
      </xdr:spPr>
    </xdr:pic>
    <xdr:clientData/>
  </xdr:twoCellAnchor>
  <xdr:twoCellAnchor editAs="oneCell">
    <xdr:from>
      <xdr:col>11</xdr:col>
      <xdr:colOff>327660</xdr:colOff>
      <xdr:row>1</xdr:row>
      <xdr:rowOff>53340</xdr:rowOff>
    </xdr:from>
    <xdr:to>
      <xdr:col>24</xdr:col>
      <xdr:colOff>412174</xdr:colOff>
      <xdr:row>11</xdr:row>
      <xdr:rowOff>129705</xdr:rowOff>
    </xdr:to>
    <xdr:pic>
      <xdr:nvPicPr>
        <xdr:cNvPr id="5" name="Picture 4">
          <a:extLst>
            <a:ext uri="{FF2B5EF4-FFF2-40B4-BE49-F238E27FC236}">
              <a16:creationId xmlns:a16="http://schemas.microsoft.com/office/drawing/2014/main" id="{F638AF76-1067-4D7C-91CA-D6AAC6D3F5F8}"/>
            </a:ext>
          </a:extLst>
        </xdr:cNvPr>
        <xdr:cNvPicPr>
          <a:picLocks noChangeAspect="1"/>
        </xdr:cNvPicPr>
      </xdr:nvPicPr>
      <xdr:blipFill>
        <a:blip xmlns:r="http://schemas.openxmlformats.org/officeDocument/2006/relationships" r:embed="rId4"/>
        <a:stretch>
          <a:fillRect/>
        </a:stretch>
      </xdr:blipFill>
      <xdr:spPr>
        <a:xfrm>
          <a:off x="7475220" y="236220"/>
          <a:ext cx="8009314" cy="190516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304800</xdr:colOff>
      <xdr:row>27</xdr:row>
      <xdr:rowOff>144780</xdr:rowOff>
    </xdr:from>
    <xdr:to>
      <xdr:col>18</xdr:col>
      <xdr:colOff>305275</xdr:colOff>
      <xdr:row>48</xdr:row>
      <xdr:rowOff>107002</xdr:rowOff>
    </xdr:to>
    <xdr:pic>
      <xdr:nvPicPr>
        <xdr:cNvPr id="3" name="Picture 2">
          <a:extLst>
            <a:ext uri="{FF2B5EF4-FFF2-40B4-BE49-F238E27FC236}">
              <a16:creationId xmlns:a16="http://schemas.microsoft.com/office/drawing/2014/main" id="{CDEB684C-9105-410F-A7B7-5D3D8154BB7E}"/>
            </a:ext>
          </a:extLst>
        </xdr:cNvPr>
        <xdr:cNvPicPr>
          <a:picLocks noChangeAspect="1"/>
        </xdr:cNvPicPr>
      </xdr:nvPicPr>
      <xdr:blipFill>
        <a:blip xmlns:r="http://schemas.openxmlformats.org/officeDocument/2006/relationships" r:embed="rId1"/>
        <a:stretch>
          <a:fillRect/>
        </a:stretch>
      </xdr:blipFill>
      <xdr:spPr>
        <a:xfrm>
          <a:off x="7071360" y="4968240"/>
          <a:ext cx="5486875" cy="3711262"/>
        </a:xfrm>
        <a:prstGeom prst="rect">
          <a:avLst/>
        </a:prstGeom>
      </xdr:spPr>
    </xdr:pic>
    <xdr:clientData/>
  </xdr:twoCellAnchor>
  <xdr:twoCellAnchor editAs="oneCell">
    <xdr:from>
      <xdr:col>9</xdr:col>
      <xdr:colOff>220980</xdr:colOff>
      <xdr:row>53</xdr:row>
      <xdr:rowOff>99059</xdr:rowOff>
    </xdr:from>
    <xdr:to>
      <xdr:col>18</xdr:col>
      <xdr:colOff>213360</xdr:colOff>
      <xdr:row>73</xdr:row>
      <xdr:rowOff>182858</xdr:rowOff>
    </xdr:to>
    <xdr:pic>
      <xdr:nvPicPr>
        <xdr:cNvPr id="4" name="Picture 3">
          <a:extLst>
            <a:ext uri="{FF2B5EF4-FFF2-40B4-BE49-F238E27FC236}">
              <a16:creationId xmlns:a16="http://schemas.microsoft.com/office/drawing/2014/main" id="{A3CA538F-CCC0-417A-B261-C206D1EEA8AF}"/>
            </a:ext>
          </a:extLst>
        </xdr:cNvPr>
        <xdr:cNvPicPr>
          <a:picLocks noChangeAspect="1"/>
        </xdr:cNvPicPr>
      </xdr:nvPicPr>
      <xdr:blipFill>
        <a:blip xmlns:r="http://schemas.openxmlformats.org/officeDocument/2006/relationships" r:embed="rId2"/>
        <a:stretch>
          <a:fillRect/>
        </a:stretch>
      </xdr:blipFill>
      <xdr:spPr>
        <a:xfrm>
          <a:off x="6987540" y="9555479"/>
          <a:ext cx="5478780" cy="3657579"/>
        </a:xfrm>
        <a:prstGeom prst="rect">
          <a:avLst/>
        </a:prstGeom>
      </xdr:spPr>
    </xdr:pic>
    <xdr:clientData/>
  </xdr:twoCellAnchor>
  <xdr:twoCellAnchor editAs="oneCell">
    <xdr:from>
      <xdr:col>9</xdr:col>
      <xdr:colOff>236220</xdr:colOff>
      <xdr:row>79</xdr:row>
      <xdr:rowOff>91439</xdr:rowOff>
    </xdr:from>
    <xdr:to>
      <xdr:col>18</xdr:col>
      <xdr:colOff>198120</xdr:colOff>
      <xdr:row>100</xdr:row>
      <xdr:rowOff>52684</xdr:rowOff>
    </xdr:to>
    <xdr:pic>
      <xdr:nvPicPr>
        <xdr:cNvPr id="5" name="Picture 4">
          <a:extLst>
            <a:ext uri="{FF2B5EF4-FFF2-40B4-BE49-F238E27FC236}">
              <a16:creationId xmlns:a16="http://schemas.microsoft.com/office/drawing/2014/main" id="{9B3AA1D6-9DF4-49B2-BC72-DB1EFE53C706}"/>
            </a:ext>
          </a:extLst>
        </xdr:cNvPr>
        <xdr:cNvPicPr>
          <a:picLocks noChangeAspect="1"/>
        </xdr:cNvPicPr>
      </xdr:nvPicPr>
      <xdr:blipFill>
        <a:blip xmlns:r="http://schemas.openxmlformats.org/officeDocument/2006/relationships" r:embed="rId3"/>
        <a:stretch>
          <a:fillRect/>
        </a:stretch>
      </xdr:blipFill>
      <xdr:spPr>
        <a:xfrm>
          <a:off x="7002780" y="14196059"/>
          <a:ext cx="5448300" cy="3710285"/>
        </a:xfrm>
        <a:prstGeom prst="rect">
          <a:avLst/>
        </a:prstGeom>
      </xdr:spPr>
    </xdr:pic>
    <xdr:clientData/>
  </xdr:twoCellAnchor>
  <xdr:twoCellAnchor editAs="oneCell">
    <xdr:from>
      <xdr:col>9</xdr:col>
      <xdr:colOff>297180</xdr:colOff>
      <xdr:row>2</xdr:row>
      <xdr:rowOff>167640</xdr:rowOff>
    </xdr:from>
    <xdr:to>
      <xdr:col>18</xdr:col>
      <xdr:colOff>259080</xdr:colOff>
      <xdr:row>23</xdr:row>
      <xdr:rowOff>48149</xdr:rowOff>
    </xdr:to>
    <xdr:pic>
      <xdr:nvPicPr>
        <xdr:cNvPr id="6" name="Picture 5">
          <a:extLst>
            <a:ext uri="{FF2B5EF4-FFF2-40B4-BE49-F238E27FC236}">
              <a16:creationId xmlns:a16="http://schemas.microsoft.com/office/drawing/2014/main" id="{C4021C16-087E-4808-8501-4407DFC96BD0}"/>
            </a:ext>
          </a:extLst>
        </xdr:cNvPr>
        <xdr:cNvPicPr>
          <a:picLocks noChangeAspect="1"/>
        </xdr:cNvPicPr>
      </xdr:nvPicPr>
      <xdr:blipFill>
        <a:blip xmlns:r="http://schemas.openxmlformats.org/officeDocument/2006/relationships" r:embed="rId4"/>
        <a:stretch>
          <a:fillRect/>
        </a:stretch>
      </xdr:blipFill>
      <xdr:spPr>
        <a:xfrm>
          <a:off x="7063740" y="518160"/>
          <a:ext cx="5448300" cy="3637169"/>
        </a:xfrm>
        <a:prstGeom prst="rect">
          <a:avLst/>
        </a:prstGeom>
      </xdr:spPr>
    </xdr:pic>
    <xdr:clientData/>
  </xdr:twoCellAnchor>
  <xdr:twoCellAnchor editAs="oneCell">
    <xdr:from>
      <xdr:col>1</xdr:col>
      <xdr:colOff>0</xdr:colOff>
      <xdr:row>2</xdr:row>
      <xdr:rowOff>76200</xdr:rowOff>
    </xdr:from>
    <xdr:to>
      <xdr:col>8</xdr:col>
      <xdr:colOff>221480</xdr:colOff>
      <xdr:row>11</xdr:row>
      <xdr:rowOff>45854</xdr:rowOff>
    </xdr:to>
    <xdr:pic>
      <xdr:nvPicPr>
        <xdr:cNvPr id="7" name="Picture 6">
          <a:extLst>
            <a:ext uri="{FF2B5EF4-FFF2-40B4-BE49-F238E27FC236}">
              <a16:creationId xmlns:a16="http://schemas.microsoft.com/office/drawing/2014/main" id="{5D8043AE-95D0-06E5-51EA-97B411380E36}"/>
            </a:ext>
          </a:extLst>
        </xdr:cNvPr>
        <xdr:cNvPicPr>
          <a:picLocks noChangeAspect="1"/>
        </xdr:cNvPicPr>
      </xdr:nvPicPr>
      <xdr:blipFill>
        <a:blip xmlns:r="http://schemas.openxmlformats.org/officeDocument/2006/relationships" r:embed="rId5"/>
        <a:stretch>
          <a:fillRect/>
        </a:stretch>
      </xdr:blipFill>
      <xdr:spPr>
        <a:xfrm>
          <a:off x="609600" y="14874240"/>
          <a:ext cx="5768840" cy="1546994"/>
        </a:xfrm>
        <a:prstGeom prst="rect">
          <a:avLst/>
        </a:prstGeom>
      </xdr:spPr>
    </xdr:pic>
    <xdr:clientData/>
  </xdr:twoCellAnchor>
  <xdr:twoCellAnchor editAs="oneCell">
    <xdr:from>
      <xdr:col>1</xdr:col>
      <xdr:colOff>7620</xdr:colOff>
      <xdr:row>27</xdr:row>
      <xdr:rowOff>160020</xdr:rowOff>
    </xdr:from>
    <xdr:to>
      <xdr:col>8</xdr:col>
      <xdr:colOff>229100</xdr:colOff>
      <xdr:row>36</xdr:row>
      <xdr:rowOff>144915</xdr:rowOff>
    </xdr:to>
    <xdr:pic>
      <xdr:nvPicPr>
        <xdr:cNvPr id="8" name="Picture 7">
          <a:extLst>
            <a:ext uri="{FF2B5EF4-FFF2-40B4-BE49-F238E27FC236}">
              <a16:creationId xmlns:a16="http://schemas.microsoft.com/office/drawing/2014/main" id="{3B97F8E8-40BB-DBD6-166F-EBCC1AD994BE}"/>
            </a:ext>
          </a:extLst>
        </xdr:cNvPr>
        <xdr:cNvPicPr>
          <a:picLocks noChangeAspect="1"/>
        </xdr:cNvPicPr>
      </xdr:nvPicPr>
      <xdr:blipFill>
        <a:blip xmlns:r="http://schemas.openxmlformats.org/officeDocument/2006/relationships" r:embed="rId6"/>
        <a:stretch>
          <a:fillRect/>
        </a:stretch>
      </xdr:blipFill>
      <xdr:spPr>
        <a:xfrm>
          <a:off x="617220" y="510540"/>
          <a:ext cx="5768840" cy="1562235"/>
        </a:xfrm>
        <a:prstGeom prst="rect">
          <a:avLst/>
        </a:prstGeom>
      </xdr:spPr>
    </xdr:pic>
    <xdr:clientData/>
  </xdr:twoCellAnchor>
  <xdr:twoCellAnchor editAs="oneCell">
    <xdr:from>
      <xdr:col>1</xdr:col>
      <xdr:colOff>15240</xdr:colOff>
      <xdr:row>53</xdr:row>
      <xdr:rowOff>137160</xdr:rowOff>
    </xdr:from>
    <xdr:to>
      <xdr:col>8</xdr:col>
      <xdr:colOff>463748</xdr:colOff>
      <xdr:row>63</xdr:row>
      <xdr:rowOff>7620</xdr:rowOff>
    </xdr:to>
    <xdr:pic>
      <xdr:nvPicPr>
        <xdr:cNvPr id="9" name="Picture 8">
          <a:extLst>
            <a:ext uri="{FF2B5EF4-FFF2-40B4-BE49-F238E27FC236}">
              <a16:creationId xmlns:a16="http://schemas.microsoft.com/office/drawing/2014/main" id="{A3DC95C1-6464-1315-71A1-F49917EAC251}"/>
            </a:ext>
          </a:extLst>
        </xdr:cNvPr>
        <xdr:cNvPicPr>
          <a:picLocks noChangeAspect="1"/>
        </xdr:cNvPicPr>
      </xdr:nvPicPr>
      <xdr:blipFill>
        <a:blip xmlns:r="http://schemas.openxmlformats.org/officeDocument/2006/relationships" r:embed="rId7"/>
        <a:stretch>
          <a:fillRect/>
        </a:stretch>
      </xdr:blipFill>
      <xdr:spPr>
        <a:xfrm>
          <a:off x="624840" y="5471160"/>
          <a:ext cx="5995868" cy="1623060"/>
        </a:xfrm>
        <a:prstGeom prst="rect">
          <a:avLst/>
        </a:prstGeom>
      </xdr:spPr>
    </xdr:pic>
    <xdr:clientData/>
  </xdr:twoCellAnchor>
  <xdr:twoCellAnchor editAs="oneCell">
    <xdr:from>
      <xdr:col>1</xdr:col>
      <xdr:colOff>0</xdr:colOff>
      <xdr:row>79</xdr:row>
      <xdr:rowOff>175259</xdr:rowOff>
    </xdr:from>
    <xdr:to>
      <xdr:col>8</xdr:col>
      <xdr:colOff>388620</xdr:colOff>
      <xdr:row>89</xdr:row>
      <xdr:rowOff>14474</xdr:rowOff>
    </xdr:to>
    <xdr:pic>
      <xdr:nvPicPr>
        <xdr:cNvPr id="10" name="Picture 9">
          <a:extLst>
            <a:ext uri="{FF2B5EF4-FFF2-40B4-BE49-F238E27FC236}">
              <a16:creationId xmlns:a16="http://schemas.microsoft.com/office/drawing/2014/main" id="{00203EFA-D6EA-4A4D-6FA2-426ED76FEFCC}"/>
            </a:ext>
          </a:extLst>
        </xdr:cNvPr>
        <xdr:cNvPicPr>
          <a:picLocks noChangeAspect="1"/>
        </xdr:cNvPicPr>
      </xdr:nvPicPr>
      <xdr:blipFill>
        <a:blip xmlns:r="http://schemas.openxmlformats.org/officeDocument/2006/relationships" r:embed="rId8"/>
        <a:stretch>
          <a:fillRect/>
        </a:stretch>
      </xdr:blipFill>
      <xdr:spPr>
        <a:xfrm>
          <a:off x="609600" y="10157459"/>
          <a:ext cx="5935980" cy="159181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10</xdr:col>
      <xdr:colOff>7620</xdr:colOff>
      <xdr:row>2</xdr:row>
      <xdr:rowOff>129540</xdr:rowOff>
    </xdr:from>
    <xdr:ext cx="4877223" cy="1501270"/>
    <xdr:pic>
      <xdr:nvPicPr>
        <xdr:cNvPr id="2" name="Picture 1">
          <a:extLst>
            <a:ext uri="{FF2B5EF4-FFF2-40B4-BE49-F238E27FC236}">
              <a16:creationId xmlns:a16="http://schemas.microsoft.com/office/drawing/2014/main" id="{C97C09DD-F1ED-4B72-93B4-1483B7528C7B}"/>
            </a:ext>
          </a:extLst>
        </xdr:cNvPr>
        <xdr:cNvPicPr>
          <a:picLocks noChangeAspect="1"/>
        </xdr:cNvPicPr>
      </xdr:nvPicPr>
      <xdr:blipFill>
        <a:blip xmlns:r="http://schemas.openxmlformats.org/officeDocument/2006/relationships" r:embed="rId1"/>
        <a:stretch>
          <a:fillRect/>
        </a:stretch>
      </xdr:blipFill>
      <xdr:spPr>
        <a:xfrm>
          <a:off x="5745480" y="678180"/>
          <a:ext cx="4877223" cy="1501270"/>
        </a:xfrm>
        <a:prstGeom prst="rect">
          <a:avLst/>
        </a:prstGeom>
      </xdr:spPr>
    </xdr:pic>
    <xdr:clientData/>
  </xdr:oneCellAnchor>
  <xdr:oneCellAnchor>
    <xdr:from>
      <xdr:col>1</xdr:col>
      <xdr:colOff>0</xdr:colOff>
      <xdr:row>14</xdr:row>
      <xdr:rowOff>0</xdr:rowOff>
    </xdr:from>
    <xdr:ext cx="4861981" cy="1531753"/>
    <xdr:pic>
      <xdr:nvPicPr>
        <xdr:cNvPr id="3" name="Picture 2">
          <a:extLst>
            <a:ext uri="{FF2B5EF4-FFF2-40B4-BE49-F238E27FC236}">
              <a16:creationId xmlns:a16="http://schemas.microsoft.com/office/drawing/2014/main" id="{21F60FE8-6022-4990-AF11-01AC8DA678DD}"/>
            </a:ext>
          </a:extLst>
        </xdr:cNvPr>
        <xdr:cNvPicPr>
          <a:picLocks noChangeAspect="1"/>
        </xdr:cNvPicPr>
      </xdr:nvPicPr>
      <xdr:blipFill>
        <a:blip xmlns:r="http://schemas.openxmlformats.org/officeDocument/2006/relationships" r:embed="rId2"/>
        <a:stretch>
          <a:fillRect/>
        </a:stretch>
      </xdr:blipFill>
      <xdr:spPr>
        <a:xfrm>
          <a:off x="822960" y="21206460"/>
          <a:ext cx="4861981" cy="1531753"/>
        </a:xfrm>
        <a:prstGeom prst="rect">
          <a:avLst/>
        </a:prstGeom>
      </xdr:spPr>
    </xdr:pic>
    <xdr:clientData/>
  </xdr:oneCellAnchor>
  <xdr:oneCellAnchor>
    <xdr:from>
      <xdr:col>10</xdr:col>
      <xdr:colOff>0</xdr:colOff>
      <xdr:row>14</xdr:row>
      <xdr:rowOff>0</xdr:rowOff>
    </xdr:from>
    <xdr:ext cx="4877223" cy="1524132"/>
    <xdr:pic>
      <xdr:nvPicPr>
        <xdr:cNvPr id="4" name="Picture 3">
          <a:extLst>
            <a:ext uri="{FF2B5EF4-FFF2-40B4-BE49-F238E27FC236}">
              <a16:creationId xmlns:a16="http://schemas.microsoft.com/office/drawing/2014/main" id="{05A376DB-A308-4C41-9467-036A9CF4A00C}"/>
            </a:ext>
          </a:extLst>
        </xdr:cNvPr>
        <xdr:cNvPicPr>
          <a:picLocks noChangeAspect="1"/>
        </xdr:cNvPicPr>
      </xdr:nvPicPr>
      <xdr:blipFill>
        <a:blip xmlns:r="http://schemas.openxmlformats.org/officeDocument/2006/relationships" r:embed="rId3"/>
        <a:stretch>
          <a:fillRect/>
        </a:stretch>
      </xdr:blipFill>
      <xdr:spPr>
        <a:xfrm>
          <a:off x="822960" y="31722060"/>
          <a:ext cx="4877223" cy="1524132"/>
        </a:xfrm>
        <a:prstGeom prst="rect">
          <a:avLst/>
        </a:prstGeom>
      </xdr:spPr>
    </xdr:pic>
    <xdr:clientData/>
  </xdr:oneCellAnchor>
  <xdr:oneCellAnchor>
    <xdr:from>
      <xdr:col>1</xdr:col>
      <xdr:colOff>1</xdr:colOff>
      <xdr:row>2</xdr:row>
      <xdr:rowOff>138858</xdr:rowOff>
    </xdr:from>
    <xdr:ext cx="4945380" cy="1508111"/>
    <xdr:pic>
      <xdr:nvPicPr>
        <xdr:cNvPr id="5" name="Picture 4">
          <a:extLst>
            <a:ext uri="{FF2B5EF4-FFF2-40B4-BE49-F238E27FC236}">
              <a16:creationId xmlns:a16="http://schemas.microsoft.com/office/drawing/2014/main" id="{B59332AA-7AE0-4E98-89EB-5681C691050D}"/>
            </a:ext>
          </a:extLst>
        </xdr:cNvPr>
        <xdr:cNvPicPr>
          <a:picLocks noChangeAspect="1"/>
        </xdr:cNvPicPr>
      </xdr:nvPicPr>
      <xdr:blipFill>
        <a:blip xmlns:r="http://schemas.openxmlformats.org/officeDocument/2006/relationships" r:embed="rId4"/>
        <a:stretch>
          <a:fillRect/>
        </a:stretch>
      </xdr:blipFill>
      <xdr:spPr>
        <a:xfrm>
          <a:off x="251461" y="687498"/>
          <a:ext cx="4945380" cy="1508111"/>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14</xdr:col>
      <xdr:colOff>472440</xdr:colOff>
      <xdr:row>51</xdr:row>
      <xdr:rowOff>182879</xdr:rowOff>
    </xdr:from>
    <xdr:to>
      <xdr:col>21</xdr:col>
      <xdr:colOff>601980</xdr:colOff>
      <xdr:row>67</xdr:row>
      <xdr:rowOff>68848</xdr:rowOff>
    </xdr:to>
    <xdr:pic>
      <xdr:nvPicPr>
        <xdr:cNvPr id="3" name="Picture 2">
          <a:extLst>
            <a:ext uri="{FF2B5EF4-FFF2-40B4-BE49-F238E27FC236}">
              <a16:creationId xmlns:a16="http://schemas.microsoft.com/office/drawing/2014/main" id="{417E4638-D2D7-4F0D-BD09-8899248DA2A5}"/>
            </a:ext>
          </a:extLst>
        </xdr:cNvPr>
        <xdr:cNvPicPr>
          <a:picLocks noChangeAspect="1"/>
        </xdr:cNvPicPr>
      </xdr:nvPicPr>
      <xdr:blipFill>
        <a:blip xmlns:r="http://schemas.openxmlformats.org/officeDocument/2006/relationships" r:embed="rId1"/>
        <a:stretch>
          <a:fillRect/>
        </a:stretch>
      </xdr:blipFill>
      <xdr:spPr>
        <a:xfrm>
          <a:off x="10934700" y="9509759"/>
          <a:ext cx="4396740" cy="2812049"/>
        </a:xfrm>
        <a:prstGeom prst="rect">
          <a:avLst/>
        </a:prstGeom>
      </xdr:spPr>
    </xdr:pic>
    <xdr:clientData/>
  </xdr:twoCellAnchor>
  <xdr:twoCellAnchor editAs="oneCell">
    <xdr:from>
      <xdr:col>14</xdr:col>
      <xdr:colOff>502920</xdr:colOff>
      <xdr:row>1</xdr:row>
      <xdr:rowOff>38100</xdr:rowOff>
    </xdr:from>
    <xdr:to>
      <xdr:col>21</xdr:col>
      <xdr:colOff>541393</xdr:colOff>
      <xdr:row>16</xdr:row>
      <xdr:rowOff>7855</xdr:rowOff>
    </xdr:to>
    <xdr:pic>
      <xdr:nvPicPr>
        <xdr:cNvPr id="4" name="Picture 3">
          <a:extLst>
            <a:ext uri="{FF2B5EF4-FFF2-40B4-BE49-F238E27FC236}">
              <a16:creationId xmlns:a16="http://schemas.microsoft.com/office/drawing/2014/main" id="{19008DBC-FCAE-475D-9DFE-D83222A4B8DA}"/>
            </a:ext>
          </a:extLst>
        </xdr:cNvPr>
        <xdr:cNvPicPr>
          <a:picLocks noChangeAspect="1"/>
        </xdr:cNvPicPr>
      </xdr:nvPicPr>
      <xdr:blipFill>
        <a:blip xmlns:r="http://schemas.openxmlformats.org/officeDocument/2006/relationships" r:embed="rId2"/>
        <a:stretch>
          <a:fillRect/>
        </a:stretch>
      </xdr:blipFill>
      <xdr:spPr>
        <a:xfrm>
          <a:off x="10393680" y="220980"/>
          <a:ext cx="4305673" cy="2712955"/>
        </a:xfrm>
        <a:prstGeom prst="rect">
          <a:avLst/>
        </a:prstGeom>
      </xdr:spPr>
    </xdr:pic>
    <xdr:clientData/>
  </xdr:twoCellAnchor>
  <xdr:twoCellAnchor editAs="oneCell">
    <xdr:from>
      <xdr:col>14</xdr:col>
      <xdr:colOff>480060</xdr:colOff>
      <xdr:row>17</xdr:row>
      <xdr:rowOff>114300</xdr:rowOff>
    </xdr:from>
    <xdr:to>
      <xdr:col>21</xdr:col>
      <xdr:colOff>552991</xdr:colOff>
      <xdr:row>33</xdr:row>
      <xdr:rowOff>96950</xdr:rowOff>
    </xdr:to>
    <xdr:pic>
      <xdr:nvPicPr>
        <xdr:cNvPr id="5" name="Picture 4">
          <a:extLst>
            <a:ext uri="{FF2B5EF4-FFF2-40B4-BE49-F238E27FC236}">
              <a16:creationId xmlns:a16="http://schemas.microsoft.com/office/drawing/2014/main" id="{8B4E0BA9-6434-4562-AB90-BB895466DB48}"/>
            </a:ext>
          </a:extLst>
        </xdr:cNvPr>
        <xdr:cNvPicPr>
          <a:picLocks noChangeAspect="1"/>
        </xdr:cNvPicPr>
      </xdr:nvPicPr>
      <xdr:blipFill>
        <a:blip xmlns:r="http://schemas.openxmlformats.org/officeDocument/2006/relationships" r:embed="rId3"/>
        <a:stretch>
          <a:fillRect/>
        </a:stretch>
      </xdr:blipFill>
      <xdr:spPr>
        <a:xfrm>
          <a:off x="10942320" y="3223260"/>
          <a:ext cx="4340131" cy="2908730"/>
        </a:xfrm>
        <a:prstGeom prst="rect">
          <a:avLst/>
        </a:prstGeom>
      </xdr:spPr>
    </xdr:pic>
    <xdr:clientData/>
  </xdr:twoCellAnchor>
  <xdr:twoCellAnchor editAs="oneCell">
    <xdr:from>
      <xdr:col>14</xdr:col>
      <xdr:colOff>457200</xdr:colOff>
      <xdr:row>34</xdr:row>
      <xdr:rowOff>144780</xdr:rowOff>
    </xdr:from>
    <xdr:to>
      <xdr:col>22</xdr:col>
      <xdr:colOff>0</xdr:colOff>
      <xdr:row>50</xdr:row>
      <xdr:rowOff>35417</xdr:rowOff>
    </xdr:to>
    <xdr:pic>
      <xdr:nvPicPr>
        <xdr:cNvPr id="7" name="Picture 6">
          <a:extLst>
            <a:ext uri="{FF2B5EF4-FFF2-40B4-BE49-F238E27FC236}">
              <a16:creationId xmlns:a16="http://schemas.microsoft.com/office/drawing/2014/main" id="{7CAA21FE-53E0-401D-8F2E-FE25BB6A5024}"/>
            </a:ext>
          </a:extLst>
        </xdr:cNvPr>
        <xdr:cNvPicPr>
          <a:picLocks noChangeAspect="1"/>
        </xdr:cNvPicPr>
      </xdr:nvPicPr>
      <xdr:blipFill>
        <a:blip xmlns:r="http://schemas.openxmlformats.org/officeDocument/2006/relationships" r:embed="rId4"/>
        <a:stretch>
          <a:fillRect/>
        </a:stretch>
      </xdr:blipFill>
      <xdr:spPr>
        <a:xfrm>
          <a:off x="10919460" y="6362700"/>
          <a:ext cx="4419600" cy="281671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102328</xdr:colOff>
      <xdr:row>27</xdr:row>
      <xdr:rowOff>121920</xdr:rowOff>
    </xdr:from>
    <xdr:to>
      <xdr:col>17</xdr:col>
      <xdr:colOff>175259</xdr:colOff>
      <xdr:row>44</xdr:row>
      <xdr:rowOff>5510</xdr:rowOff>
    </xdr:to>
    <xdr:pic>
      <xdr:nvPicPr>
        <xdr:cNvPr id="10" name="Picture 9">
          <a:extLst>
            <a:ext uri="{FF2B5EF4-FFF2-40B4-BE49-F238E27FC236}">
              <a16:creationId xmlns:a16="http://schemas.microsoft.com/office/drawing/2014/main" id="{ACF2B273-9D14-4AD0-BC94-2AECD4991741}"/>
            </a:ext>
          </a:extLst>
        </xdr:cNvPr>
        <xdr:cNvPicPr>
          <a:picLocks noChangeAspect="1"/>
        </xdr:cNvPicPr>
      </xdr:nvPicPr>
      <xdr:blipFill>
        <a:blip xmlns:r="http://schemas.openxmlformats.org/officeDocument/2006/relationships" r:embed="rId1"/>
        <a:stretch>
          <a:fillRect/>
        </a:stretch>
      </xdr:blipFill>
      <xdr:spPr>
        <a:xfrm>
          <a:off x="6967948" y="4960620"/>
          <a:ext cx="4340131" cy="2908730"/>
        </a:xfrm>
        <a:prstGeom prst="rect">
          <a:avLst/>
        </a:prstGeom>
      </xdr:spPr>
    </xdr:pic>
    <xdr:clientData/>
  </xdr:twoCellAnchor>
  <xdr:twoCellAnchor editAs="oneCell">
    <xdr:from>
      <xdr:col>10</xdr:col>
      <xdr:colOff>108785</xdr:colOff>
      <xdr:row>52</xdr:row>
      <xdr:rowOff>76200</xdr:rowOff>
    </xdr:from>
    <xdr:to>
      <xdr:col>17</xdr:col>
      <xdr:colOff>122295</xdr:colOff>
      <xdr:row>67</xdr:row>
      <xdr:rowOff>145019</xdr:rowOff>
    </xdr:to>
    <xdr:pic>
      <xdr:nvPicPr>
        <xdr:cNvPr id="11" name="Picture 10">
          <a:extLst>
            <a:ext uri="{FF2B5EF4-FFF2-40B4-BE49-F238E27FC236}">
              <a16:creationId xmlns:a16="http://schemas.microsoft.com/office/drawing/2014/main" id="{80666577-5C8A-47E5-AA77-F9626EBBF684}"/>
            </a:ext>
          </a:extLst>
        </xdr:cNvPr>
        <xdr:cNvPicPr>
          <a:picLocks noChangeAspect="1"/>
        </xdr:cNvPicPr>
      </xdr:nvPicPr>
      <xdr:blipFill>
        <a:blip xmlns:r="http://schemas.openxmlformats.org/officeDocument/2006/relationships" r:embed="rId2"/>
        <a:stretch>
          <a:fillRect/>
        </a:stretch>
      </xdr:blipFill>
      <xdr:spPr>
        <a:xfrm>
          <a:off x="6974405" y="9387840"/>
          <a:ext cx="4280710" cy="2728199"/>
        </a:xfrm>
        <a:prstGeom prst="rect">
          <a:avLst/>
        </a:prstGeom>
      </xdr:spPr>
    </xdr:pic>
    <xdr:clientData/>
  </xdr:twoCellAnchor>
  <xdr:twoCellAnchor editAs="oneCell">
    <xdr:from>
      <xdr:col>10</xdr:col>
      <xdr:colOff>106679</xdr:colOff>
      <xdr:row>77</xdr:row>
      <xdr:rowOff>53340</xdr:rowOff>
    </xdr:from>
    <xdr:to>
      <xdr:col>17</xdr:col>
      <xdr:colOff>33258</xdr:colOff>
      <xdr:row>92</xdr:row>
      <xdr:rowOff>76200</xdr:rowOff>
    </xdr:to>
    <xdr:pic>
      <xdr:nvPicPr>
        <xdr:cNvPr id="12" name="Picture 11">
          <a:extLst>
            <a:ext uri="{FF2B5EF4-FFF2-40B4-BE49-F238E27FC236}">
              <a16:creationId xmlns:a16="http://schemas.microsoft.com/office/drawing/2014/main" id="{19DF40BF-DF82-4291-BF8D-A8F4794067BD}"/>
            </a:ext>
          </a:extLst>
        </xdr:cNvPr>
        <xdr:cNvPicPr>
          <a:picLocks noChangeAspect="1"/>
        </xdr:cNvPicPr>
      </xdr:nvPicPr>
      <xdr:blipFill>
        <a:blip xmlns:r="http://schemas.openxmlformats.org/officeDocument/2006/relationships" r:embed="rId3"/>
        <a:stretch>
          <a:fillRect/>
        </a:stretch>
      </xdr:blipFill>
      <xdr:spPr>
        <a:xfrm>
          <a:off x="6972299" y="13837920"/>
          <a:ext cx="4193779" cy="2682240"/>
        </a:xfrm>
        <a:prstGeom prst="rect">
          <a:avLst/>
        </a:prstGeom>
      </xdr:spPr>
    </xdr:pic>
    <xdr:clientData/>
  </xdr:twoCellAnchor>
  <xdr:twoCellAnchor editAs="oneCell">
    <xdr:from>
      <xdr:col>10</xdr:col>
      <xdr:colOff>91440</xdr:colOff>
      <xdr:row>3</xdr:row>
      <xdr:rowOff>15240</xdr:rowOff>
    </xdr:from>
    <xdr:to>
      <xdr:col>17</xdr:col>
      <xdr:colOff>129913</xdr:colOff>
      <xdr:row>18</xdr:row>
      <xdr:rowOff>45955</xdr:rowOff>
    </xdr:to>
    <xdr:pic>
      <xdr:nvPicPr>
        <xdr:cNvPr id="13" name="Picture 12">
          <a:extLst>
            <a:ext uri="{FF2B5EF4-FFF2-40B4-BE49-F238E27FC236}">
              <a16:creationId xmlns:a16="http://schemas.microsoft.com/office/drawing/2014/main" id="{60E4F22A-729C-48DD-A220-9DD5AA854FD3}"/>
            </a:ext>
          </a:extLst>
        </xdr:cNvPr>
        <xdr:cNvPicPr>
          <a:picLocks noChangeAspect="1"/>
        </xdr:cNvPicPr>
      </xdr:nvPicPr>
      <xdr:blipFill>
        <a:blip xmlns:r="http://schemas.openxmlformats.org/officeDocument/2006/relationships" r:embed="rId4"/>
        <a:stretch>
          <a:fillRect/>
        </a:stretch>
      </xdr:blipFill>
      <xdr:spPr>
        <a:xfrm>
          <a:off x="6957060" y="541020"/>
          <a:ext cx="4305673" cy="2712955"/>
        </a:xfrm>
        <a:prstGeom prst="rect">
          <a:avLst/>
        </a:prstGeom>
      </xdr:spPr>
    </xdr:pic>
    <xdr:clientData/>
  </xdr:twoCellAnchor>
  <xdr:twoCellAnchor editAs="oneCell">
    <xdr:from>
      <xdr:col>0</xdr:col>
      <xdr:colOff>601980</xdr:colOff>
      <xdr:row>27</xdr:row>
      <xdr:rowOff>83820</xdr:rowOff>
    </xdr:from>
    <xdr:to>
      <xdr:col>8</xdr:col>
      <xdr:colOff>411980</xdr:colOff>
      <xdr:row>36</xdr:row>
      <xdr:rowOff>76336</xdr:rowOff>
    </xdr:to>
    <xdr:pic>
      <xdr:nvPicPr>
        <xdr:cNvPr id="2" name="Picture 1">
          <a:extLst>
            <a:ext uri="{FF2B5EF4-FFF2-40B4-BE49-F238E27FC236}">
              <a16:creationId xmlns:a16="http://schemas.microsoft.com/office/drawing/2014/main" id="{7806DE68-2BE9-6CBE-5317-342266735C74}"/>
            </a:ext>
          </a:extLst>
        </xdr:cNvPr>
        <xdr:cNvPicPr>
          <a:picLocks noChangeAspect="1"/>
        </xdr:cNvPicPr>
      </xdr:nvPicPr>
      <xdr:blipFill>
        <a:blip xmlns:r="http://schemas.openxmlformats.org/officeDocument/2006/relationships" r:embed="rId5"/>
        <a:stretch>
          <a:fillRect/>
        </a:stretch>
      </xdr:blipFill>
      <xdr:spPr>
        <a:xfrm>
          <a:off x="601980" y="1661160"/>
          <a:ext cx="5768840" cy="1569856"/>
        </a:xfrm>
        <a:prstGeom prst="rect">
          <a:avLst/>
        </a:prstGeom>
      </xdr:spPr>
    </xdr:pic>
    <xdr:clientData/>
  </xdr:twoCellAnchor>
  <xdr:twoCellAnchor editAs="oneCell">
    <xdr:from>
      <xdr:col>0</xdr:col>
      <xdr:colOff>594360</xdr:colOff>
      <xdr:row>52</xdr:row>
      <xdr:rowOff>152400</xdr:rowOff>
    </xdr:from>
    <xdr:to>
      <xdr:col>8</xdr:col>
      <xdr:colOff>411980</xdr:colOff>
      <xdr:row>61</xdr:row>
      <xdr:rowOff>106813</xdr:rowOff>
    </xdr:to>
    <xdr:pic>
      <xdr:nvPicPr>
        <xdr:cNvPr id="3" name="Picture 2">
          <a:extLst>
            <a:ext uri="{FF2B5EF4-FFF2-40B4-BE49-F238E27FC236}">
              <a16:creationId xmlns:a16="http://schemas.microsoft.com/office/drawing/2014/main" id="{771E972A-8DD6-EA44-D4B5-97B3D2EA7A4B}"/>
            </a:ext>
          </a:extLst>
        </xdr:cNvPr>
        <xdr:cNvPicPr>
          <a:picLocks noChangeAspect="1"/>
        </xdr:cNvPicPr>
      </xdr:nvPicPr>
      <xdr:blipFill>
        <a:blip xmlns:r="http://schemas.openxmlformats.org/officeDocument/2006/relationships" r:embed="rId6"/>
        <a:stretch>
          <a:fillRect/>
        </a:stretch>
      </xdr:blipFill>
      <xdr:spPr>
        <a:xfrm>
          <a:off x="594360" y="5334000"/>
          <a:ext cx="5768840" cy="1531753"/>
        </a:xfrm>
        <a:prstGeom prst="rect">
          <a:avLst/>
        </a:prstGeom>
      </xdr:spPr>
    </xdr:pic>
    <xdr:clientData/>
  </xdr:twoCellAnchor>
  <xdr:twoCellAnchor editAs="oneCell">
    <xdr:from>
      <xdr:col>0</xdr:col>
      <xdr:colOff>289559</xdr:colOff>
      <xdr:row>77</xdr:row>
      <xdr:rowOff>137160</xdr:rowOff>
    </xdr:from>
    <xdr:to>
      <xdr:col>9</xdr:col>
      <xdr:colOff>144554</xdr:colOff>
      <xdr:row>87</xdr:row>
      <xdr:rowOff>15240</xdr:rowOff>
    </xdr:to>
    <xdr:pic>
      <xdr:nvPicPr>
        <xdr:cNvPr id="4" name="Picture 3">
          <a:extLst>
            <a:ext uri="{FF2B5EF4-FFF2-40B4-BE49-F238E27FC236}">
              <a16:creationId xmlns:a16="http://schemas.microsoft.com/office/drawing/2014/main" id="{1D02EA7C-3CFF-FDEA-97F6-A3E9633380A2}"/>
            </a:ext>
          </a:extLst>
        </xdr:cNvPr>
        <xdr:cNvPicPr>
          <a:picLocks noChangeAspect="1"/>
        </xdr:cNvPicPr>
      </xdr:nvPicPr>
      <xdr:blipFill>
        <a:blip xmlns:r="http://schemas.openxmlformats.org/officeDocument/2006/relationships" r:embed="rId7"/>
        <a:stretch>
          <a:fillRect/>
        </a:stretch>
      </xdr:blipFill>
      <xdr:spPr>
        <a:xfrm>
          <a:off x="289559" y="9791700"/>
          <a:ext cx="6111015" cy="1630680"/>
        </a:xfrm>
        <a:prstGeom prst="rect">
          <a:avLst/>
        </a:prstGeom>
      </xdr:spPr>
    </xdr:pic>
    <xdr:clientData/>
  </xdr:twoCellAnchor>
  <xdr:twoCellAnchor editAs="oneCell">
    <xdr:from>
      <xdr:col>0</xdr:col>
      <xdr:colOff>579120</xdr:colOff>
      <xdr:row>2</xdr:row>
      <xdr:rowOff>160210</xdr:rowOff>
    </xdr:from>
    <xdr:to>
      <xdr:col>9</xdr:col>
      <xdr:colOff>335888</xdr:colOff>
      <xdr:row>10</xdr:row>
      <xdr:rowOff>167776</xdr:rowOff>
    </xdr:to>
    <xdr:pic>
      <xdr:nvPicPr>
        <xdr:cNvPr id="6" name="Picture 5">
          <a:extLst>
            <a:ext uri="{FF2B5EF4-FFF2-40B4-BE49-F238E27FC236}">
              <a16:creationId xmlns:a16="http://schemas.microsoft.com/office/drawing/2014/main" id="{9CF3B707-0F0D-F93D-2CB1-D8187F043A36}"/>
            </a:ext>
          </a:extLst>
        </xdr:cNvPr>
        <xdr:cNvPicPr>
          <a:picLocks noChangeAspect="1"/>
        </xdr:cNvPicPr>
      </xdr:nvPicPr>
      <xdr:blipFill>
        <a:blip xmlns:r="http://schemas.openxmlformats.org/officeDocument/2006/relationships" r:embed="rId8"/>
        <a:stretch>
          <a:fillRect/>
        </a:stretch>
      </xdr:blipFill>
      <xdr:spPr>
        <a:xfrm>
          <a:off x="579120" y="14295310"/>
          <a:ext cx="6302348" cy="140964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9</xdr:col>
      <xdr:colOff>815340</xdr:colOff>
      <xdr:row>2</xdr:row>
      <xdr:rowOff>106680</xdr:rowOff>
    </xdr:from>
    <xdr:ext cx="4823878" cy="1501270"/>
    <xdr:pic>
      <xdr:nvPicPr>
        <xdr:cNvPr id="2" name="Picture 1">
          <a:extLst>
            <a:ext uri="{FF2B5EF4-FFF2-40B4-BE49-F238E27FC236}">
              <a16:creationId xmlns:a16="http://schemas.microsoft.com/office/drawing/2014/main" id="{430D35AE-8D36-497B-B425-1AC5E4391F79}"/>
            </a:ext>
          </a:extLst>
        </xdr:cNvPr>
        <xdr:cNvPicPr>
          <a:picLocks noChangeAspect="1"/>
        </xdr:cNvPicPr>
      </xdr:nvPicPr>
      <xdr:blipFill>
        <a:blip xmlns:r="http://schemas.openxmlformats.org/officeDocument/2006/relationships" r:embed="rId1"/>
        <a:stretch>
          <a:fillRect/>
        </a:stretch>
      </xdr:blipFill>
      <xdr:spPr>
        <a:xfrm>
          <a:off x="815340" y="6591300"/>
          <a:ext cx="4823878" cy="1501270"/>
        </a:xfrm>
        <a:prstGeom prst="rect">
          <a:avLst/>
        </a:prstGeom>
      </xdr:spPr>
    </xdr:pic>
    <xdr:clientData/>
  </xdr:oneCellAnchor>
  <xdr:oneCellAnchor>
    <xdr:from>
      <xdr:col>1</xdr:col>
      <xdr:colOff>0</xdr:colOff>
      <xdr:row>13</xdr:row>
      <xdr:rowOff>0</xdr:rowOff>
    </xdr:from>
    <xdr:ext cx="4854361" cy="1539373"/>
    <xdr:pic>
      <xdr:nvPicPr>
        <xdr:cNvPr id="3" name="Picture 2">
          <a:extLst>
            <a:ext uri="{FF2B5EF4-FFF2-40B4-BE49-F238E27FC236}">
              <a16:creationId xmlns:a16="http://schemas.microsoft.com/office/drawing/2014/main" id="{6B46E3D4-3F53-444B-A23C-941C13CA7ADD}"/>
            </a:ext>
          </a:extLst>
        </xdr:cNvPr>
        <xdr:cNvPicPr>
          <a:picLocks noChangeAspect="1"/>
        </xdr:cNvPicPr>
      </xdr:nvPicPr>
      <xdr:blipFill>
        <a:blip xmlns:r="http://schemas.openxmlformats.org/officeDocument/2006/relationships" r:embed="rId2"/>
        <a:stretch>
          <a:fillRect/>
        </a:stretch>
      </xdr:blipFill>
      <xdr:spPr>
        <a:xfrm>
          <a:off x="822960" y="18691860"/>
          <a:ext cx="4854361" cy="1539373"/>
        </a:xfrm>
        <a:prstGeom prst="rect">
          <a:avLst/>
        </a:prstGeom>
      </xdr:spPr>
    </xdr:pic>
    <xdr:clientData/>
  </xdr:oneCellAnchor>
  <xdr:oneCellAnchor>
    <xdr:from>
      <xdr:col>10</xdr:col>
      <xdr:colOff>0</xdr:colOff>
      <xdr:row>13</xdr:row>
      <xdr:rowOff>0</xdr:rowOff>
    </xdr:from>
    <xdr:ext cx="4892464" cy="1539373"/>
    <xdr:pic>
      <xdr:nvPicPr>
        <xdr:cNvPr id="4" name="Picture 3">
          <a:extLst>
            <a:ext uri="{FF2B5EF4-FFF2-40B4-BE49-F238E27FC236}">
              <a16:creationId xmlns:a16="http://schemas.microsoft.com/office/drawing/2014/main" id="{3BA0386A-01C6-469D-99DC-7495B9A16F49}"/>
            </a:ext>
          </a:extLst>
        </xdr:cNvPr>
        <xdr:cNvPicPr>
          <a:picLocks noChangeAspect="1"/>
        </xdr:cNvPicPr>
      </xdr:nvPicPr>
      <xdr:blipFill>
        <a:blip xmlns:r="http://schemas.openxmlformats.org/officeDocument/2006/relationships" r:embed="rId3"/>
        <a:stretch>
          <a:fillRect/>
        </a:stretch>
      </xdr:blipFill>
      <xdr:spPr>
        <a:xfrm>
          <a:off x="822960" y="27744420"/>
          <a:ext cx="4892464" cy="1539373"/>
        </a:xfrm>
        <a:prstGeom prst="rect">
          <a:avLst/>
        </a:prstGeom>
      </xdr:spPr>
    </xdr:pic>
    <xdr:clientData/>
  </xdr:oneCellAnchor>
  <xdr:oneCellAnchor>
    <xdr:from>
      <xdr:col>0</xdr:col>
      <xdr:colOff>579160</xdr:colOff>
      <xdr:row>2</xdr:row>
      <xdr:rowOff>83820</xdr:rowOff>
    </xdr:from>
    <xdr:ext cx="4976244" cy="1531750"/>
    <xdr:pic>
      <xdr:nvPicPr>
        <xdr:cNvPr id="5" name="Picture 4">
          <a:extLst>
            <a:ext uri="{FF2B5EF4-FFF2-40B4-BE49-F238E27FC236}">
              <a16:creationId xmlns:a16="http://schemas.microsoft.com/office/drawing/2014/main" id="{3878BCD4-7F65-4B0E-83C4-AEFD1EE067DC}"/>
            </a:ext>
          </a:extLst>
        </xdr:cNvPr>
        <xdr:cNvPicPr>
          <a:picLocks noChangeAspect="1"/>
        </xdr:cNvPicPr>
      </xdr:nvPicPr>
      <xdr:blipFill>
        <a:blip xmlns:r="http://schemas.openxmlformats.org/officeDocument/2006/relationships" r:embed="rId4"/>
        <a:stretch>
          <a:fillRect/>
        </a:stretch>
      </xdr:blipFill>
      <xdr:spPr>
        <a:xfrm>
          <a:off x="579160" y="449580"/>
          <a:ext cx="4976244" cy="153175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53340</xdr:colOff>
      <xdr:row>23</xdr:row>
      <xdr:rowOff>152400</xdr:rowOff>
    </xdr:from>
    <xdr:to>
      <xdr:col>22</xdr:col>
      <xdr:colOff>24142</xdr:colOff>
      <xdr:row>30</xdr:row>
      <xdr:rowOff>149682</xdr:rowOff>
    </xdr:to>
    <xdr:pic>
      <xdr:nvPicPr>
        <xdr:cNvPr id="2" name="Picture 1">
          <a:extLst>
            <a:ext uri="{FF2B5EF4-FFF2-40B4-BE49-F238E27FC236}">
              <a16:creationId xmlns:a16="http://schemas.microsoft.com/office/drawing/2014/main" id="{25F53631-CA2B-4C58-B1B6-68E56BCE3845}"/>
            </a:ext>
          </a:extLst>
        </xdr:cNvPr>
        <xdr:cNvPicPr>
          <a:picLocks noChangeAspect="1"/>
        </xdr:cNvPicPr>
      </xdr:nvPicPr>
      <xdr:blipFill>
        <a:blip xmlns:r="http://schemas.openxmlformats.org/officeDocument/2006/relationships" r:embed="rId1"/>
        <a:stretch>
          <a:fillRect/>
        </a:stretch>
      </xdr:blipFill>
      <xdr:spPr>
        <a:xfrm>
          <a:off x="662940" y="4884420"/>
          <a:ext cx="13976362" cy="1224102"/>
        </a:xfrm>
        <a:prstGeom prst="rect">
          <a:avLst/>
        </a:prstGeom>
      </xdr:spPr>
    </xdr:pic>
    <xdr:clientData/>
  </xdr:twoCellAnchor>
  <xdr:twoCellAnchor editAs="oneCell">
    <xdr:from>
      <xdr:col>1</xdr:col>
      <xdr:colOff>106680</xdr:colOff>
      <xdr:row>45</xdr:row>
      <xdr:rowOff>152400</xdr:rowOff>
    </xdr:from>
    <xdr:to>
      <xdr:col>21</xdr:col>
      <xdr:colOff>420385</xdr:colOff>
      <xdr:row>53</xdr:row>
      <xdr:rowOff>32519</xdr:rowOff>
    </xdr:to>
    <xdr:pic>
      <xdr:nvPicPr>
        <xdr:cNvPr id="3" name="Picture 2">
          <a:extLst>
            <a:ext uri="{FF2B5EF4-FFF2-40B4-BE49-F238E27FC236}">
              <a16:creationId xmlns:a16="http://schemas.microsoft.com/office/drawing/2014/main" id="{220DFC48-2D82-4A6D-87DE-1D6A73097DC0}"/>
            </a:ext>
          </a:extLst>
        </xdr:cNvPr>
        <xdr:cNvPicPr>
          <a:picLocks noChangeAspect="1"/>
        </xdr:cNvPicPr>
      </xdr:nvPicPr>
      <xdr:blipFill>
        <a:blip xmlns:r="http://schemas.openxmlformats.org/officeDocument/2006/relationships" r:embed="rId2"/>
        <a:stretch>
          <a:fillRect/>
        </a:stretch>
      </xdr:blipFill>
      <xdr:spPr>
        <a:xfrm>
          <a:off x="716280" y="8740140"/>
          <a:ext cx="13709665" cy="1282199"/>
        </a:xfrm>
        <a:prstGeom prst="rect">
          <a:avLst/>
        </a:prstGeom>
      </xdr:spPr>
    </xdr:pic>
    <xdr:clientData/>
  </xdr:twoCellAnchor>
  <xdr:twoCellAnchor editAs="oneCell">
    <xdr:from>
      <xdr:col>1</xdr:col>
      <xdr:colOff>0</xdr:colOff>
      <xdr:row>1</xdr:row>
      <xdr:rowOff>0</xdr:rowOff>
    </xdr:from>
    <xdr:to>
      <xdr:col>20</xdr:col>
      <xdr:colOff>336417</xdr:colOff>
      <xdr:row>8</xdr:row>
      <xdr:rowOff>91554</xdr:rowOff>
    </xdr:to>
    <xdr:pic>
      <xdr:nvPicPr>
        <xdr:cNvPr id="4" name="Picture 3">
          <a:extLst>
            <a:ext uri="{FF2B5EF4-FFF2-40B4-BE49-F238E27FC236}">
              <a16:creationId xmlns:a16="http://schemas.microsoft.com/office/drawing/2014/main" id="{E63AE422-C2CB-46AD-9555-E6082BD166EC}"/>
            </a:ext>
          </a:extLst>
        </xdr:cNvPr>
        <xdr:cNvPicPr>
          <a:picLocks noChangeAspect="1"/>
        </xdr:cNvPicPr>
      </xdr:nvPicPr>
      <xdr:blipFill>
        <a:blip xmlns:r="http://schemas.openxmlformats.org/officeDocument/2006/relationships" r:embed="rId3"/>
        <a:stretch>
          <a:fillRect/>
        </a:stretch>
      </xdr:blipFill>
      <xdr:spPr>
        <a:xfrm>
          <a:off x="609600" y="175260"/>
          <a:ext cx="13122777" cy="1318374"/>
        </a:xfrm>
        <a:prstGeom prst="rect">
          <a:avLst/>
        </a:prstGeom>
      </xdr:spPr>
    </xdr:pic>
    <xdr:clientData/>
  </xdr:twoCellAnchor>
  <xdr:twoCellAnchor editAs="oneCell">
    <xdr:from>
      <xdr:col>1</xdr:col>
      <xdr:colOff>30480</xdr:colOff>
      <xdr:row>68</xdr:row>
      <xdr:rowOff>76200</xdr:rowOff>
    </xdr:from>
    <xdr:to>
      <xdr:col>23</xdr:col>
      <xdr:colOff>214642</xdr:colOff>
      <xdr:row>76</xdr:row>
      <xdr:rowOff>7736</xdr:rowOff>
    </xdr:to>
    <xdr:pic>
      <xdr:nvPicPr>
        <xdr:cNvPr id="5" name="Picture 4">
          <a:extLst>
            <a:ext uri="{FF2B5EF4-FFF2-40B4-BE49-F238E27FC236}">
              <a16:creationId xmlns:a16="http://schemas.microsoft.com/office/drawing/2014/main" id="{538E92C3-8117-4F65-B3AF-9F8304B68734}"/>
            </a:ext>
          </a:extLst>
        </xdr:cNvPr>
        <xdr:cNvPicPr>
          <a:picLocks noChangeAspect="1"/>
        </xdr:cNvPicPr>
      </xdr:nvPicPr>
      <xdr:blipFill>
        <a:blip xmlns:r="http://schemas.openxmlformats.org/officeDocument/2006/relationships" r:embed="rId4"/>
        <a:stretch>
          <a:fillRect/>
        </a:stretch>
      </xdr:blipFill>
      <xdr:spPr>
        <a:xfrm>
          <a:off x="640080" y="12694920"/>
          <a:ext cx="14799322" cy="133361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579120</xdr:colOff>
      <xdr:row>36</xdr:row>
      <xdr:rowOff>106680</xdr:rowOff>
    </xdr:from>
    <xdr:to>
      <xdr:col>21</xdr:col>
      <xdr:colOff>504202</xdr:colOff>
      <xdr:row>43</xdr:row>
      <xdr:rowOff>103962</xdr:rowOff>
    </xdr:to>
    <xdr:pic>
      <xdr:nvPicPr>
        <xdr:cNvPr id="6" name="Picture 5">
          <a:extLst>
            <a:ext uri="{FF2B5EF4-FFF2-40B4-BE49-F238E27FC236}">
              <a16:creationId xmlns:a16="http://schemas.microsoft.com/office/drawing/2014/main" id="{7F73CC37-6CEF-4E9D-A533-11BE2724C5A7}"/>
            </a:ext>
          </a:extLst>
        </xdr:cNvPr>
        <xdr:cNvPicPr>
          <a:picLocks noChangeAspect="1"/>
        </xdr:cNvPicPr>
      </xdr:nvPicPr>
      <xdr:blipFill>
        <a:blip xmlns:r="http://schemas.openxmlformats.org/officeDocument/2006/relationships" r:embed="rId1"/>
        <a:stretch>
          <a:fillRect/>
        </a:stretch>
      </xdr:blipFill>
      <xdr:spPr>
        <a:xfrm>
          <a:off x="579120" y="457200"/>
          <a:ext cx="13976362" cy="1224102"/>
        </a:xfrm>
        <a:prstGeom prst="rect">
          <a:avLst/>
        </a:prstGeom>
      </xdr:spPr>
    </xdr:pic>
    <xdr:clientData/>
  </xdr:twoCellAnchor>
  <xdr:twoCellAnchor editAs="oneCell">
    <xdr:from>
      <xdr:col>0</xdr:col>
      <xdr:colOff>556260</xdr:colOff>
      <xdr:row>72</xdr:row>
      <xdr:rowOff>76200</xdr:rowOff>
    </xdr:from>
    <xdr:to>
      <xdr:col>21</xdr:col>
      <xdr:colOff>237505</xdr:colOff>
      <xdr:row>79</xdr:row>
      <xdr:rowOff>131579</xdr:rowOff>
    </xdr:to>
    <xdr:pic>
      <xdr:nvPicPr>
        <xdr:cNvPr id="7" name="Picture 6">
          <a:extLst>
            <a:ext uri="{FF2B5EF4-FFF2-40B4-BE49-F238E27FC236}">
              <a16:creationId xmlns:a16="http://schemas.microsoft.com/office/drawing/2014/main" id="{774E0171-F1B5-46AA-8C59-69A3C15A5E57}"/>
            </a:ext>
          </a:extLst>
        </xdr:cNvPr>
        <xdr:cNvPicPr>
          <a:picLocks noChangeAspect="1"/>
        </xdr:cNvPicPr>
      </xdr:nvPicPr>
      <xdr:blipFill>
        <a:blip xmlns:r="http://schemas.openxmlformats.org/officeDocument/2006/relationships" r:embed="rId2"/>
        <a:stretch>
          <a:fillRect/>
        </a:stretch>
      </xdr:blipFill>
      <xdr:spPr>
        <a:xfrm>
          <a:off x="556260" y="7025640"/>
          <a:ext cx="13709665" cy="1282199"/>
        </a:xfrm>
        <a:prstGeom prst="rect">
          <a:avLst/>
        </a:prstGeom>
      </xdr:spPr>
    </xdr:pic>
    <xdr:clientData/>
  </xdr:twoCellAnchor>
  <xdr:twoCellAnchor editAs="oneCell">
    <xdr:from>
      <xdr:col>0</xdr:col>
      <xdr:colOff>601980</xdr:colOff>
      <xdr:row>106</xdr:row>
      <xdr:rowOff>76200</xdr:rowOff>
    </xdr:from>
    <xdr:to>
      <xdr:col>23</xdr:col>
      <xdr:colOff>107962</xdr:colOff>
      <xdr:row>114</xdr:row>
      <xdr:rowOff>7736</xdr:rowOff>
    </xdr:to>
    <xdr:pic>
      <xdr:nvPicPr>
        <xdr:cNvPr id="8" name="Picture 7">
          <a:extLst>
            <a:ext uri="{FF2B5EF4-FFF2-40B4-BE49-F238E27FC236}">
              <a16:creationId xmlns:a16="http://schemas.microsoft.com/office/drawing/2014/main" id="{73BB9A28-9BE6-4399-BBF5-C8C17717DA98}"/>
            </a:ext>
          </a:extLst>
        </xdr:cNvPr>
        <xdr:cNvPicPr>
          <a:picLocks noChangeAspect="1"/>
        </xdr:cNvPicPr>
      </xdr:nvPicPr>
      <xdr:blipFill>
        <a:blip xmlns:r="http://schemas.openxmlformats.org/officeDocument/2006/relationships" r:embed="rId3"/>
        <a:stretch>
          <a:fillRect/>
        </a:stretch>
      </xdr:blipFill>
      <xdr:spPr>
        <a:xfrm>
          <a:off x="601980" y="14180820"/>
          <a:ext cx="14799322" cy="1333616"/>
        </a:xfrm>
        <a:prstGeom prst="rect">
          <a:avLst/>
        </a:prstGeom>
      </xdr:spPr>
    </xdr:pic>
    <xdr:clientData/>
  </xdr:twoCellAnchor>
  <xdr:twoCellAnchor editAs="oneCell">
    <xdr:from>
      <xdr:col>1</xdr:col>
      <xdr:colOff>7620</xdr:colOff>
      <xdr:row>2</xdr:row>
      <xdr:rowOff>99060</xdr:rowOff>
    </xdr:from>
    <xdr:to>
      <xdr:col>20</xdr:col>
      <xdr:colOff>267837</xdr:colOff>
      <xdr:row>10</xdr:row>
      <xdr:rowOff>15354</xdr:rowOff>
    </xdr:to>
    <xdr:pic>
      <xdr:nvPicPr>
        <xdr:cNvPr id="9" name="Picture 8">
          <a:extLst>
            <a:ext uri="{FF2B5EF4-FFF2-40B4-BE49-F238E27FC236}">
              <a16:creationId xmlns:a16="http://schemas.microsoft.com/office/drawing/2014/main" id="{46292EC0-5121-4AEF-BAEE-8FE28B894F7E}"/>
            </a:ext>
          </a:extLst>
        </xdr:cNvPr>
        <xdr:cNvPicPr>
          <a:picLocks noChangeAspect="1"/>
        </xdr:cNvPicPr>
      </xdr:nvPicPr>
      <xdr:blipFill>
        <a:blip xmlns:r="http://schemas.openxmlformats.org/officeDocument/2006/relationships" r:embed="rId4"/>
        <a:stretch>
          <a:fillRect/>
        </a:stretch>
      </xdr:blipFill>
      <xdr:spPr>
        <a:xfrm>
          <a:off x="617220" y="22425660"/>
          <a:ext cx="13122777" cy="1318374"/>
        </a:xfrm>
        <a:prstGeom prst="rect">
          <a:avLst/>
        </a:prstGeom>
      </xdr:spPr>
    </xdr:pic>
    <xdr:clientData/>
  </xdr:twoCellAnchor>
  <xdr:twoCellAnchor editAs="oneCell">
    <xdr:from>
      <xdr:col>1</xdr:col>
      <xdr:colOff>0</xdr:colOff>
      <xdr:row>44</xdr:row>
      <xdr:rowOff>91440</xdr:rowOff>
    </xdr:from>
    <xdr:to>
      <xdr:col>8</xdr:col>
      <xdr:colOff>244342</xdr:colOff>
      <xdr:row>54</xdr:row>
      <xdr:rowOff>53489</xdr:rowOff>
    </xdr:to>
    <xdr:pic>
      <xdr:nvPicPr>
        <xdr:cNvPr id="2" name="Picture 1">
          <a:extLst>
            <a:ext uri="{FF2B5EF4-FFF2-40B4-BE49-F238E27FC236}">
              <a16:creationId xmlns:a16="http://schemas.microsoft.com/office/drawing/2014/main" id="{1DCD321D-9F61-0052-101C-C64A330E1F67}"/>
            </a:ext>
          </a:extLst>
        </xdr:cNvPr>
        <xdr:cNvPicPr>
          <a:picLocks noChangeAspect="1"/>
        </xdr:cNvPicPr>
      </xdr:nvPicPr>
      <xdr:blipFill>
        <a:blip xmlns:r="http://schemas.openxmlformats.org/officeDocument/2006/relationships" r:embed="rId5"/>
        <a:stretch>
          <a:fillRect/>
        </a:stretch>
      </xdr:blipFill>
      <xdr:spPr>
        <a:xfrm>
          <a:off x="609600" y="1844040"/>
          <a:ext cx="5791702" cy="1714649"/>
        </a:xfrm>
        <a:prstGeom prst="rect">
          <a:avLst/>
        </a:prstGeom>
      </xdr:spPr>
    </xdr:pic>
    <xdr:clientData/>
  </xdr:twoCellAnchor>
  <xdr:twoCellAnchor editAs="oneCell">
    <xdr:from>
      <xdr:col>0</xdr:col>
      <xdr:colOff>601980</xdr:colOff>
      <xdr:row>80</xdr:row>
      <xdr:rowOff>53340</xdr:rowOff>
    </xdr:from>
    <xdr:to>
      <xdr:col>8</xdr:col>
      <xdr:colOff>221480</xdr:colOff>
      <xdr:row>90</xdr:row>
      <xdr:rowOff>23009</xdr:rowOff>
    </xdr:to>
    <xdr:pic>
      <xdr:nvPicPr>
        <xdr:cNvPr id="3" name="Picture 2">
          <a:extLst>
            <a:ext uri="{FF2B5EF4-FFF2-40B4-BE49-F238E27FC236}">
              <a16:creationId xmlns:a16="http://schemas.microsoft.com/office/drawing/2014/main" id="{9DF6C9A5-D7D0-B063-29D3-A5F5C4E1FD1F}"/>
            </a:ext>
          </a:extLst>
        </xdr:cNvPr>
        <xdr:cNvPicPr>
          <a:picLocks noChangeAspect="1"/>
        </xdr:cNvPicPr>
      </xdr:nvPicPr>
      <xdr:blipFill>
        <a:blip xmlns:r="http://schemas.openxmlformats.org/officeDocument/2006/relationships" r:embed="rId6"/>
        <a:stretch>
          <a:fillRect/>
        </a:stretch>
      </xdr:blipFill>
      <xdr:spPr>
        <a:xfrm>
          <a:off x="601980" y="8221980"/>
          <a:ext cx="5768840" cy="1722269"/>
        </a:xfrm>
        <a:prstGeom prst="rect">
          <a:avLst/>
        </a:prstGeom>
      </xdr:spPr>
    </xdr:pic>
    <xdr:clientData/>
  </xdr:twoCellAnchor>
  <xdr:twoCellAnchor editAs="oneCell">
    <xdr:from>
      <xdr:col>1</xdr:col>
      <xdr:colOff>7620</xdr:colOff>
      <xdr:row>114</xdr:row>
      <xdr:rowOff>137160</xdr:rowOff>
    </xdr:from>
    <xdr:to>
      <xdr:col>8</xdr:col>
      <xdr:colOff>229100</xdr:colOff>
      <xdr:row>124</xdr:row>
      <xdr:rowOff>114450</xdr:rowOff>
    </xdr:to>
    <xdr:pic>
      <xdr:nvPicPr>
        <xdr:cNvPr id="4" name="Picture 3">
          <a:extLst>
            <a:ext uri="{FF2B5EF4-FFF2-40B4-BE49-F238E27FC236}">
              <a16:creationId xmlns:a16="http://schemas.microsoft.com/office/drawing/2014/main" id="{5D33232C-D6C8-C9C7-A152-15ABE7741249}"/>
            </a:ext>
          </a:extLst>
        </xdr:cNvPr>
        <xdr:cNvPicPr>
          <a:picLocks noChangeAspect="1"/>
        </xdr:cNvPicPr>
      </xdr:nvPicPr>
      <xdr:blipFill>
        <a:blip xmlns:r="http://schemas.openxmlformats.org/officeDocument/2006/relationships" r:embed="rId7"/>
        <a:stretch>
          <a:fillRect/>
        </a:stretch>
      </xdr:blipFill>
      <xdr:spPr>
        <a:xfrm>
          <a:off x="617220" y="14546580"/>
          <a:ext cx="5768840" cy="1729890"/>
        </a:xfrm>
        <a:prstGeom prst="rect">
          <a:avLst/>
        </a:prstGeom>
      </xdr:spPr>
    </xdr:pic>
    <xdr:clientData/>
  </xdr:twoCellAnchor>
  <xdr:twoCellAnchor editAs="oneCell">
    <xdr:from>
      <xdr:col>1</xdr:col>
      <xdr:colOff>0</xdr:colOff>
      <xdr:row>10</xdr:row>
      <xdr:rowOff>152400</xdr:rowOff>
    </xdr:from>
    <xdr:to>
      <xdr:col>8</xdr:col>
      <xdr:colOff>221480</xdr:colOff>
      <xdr:row>20</xdr:row>
      <xdr:rowOff>129690</xdr:rowOff>
    </xdr:to>
    <xdr:pic>
      <xdr:nvPicPr>
        <xdr:cNvPr id="10" name="Picture 9">
          <a:extLst>
            <a:ext uri="{FF2B5EF4-FFF2-40B4-BE49-F238E27FC236}">
              <a16:creationId xmlns:a16="http://schemas.microsoft.com/office/drawing/2014/main" id="{C76416DE-4BA4-76E1-D860-C2C1D427B259}"/>
            </a:ext>
          </a:extLst>
        </xdr:cNvPr>
        <xdr:cNvPicPr>
          <a:picLocks noChangeAspect="1"/>
        </xdr:cNvPicPr>
      </xdr:nvPicPr>
      <xdr:blipFill>
        <a:blip xmlns:r="http://schemas.openxmlformats.org/officeDocument/2006/relationships" r:embed="rId8"/>
        <a:stretch>
          <a:fillRect/>
        </a:stretch>
      </xdr:blipFill>
      <xdr:spPr>
        <a:xfrm>
          <a:off x="609600" y="20985480"/>
          <a:ext cx="5768840" cy="172989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9</xdr:col>
      <xdr:colOff>571500</xdr:colOff>
      <xdr:row>2</xdr:row>
      <xdr:rowOff>60960</xdr:rowOff>
    </xdr:from>
    <xdr:ext cx="4846740" cy="1691787"/>
    <xdr:pic>
      <xdr:nvPicPr>
        <xdr:cNvPr id="4" name="Picture 3">
          <a:extLst>
            <a:ext uri="{FF2B5EF4-FFF2-40B4-BE49-F238E27FC236}">
              <a16:creationId xmlns:a16="http://schemas.microsoft.com/office/drawing/2014/main" id="{7DE45DB7-A224-423E-A870-A10A432396A4}"/>
            </a:ext>
          </a:extLst>
        </xdr:cNvPr>
        <xdr:cNvPicPr>
          <a:picLocks noChangeAspect="1"/>
        </xdr:cNvPicPr>
      </xdr:nvPicPr>
      <xdr:blipFill>
        <a:blip xmlns:r="http://schemas.openxmlformats.org/officeDocument/2006/relationships" r:embed="rId1"/>
        <a:stretch>
          <a:fillRect/>
        </a:stretch>
      </xdr:blipFill>
      <xdr:spPr>
        <a:xfrm>
          <a:off x="6057900" y="609600"/>
          <a:ext cx="4846740" cy="1691787"/>
        </a:xfrm>
        <a:prstGeom prst="rect">
          <a:avLst/>
        </a:prstGeom>
      </xdr:spPr>
    </xdr:pic>
    <xdr:clientData/>
  </xdr:oneCellAnchor>
  <xdr:twoCellAnchor editAs="oneCell">
    <xdr:from>
      <xdr:col>1</xdr:col>
      <xdr:colOff>22860</xdr:colOff>
      <xdr:row>13</xdr:row>
      <xdr:rowOff>45720</xdr:rowOff>
    </xdr:from>
    <xdr:to>
      <xdr:col>8</xdr:col>
      <xdr:colOff>594779</xdr:colOff>
      <xdr:row>22</xdr:row>
      <xdr:rowOff>76345</xdr:rowOff>
    </xdr:to>
    <xdr:pic>
      <xdr:nvPicPr>
        <xdr:cNvPr id="5" name="Picture 4">
          <a:extLst>
            <a:ext uri="{FF2B5EF4-FFF2-40B4-BE49-F238E27FC236}">
              <a16:creationId xmlns:a16="http://schemas.microsoft.com/office/drawing/2014/main" id="{FA6D5988-3440-4B08-94C0-344B4249CAF6}"/>
            </a:ext>
          </a:extLst>
        </xdr:cNvPr>
        <xdr:cNvPicPr>
          <a:picLocks noChangeAspect="1"/>
        </xdr:cNvPicPr>
      </xdr:nvPicPr>
      <xdr:blipFill>
        <a:blip xmlns:r="http://schemas.openxmlformats.org/officeDocument/2006/relationships" r:embed="rId2"/>
        <a:stretch>
          <a:fillRect/>
        </a:stretch>
      </xdr:blipFill>
      <xdr:spPr>
        <a:xfrm>
          <a:off x="632460" y="2788920"/>
          <a:ext cx="4839119" cy="1676545"/>
        </a:xfrm>
        <a:prstGeom prst="rect">
          <a:avLst/>
        </a:prstGeom>
      </xdr:spPr>
    </xdr:pic>
    <xdr:clientData/>
  </xdr:twoCellAnchor>
  <xdr:oneCellAnchor>
    <xdr:from>
      <xdr:col>9</xdr:col>
      <xdr:colOff>609599</xdr:colOff>
      <xdr:row>13</xdr:row>
      <xdr:rowOff>45720</xdr:rowOff>
    </xdr:from>
    <xdr:ext cx="4889397" cy="1729740"/>
    <xdr:pic>
      <xdr:nvPicPr>
        <xdr:cNvPr id="6" name="Picture 5">
          <a:extLst>
            <a:ext uri="{FF2B5EF4-FFF2-40B4-BE49-F238E27FC236}">
              <a16:creationId xmlns:a16="http://schemas.microsoft.com/office/drawing/2014/main" id="{E2E88A39-77CC-4DAC-9B2B-2A8478C526EC}"/>
            </a:ext>
          </a:extLst>
        </xdr:cNvPr>
        <xdr:cNvPicPr>
          <a:picLocks noChangeAspect="1"/>
        </xdr:cNvPicPr>
      </xdr:nvPicPr>
      <xdr:blipFill>
        <a:blip xmlns:r="http://schemas.openxmlformats.org/officeDocument/2006/relationships" r:embed="rId3"/>
        <a:stretch>
          <a:fillRect/>
        </a:stretch>
      </xdr:blipFill>
      <xdr:spPr>
        <a:xfrm>
          <a:off x="6095999" y="2606040"/>
          <a:ext cx="4889397" cy="1729740"/>
        </a:xfrm>
        <a:prstGeom prst="rect">
          <a:avLst/>
        </a:prstGeom>
      </xdr:spPr>
    </xdr:pic>
    <xdr:clientData/>
  </xdr:oneCellAnchor>
  <xdr:twoCellAnchor editAs="oneCell">
    <xdr:from>
      <xdr:col>1</xdr:col>
      <xdr:colOff>30480</xdr:colOff>
      <xdr:row>2</xdr:row>
      <xdr:rowOff>76200</xdr:rowOff>
    </xdr:from>
    <xdr:to>
      <xdr:col>8</xdr:col>
      <xdr:colOff>571917</xdr:colOff>
      <xdr:row>11</xdr:row>
      <xdr:rowOff>129687</xdr:rowOff>
    </xdr:to>
    <xdr:pic>
      <xdr:nvPicPr>
        <xdr:cNvPr id="7" name="Picture 6">
          <a:extLst>
            <a:ext uri="{FF2B5EF4-FFF2-40B4-BE49-F238E27FC236}">
              <a16:creationId xmlns:a16="http://schemas.microsoft.com/office/drawing/2014/main" id="{E9A9A231-69CF-4F39-98EA-08D6E26D93AA}"/>
            </a:ext>
          </a:extLst>
        </xdr:cNvPr>
        <xdr:cNvPicPr>
          <a:picLocks noChangeAspect="1"/>
        </xdr:cNvPicPr>
      </xdr:nvPicPr>
      <xdr:blipFill>
        <a:blip xmlns:r="http://schemas.openxmlformats.org/officeDocument/2006/relationships" r:embed="rId4"/>
        <a:stretch>
          <a:fillRect/>
        </a:stretch>
      </xdr:blipFill>
      <xdr:spPr>
        <a:xfrm>
          <a:off x="640080" y="624840"/>
          <a:ext cx="4808637" cy="169940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14</xdr:col>
      <xdr:colOff>411480</xdr:colOff>
      <xdr:row>0</xdr:row>
      <xdr:rowOff>106680</xdr:rowOff>
    </xdr:from>
    <xdr:to>
      <xdr:col>21</xdr:col>
      <xdr:colOff>93335</xdr:colOff>
      <xdr:row>17</xdr:row>
      <xdr:rowOff>46075</xdr:rowOff>
    </xdr:to>
    <xdr:pic>
      <xdr:nvPicPr>
        <xdr:cNvPr id="3" name="Picture 2">
          <a:extLst>
            <a:ext uri="{FF2B5EF4-FFF2-40B4-BE49-F238E27FC236}">
              <a16:creationId xmlns:a16="http://schemas.microsoft.com/office/drawing/2014/main" id="{9E456D5A-A5A3-4D35-8E8C-E43223E70BA0}"/>
            </a:ext>
          </a:extLst>
        </xdr:cNvPr>
        <xdr:cNvPicPr>
          <a:picLocks noChangeAspect="1"/>
        </xdr:cNvPicPr>
      </xdr:nvPicPr>
      <xdr:blipFill>
        <a:blip xmlns:r="http://schemas.openxmlformats.org/officeDocument/2006/relationships" r:embed="rId1"/>
        <a:stretch>
          <a:fillRect/>
        </a:stretch>
      </xdr:blipFill>
      <xdr:spPr>
        <a:xfrm>
          <a:off x="10302240" y="106680"/>
          <a:ext cx="3949055" cy="2926435"/>
        </a:xfrm>
        <a:prstGeom prst="rect">
          <a:avLst/>
        </a:prstGeom>
      </xdr:spPr>
    </xdr:pic>
    <xdr:clientData/>
  </xdr:twoCellAnchor>
  <xdr:twoCellAnchor editAs="oneCell">
    <xdr:from>
      <xdr:col>14</xdr:col>
      <xdr:colOff>320040</xdr:colOff>
      <xdr:row>64</xdr:row>
      <xdr:rowOff>22902</xdr:rowOff>
    </xdr:from>
    <xdr:to>
      <xdr:col>21</xdr:col>
      <xdr:colOff>36167</xdr:colOff>
      <xdr:row>81</xdr:row>
      <xdr:rowOff>53701</xdr:rowOff>
    </xdr:to>
    <xdr:pic>
      <xdr:nvPicPr>
        <xdr:cNvPr id="4" name="Picture 3">
          <a:extLst>
            <a:ext uri="{FF2B5EF4-FFF2-40B4-BE49-F238E27FC236}">
              <a16:creationId xmlns:a16="http://schemas.microsoft.com/office/drawing/2014/main" id="{62DCCA7C-F18B-4CB6-BCC1-49882E540929}"/>
            </a:ext>
          </a:extLst>
        </xdr:cNvPr>
        <xdr:cNvPicPr>
          <a:picLocks noChangeAspect="1"/>
        </xdr:cNvPicPr>
      </xdr:nvPicPr>
      <xdr:blipFill>
        <a:blip xmlns:r="http://schemas.openxmlformats.org/officeDocument/2006/relationships" r:embed="rId2"/>
        <a:stretch>
          <a:fillRect/>
        </a:stretch>
      </xdr:blipFill>
      <xdr:spPr>
        <a:xfrm>
          <a:off x="10050780" y="10370862"/>
          <a:ext cx="3983327" cy="3017839"/>
        </a:xfrm>
        <a:prstGeom prst="rect">
          <a:avLst/>
        </a:prstGeom>
      </xdr:spPr>
    </xdr:pic>
    <xdr:clientData/>
  </xdr:twoCellAnchor>
  <xdr:twoCellAnchor editAs="oneCell">
    <xdr:from>
      <xdr:col>14</xdr:col>
      <xdr:colOff>396240</xdr:colOff>
      <xdr:row>20</xdr:row>
      <xdr:rowOff>139300</xdr:rowOff>
    </xdr:from>
    <xdr:to>
      <xdr:col>21</xdr:col>
      <xdr:colOff>114288</xdr:colOff>
      <xdr:row>37</xdr:row>
      <xdr:rowOff>145154</xdr:rowOff>
    </xdr:to>
    <xdr:pic>
      <xdr:nvPicPr>
        <xdr:cNvPr id="5" name="Picture 4">
          <a:extLst>
            <a:ext uri="{FF2B5EF4-FFF2-40B4-BE49-F238E27FC236}">
              <a16:creationId xmlns:a16="http://schemas.microsoft.com/office/drawing/2014/main" id="{196443FC-13F0-4E86-B4BB-A5EE8CCF8FC5}"/>
            </a:ext>
          </a:extLst>
        </xdr:cNvPr>
        <xdr:cNvPicPr>
          <a:picLocks noChangeAspect="1"/>
        </xdr:cNvPicPr>
      </xdr:nvPicPr>
      <xdr:blipFill>
        <a:blip xmlns:r="http://schemas.openxmlformats.org/officeDocument/2006/relationships" r:embed="rId3"/>
        <a:stretch>
          <a:fillRect/>
        </a:stretch>
      </xdr:blipFill>
      <xdr:spPr>
        <a:xfrm>
          <a:off x="10126980" y="3652120"/>
          <a:ext cx="3985248" cy="2992894"/>
        </a:xfrm>
        <a:prstGeom prst="rect">
          <a:avLst/>
        </a:prstGeom>
      </xdr:spPr>
    </xdr:pic>
    <xdr:clientData/>
  </xdr:twoCellAnchor>
  <xdr:twoCellAnchor editAs="oneCell">
    <xdr:from>
      <xdr:col>14</xdr:col>
      <xdr:colOff>471501</xdr:colOff>
      <xdr:row>42</xdr:row>
      <xdr:rowOff>60960</xdr:rowOff>
    </xdr:from>
    <xdr:to>
      <xdr:col>21</xdr:col>
      <xdr:colOff>160521</xdr:colOff>
      <xdr:row>59</xdr:row>
      <xdr:rowOff>38475</xdr:rowOff>
    </xdr:to>
    <xdr:pic>
      <xdr:nvPicPr>
        <xdr:cNvPr id="6" name="Picture 5">
          <a:extLst>
            <a:ext uri="{FF2B5EF4-FFF2-40B4-BE49-F238E27FC236}">
              <a16:creationId xmlns:a16="http://schemas.microsoft.com/office/drawing/2014/main" id="{75F2C8F0-5113-49FF-B783-E3A4FF671724}"/>
            </a:ext>
          </a:extLst>
        </xdr:cNvPr>
        <xdr:cNvPicPr>
          <a:picLocks noChangeAspect="1"/>
        </xdr:cNvPicPr>
      </xdr:nvPicPr>
      <xdr:blipFill>
        <a:blip xmlns:r="http://schemas.openxmlformats.org/officeDocument/2006/relationships" r:embed="rId4"/>
        <a:stretch>
          <a:fillRect/>
        </a:stretch>
      </xdr:blipFill>
      <xdr:spPr>
        <a:xfrm>
          <a:off x="10202241" y="7437120"/>
          <a:ext cx="3956220" cy="296455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167639</xdr:colOff>
      <xdr:row>27</xdr:row>
      <xdr:rowOff>167640</xdr:rowOff>
    </xdr:from>
    <xdr:to>
      <xdr:col>16</xdr:col>
      <xdr:colOff>436450</xdr:colOff>
      <xdr:row>47</xdr:row>
      <xdr:rowOff>7994</xdr:rowOff>
    </xdr:to>
    <xdr:pic>
      <xdr:nvPicPr>
        <xdr:cNvPr id="10" name="Picture 9">
          <a:extLst>
            <a:ext uri="{FF2B5EF4-FFF2-40B4-BE49-F238E27FC236}">
              <a16:creationId xmlns:a16="http://schemas.microsoft.com/office/drawing/2014/main" id="{84C1C6F1-D6BB-46F4-A767-84A2967B8B92}"/>
            </a:ext>
          </a:extLst>
        </xdr:cNvPr>
        <xdr:cNvPicPr>
          <a:picLocks noChangeAspect="1"/>
        </xdr:cNvPicPr>
      </xdr:nvPicPr>
      <xdr:blipFill>
        <a:blip xmlns:r="http://schemas.openxmlformats.org/officeDocument/2006/relationships" r:embed="rId1"/>
        <a:stretch>
          <a:fillRect/>
        </a:stretch>
      </xdr:blipFill>
      <xdr:spPr>
        <a:xfrm>
          <a:off x="6934199" y="4991100"/>
          <a:ext cx="4536011" cy="3406514"/>
        </a:xfrm>
        <a:prstGeom prst="rect">
          <a:avLst/>
        </a:prstGeom>
      </xdr:spPr>
    </xdr:pic>
    <xdr:clientData/>
  </xdr:twoCellAnchor>
  <xdr:twoCellAnchor editAs="oneCell">
    <xdr:from>
      <xdr:col>9</xdr:col>
      <xdr:colOff>44432</xdr:colOff>
      <xdr:row>52</xdr:row>
      <xdr:rowOff>83820</xdr:rowOff>
    </xdr:from>
    <xdr:to>
      <xdr:col>16</xdr:col>
      <xdr:colOff>404601</xdr:colOff>
      <xdr:row>71</xdr:row>
      <xdr:rowOff>160395</xdr:rowOff>
    </xdr:to>
    <xdr:pic>
      <xdr:nvPicPr>
        <xdr:cNvPr id="11" name="Picture 10">
          <a:extLst>
            <a:ext uri="{FF2B5EF4-FFF2-40B4-BE49-F238E27FC236}">
              <a16:creationId xmlns:a16="http://schemas.microsoft.com/office/drawing/2014/main" id="{1882F94D-B520-42F3-BB53-23AC49B0DE15}"/>
            </a:ext>
          </a:extLst>
        </xdr:cNvPr>
        <xdr:cNvPicPr>
          <a:picLocks noChangeAspect="1"/>
        </xdr:cNvPicPr>
      </xdr:nvPicPr>
      <xdr:blipFill>
        <a:blip xmlns:r="http://schemas.openxmlformats.org/officeDocument/2006/relationships" r:embed="rId2"/>
        <a:stretch>
          <a:fillRect/>
        </a:stretch>
      </xdr:blipFill>
      <xdr:spPr>
        <a:xfrm>
          <a:off x="6810992" y="9364980"/>
          <a:ext cx="4627369" cy="3467475"/>
        </a:xfrm>
        <a:prstGeom prst="rect">
          <a:avLst/>
        </a:prstGeom>
      </xdr:spPr>
    </xdr:pic>
    <xdr:clientData/>
  </xdr:twoCellAnchor>
  <xdr:twoCellAnchor editAs="oneCell">
    <xdr:from>
      <xdr:col>8</xdr:col>
      <xdr:colOff>559254</xdr:colOff>
      <xdr:row>77</xdr:row>
      <xdr:rowOff>38100</xdr:rowOff>
    </xdr:from>
    <xdr:to>
      <xdr:col>16</xdr:col>
      <xdr:colOff>191405</xdr:colOff>
      <xdr:row>96</xdr:row>
      <xdr:rowOff>55640</xdr:rowOff>
    </xdr:to>
    <xdr:pic>
      <xdr:nvPicPr>
        <xdr:cNvPr id="12" name="Picture 11">
          <a:extLst>
            <a:ext uri="{FF2B5EF4-FFF2-40B4-BE49-F238E27FC236}">
              <a16:creationId xmlns:a16="http://schemas.microsoft.com/office/drawing/2014/main" id="{900887B8-A3A4-4DB1-924F-26DEA5026092}"/>
            </a:ext>
          </a:extLst>
        </xdr:cNvPr>
        <xdr:cNvPicPr>
          <a:picLocks noChangeAspect="1"/>
        </xdr:cNvPicPr>
      </xdr:nvPicPr>
      <xdr:blipFill>
        <a:blip xmlns:r="http://schemas.openxmlformats.org/officeDocument/2006/relationships" r:embed="rId3"/>
        <a:stretch>
          <a:fillRect/>
        </a:stretch>
      </xdr:blipFill>
      <xdr:spPr>
        <a:xfrm>
          <a:off x="6716214" y="13792200"/>
          <a:ext cx="4508951" cy="3416060"/>
        </a:xfrm>
        <a:prstGeom prst="rect">
          <a:avLst/>
        </a:prstGeom>
      </xdr:spPr>
    </xdr:pic>
    <xdr:clientData/>
  </xdr:twoCellAnchor>
  <xdr:twoCellAnchor editAs="oneCell">
    <xdr:from>
      <xdr:col>9</xdr:col>
      <xdr:colOff>87616</xdr:colOff>
      <xdr:row>3</xdr:row>
      <xdr:rowOff>30480</xdr:rowOff>
    </xdr:from>
    <xdr:to>
      <xdr:col>16</xdr:col>
      <xdr:colOff>396719</xdr:colOff>
      <xdr:row>22</xdr:row>
      <xdr:rowOff>23215</xdr:rowOff>
    </xdr:to>
    <xdr:pic>
      <xdr:nvPicPr>
        <xdr:cNvPr id="13" name="Picture 12">
          <a:extLst>
            <a:ext uri="{FF2B5EF4-FFF2-40B4-BE49-F238E27FC236}">
              <a16:creationId xmlns:a16="http://schemas.microsoft.com/office/drawing/2014/main" id="{483FC5FF-B9C9-496E-AA76-9CA96346CD7C}"/>
            </a:ext>
          </a:extLst>
        </xdr:cNvPr>
        <xdr:cNvPicPr>
          <a:picLocks noChangeAspect="1"/>
        </xdr:cNvPicPr>
      </xdr:nvPicPr>
      <xdr:blipFill>
        <a:blip xmlns:r="http://schemas.openxmlformats.org/officeDocument/2006/relationships" r:embed="rId4"/>
        <a:stretch>
          <a:fillRect/>
        </a:stretch>
      </xdr:blipFill>
      <xdr:spPr>
        <a:xfrm>
          <a:off x="6854176" y="556260"/>
          <a:ext cx="4576303" cy="3391255"/>
        </a:xfrm>
        <a:prstGeom prst="rect">
          <a:avLst/>
        </a:prstGeom>
      </xdr:spPr>
    </xdr:pic>
    <xdr:clientData/>
  </xdr:twoCellAnchor>
  <xdr:twoCellAnchor editAs="oneCell">
    <xdr:from>
      <xdr:col>0</xdr:col>
      <xdr:colOff>594360</xdr:colOff>
      <xdr:row>27</xdr:row>
      <xdr:rowOff>167640</xdr:rowOff>
    </xdr:from>
    <xdr:to>
      <xdr:col>8</xdr:col>
      <xdr:colOff>206239</xdr:colOff>
      <xdr:row>36</xdr:row>
      <xdr:rowOff>129673</xdr:rowOff>
    </xdr:to>
    <xdr:pic>
      <xdr:nvPicPr>
        <xdr:cNvPr id="14" name="Picture 13">
          <a:extLst>
            <a:ext uri="{FF2B5EF4-FFF2-40B4-BE49-F238E27FC236}">
              <a16:creationId xmlns:a16="http://schemas.microsoft.com/office/drawing/2014/main" id="{0D2D6530-42DC-6CA5-7159-82D501A0157C}"/>
            </a:ext>
          </a:extLst>
        </xdr:cNvPr>
        <xdr:cNvPicPr>
          <a:picLocks noChangeAspect="1"/>
        </xdr:cNvPicPr>
      </xdr:nvPicPr>
      <xdr:blipFill>
        <a:blip xmlns:r="http://schemas.openxmlformats.org/officeDocument/2006/relationships" r:embed="rId5"/>
        <a:stretch>
          <a:fillRect/>
        </a:stretch>
      </xdr:blipFill>
      <xdr:spPr>
        <a:xfrm>
          <a:off x="594360" y="518160"/>
          <a:ext cx="5753599" cy="1539373"/>
        </a:xfrm>
        <a:prstGeom prst="rect">
          <a:avLst/>
        </a:prstGeom>
      </xdr:spPr>
    </xdr:pic>
    <xdr:clientData/>
  </xdr:twoCellAnchor>
  <xdr:twoCellAnchor editAs="oneCell">
    <xdr:from>
      <xdr:col>1</xdr:col>
      <xdr:colOff>0</xdr:colOff>
      <xdr:row>52</xdr:row>
      <xdr:rowOff>129540</xdr:rowOff>
    </xdr:from>
    <xdr:to>
      <xdr:col>8</xdr:col>
      <xdr:colOff>206239</xdr:colOff>
      <xdr:row>61</xdr:row>
      <xdr:rowOff>114435</xdr:rowOff>
    </xdr:to>
    <xdr:pic>
      <xdr:nvPicPr>
        <xdr:cNvPr id="15" name="Picture 14">
          <a:extLst>
            <a:ext uri="{FF2B5EF4-FFF2-40B4-BE49-F238E27FC236}">
              <a16:creationId xmlns:a16="http://schemas.microsoft.com/office/drawing/2014/main" id="{8BE86744-82DF-6377-6EF4-D33E82BA820B}"/>
            </a:ext>
          </a:extLst>
        </xdr:cNvPr>
        <xdr:cNvPicPr>
          <a:picLocks noChangeAspect="1"/>
        </xdr:cNvPicPr>
      </xdr:nvPicPr>
      <xdr:blipFill>
        <a:blip xmlns:r="http://schemas.openxmlformats.org/officeDocument/2006/relationships" r:embed="rId6"/>
        <a:stretch>
          <a:fillRect/>
        </a:stretch>
      </xdr:blipFill>
      <xdr:spPr>
        <a:xfrm>
          <a:off x="609600" y="4937760"/>
          <a:ext cx="5753599" cy="1562235"/>
        </a:xfrm>
        <a:prstGeom prst="rect">
          <a:avLst/>
        </a:prstGeom>
      </xdr:spPr>
    </xdr:pic>
    <xdr:clientData/>
  </xdr:twoCellAnchor>
  <xdr:twoCellAnchor editAs="oneCell">
    <xdr:from>
      <xdr:col>1</xdr:col>
      <xdr:colOff>0</xdr:colOff>
      <xdr:row>77</xdr:row>
      <xdr:rowOff>99060</xdr:rowOff>
    </xdr:from>
    <xdr:to>
      <xdr:col>8</xdr:col>
      <xdr:colOff>221480</xdr:colOff>
      <xdr:row>86</xdr:row>
      <xdr:rowOff>68714</xdr:rowOff>
    </xdr:to>
    <xdr:pic>
      <xdr:nvPicPr>
        <xdr:cNvPr id="16" name="Picture 15">
          <a:extLst>
            <a:ext uri="{FF2B5EF4-FFF2-40B4-BE49-F238E27FC236}">
              <a16:creationId xmlns:a16="http://schemas.microsoft.com/office/drawing/2014/main" id="{A2053DEA-44FC-2B64-8D20-6E8E3E3B4996}"/>
            </a:ext>
          </a:extLst>
        </xdr:cNvPr>
        <xdr:cNvPicPr>
          <a:picLocks noChangeAspect="1"/>
        </xdr:cNvPicPr>
      </xdr:nvPicPr>
      <xdr:blipFill>
        <a:blip xmlns:r="http://schemas.openxmlformats.org/officeDocument/2006/relationships" r:embed="rId7"/>
        <a:stretch>
          <a:fillRect/>
        </a:stretch>
      </xdr:blipFill>
      <xdr:spPr>
        <a:xfrm>
          <a:off x="609600" y="9380220"/>
          <a:ext cx="5768840" cy="1546994"/>
        </a:xfrm>
        <a:prstGeom prst="rect">
          <a:avLst/>
        </a:prstGeom>
      </xdr:spPr>
    </xdr:pic>
    <xdr:clientData/>
  </xdr:twoCellAnchor>
  <xdr:twoCellAnchor editAs="oneCell">
    <xdr:from>
      <xdr:col>1</xdr:col>
      <xdr:colOff>0</xdr:colOff>
      <xdr:row>3</xdr:row>
      <xdr:rowOff>0</xdr:rowOff>
    </xdr:from>
    <xdr:to>
      <xdr:col>8</xdr:col>
      <xdr:colOff>221480</xdr:colOff>
      <xdr:row>11</xdr:row>
      <xdr:rowOff>144914</xdr:rowOff>
    </xdr:to>
    <xdr:pic>
      <xdr:nvPicPr>
        <xdr:cNvPr id="17" name="Picture 16">
          <a:extLst>
            <a:ext uri="{FF2B5EF4-FFF2-40B4-BE49-F238E27FC236}">
              <a16:creationId xmlns:a16="http://schemas.microsoft.com/office/drawing/2014/main" id="{3C59301E-FC48-3218-AF2A-379139ABAE53}"/>
            </a:ext>
          </a:extLst>
        </xdr:cNvPr>
        <xdr:cNvPicPr>
          <a:picLocks noChangeAspect="1"/>
        </xdr:cNvPicPr>
      </xdr:nvPicPr>
      <xdr:blipFill>
        <a:blip xmlns:r="http://schemas.openxmlformats.org/officeDocument/2006/relationships" r:embed="rId8"/>
        <a:stretch>
          <a:fillRect/>
        </a:stretch>
      </xdr:blipFill>
      <xdr:spPr>
        <a:xfrm>
          <a:off x="609600" y="13754100"/>
          <a:ext cx="5768840" cy="154699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oneCellAnchor>
    <xdr:from>
      <xdr:col>9</xdr:col>
      <xdr:colOff>815340</xdr:colOff>
      <xdr:row>2</xdr:row>
      <xdr:rowOff>83820</xdr:rowOff>
    </xdr:from>
    <xdr:ext cx="4854361" cy="1524132"/>
    <xdr:pic>
      <xdr:nvPicPr>
        <xdr:cNvPr id="2" name="Picture 1">
          <a:extLst>
            <a:ext uri="{FF2B5EF4-FFF2-40B4-BE49-F238E27FC236}">
              <a16:creationId xmlns:a16="http://schemas.microsoft.com/office/drawing/2014/main" id="{57DC3702-2270-42EC-862A-8A2899DE323E}"/>
            </a:ext>
          </a:extLst>
        </xdr:cNvPr>
        <xdr:cNvPicPr>
          <a:picLocks noChangeAspect="1"/>
        </xdr:cNvPicPr>
      </xdr:nvPicPr>
      <xdr:blipFill>
        <a:blip xmlns:r="http://schemas.openxmlformats.org/officeDocument/2006/relationships" r:embed="rId1"/>
        <a:stretch>
          <a:fillRect/>
        </a:stretch>
      </xdr:blipFill>
      <xdr:spPr>
        <a:xfrm>
          <a:off x="815340" y="5516880"/>
          <a:ext cx="4854361" cy="1524132"/>
        </a:xfrm>
        <a:prstGeom prst="rect">
          <a:avLst/>
        </a:prstGeom>
      </xdr:spPr>
    </xdr:pic>
    <xdr:clientData/>
  </xdr:oneCellAnchor>
  <xdr:oneCellAnchor>
    <xdr:from>
      <xdr:col>1</xdr:col>
      <xdr:colOff>15240</xdr:colOff>
      <xdr:row>12</xdr:row>
      <xdr:rowOff>30036</xdr:rowOff>
    </xdr:from>
    <xdr:ext cx="4976087" cy="1570163"/>
    <xdr:pic>
      <xdr:nvPicPr>
        <xdr:cNvPr id="3" name="Picture 2">
          <a:extLst>
            <a:ext uri="{FF2B5EF4-FFF2-40B4-BE49-F238E27FC236}">
              <a16:creationId xmlns:a16="http://schemas.microsoft.com/office/drawing/2014/main" id="{553C9B17-706E-4BF1-8F6C-312FE77D0F72}"/>
            </a:ext>
          </a:extLst>
        </xdr:cNvPr>
        <xdr:cNvPicPr>
          <a:picLocks noChangeAspect="1"/>
        </xdr:cNvPicPr>
      </xdr:nvPicPr>
      <xdr:blipFill>
        <a:blip xmlns:r="http://schemas.openxmlformats.org/officeDocument/2006/relationships" r:embed="rId2"/>
        <a:stretch>
          <a:fillRect/>
        </a:stretch>
      </xdr:blipFill>
      <xdr:spPr>
        <a:xfrm>
          <a:off x="624840" y="2590356"/>
          <a:ext cx="4976087" cy="1570163"/>
        </a:xfrm>
        <a:prstGeom prst="rect">
          <a:avLst/>
        </a:prstGeom>
      </xdr:spPr>
    </xdr:pic>
    <xdr:clientData/>
  </xdr:oneCellAnchor>
  <xdr:oneCellAnchor>
    <xdr:from>
      <xdr:col>9</xdr:col>
      <xdr:colOff>609599</xdr:colOff>
      <xdr:row>12</xdr:row>
      <xdr:rowOff>39776</xdr:rowOff>
    </xdr:from>
    <xdr:ext cx="4937010" cy="1568044"/>
    <xdr:pic>
      <xdr:nvPicPr>
        <xdr:cNvPr id="4" name="Picture 3">
          <a:extLst>
            <a:ext uri="{FF2B5EF4-FFF2-40B4-BE49-F238E27FC236}">
              <a16:creationId xmlns:a16="http://schemas.microsoft.com/office/drawing/2014/main" id="{98BBD44C-7EEF-4DD4-B427-64F40888D09E}"/>
            </a:ext>
          </a:extLst>
        </xdr:cNvPr>
        <xdr:cNvPicPr>
          <a:picLocks noChangeAspect="1"/>
        </xdr:cNvPicPr>
      </xdr:nvPicPr>
      <xdr:blipFill>
        <a:blip xmlns:r="http://schemas.openxmlformats.org/officeDocument/2006/relationships" r:embed="rId3"/>
        <a:stretch>
          <a:fillRect/>
        </a:stretch>
      </xdr:blipFill>
      <xdr:spPr>
        <a:xfrm>
          <a:off x="6095999" y="2600096"/>
          <a:ext cx="4937010" cy="1568044"/>
        </a:xfrm>
        <a:prstGeom prst="rect">
          <a:avLst/>
        </a:prstGeom>
      </xdr:spPr>
    </xdr:pic>
    <xdr:clientData/>
  </xdr:oneCellAnchor>
  <xdr:oneCellAnchor>
    <xdr:from>
      <xdr:col>1</xdr:col>
      <xdr:colOff>0</xdr:colOff>
      <xdr:row>2</xdr:row>
      <xdr:rowOff>91440</xdr:rowOff>
    </xdr:from>
    <xdr:ext cx="4995317" cy="1615440"/>
    <xdr:pic>
      <xdr:nvPicPr>
        <xdr:cNvPr id="5" name="Picture 4">
          <a:extLst>
            <a:ext uri="{FF2B5EF4-FFF2-40B4-BE49-F238E27FC236}">
              <a16:creationId xmlns:a16="http://schemas.microsoft.com/office/drawing/2014/main" id="{179B124D-8B4A-46A7-BF6A-83C8DBA9A736}"/>
            </a:ext>
          </a:extLst>
        </xdr:cNvPr>
        <xdr:cNvPicPr>
          <a:picLocks noChangeAspect="1"/>
        </xdr:cNvPicPr>
      </xdr:nvPicPr>
      <xdr:blipFill>
        <a:blip xmlns:r="http://schemas.openxmlformats.org/officeDocument/2006/relationships" r:embed="rId4"/>
        <a:stretch>
          <a:fillRect/>
        </a:stretch>
      </xdr:blipFill>
      <xdr:spPr>
        <a:xfrm>
          <a:off x="167640" y="457200"/>
          <a:ext cx="4995317" cy="1615440"/>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15</xdr:col>
      <xdr:colOff>266700</xdr:colOff>
      <xdr:row>20</xdr:row>
      <xdr:rowOff>38100</xdr:rowOff>
    </xdr:from>
    <xdr:to>
      <xdr:col>19</xdr:col>
      <xdr:colOff>330691</xdr:colOff>
      <xdr:row>35</xdr:row>
      <xdr:rowOff>38100</xdr:rowOff>
    </xdr:to>
    <xdr:pic>
      <xdr:nvPicPr>
        <xdr:cNvPr id="2" name="Picture 1">
          <a:extLst>
            <a:ext uri="{FF2B5EF4-FFF2-40B4-BE49-F238E27FC236}">
              <a16:creationId xmlns:a16="http://schemas.microsoft.com/office/drawing/2014/main" id="{2389D6CF-DA36-4C90-B261-84476F7EF634}"/>
            </a:ext>
          </a:extLst>
        </xdr:cNvPr>
        <xdr:cNvPicPr>
          <a:picLocks noChangeAspect="1"/>
        </xdr:cNvPicPr>
      </xdr:nvPicPr>
      <xdr:blipFill>
        <a:blip xmlns:r="http://schemas.openxmlformats.org/officeDocument/2006/relationships" r:embed="rId1"/>
        <a:stretch>
          <a:fillRect/>
        </a:stretch>
      </xdr:blipFill>
      <xdr:spPr>
        <a:xfrm>
          <a:off x="10210800" y="3695700"/>
          <a:ext cx="2502391" cy="2743200"/>
        </a:xfrm>
        <a:prstGeom prst="rect">
          <a:avLst/>
        </a:prstGeom>
      </xdr:spPr>
    </xdr:pic>
    <xdr:clientData/>
  </xdr:twoCellAnchor>
  <xdr:twoCellAnchor editAs="oneCell">
    <xdr:from>
      <xdr:col>15</xdr:col>
      <xdr:colOff>348579</xdr:colOff>
      <xdr:row>39</xdr:row>
      <xdr:rowOff>83820</xdr:rowOff>
    </xdr:from>
    <xdr:to>
      <xdr:col>19</xdr:col>
      <xdr:colOff>454151</xdr:colOff>
      <xdr:row>54</xdr:row>
      <xdr:rowOff>177132</xdr:rowOff>
    </xdr:to>
    <xdr:pic>
      <xdr:nvPicPr>
        <xdr:cNvPr id="3" name="Picture 2">
          <a:extLst>
            <a:ext uri="{FF2B5EF4-FFF2-40B4-BE49-F238E27FC236}">
              <a16:creationId xmlns:a16="http://schemas.microsoft.com/office/drawing/2014/main" id="{34025B41-34CD-4D36-BB72-51B9F1E387B3}"/>
            </a:ext>
          </a:extLst>
        </xdr:cNvPr>
        <xdr:cNvPicPr>
          <a:picLocks noChangeAspect="1"/>
        </xdr:cNvPicPr>
      </xdr:nvPicPr>
      <xdr:blipFill>
        <a:blip xmlns:r="http://schemas.openxmlformats.org/officeDocument/2006/relationships" r:embed="rId2"/>
        <a:stretch>
          <a:fillRect/>
        </a:stretch>
      </xdr:blipFill>
      <xdr:spPr>
        <a:xfrm>
          <a:off x="10292679" y="7216140"/>
          <a:ext cx="2543972" cy="2836512"/>
        </a:xfrm>
        <a:prstGeom prst="rect">
          <a:avLst/>
        </a:prstGeom>
      </xdr:spPr>
    </xdr:pic>
    <xdr:clientData/>
  </xdr:twoCellAnchor>
  <xdr:twoCellAnchor editAs="oneCell">
    <xdr:from>
      <xdr:col>15</xdr:col>
      <xdr:colOff>282857</xdr:colOff>
      <xdr:row>59</xdr:row>
      <xdr:rowOff>160020</xdr:rowOff>
    </xdr:from>
    <xdr:to>
      <xdr:col>19</xdr:col>
      <xdr:colOff>533832</xdr:colOff>
      <xdr:row>75</xdr:row>
      <xdr:rowOff>178659</xdr:rowOff>
    </xdr:to>
    <xdr:pic>
      <xdr:nvPicPr>
        <xdr:cNvPr id="4" name="Picture 3">
          <a:extLst>
            <a:ext uri="{FF2B5EF4-FFF2-40B4-BE49-F238E27FC236}">
              <a16:creationId xmlns:a16="http://schemas.microsoft.com/office/drawing/2014/main" id="{62D2DB7B-B1D8-42B3-9157-2AC9FF3046C4}"/>
            </a:ext>
          </a:extLst>
        </xdr:cNvPr>
        <xdr:cNvPicPr>
          <a:picLocks noChangeAspect="1"/>
        </xdr:cNvPicPr>
      </xdr:nvPicPr>
      <xdr:blipFill>
        <a:blip xmlns:r="http://schemas.openxmlformats.org/officeDocument/2006/relationships" r:embed="rId3"/>
        <a:stretch>
          <a:fillRect/>
        </a:stretch>
      </xdr:blipFill>
      <xdr:spPr>
        <a:xfrm>
          <a:off x="10226957" y="10401300"/>
          <a:ext cx="2689375" cy="2944719"/>
        </a:xfrm>
        <a:prstGeom prst="rect">
          <a:avLst/>
        </a:prstGeom>
      </xdr:spPr>
    </xdr:pic>
    <xdr:clientData/>
  </xdr:twoCellAnchor>
  <xdr:twoCellAnchor editAs="oneCell">
    <xdr:from>
      <xdr:col>15</xdr:col>
      <xdr:colOff>264972</xdr:colOff>
      <xdr:row>1</xdr:row>
      <xdr:rowOff>175260</xdr:rowOff>
    </xdr:from>
    <xdr:to>
      <xdr:col>19</xdr:col>
      <xdr:colOff>336985</xdr:colOff>
      <xdr:row>17</xdr:row>
      <xdr:rowOff>30480</xdr:rowOff>
    </xdr:to>
    <xdr:pic>
      <xdr:nvPicPr>
        <xdr:cNvPr id="5" name="Picture 4">
          <a:extLst>
            <a:ext uri="{FF2B5EF4-FFF2-40B4-BE49-F238E27FC236}">
              <a16:creationId xmlns:a16="http://schemas.microsoft.com/office/drawing/2014/main" id="{E22802D2-43D9-4C7D-83B4-CC494F7504A3}"/>
            </a:ext>
          </a:extLst>
        </xdr:cNvPr>
        <xdr:cNvPicPr>
          <a:picLocks noChangeAspect="1"/>
        </xdr:cNvPicPr>
      </xdr:nvPicPr>
      <xdr:blipFill>
        <a:blip xmlns:r="http://schemas.openxmlformats.org/officeDocument/2006/relationships" r:embed="rId4"/>
        <a:stretch>
          <a:fillRect/>
        </a:stretch>
      </xdr:blipFill>
      <xdr:spPr>
        <a:xfrm>
          <a:off x="10209072" y="358140"/>
          <a:ext cx="2510413" cy="27813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426720</xdr:colOff>
      <xdr:row>43</xdr:row>
      <xdr:rowOff>76200</xdr:rowOff>
    </xdr:from>
    <xdr:to>
      <xdr:col>13</xdr:col>
      <xdr:colOff>394161</xdr:colOff>
      <xdr:row>57</xdr:row>
      <xdr:rowOff>153239</xdr:rowOff>
    </xdr:to>
    <xdr:pic>
      <xdr:nvPicPr>
        <xdr:cNvPr id="2" name="Picture 1">
          <a:extLst>
            <a:ext uri="{FF2B5EF4-FFF2-40B4-BE49-F238E27FC236}">
              <a16:creationId xmlns:a16="http://schemas.microsoft.com/office/drawing/2014/main" id="{30BD4C1D-318B-461E-A8FB-42BD16D30634}"/>
            </a:ext>
          </a:extLst>
        </xdr:cNvPr>
        <xdr:cNvPicPr>
          <a:picLocks noChangeAspect="1"/>
        </xdr:cNvPicPr>
      </xdr:nvPicPr>
      <xdr:blipFill>
        <a:blip xmlns:r="http://schemas.openxmlformats.org/officeDocument/2006/relationships" r:embed="rId1"/>
        <a:stretch>
          <a:fillRect/>
        </a:stretch>
      </xdr:blipFill>
      <xdr:spPr>
        <a:xfrm>
          <a:off x="6789420" y="1905000"/>
          <a:ext cx="2405841" cy="2637359"/>
        </a:xfrm>
        <a:prstGeom prst="rect">
          <a:avLst/>
        </a:prstGeom>
      </xdr:spPr>
    </xdr:pic>
    <xdr:clientData/>
  </xdr:twoCellAnchor>
  <xdr:twoCellAnchor editAs="oneCell">
    <xdr:from>
      <xdr:col>9</xdr:col>
      <xdr:colOff>406565</xdr:colOff>
      <xdr:row>66</xdr:row>
      <xdr:rowOff>0</xdr:rowOff>
    </xdr:from>
    <xdr:to>
      <xdr:col>13</xdr:col>
      <xdr:colOff>517293</xdr:colOff>
      <xdr:row>81</xdr:row>
      <xdr:rowOff>99060</xdr:rowOff>
    </xdr:to>
    <xdr:pic>
      <xdr:nvPicPr>
        <xdr:cNvPr id="3" name="Picture 2">
          <a:extLst>
            <a:ext uri="{FF2B5EF4-FFF2-40B4-BE49-F238E27FC236}">
              <a16:creationId xmlns:a16="http://schemas.microsoft.com/office/drawing/2014/main" id="{E89CF20B-4383-411A-9E76-CF46A17D1456}"/>
            </a:ext>
          </a:extLst>
        </xdr:cNvPr>
        <xdr:cNvPicPr>
          <a:picLocks noChangeAspect="1"/>
        </xdr:cNvPicPr>
      </xdr:nvPicPr>
      <xdr:blipFill>
        <a:blip xmlns:r="http://schemas.openxmlformats.org/officeDocument/2006/relationships" r:embed="rId2"/>
        <a:stretch>
          <a:fillRect/>
        </a:stretch>
      </xdr:blipFill>
      <xdr:spPr>
        <a:xfrm>
          <a:off x="7173125" y="5928360"/>
          <a:ext cx="2549128" cy="2842260"/>
        </a:xfrm>
        <a:prstGeom prst="rect">
          <a:avLst/>
        </a:prstGeom>
      </xdr:spPr>
    </xdr:pic>
    <xdr:clientData/>
  </xdr:twoCellAnchor>
  <xdr:twoCellAnchor editAs="oneCell">
    <xdr:from>
      <xdr:col>9</xdr:col>
      <xdr:colOff>229123</xdr:colOff>
      <xdr:row>100</xdr:row>
      <xdr:rowOff>144780</xdr:rowOff>
    </xdr:from>
    <xdr:to>
      <xdr:col>14</xdr:col>
      <xdr:colOff>107113</xdr:colOff>
      <xdr:row>118</xdr:row>
      <xdr:rowOff>56739</xdr:rowOff>
    </xdr:to>
    <xdr:pic>
      <xdr:nvPicPr>
        <xdr:cNvPr id="4" name="Picture 3">
          <a:extLst>
            <a:ext uri="{FF2B5EF4-FFF2-40B4-BE49-F238E27FC236}">
              <a16:creationId xmlns:a16="http://schemas.microsoft.com/office/drawing/2014/main" id="{3B737559-EE04-4A71-A04C-9AF44E3EA98D}"/>
            </a:ext>
          </a:extLst>
        </xdr:cNvPr>
        <xdr:cNvPicPr>
          <a:picLocks noChangeAspect="1"/>
        </xdr:cNvPicPr>
      </xdr:nvPicPr>
      <xdr:blipFill>
        <a:blip xmlns:r="http://schemas.openxmlformats.org/officeDocument/2006/relationships" r:embed="rId3"/>
        <a:stretch>
          <a:fillRect/>
        </a:stretch>
      </xdr:blipFill>
      <xdr:spPr>
        <a:xfrm>
          <a:off x="6149863" y="11071860"/>
          <a:ext cx="2925990" cy="3203799"/>
        </a:xfrm>
        <a:prstGeom prst="rect">
          <a:avLst/>
        </a:prstGeom>
      </xdr:spPr>
    </xdr:pic>
    <xdr:clientData/>
  </xdr:twoCellAnchor>
  <xdr:twoCellAnchor editAs="oneCell">
    <xdr:from>
      <xdr:col>9</xdr:col>
      <xdr:colOff>335280</xdr:colOff>
      <xdr:row>14</xdr:row>
      <xdr:rowOff>92694</xdr:rowOff>
    </xdr:from>
    <xdr:to>
      <xdr:col>13</xdr:col>
      <xdr:colOff>571929</xdr:colOff>
      <xdr:row>30</xdr:row>
      <xdr:rowOff>130316</xdr:rowOff>
    </xdr:to>
    <xdr:pic>
      <xdr:nvPicPr>
        <xdr:cNvPr id="5" name="Picture 4">
          <a:extLst>
            <a:ext uri="{FF2B5EF4-FFF2-40B4-BE49-F238E27FC236}">
              <a16:creationId xmlns:a16="http://schemas.microsoft.com/office/drawing/2014/main" id="{C3833B24-D67D-48AD-8D1C-F10CA9B6CD1B}"/>
            </a:ext>
          </a:extLst>
        </xdr:cNvPr>
        <xdr:cNvPicPr>
          <a:picLocks noChangeAspect="1"/>
        </xdr:cNvPicPr>
      </xdr:nvPicPr>
      <xdr:blipFill>
        <a:blip xmlns:r="http://schemas.openxmlformats.org/officeDocument/2006/relationships" r:embed="rId4"/>
        <a:stretch>
          <a:fillRect/>
        </a:stretch>
      </xdr:blipFill>
      <xdr:spPr>
        <a:xfrm>
          <a:off x="6256020" y="16117554"/>
          <a:ext cx="2675049" cy="2963702"/>
        </a:xfrm>
        <a:prstGeom prst="rect">
          <a:avLst/>
        </a:prstGeom>
      </xdr:spPr>
    </xdr:pic>
    <xdr:clientData/>
  </xdr:twoCellAnchor>
  <xdr:twoCellAnchor editAs="oneCell">
    <xdr:from>
      <xdr:col>1</xdr:col>
      <xdr:colOff>0</xdr:colOff>
      <xdr:row>35</xdr:row>
      <xdr:rowOff>15240</xdr:rowOff>
    </xdr:from>
    <xdr:to>
      <xdr:col>9</xdr:col>
      <xdr:colOff>91943</xdr:colOff>
      <xdr:row>44</xdr:row>
      <xdr:rowOff>99210</xdr:rowOff>
    </xdr:to>
    <xdr:pic>
      <xdr:nvPicPr>
        <xdr:cNvPr id="7" name="Picture 6">
          <a:extLst>
            <a:ext uri="{FF2B5EF4-FFF2-40B4-BE49-F238E27FC236}">
              <a16:creationId xmlns:a16="http://schemas.microsoft.com/office/drawing/2014/main" id="{164626CE-2BB5-8107-9FCF-7727A7D3F5CA}"/>
            </a:ext>
          </a:extLst>
        </xdr:cNvPr>
        <xdr:cNvPicPr>
          <a:picLocks noChangeAspect="1"/>
        </xdr:cNvPicPr>
      </xdr:nvPicPr>
      <xdr:blipFill>
        <a:blip xmlns:r="http://schemas.openxmlformats.org/officeDocument/2006/relationships" r:embed="rId5"/>
        <a:stretch>
          <a:fillRect/>
        </a:stretch>
      </xdr:blipFill>
      <xdr:spPr>
        <a:xfrm>
          <a:off x="205740" y="381000"/>
          <a:ext cx="5806943" cy="1729890"/>
        </a:xfrm>
        <a:prstGeom prst="rect">
          <a:avLst/>
        </a:prstGeom>
      </xdr:spPr>
    </xdr:pic>
    <xdr:clientData/>
  </xdr:twoCellAnchor>
  <xdr:twoCellAnchor editAs="oneCell">
    <xdr:from>
      <xdr:col>0</xdr:col>
      <xdr:colOff>182880</xdr:colOff>
      <xdr:row>60</xdr:row>
      <xdr:rowOff>45720</xdr:rowOff>
    </xdr:from>
    <xdr:to>
      <xdr:col>9</xdr:col>
      <xdr:colOff>38601</xdr:colOff>
      <xdr:row>69</xdr:row>
      <xdr:rowOff>122069</xdr:rowOff>
    </xdr:to>
    <xdr:pic>
      <xdr:nvPicPr>
        <xdr:cNvPr id="8" name="Picture 7">
          <a:extLst>
            <a:ext uri="{FF2B5EF4-FFF2-40B4-BE49-F238E27FC236}">
              <a16:creationId xmlns:a16="http://schemas.microsoft.com/office/drawing/2014/main" id="{600D1331-8636-81D1-4679-E35B575AFAB3}"/>
            </a:ext>
          </a:extLst>
        </xdr:cNvPr>
        <xdr:cNvPicPr>
          <a:picLocks noChangeAspect="1"/>
        </xdr:cNvPicPr>
      </xdr:nvPicPr>
      <xdr:blipFill>
        <a:blip xmlns:r="http://schemas.openxmlformats.org/officeDocument/2006/relationships" r:embed="rId6"/>
        <a:stretch>
          <a:fillRect/>
        </a:stretch>
      </xdr:blipFill>
      <xdr:spPr>
        <a:xfrm>
          <a:off x="182880" y="5349240"/>
          <a:ext cx="5776461" cy="1722269"/>
        </a:xfrm>
        <a:prstGeom prst="rect">
          <a:avLst/>
        </a:prstGeom>
      </xdr:spPr>
    </xdr:pic>
    <xdr:clientData/>
  </xdr:twoCellAnchor>
  <xdr:twoCellAnchor editAs="oneCell">
    <xdr:from>
      <xdr:col>1</xdr:col>
      <xdr:colOff>15240</xdr:colOff>
      <xdr:row>1</xdr:row>
      <xdr:rowOff>45720</xdr:rowOff>
    </xdr:from>
    <xdr:to>
      <xdr:col>7</xdr:col>
      <xdr:colOff>38686</xdr:colOff>
      <xdr:row>19</xdr:row>
      <xdr:rowOff>61351</xdr:rowOff>
    </xdr:to>
    <xdr:pic>
      <xdr:nvPicPr>
        <xdr:cNvPr id="12" name="Picture 11">
          <a:extLst>
            <a:ext uri="{FF2B5EF4-FFF2-40B4-BE49-F238E27FC236}">
              <a16:creationId xmlns:a16="http://schemas.microsoft.com/office/drawing/2014/main" id="{E6FED4FD-27C1-9CE0-FE55-94F56ABBADB6}"/>
            </a:ext>
          </a:extLst>
        </xdr:cNvPr>
        <xdr:cNvPicPr>
          <a:picLocks noChangeAspect="1"/>
        </xdr:cNvPicPr>
      </xdr:nvPicPr>
      <xdr:blipFill>
        <a:blip xmlns:r="http://schemas.openxmlformats.org/officeDocument/2006/relationships" r:embed="rId7"/>
        <a:stretch>
          <a:fillRect/>
        </a:stretch>
      </xdr:blipFill>
      <xdr:spPr>
        <a:xfrm>
          <a:off x="220980" y="16573500"/>
          <a:ext cx="4961206" cy="3307471"/>
        </a:xfrm>
        <a:prstGeom prst="rect">
          <a:avLst/>
        </a:prstGeom>
      </xdr:spPr>
    </xdr:pic>
    <xdr:clientData/>
  </xdr:twoCellAnchor>
  <xdr:twoCellAnchor editAs="oneCell">
    <xdr:from>
      <xdr:col>0</xdr:col>
      <xdr:colOff>198120</xdr:colOff>
      <xdr:row>85</xdr:row>
      <xdr:rowOff>84373</xdr:rowOff>
    </xdr:from>
    <xdr:to>
      <xdr:col>9</xdr:col>
      <xdr:colOff>96962</xdr:colOff>
      <xdr:row>105</xdr:row>
      <xdr:rowOff>30481</xdr:rowOff>
    </xdr:to>
    <xdr:pic>
      <xdr:nvPicPr>
        <xdr:cNvPr id="13" name="Picture 12">
          <a:extLst>
            <a:ext uri="{FF2B5EF4-FFF2-40B4-BE49-F238E27FC236}">
              <a16:creationId xmlns:a16="http://schemas.microsoft.com/office/drawing/2014/main" id="{CF6128D7-AEBA-0F0A-37F4-A56D4CBF378E}"/>
            </a:ext>
          </a:extLst>
        </xdr:cNvPr>
        <xdr:cNvPicPr>
          <a:picLocks noChangeAspect="1"/>
        </xdr:cNvPicPr>
      </xdr:nvPicPr>
      <xdr:blipFill>
        <a:blip xmlns:r="http://schemas.openxmlformats.org/officeDocument/2006/relationships" r:embed="rId8"/>
        <a:stretch>
          <a:fillRect/>
        </a:stretch>
      </xdr:blipFill>
      <xdr:spPr>
        <a:xfrm>
          <a:off x="198120" y="9952273"/>
          <a:ext cx="5819582" cy="349702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oneCellAnchor>
    <xdr:from>
      <xdr:col>10</xdr:col>
      <xdr:colOff>22860</xdr:colOff>
      <xdr:row>2</xdr:row>
      <xdr:rowOff>106680</xdr:rowOff>
    </xdr:from>
    <xdr:ext cx="5036565" cy="1671006"/>
    <xdr:pic>
      <xdr:nvPicPr>
        <xdr:cNvPr id="2" name="Picture 1">
          <a:extLst>
            <a:ext uri="{FF2B5EF4-FFF2-40B4-BE49-F238E27FC236}">
              <a16:creationId xmlns:a16="http://schemas.microsoft.com/office/drawing/2014/main" id="{D88B0352-6E62-4B71-8A0A-B9587903E7A5}"/>
            </a:ext>
          </a:extLst>
        </xdr:cNvPr>
        <xdr:cNvPicPr>
          <a:picLocks noChangeAspect="1"/>
        </xdr:cNvPicPr>
      </xdr:nvPicPr>
      <xdr:blipFill>
        <a:blip xmlns:r="http://schemas.openxmlformats.org/officeDocument/2006/relationships" r:embed="rId1"/>
        <a:stretch>
          <a:fillRect/>
        </a:stretch>
      </xdr:blipFill>
      <xdr:spPr>
        <a:xfrm>
          <a:off x="6118860" y="472440"/>
          <a:ext cx="5036565" cy="1671006"/>
        </a:xfrm>
        <a:prstGeom prst="rect">
          <a:avLst/>
        </a:prstGeom>
      </xdr:spPr>
    </xdr:pic>
    <xdr:clientData/>
  </xdr:oneCellAnchor>
  <xdr:oneCellAnchor>
    <xdr:from>
      <xdr:col>0</xdr:col>
      <xdr:colOff>594360</xdr:colOff>
      <xdr:row>14</xdr:row>
      <xdr:rowOff>114300</xdr:rowOff>
    </xdr:from>
    <xdr:ext cx="4975599" cy="1642601"/>
    <xdr:pic>
      <xdr:nvPicPr>
        <xdr:cNvPr id="3" name="Picture 2">
          <a:extLst>
            <a:ext uri="{FF2B5EF4-FFF2-40B4-BE49-F238E27FC236}">
              <a16:creationId xmlns:a16="http://schemas.microsoft.com/office/drawing/2014/main" id="{205FB426-C102-406D-B16F-996CA42CE2BC}"/>
            </a:ext>
          </a:extLst>
        </xdr:cNvPr>
        <xdr:cNvPicPr>
          <a:picLocks noChangeAspect="1"/>
        </xdr:cNvPicPr>
      </xdr:nvPicPr>
      <xdr:blipFill>
        <a:blip xmlns:r="http://schemas.openxmlformats.org/officeDocument/2006/relationships" r:embed="rId2"/>
        <a:stretch>
          <a:fillRect/>
        </a:stretch>
      </xdr:blipFill>
      <xdr:spPr>
        <a:xfrm>
          <a:off x="594360" y="2857500"/>
          <a:ext cx="4975599" cy="1642601"/>
        </a:xfrm>
        <a:prstGeom prst="rect">
          <a:avLst/>
        </a:prstGeom>
      </xdr:spPr>
    </xdr:pic>
    <xdr:clientData/>
  </xdr:oneCellAnchor>
  <xdr:oneCellAnchor>
    <xdr:from>
      <xdr:col>10</xdr:col>
      <xdr:colOff>7620</xdr:colOff>
      <xdr:row>14</xdr:row>
      <xdr:rowOff>76200</xdr:rowOff>
    </xdr:from>
    <xdr:ext cx="5046478" cy="1684020"/>
    <xdr:pic>
      <xdr:nvPicPr>
        <xdr:cNvPr id="4" name="Picture 3">
          <a:extLst>
            <a:ext uri="{FF2B5EF4-FFF2-40B4-BE49-F238E27FC236}">
              <a16:creationId xmlns:a16="http://schemas.microsoft.com/office/drawing/2014/main" id="{5BE7EA40-6C6D-41B1-928D-2B5BD65219C4}"/>
            </a:ext>
          </a:extLst>
        </xdr:cNvPr>
        <xdr:cNvPicPr>
          <a:picLocks noChangeAspect="1"/>
        </xdr:cNvPicPr>
      </xdr:nvPicPr>
      <xdr:blipFill>
        <a:blip xmlns:r="http://schemas.openxmlformats.org/officeDocument/2006/relationships" r:embed="rId3"/>
        <a:stretch>
          <a:fillRect/>
        </a:stretch>
      </xdr:blipFill>
      <xdr:spPr>
        <a:xfrm>
          <a:off x="6103620" y="2819400"/>
          <a:ext cx="5046478" cy="1684020"/>
        </a:xfrm>
        <a:prstGeom prst="rect">
          <a:avLst/>
        </a:prstGeom>
      </xdr:spPr>
    </xdr:pic>
    <xdr:clientData/>
  </xdr:oneCellAnchor>
  <xdr:oneCellAnchor>
    <xdr:from>
      <xdr:col>1</xdr:col>
      <xdr:colOff>15240</xdr:colOff>
      <xdr:row>2</xdr:row>
      <xdr:rowOff>43625</xdr:rowOff>
    </xdr:from>
    <xdr:ext cx="5017089" cy="1663255"/>
    <xdr:pic>
      <xdr:nvPicPr>
        <xdr:cNvPr id="5" name="Picture 4">
          <a:extLst>
            <a:ext uri="{FF2B5EF4-FFF2-40B4-BE49-F238E27FC236}">
              <a16:creationId xmlns:a16="http://schemas.microsoft.com/office/drawing/2014/main" id="{027A632E-8090-4FDF-A000-6708302D58F4}"/>
            </a:ext>
          </a:extLst>
        </xdr:cNvPr>
        <xdr:cNvPicPr>
          <a:picLocks noChangeAspect="1"/>
        </xdr:cNvPicPr>
      </xdr:nvPicPr>
      <xdr:blipFill>
        <a:blip xmlns:r="http://schemas.openxmlformats.org/officeDocument/2006/relationships" r:embed="rId4"/>
        <a:stretch>
          <a:fillRect/>
        </a:stretch>
      </xdr:blipFill>
      <xdr:spPr>
        <a:xfrm>
          <a:off x="624840" y="409385"/>
          <a:ext cx="5017089" cy="1663255"/>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13</xdr:col>
      <xdr:colOff>292847</xdr:colOff>
      <xdr:row>42</xdr:row>
      <xdr:rowOff>48491</xdr:rowOff>
    </xdr:from>
    <xdr:to>
      <xdr:col>21</xdr:col>
      <xdr:colOff>422563</xdr:colOff>
      <xdr:row>65</xdr:row>
      <xdr:rowOff>123842</xdr:rowOff>
    </xdr:to>
    <xdr:pic>
      <xdr:nvPicPr>
        <xdr:cNvPr id="6" name="Picture 5">
          <a:extLst>
            <a:ext uri="{FF2B5EF4-FFF2-40B4-BE49-F238E27FC236}">
              <a16:creationId xmlns:a16="http://schemas.microsoft.com/office/drawing/2014/main" id="{A16BAD70-E2C9-45A6-9FC4-84E1B9D1A459}"/>
            </a:ext>
          </a:extLst>
        </xdr:cNvPr>
        <xdr:cNvPicPr>
          <a:picLocks noChangeAspect="1"/>
        </xdr:cNvPicPr>
      </xdr:nvPicPr>
      <xdr:blipFill>
        <a:blip xmlns:r="http://schemas.openxmlformats.org/officeDocument/2006/relationships" r:embed="rId1"/>
        <a:stretch>
          <a:fillRect/>
        </a:stretch>
      </xdr:blipFill>
      <xdr:spPr>
        <a:xfrm>
          <a:off x="9658520" y="7322127"/>
          <a:ext cx="5006516" cy="4058533"/>
        </a:xfrm>
        <a:prstGeom prst="rect">
          <a:avLst/>
        </a:prstGeom>
      </xdr:spPr>
    </xdr:pic>
    <xdr:clientData/>
  </xdr:twoCellAnchor>
  <xdr:twoCellAnchor editAs="oneCell">
    <xdr:from>
      <xdr:col>13</xdr:col>
      <xdr:colOff>332475</xdr:colOff>
      <xdr:row>81</xdr:row>
      <xdr:rowOff>34636</xdr:rowOff>
    </xdr:from>
    <xdr:to>
      <xdr:col>21</xdr:col>
      <xdr:colOff>401169</xdr:colOff>
      <xdr:row>103</xdr:row>
      <xdr:rowOff>30321</xdr:rowOff>
    </xdr:to>
    <xdr:pic>
      <xdr:nvPicPr>
        <xdr:cNvPr id="7" name="Picture 6">
          <a:extLst>
            <a:ext uri="{FF2B5EF4-FFF2-40B4-BE49-F238E27FC236}">
              <a16:creationId xmlns:a16="http://schemas.microsoft.com/office/drawing/2014/main" id="{9AB00E92-0152-4028-AE09-E2705B630192}"/>
            </a:ext>
          </a:extLst>
        </xdr:cNvPr>
        <xdr:cNvPicPr>
          <a:picLocks noChangeAspect="1"/>
        </xdr:cNvPicPr>
      </xdr:nvPicPr>
      <xdr:blipFill>
        <a:blip xmlns:r="http://schemas.openxmlformats.org/officeDocument/2006/relationships" r:embed="rId2"/>
        <a:stretch>
          <a:fillRect/>
        </a:stretch>
      </xdr:blipFill>
      <xdr:spPr>
        <a:xfrm>
          <a:off x="9698148" y="14062363"/>
          <a:ext cx="4945494" cy="3805685"/>
        </a:xfrm>
        <a:prstGeom prst="rect">
          <a:avLst/>
        </a:prstGeom>
      </xdr:spPr>
    </xdr:pic>
    <xdr:clientData/>
  </xdr:twoCellAnchor>
  <xdr:twoCellAnchor editAs="oneCell">
    <xdr:from>
      <xdr:col>13</xdr:col>
      <xdr:colOff>402609</xdr:colOff>
      <xdr:row>118</xdr:row>
      <xdr:rowOff>164869</xdr:rowOff>
    </xdr:from>
    <xdr:to>
      <xdr:col>21</xdr:col>
      <xdr:colOff>502227</xdr:colOff>
      <xdr:row>140</xdr:row>
      <xdr:rowOff>69898</xdr:rowOff>
    </xdr:to>
    <xdr:pic>
      <xdr:nvPicPr>
        <xdr:cNvPr id="8" name="Picture 7">
          <a:extLst>
            <a:ext uri="{FF2B5EF4-FFF2-40B4-BE49-F238E27FC236}">
              <a16:creationId xmlns:a16="http://schemas.microsoft.com/office/drawing/2014/main" id="{FADF558C-4C31-453A-A4FA-D2A856795299}"/>
            </a:ext>
          </a:extLst>
        </xdr:cNvPr>
        <xdr:cNvPicPr>
          <a:picLocks noChangeAspect="1"/>
        </xdr:cNvPicPr>
      </xdr:nvPicPr>
      <xdr:blipFill>
        <a:blip xmlns:r="http://schemas.openxmlformats.org/officeDocument/2006/relationships" r:embed="rId3"/>
        <a:stretch>
          <a:fillRect/>
        </a:stretch>
      </xdr:blipFill>
      <xdr:spPr>
        <a:xfrm>
          <a:off x="9768282" y="20600324"/>
          <a:ext cx="4976418" cy="3715029"/>
        </a:xfrm>
        <a:prstGeom prst="rect">
          <a:avLst/>
        </a:prstGeom>
      </xdr:spPr>
    </xdr:pic>
    <xdr:clientData/>
  </xdr:twoCellAnchor>
  <xdr:twoCellAnchor editAs="oneCell">
    <xdr:from>
      <xdr:col>13</xdr:col>
      <xdr:colOff>147693</xdr:colOff>
      <xdr:row>2</xdr:row>
      <xdr:rowOff>83126</xdr:rowOff>
    </xdr:from>
    <xdr:to>
      <xdr:col>21</xdr:col>
      <xdr:colOff>40914</xdr:colOff>
      <xdr:row>24</xdr:row>
      <xdr:rowOff>83127</xdr:rowOff>
    </xdr:to>
    <xdr:pic>
      <xdr:nvPicPr>
        <xdr:cNvPr id="9" name="Picture 8">
          <a:extLst>
            <a:ext uri="{FF2B5EF4-FFF2-40B4-BE49-F238E27FC236}">
              <a16:creationId xmlns:a16="http://schemas.microsoft.com/office/drawing/2014/main" id="{6C5B3CCC-AB1C-4B28-8C5C-F5D48A447B80}"/>
            </a:ext>
          </a:extLst>
        </xdr:cNvPr>
        <xdr:cNvPicPr>
          <a:picLocks noChangeAspect="1"/>
        </xdr:cNvPicPr>
      </xdr:nvPicPr>
      <xdr:blipFill>
        <a:blip xmlns:r="http://schemas.openxmlformats.org/officeDocument/2006/relationships" r:embed="rId4"/>
        <a:stretch>
          <a:fillRect/>
        </a:stretch>
      </xdr:blipFill>
      <xdr:spPr>
        <a:xfrm>
          <a:off x="9513366" y="429490"/>
          <a:ext cx="4770021" cy="3810001"/>
        </a:xfrm>
        <a:prstGeom prst="rect">
          <a:avLst/>
        </a:prstGeom>
      </xdr:spPr>
    </xdr:pic>
    <xdr:clientData/>
  </xdr:twoCellAnchor>
  <xdr:twoCellAnchor editAs="oneCell">
    <xdr:from>
      <xdr:col>3</xdr:col>
      <xdr:colOff>275285</xdr:colOff>
      <xdr:row>1</xdr:row>
      <xdr:rowOff>145472</xdr:rowOff>
    </xdr:from>
    <xdr:to>
      <xdr:col>12</xdr:col>
      <xdr:colOff>447398</xdr:colOff>
      <xdr:row>26</xdr:row>
      <xdr:rowOff>56507</xdr:rowOff>
    </xdr:to>
    <xdr:pic>
      <xdr:nvPicPr>
        <xdr:cNvPr id="2" name="Picture 1">
          <a:extLst>
            <a:ext uri="{FF2B5EF4-FFF2-40B4-BE49-F238E27FC236}">
              <a16:creationId xmlns:a16="http://schemas.microsoft.com/office/drawing/2014/main" id="{47D3C7D4-D1B3-1B8F-2C02-67725BA20AE6}"/>
            </a:ext>
          </a:extLst>
        </xdr:cNvPr>
        <xdr:cNvPicPr>
          <a:picLocks noChangeAspect="1"/>
        </xdr:cNvPicPr>
      </xdr:nvPicPr>
      <xdr:blipFill>
        <a:blip xmlns:r="http://schemas.openxmlformats.org/officeDocument/2006/relationships" r:embed="rId5"/>
        <a:stretch>
          <a:fillRect/>
        </a:stretch>
      </xdr:blipFill>
      <xdr:spPr>
        <a:xfrm>
          <a:off x="2838376" y="318654"/>
          <a:ext cx="6365095" cy="4240580"/>
        </a:xfrm>
        <a:prstGeom prst="rect">
          <a:avLst/>
        </a:prstGeom>
      </xdr:spPr>
    </xdr:pic>
    <xdr:clientData/>
  </xdr:twoCellAnchor>
  <xdr:twoCellAnchor editAs="oneCell">
    <xdr:from>
      <xdr:col>3</xdr:col>
      <xdr:colOff>449580</xdr:colOff>
      <xdr:row>42</xdr:row>
      <xdr:rowOff>91440</xdr:rowOff>
    </xdr:from>
    <xdr:to>
      <xdr:col>12</xdr:col>
      <xdr:colOff>495300</xdr:colOff>
      <xdr:row>54</xdr:row>
      <xdr:rowOff>52200</xdr:rowOff>
    </xdr:to>
    <xdr:pic>
      <xdr:nvPicPr>
        <xdr:cNvPr id="3" name="Picture 2">
          <a:extLst>
            <a:ext uri="{FF2B5EF4-FFF2-40B4-BE49-F238E27FC236}">
              <a16:creationId xmlns:a16="http://schemas.microsoft.com/office/drawing/2014/main" id="{591F987F-04EF-224F-49F3-66C68EA4F8AB}"/>
            </a:ext>
          </a:extLst>
        </xdr:cNvPr>
        <xdr:cNvPicPr>
          <a:picLocks noChangeAspect="1"/>
        </xdr:cNvPicPr>
      </xdr:nvPicPr>
      <xdr:blipFill>
        <a:blip xmlns:r="http://schemas.openxmlformats.org/officeDocument/2006/relationships" r:embed="rId6"/>
        <a:stretch>
          <a:fillRect/>
        </a:stretch>
      </xdr:blipFill>
      <xdr:spPr>
        <a:xfrm>
          <a:off x="3009900" y="7452360"/>
          <a:ext cx="6240780" cy="2063880"/>
        </a:xfrm>
        <a:prstGeom prst="rect">
          <a:avLst/>
        </a:prstGeom>
      </xdr:spPr>
    </xdr:pic>
    <xdr:clientData/>
  </xdr:twoCellAnchor>
  <xdr:twoCellAnchor editAs="oneCell">
    <xdr:from>
      <xdr:col>3</xdr:col>
      <xdr:colOff>472440</xdr:colOff>
      <xdr:row>55</xdr:row>
      <xdr:rowOff>30480</xdr:rowOff>
    </xdr:from>
    <xdr:to>
      <xdr:col>12</xdr:col>
      <xdr:colOff>541020</xdr:colOff>
      <xdr:row>65</xdr:row>
      <xdr:rowOff>157673</xdr:rowOff>
    </xdr:to>
    <xdr:pic>
      <xdr:nvPicPr>
        <xdr:cNvPr id="4" name="Picture 3">
          <a:extLst>
            <a:ext uri="{FF2B5EF4-FFF2-40B4-BE49-F238E27FC236}">
              <a16:creationId xmlns:a16="http://schemas.microsoft.com/office/drawing/2014/main" id="{4BE94ABE-4C52-F83C-D29A-6AC45B8D5F95}"/>
            </a:ext>
          </a:extLst>
        </xdr:cNvPr>
        <xdr:cNvPicPr>
          <a:picLocks noChangeAspect="1"/>
        </xdr:cNvPicPr>
      </xdr:nvPicPr>
      <xdr:blipFill>
        <a:blip xmlns:r="http://schemas.openxmlformats.org/officeDocument/2006/relationships" r:embed="rId7"/>
        <a:stretch>
          <a:fillRect/>
        </a:stretch>
      </xdr:blipFill>
      <xdr:spPr>
        <a:xfrm>
          <a:off x="3032760" y="9669780"/>
          <a:ext cx="6263640" cy="1879793"/>
        </a:xfrm>
        <a:prstGeom prst="rect">
          <a:avLst/>
        </a:prstGeom>
      </xdr:spPr>
    </xdr:pic>
    <xdr:clientData/>
  </xdr:twoCellAnchor>
  <xdr:twoCellAnchor editAs="oneCell">
    <xdr:from>
      <xdr:col>3</xdr:col>
      <xdr:colOff>436417</xdr:colOff>
      <xdr:row>81</xdr:row>
      <xdr:rowOff>27709</xdr:rowOff>
    </xdr:from>
    <xdr:to>
      <xdr:col>12</xdr:col>
      <xdr:colOff>159326</xdr:colOff>
      <xdr:row>92</xdr:row>
      <xdr:rowOff>115267</xdr:rowOff>
    </xdr:to>
    <xdr:pic>
      <xdr:nvPicPr>
        <xdr:cNvPr id="5" name="Picture 4">
          <a:extLst>
            <a:ext uri="{FF2B5EF4-FFF2-40B4-BE49-F238E27FC236}">
              <a16:creationId xmlns:a16="http://schemas.microsoft.com/office/drawing/2014/main" id="{B9497964-3D1E-E0D0-C4C0-C335619EB212}"/>
            </a:ext>
          </a:extLst>
        </xdr:cNvPr>
        <xdr:cNvPicPr>
          <a:picLocks noChangeAspect="1"/>
        </xdr:cNvPicPr>
      </xdr:nvPicPr>
      <xdr:blipFill>
        <a:blip xmlns:r="http://schemas.openxmlformats.org/officeDocument/2006/relationships" r:embed="rId8"/>
        <a:stretch>
          <a:fillRect/>
        </a:stretch>
      </xdr:blipFill>
      <xdr:spPr>
        <a:xfrm>
          <a:off x="2999508" y="14055436"/>
          <a:ext cx="5915891" cy="1992558"/>
        </a:xfrm>
        <a:prstGeom prst="rect">
          <a:avLst/>
        </a:prstGeom>
      </xdr:spPr>
    </xdr:pic>
    <xdr:clientData/>
  </xdr:twoCellAnchor>
  <xdr:twoCellAnchor editAs="oneCell">
    <xdr:from>
      <xdr:col>3</xdr:col>
      <xdr:colOff>426793</xdr:colOff>
      <xdr:row>92</xdr:row>
      <xdr:rowOff>159327</xdr:rowOff>
    </xdr:from>
    <xdr:to>
      <xdr:col>12</xdr:col>
      <xdr:colOff>175157</xdr:colOff>
      <xdr:row>103</xdr:row>
      <xdr:rowOff>32734</xdr:rowOff>
    </xdr:to>
    <xdr:pic>
      <xdr:nvPicPr>
        <xdr:cNvPr id="13" name="Picture 12">
          <a:extLst>
            <a:ext uri="{FF2B5EF4-FFF2-40B4-BE49-F238E27FC236}">
              <a16:creationId xmlns:a16="http://schemas.microsoft.com/office/drawing/2014/main" id="{CF8E60A4-D5EA-9C18-F54E-033EE256C439}"/>
            </a:ext>
          </a:extLst>
        </xdr:cNvPr>
        <xdr:cNvPicPr>
          <a:picLocks noChangeAspect="1"/>
        </xdr:cNvPicPr>
      </xdr:nvPicPr>
      <xdr:blipFill>
        <a:blip xmlns:r="http://schemas.openxmlformats.org/officeDocument/2006/relationships" r:embed="rId9"/>
        <a:stretch>
          <a:fillRect/>
        </a:stretch>
      </xdr:blipFill>
      <xdr:spPr>
        <a:xfrm>
          <a:off x="2989884" y="16092054"/>
          <a:ext cx="5941346" cy="1778407"/>
        </a:xfrm>
        <a:prstGeom prst="rect">
          <a:avLst/>
        </a:prstGeom>
      </xdr:spPr>
    </xdr:pic>
    <xdr:clientData/>
  </xdr:twoCellAnchor>
  <xdr:twoCellAnchor editAs="oneCell">
    <xdr:from>
      <xdr:col>3</xdr:col>
      <xdr:colOff>678873</xdr:colOff>
      <xdr:row>119</xdr:row>
      <xdr:rowOff>34636</xdr:rowOff>
    </xdr:from>
    <xdr:to>
      <xdr:col>12</xdr:col>
      <xdr:colOff>564258</xdr:colOff>
      <xdr:row>129</xdr:row>
      <xdr:rowOff>145472</xdr:rowOff>
    </xdr:to>
    <xdr:pic>
      <xdr:nvPicPr>
        <xdr:cNvPr id="14" name="Picture 13">
          <a:extLst>
            <a:ext uri="{FF2B5EF4-FFF2-40B4-BE49-F238E27FC236}">
              <a16:creationId xmlns:a16="http://schemas.microsoft.com/office/drawing/2014/main" id="{84D6C6FC-92F1-3761-C37A-0ABAB1A77D59}"/>
            </a:ext>
          </a:extLst>
        </xdr:cNvPr>
        <xdr:cNvPicPr>
          <a:picLocks noChangeAspect="1"/>
        </xdr:cNvPicPr>
      </xdr:nvPicPr>
      <xdr:blipFill>
        <a:blip xmlns:r="http://schemas.openxmlformats.org/officeDocument/2006/relationships" r:embed="rId10"/>
        <a:stretch>
          <a:fillRect/>
        </a:stretch>
      </xdr:blipFill>
      <xdr:spPr>
        <a:xfrm>
          <a:off x="3241964" y="20643272"/>
          <a:ext cx="6078367" cy="1842655"/>
        </a:xfrm>
        <a:prstGeom prst="rect">
          <a:avLst/>
        </a:prstGeom>
      </xdr:spPr>
    </xdr:pic>
    <xdr:clientData/>
  </xdr:twoCellAnchor>
  <xdr:twoCellAnchor editAs="oneCell">
    <xdr:from>
      <xdr:col>3</xdr:col>
      <xdr:colOff>692727</xdr:colOff>
      <xdr:row>130</xdr:row>
      <xdr:rowOff>70175</xdr:rowOff>
    </xdr:from>
    <xdr:to>
      <xdr:col>12</xdr:col>
      <xdr:colOff>591479</xdr:colOff>
      <xdr:row>139</xdr:row>
      <xdr:rowOff>43096</xdr:rowOff>
    </xdr:to>
    <xdr:pic>
      <xdr:nvPicPr>
        <xdr:cNvPr id="15" name="Picture 14">
          <a:extLst>
            <a:ext uri="{FF2B5EF4-FFF2-40B4-BE49-F238E27FC236}">
              <a16:creationId xmlns:a16="http://schemas.microsoft.com/office/drawing/2014/main" id="{9A786A4D-EFDB-C679-BA85-D559575D08C7}"/>
            </a:ext>
          </a:extLst>
        </xdr:cNvPr>
        <xdr:cNvPicPr>
          <a:picLocks noChangeAspect="1"/>
        </xdr:cNvPicPr>
      </xdr:nvPicPr>
      <xdr:blipFill>
        <a:blip xmlns:r="http://schemas.openxmlformats.org/officeDocument/2006/relationships" r:embed="rId11"/>
        <a:stretch>
          <a:fillRect/>
        </a:stretch>
      </xdr:blipFill>
      <xdr:spPr>
        <a:xfrm>
          <a:off x="3255818" y="22583811"/>
          <a:ext cx="6091734" cy="1531558"/>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oneCellAnchor>
    <xdr:from>
      <xdr:col>10</xdr:col>
      <xdr:colOff>0</xdr:colOff>
      <xdr:row>2</xdr:row>
      <xdr:rowOff>106680</xdr:rowOff>
    </xdr:from>
    <xdr:ext cx="4845470" cy="1691787"/>
    <xdr:pic>
      <xdr:nvPicPr>
        <xdr:cNvPr id="2" name="Picture 1">
          <a:extLst>
            <a:ext uri="{FF2B5EF4-FFF2-40B4-BE49-F238E27FC236}">
              <a16:creationId xmlns:a16="http://schemas.microsoft.com/office/drawing/2014/main" id="{12683CF0-AF61-41F6-9D90-1E0D3F341893}"/>
            </a:ext>
          </a:extLst>
        </xdr:cNvPr>
        <xdr:cNvPicPr>
          <a:picLocks noChangeAspect="1"/>
        </xdr:cNvPicPr>
      </xdr:nvPicPr>
      <xdr:blipFill>
        <a:blip xmlns:r="http://schemas.openxmlformats.org/officeDocument/2006/relationships" r:embed="rId1"/>
        <a:stretch>
          <a:fillRect/>
        </a:stretch>
      </xdr:blipFill>
      <xdr:spPr>
        <a:xfrm>
          <a:off x="822960" y="7787640"/>
          <a:ext cx="4845470" cy="1691787"/>
        </a:xfrm>
        <a:prstGeom prst="rect">
          <a:avLst/>
        </a:prstGeom>
      </xdr:spPr>
    </xdr:pic>
    <xdr:clientData/>
  </xdr:oneCellAnchor>
  <xdr:oneCellAnchor>
    <xdr:from>
      <xdr:col>0</xdr:col>
      <xdr:colOff>601980</xdr:colOff>
      <xdr:row>14</xdr:row>
      <xdr:rowOff>99060</xdr:rowOff>
    </xdr:from>
    <xdr:ext cx="4853091" cy="1684166"/>
    <xdr:pic>
      <xdr:nvPicPr>
        <xdr:cNvPr id="3" name="Picture 2">
          <a:extLst>
            <a:ext uri="{FF2B5EF4-FFF2-40B4-BE49-F238E27FC236}">
              <a16:creationId xmlns:a16="http://schemas.microsoft.com/office/drawing/2014/main" id="{F2C87C8B-6B57-4834-B49C-CC52B2600743}"/>
            </a:ext>
          </a:extLst>
        </xdr:cNvPr>
        <xdr:cNvPicPr>
          <a:picLocks noChangeAspect="1"/>
        </xdr:cNvPicPr>
      </xdr:nvPicPr>
      <xdr:blipFill>
        <a:blip xmlns:r="http://schemas.openxmlformats.org/officeDocument/2006/relationships" r:embed="rId2"/>
        <a:stretch>
          <a:fillRect/>
        </a:stretch>
      </xdr:blipFill>
      <xdr:spPr>
        <a:xfrm>
          <a:off x="601980" y="2659380"/>
          <a:ext cx="4853091" cy="1684166"/>
        </a:xfrm>
        <a:prstGeom prst="rect">
          <a:avLst/>
        </a:prstGeom>
      </xdr:spPr>
    </xdr:pic>
    <xdr:clientData/>
  </xdr:oneCellAnchor>
  <xdr:oneCellAnchor>
    <xdr:from>
      <xdr:col>1</xdr:col>
      <xdr:colOff>15240</xdr:colOff>
      <xdr:row>2</xdr:row>
      <xdr:rowOff>152400</xdr:rowOff>
    </xdr:from>
    <xdr:ext cx="4807367" cy="1676545"/>
    <xdr:pic>
      <xdr:nvPicPr>
        <xdr:cNvPr id="4" name="Picture 3">
          <a:extLst>
            <a:ext uri="{FF2B5EF4-FFF2-40B4-BE49-F238E27FC236}">
              <a16:creationId xmlns:a16="http://schemas.microsoft.com/office/drawing/2014/main" id="{451A4545-13BF-49E7-8008-54CB64525ED9}"/>
            </a:ext>
          </a:extLst>
        </xdr:cNvPr>
        <xdr:cNvPicPr>
          <a:picLocks noChangeAspect="1"/>
        </xdr:cNvPicPr>
      </xdr:nvPicPr>
      <xdr:blipFill>
        <a:blip xmlns:r="http://schemas.openxmlformats.org/officeDocument/2006/relationships" r:embed="rId3"/>
        <a:stretch>
          <a:fillRect/>
        </a:stretch>
      </xdr:blipFill>
      <xdr:spPr>
        <a:xfrm>
          <a:off x="624840" y="518160"/>
          <a:ext cx="4807367" cy="1676545"/>
        </a:xfrm>
        <a:prstGeom prst="rect">
          <a:avLst/>
        </a:prstGeom>
      </xdr:spPr>
    </xdr:pic>
    <xdr:clientData/>
  </xdr:oneCellAnchor>
  <xdr:oneCellAnchor>
    <xdr:from>
      <xdr:col>10</xdr:col>
      <xdr:colOff>7620</xdr:colOff>
      <xdr:row>14</xdr:row>
      <xdr:rowOff>99060</xdr:rowOff>
    </xdr:from>
    <xdr:ext cx="4822608" cy="1691787"/>
    <xdr:pic>
      <xdr:nvPicPr>
        <xdr:cNvPr id="5" name="Picture 4">
          <a:extLst>
            <a:ext uri="{FF2B5EF4-FFF2-40B4-BE49-F238E27FC236}">
              <a16:creationId xmlns:a16="http://schemas.microsoft.com/office/drawing/2014/main" id="{4D8AE6C6-208A-4325-95E6-F78340C9475E}"/>
            </a:ext>
          </a:extLst>
        </xdr:cNvPr>
        <xdr:cNvPicPr>
          <a:picLocks noChangeAspect="1"/>
        </xdr:cNvPicPr>
      </xdr:nvPicPr>
      <xdr:blipFill>
        <a:blip xmlns:r="http://schemas.openxmlformats.org/officeDocument/2006/relationships" r:embed="rId4"/>
        <a:stretch>
          <a:fillRect/>
        </a:stretch>
      </xdr:blipFill>
      <xdr:spPr>
        <a:xfrm>
          <a:off x="6103620" y="2659380"/>
          <a:ext cx="4822608" cy="1691787"/>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10</xdr:col>
      <xdr:colOff>167641</xdr:colOff>
      <xdr:row>38</xdr:row>
      <xdr:rowOff>136336</xdr:rowOff>
    </xdr:from>
    <xdr:to>
      <xdr:col>14</xdr:col>
      <xdr:colOff>1112520</xdr:colOff>
      <xdr:row>60</xdr:row>
      <xdr:rowOff>10257</xdr:rowOff>
    </xdr:to>
    <xdr:pic>
      <xdr:nvPicPr>
        <xdr:cNvPr id="3" name="Picture 2">
          <a:extLst>
            <a:ext uri="{FF2B5EF4-FFF2-40B4-BE49-F238E27FC236}">
              <a16:creationId xmlns:a16="http://schemas.microsoft.com/office/drawing/2014/main" id="{2BB5A8D4-CDF5-280B-AF50-254108FCAB85}"/>
            </a:ext>
          </a:extLst>
        </xdr:cNvPr>
        <xdr:cNvPicPr>
          <a:picLocks noChangeAspect="1"/>
        </xdr:cNvPicPr>
      </xdr:nvPicPr>
      <xdr:blipFill>
        <a:blip xmlns:r="http://schemas.openxmlformats.org/officeDocument/2006/relationships" r:embed="rId1"/>
        <a:stretch>
          <a:fillRect/>
        </a:stretch>
      </xdr:blipFill>
      <xdr:spPr>
        <a:xfrm>
          <a:off x="6027421" y="6765736"/>
          <a:ext cx="3169919" cy="3729641"/>
        </a:xfrm>
        <a:prstGeom prst="rect">
          <a:avLst/>
        </a:prstGeom>
      </xdr:spPr>
    </xdr:pic>
    <xdr:clientData/>
  </xdr:twoCellAnchor>
  <xdr:twoCellAnchor editAs="oneCell">
    <xdr:from>
      <xdr:col>10</xdr:col>
      <xdr:colOff>512006</xdr:colOff>
      <xdr:row>9</xdr:row>
      <xdr:rowOff>114642</xdr:rowOff>
    </xdr:from>
    <xdr:to>
      <xdr:col>14</xdr:col>
      <xdr:colOff>510540</xdr:colOff>
      <xdr:row>30</xdr:row>
      <xdr:rowOff>55067</xdr:rowOff>
    </xdr:to>
    <xdr:pic>
      <xdr:nvPicPr>
        <xdr:cNvPr id="5" name="Picture 4">
          <a:extLst>
            <a:ext uri="{FF2B5EF4-FFF2-40B4-BE49-F238E27FC236}">
              <a16:creationId xmlns:a16="http://schemas.microsoft.com/office/drawing/2014/main" id="{368248B8-5E7D-9AB1-8E1D-0D13421B0872}"/>
            </a:ext>
          </a:extLst>
        </xdr:cNvPr>
        <xdr:cNvPicPr>
          <a:picLocks noChangeAspect="1"/>
        </xdr:cNvPicPr>
      </xdr:nvPicPr>
      <xdr:blipFill>
        <a:blip xmlns:r="http://schemas.openxmlformats.org/officeDocument/2006/relationships" r:embed="rId2"/>
        <a:stretch>
          <a:fillRect/>
        </a:stretch>
      </xdr:blipFill>
      <xdr:spPr>
        <a:xfrm>
          <a:off x="6371786" y="2713062"/>
          <a:ext cx="2459794" cy="3620885"/>
        </a:xfrm>
        <a:prstGeom prst="rect">
          <a:avLst/>
        </a:prstGeom>
      </xdr:spPr>
    </xdr:pic>
    <xdr:clientData/>
  </xdr:twoCellAnchor>
  <xdr:twoCellAnchor editAs="oneCell">
    <xdr:from>
      <xdr:col>2</xdr:col>
      <xdr:colOff>342900</xdr:colOff>
      <xdr:row>9</xdr:row>
      <xdr:rowOff>141242</xdr:rowOff>
    </xdr:from>
    <xdr:to>
      <xdr:col>8</xdr:col>
      <xdr:colOff>541427</xdr:colOff>
      <xdr:row>29</xdr:row>
      <xdr:rowOff>38406</xdr:rowOff>
    </xdr:to>
    <xdr:pic>
      <xdr:nvPicPr>
        <xdr:cNvPr id="6" name="Picture 5">
          <a:extLst>
            <a:ext uri="{FF2B5EF4-FFF2-40B4-BE49-F238E27FC236}">
              <a16:creationId xmlns:a16="http://schemas.microsoft.com/office/drawing/2014/main" id="{5E740199-9A29-3171-21DB-B0543BBB8F0C}"/>
            </a:ext>
          </a:extLst>
        </xdr:cNvPr>
        <xdr:cNvPicPr>
          <a:picLocks noChangeAspect="1"/>
        </xdr:cNvPicPr>
      </xdr:nvPicPr>
      <xdr:blipFill>
        <a:blip xmlns:r="http://schemas.openxmlformats.org/officeDocument/2006/relationships" r:embed="rId3"/>
        <a:stretch>
          <a:fillRect/>
        </a:stretch>
      </xdr:blipFill>
      <xdr:spPr>
        <a:xfrm>
          <a:off x="1363980" y="2739662"/>
          <a:ext cx="4526687" cy="3402364"/>
        </a:xfrm>
        <a:prstGeom prst="rect">
          <a:avLst/>
        </a:prstGeom>
      </xdr:spPr>
    </xdr:pic>
    <xdr:clientData/>
  </xdr:twoCellAnchor>
  <xdr:twoCellAnchor editAs="oneCell">
    <xdr:from>
      <xdr:col>9</xdr:col>
      <xdr:colOff>283558</xdr:colOff>
      <xdr:row>69</xdr:row>
      <xdr:rowOff>99060</xdr:rowOff>
    </xdr:from>
    <xdr:to>
      <xdr:col>15</xdr:col>
      <xdr:colOff>91805</xdr:colOff>
      <xdr:row>86</xdr:row>
      <xdr:rowOff>76467</xdr:rowOff>
    </xdr:to>
    <xdr:pic>
      <xdr:nvPicPr>
        <xdr:cNvPr id="7" name="Picture 6">
          <a:extLst>
            <a:ext uri="{FF2B5EF4-FFF2-40B4-BE49-F238E27FC236}">
              <a16:creationId xmlns:a16="http://schemas.microsoft.com/office/drawing/2014/main" id="{A95A45CC-565B-179E-C090-54418AB79D24}"/>
            </a:ext>
          </a:extLst>
        </xdr:cNvPr>
        <xdr:cNvPicPr>
          <a:picLocks noChangeAspect="1"/>
        </xdr:cNvPicPr>
      </xdr:nvPicPr>
      <xdr:blipFill>
        <a:blip xmlns:r="http://schemas.openxmlformats.org/officeDocument/2006/relationships" r:embed="rId4"/>
        <a:stretch>
          <a:fillRect/>
        </a:stretch>
      </xdr:blipFill>
      <xdr:spPr>
        <a:xfrm>
          <a:off x="5533738" y="11811000"/>
          <a:ext cx="4037347" cy="2956827"/>
        </a:xfrm>
        <a:prstGeom prst="rect">
          <a:avLst/>
        </a:prstGeom>
      </xdr:spPr>
    </xdr:pic>
    <xdr:clientData/>
  </xdr:twoCellAnchor>
  <xdr:twoCellAnchor editAs="oneCell">
    <xdr:from>
      <xdr:col>2</xdr:col>
      <xdr:colOff>243115</xdr:colOff>
      <xdr:row>68</xdr:row>
      <xdr:rowOff>91440</xdr:rowOff>
    </xdr:from>
    <xdr:to>
      <xdr:col>8</xdr:col>
      <xdr:colOff>753253</xdr:colOff>
      <xdr:row>87</xdr:row>
      <xdr:rowOff>7620</xdr:rowOff>
    </xdr:to>
    <xdr:pic>
      <xdr:nvPicPr>
        <xdr:cNvPr id="9" name="Picture 8">
          <a:extLst>
            <a:ext uri="{FF2B5EF4-FFF2-40B4-BE49-F238E27FC236}">
              <a16:creationId xmlns:a16="http://schemas.microsoft.com/office/drawing/2014/main" id="{9F067445-47D7-ED5E-F758-028D6D296EBF}"/>
            </a:ext>
          </a:extLst>
        </xdr:cNvPr>
        <xdr:cNvPicPr>
          <a:picLocks noChangeAspect="1"/>
        </xdr:cNvPicPr>
      </xdr:nvPicPr>
      <xdr:blipFill>
        <a:blip xmlns:r="http://schemas.openxmlformats.org/officeDocument/2006/relationships" r:embed="rId5"/>
        <a:stretch>
          <a:fillRect/>
        </a:stretch>
      </xdr:blipFill>
      <xdr:spPr>
        <a:xfrm>
          <a:off x="1264195" y="12854940"/>
          <a:ext cx="4838298" cy="3246120"/>
        </a:xfrm>
        <a:prstGeom prst="rect">
          <a:avLst/>
        </a:prstGeom>
      </xdr:spPr>
    </xdr:pic>
    <xdr:clientData/>
  </xdr:twoCellAnchor>
  <xdr:twoCellAnchor editAs="oneCell">
    <xdr:from>
      <xdr:col>8</xdr:col>
      <xdr:colOff>556260</xdr:colOff>
      <xdr:row>95</xdr:row>
      <xdr:rowOff>160020</xdr:rowOff>
    </xdr:from>
    <xdr:to>
      <xdr:col>14</xdr:col>
      <xdr:colOff>1029071</xdr:colOff>
      <xdr:row>113</xdr:row>
      <xdr:rowOff>114569</xdr:rowOff>
    </xdr:to>
    <xdr:pic>
      <xdr:nvPicPr>
        <xdr:cNvPr id="10" name="Picture 9">
          <a:extLst>
            <a:ext uri="{FF2B5EF4-FFF2-40B4-BE49-F238E27FC236}">
              <a16:creationId xmlns:a16="http://schemas.microsoft.com/office/drawing/2014/main" id="{0BC02877-1576-0CC7-06A6-3B19CDC25897}"/>
            </a:ext>
          </a:extLst>
        </xdr:cNvPr>
        <xdr:cNvPicPr>
          <a:picLocks noChangeAspect="1"/>
        </xdr:cNvPicPr>
      </xdr:nvPicPr>
      <xdr:blipFill>
        <a:blip xmlns:r="http://schemas.openxmlformats.org/officeDocument/2006/relationships" r:embed="rId6"/>
        <a:stretch>
          <a:fillRect/>
        </a:stretch>
      </xdr:blipFill>
      <xdr:spPr>
        <a:xfrm>
          <a:off x="5196840" y="15902940"/>
          <a:ext cx="4282811" cy="3109229"/>
        </a:xfrm>
        <a:prstGeom prst="rect">
          <a:avLst/>
        </a:prstGeom>
      </xdr:spPr>
    </xdr:pic>
    <xdr:clientData/>
  </xdr:twoCellAnchor>
  <xdr:twoCellAnchor editAs="oneCell">
    <xdr:from>
      <xdr:col>2</xdr:col>
      <xdr:colOff>68726</xdr:colOff>
      <xdr:row>96</xdr:row>
      <xdr:rowOff>45720</xdr:rowOff>
    </xdr:from>
    <xdr:to>
      <xdr:col>8</xdr:col>
      <xdr:colOff>413993</xdr:colOff>
      <xdr:row>114</xdr:row>
      <xdr:rowOff>0</xdr:rowOff>
    </xdr:to>
    <xdr:pic>
      <xdr:nvPicPr>
        <xdr:cNvPr id="11" name="Picture 10">
          <a:extLst>
            <a:ext uri="{FF2B5EF4-FFF2-40B4-BE49-F238E27FC236}">
              <a16:creationId xmlns:a16="http://schemas.microsoft.com/office/drawing/2014/main" id="{63B5D2D0-68E6-E3CB-0508-5A7BB4CD00E5}"/>
            </a:ext>
          </a:extLst>
        </xdr:cNvPr>
        <xdr:cNvPicPr>
          <a:picLocks noChangeAspect="1"/>
        </xdr:cNvPicPr>
      </xdr:nvPicPr>
      <xdr:blipFill>
        <a:blip xmlns:r="http://schemas.openxmlformats.org/officeDocument/2006/relationships" r:embed="rId7"/>
        <a:stretch>
          <a:fillRect/>
        </a:stretch>
      </xdr:blipFill>
      <xdr:spPr>
        <a:xfrm>
          <a:off x="1089806" y="17716500"/>
          <a:ext cx="4673427" cy="3108960"/>
        </a:xfrm>
        <a:prstGeom prst="rect">
          <a:avLst/>
        </a:prstGeom>
      </xdr:spPr>
    </xdr:pic>
    <xdr:clientData/>
  </xdr:twoCellAnchor>
  <xdr:twoCellAnchor editAs="oneCell">
    <xdr:from>
      <xdr:col>2</xdr:col>
      <xdr:colOff>352874</xdr:colOff>
      <xdr:row>38</xdr:row>
      <xdr:rowOff>167640</xdr:rowOff>
    </xdr:from>
    <xdr:to>
      <xdr:col>9</xdr:col>
      <xdr:colOff>427185</xdr:colOff>
      <xdr:row>59</xdr:row>
      <xdr:rowOff>0</xdr:rowOff>
    </xdr:to>
    <xdr:pic>
      <xdr:nvPicPr>
        <xdr:cNvPr id="12" name="Picture 11">
          <a:extLst>
            <a:ext uri="{FF2B5EF4-FFF2-40B4-BE49-F238E27FC236}">
              <a16:creationId xmlns:a16="http://schemas.microsoft.com/office/drawing/2014/main" id="{320746AA-A562-1986-C739-2C3B02DD656D}"/>
            </a:ext>
          </a:extLst>
        </xdr:cNvPr>
        <xdr:cNvPicPr>
          <a:picLocks noChangeAspect="1"/>
        </xdr:cNvPicPr>
      </xdr:nvPicPr>
      <xdr:blipFill>
        <a:blip xmlns:r="http://schemas.openxmlformats.org/officeDocument/2006/relationships" r:embed="rId8"/>
        <a:stretch>
          <a:fillRect/>
        </a:stretch>
      </xdr:blipFill>
      <xdr:spPr>
        <a:xfrm>
          <a:off x="1373954" y="7673340"/>
          <a:ext cx="5210191" cy="3512820"/>
        </a:xfrm>
        <a:prstGeom prst="rect">
          <a:avLst/>
        </a:prstGeom>
      </xdr:spPr>
    </xdr:pic>
    <xdr:clientData/>
  </xdr:twoCellAnchor>
  <xdr:twoCellAnchor editAs="oneCell">
    <xdr:from>
      <xdr:col>23</xdr:col>
      <xdr:colOff>281940</xdr:colOff>
      <xdr:row>91</xdr:row>
      <xdr:rowOff>129540</xdr:rowOff>
    </xdr:from>
    <xdr:to>
      <xdr:col>35</xdr:col>
      <xdr:colOff>442608</xdr:colOff>
      <xdr:row>112</xdr:row>
      <xdr:rowOff>30790</xdr:rowOff>
    </xdr:to>
    <xdr:pic>
      <xdr:nvPicPr>
        <xdr:cNvPr id="22" name="Picture 21">
          <a:extLst>
            <a:ext uri="{FF2B5EF4-FFF2-40B4-BE49-F238E27FC236}">
              <a16:creationId xmlns:a16="http://schemas.microsoft.com/office/drawing/2014/main" id="{0F6721E3-B11C-8C21-0E2B-73190F4FAB14}"/>
            </a:ext>
          </a:extLst>
        </xdr:cNvPr>
        <xdr:cNvPicPr>
          <a:picLocks noChangeAspect="1"/>
        </xdr:cNvPicPr>
      </xdr:nvPicPr>
      <xdr:blipFill>
        <a:blip xmlns:r="http://schemas.openxmlformats.org/officeDocument/2006/relationships" r:embed="rId9"/>
        <a:stretch>
          <a:fillRect/>
        </a:stretch>
      </xdr:blipFill>
      <xdr:spPr>
        <a:xfrm>
          <a:off x="17358360" y="16047720"/>
          <a:ext cx="7475868" cy="3581710"/>
        </a:xfrm>
        <a:prstGeom prst="rect">
          <a:avLst/>
        </a:prstGeom>
      </xdr:spPr>
    </xdr:pic>
    <xdr:clientData/>
  </xdr:twoCellAnchor>
  <xdr:twoCellAnchor editAs="oneCell">
    <xdr:from>
      <xdr:col>23</xdr:col>
      <xdr:colOff>297180</xdr:colOff>
      <xdr:row>67</xdr:row>
      <xdr:rowOff>15240</xdr:rowOff>
    </xdr:from>
    <xdr:to>
      <xdr:col>35</xdr:col>
      <xdr:colOff>412124</xdr:colOff>
      <xdr:row>87</xdr:row>
      <xdr:rowOff>76509</xdr:rowOff>
    </xdr:to>
    <xdr:pic>
      <xdr:nvPicPr>
        <xdr:cNvPr id="23" name="Picture 22">
          <a:extLst>
            <a:ext uri="{FF2B5EF4-FFF2-40B4-BE49-F238E27FC236}">
              <a16:creationId xmlns:a16="http://schemas.microsoft.com/office/drawing/2014/main" id="{C138DB09-36E7-F194-B4A1-69E697DB8717}"/>
            </a:ext>
          </a:extLst>
        </xdr:cNvPr>
        <xdr:cNvPicPr>
          <a:picLocks noChangeAspect="1"/>
        </xdr:cNvPicPr>
      </xdr:nvPicPr>
      <xdr:blipFill>
        <a:blip xmlns:r="http://schemas.openxmlformats.org/officeDocument/2006/relationships" r:embed="rId10"/>
        <a:stretch>
          <a:fillRect/>
        </a:stretch>
      </xdr:blipFill>
      <xdr:spPr>
        <a:xfrm>
          <a:off x="17373600" y="11727180"/>
          <a:ext cx="7430144" cy="3566469"/>
        </a:xfrm>
        <a:prstGeom prst="rect">
          <a:avLst/>
        </a:prstGeom>
      </xdr:spPr>
    </xdr:pic>
    <xdr:clientData/>
  </xdr:twoCellAnchor>
  <xdr:twoCellAnchor editAs="oneCell">
    <xdr:from>
      <xdr:col>23</xdr:col>
      <xdr:colOff>518160</xdr:colOff>
      <xdr:row>36</xdr:row>
      <xdr:rowOff>0</xdr:rowOff>
    </xdr:from>
    <xdr:to>
      <xdr:col>32</xdr:col>
      <xdr:colOff>419567</xdr:colOff>
      <xdr:row>56</xdr:row>
      <xdr:rowOff>84131</xdr:rowOff>
    </xdr:to>
    <xdr:pic>
      <xdr:nvPicPr>
        <xdr:cNvPr id="24" name="Picture 23">
          <a:extLst>
            <a:ext uri="{FF2B5EF4-FFF2-40B4-BE49-F238E27FC236}">
              <a16:creationId xmlns:a16="http://schemas.microsoft.com/office/drawing/2014/main" id="{BAD3CC9B-37DA-A519-52BF-20ADC776AD03}"/>
            </a:ext>
          </a:extLst>
        </xdr:cNvPr>
        <xdr:cNvPicPr>
          <a:picLocks noChangeAspect="1"/>
        </xdr:cNvPicPr>
      </xdr:nvPicPr>
      <xdr:blipFill>
        <a:blip xmlns:r="http://schemas.openxmlformats.org/officeDocument/2006/relationships" r:embed="rId11"/>
        <a:stretch>
          <a:fillRect/>
        </a:stretch>
      </xdr:blipFill>
      <xdr:spPr>
        <a:xfrm>
          <a:off x="18379440" y="8031480"/>
          <a:ext cx="5387807" cy="3589331"/>
        </a:xfrm>
        <a:prstGeom prst="rect">
          <a:avLst/>
        </a:prstGeom>
      </xdr:spPr>
    </xdr:pic>
    <xdr:clientData/>
  </xdr:twoCellAnchor>
  <xdr:twoCellAnchor editAs="oneCell">
    <xdr:from>
      <xdr:col>33</xdr:col>
      <xdr:colOff>198120</xdr:colOff>
      <xdr:row>36</xdr:row>
      <xdr:rowOff>7620</xdr:rowOff>
    </xdr:from>
    <xdr:to>
      <xdr:col>45</xdr:col>
      <xdr:colOff>297823</xdr:colOff>
      <xdr:row>56</xdr:row>
      <xdr:rowOff>91751</xdr:rowOff>
    </xdr:to>
    <xdr:pic>
      <xdr:nvPicPr>
        <xdr:cNvPr id="25" name="Picture 24">
          <a:extLst>
            <a:ext uri="{FF2B5EF4-FFF2-40B4-BE49-F238E27FC236}">
              <a16:creationId xmlns:a16="http://schemas.microsoft.com/office/drawing/2014/main" id="{61C11B3C-2D2C-19D7-548B-1D809C8A2DF9}"/>
            </a:ext>
          </a:extLst>
        </xdr:cNvPr>
        <xdr:cNvPicPr>
          <a:picLocks noChangeAspect="1"/>
        </xdr:cNvPicPr>
      </xdr:nvPicPr>
      <xdr:blipFill>
        <a:blip xmlns:r="http://schemas.openxmlformats.org/officeDocument/2006/relationships" r:embed="rId12"/>
        <a:stretch>
          <a:fillRect/>
        </a:stretch>
      </xdr:blipFill>
      <xdr:spPr>
        <a:xfrm>
          <a:off x="24155400" y="8389620"/>
          <a:ext cx="7414903" cy="3589331"/>
        </a:xfrm>
        <a:prstGeom prst="rect">
          <a:avLst/>
        </a:prstGeom>
      </xdr:spPr>
    </xdr:pic>
    <xdr:clientData/>
  </xdr:twoCellAnchor>
  <xdr:twoCellAnchor editAs="oneCell">
    <xdr:from>
      <xdr:col>24</xdr:col>
      <xdr:colOff>0</xdr:colOff>
      <xdr:row>9</xdr:row>
      <xdr:rowOff>0</xdr:rowOff>
    </xdr:from>
    <xdr:to>
      <xdr:col>32</xdr:col>
      <xdr:colOff>442421</xdr:colOff>
      <xdr:row>29</xdr:row>
      <xdr:rowOff>76510</xdr:rowOff>
    </xdr:to>
    <xdr:pic>
      <xdr:nvPicPr>
        <xdr:cNvPr id="26" name="Picture 25">
          <a:extLst>
            <a:ext uri="{FF2B5EF4-FFF2-40B4-BE49-F238E27FC236}">
              <a16:creationId xmlns:a16="http://schemas.microsoft.com/office/drawing/2014/main" id="{C62031F3-6BDB-B3E2-43CB-F516F7F8B977}"/>
            </a:ext>
          </a:extLst>
        </xdr:cNvPr>
        <xdr:cNvPicPr>
          <a:picLocks noChangeAspect="1"/>
        </xdr:cNvPicPr>
      </xdr:nvPicPr>
      <xdr:blipFill>
        <a:blip xmlns:r="http://schemas.openxmlformats.org/officeDocument/2006/relationships" r:embed="rId13"/>
        <a:stretch>
          <a:fillRect/>
        </a:stretch>
      </xdr:blipFill>
      <xdr:spPr>
        <a:xfrm>
          <a:off x="18470880" y="3649980"/>
          <a:ext cx="5319221" cy="358171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11</xdr:col>
      <xdr:colOff>342900</xdr:colOff>
      <xdr:row>8</xdr:row>
      <xdr:rowOff>72241</xdr:rowOff>
    </xdr:from>
    <xdr:to>
      <xdr:col>20</xdr:col>
      <xdr:colOff>389111</xdr:colOff>
      <xdr:row>25</xdr:row>
      <xdr:rowOff>129819</xdr:rowOff>
    </xdr:to>
    <xdr:pic>
      <xdr:nvPicPr>
        <xdr:cNvPr id="6" name="Picture 5">
          <a:extLst>
            <a:ext uri="{FF2B5EF4-FFF2-40B4-BE49-F238E27FC236}">
              <a16:creationId xmlns:a16="http://schemas.microsoft.com/office/drawing/2014/main" id="{F96C4172-BD11-578A-4521-9F2F2A468315}"/>
            </a:ext>
          </a:extLst>
        </xdr:cNvPr>
        <xdr:cNvPicPr>
          <a:picLocks noChangeAspect="1"/>
        </xdr:cNvPicPr>
      </xdr:nvPicPr>
      <xdr:blipFill>
        <a:blip xmlns:r="http://schemas.openxmlformats.org/officeDocument/2006/relationships" r:embed="rId1"/>
        <a:stretch>
          <a:fillRect/>
        </a:stretch>
      </xdr:blipFill>
      <xdr:spPr>
        <a:xfrm>
          <a:off x="9738360" y="10062061"/>
          <a:ext cx="5334491" cy="3036998"/>
        </a:xfrm>
        <a:prstGeom prst="rect">
          <a:avLst/>
        </a:prstGeom>
      </xdr:spPr>
    </xdr:pic>
    <xdr:clientData/>
  </xdr:twoCellAnchor>
  <xdr:twoCellAnchor editAs="oneCell">
    <xdr:from>
      <xdr:col>11</xdr:col>
      <xdr:colOff>343372</xdr:colOff>
      <xdr:row>26</xdr:row>
      <xdr:rowOff>22860</xdr:rowOff>
    </xdr:from>
    <xdr:to>
      <xdr:col>20</xdr:col>
      <xdr:colOff>411295</xdr:colOff>
      <xdr:row>44</xdr:row>
      <xdr:rowOff>99401</xdr:rowOff>
    </xdr:to>
    <xdr:pic>
      <xdr:nvPicPr>
        <xdr:cNvPr id="8" name="Picture 7">
          <a:extLst>
            <a:ext uri="{FF2B5EF4-FFF2-40B4-BE49-F238E27FC236}">
              <a16:creationId xmlns:a16="http://schemas.microsoft.com/office/drawing/2014/main" id="{AF907862-0866-E35B-6C53-4CCD0D3C86A2}"/>
            </a:ext>
          </a:extLst>
        </xdr:cNvPr>
        <xdr:cNvPicPr>
          <a:picLocks noChangeAspect="1"/>
        </xdr:cNvPicPr>
      </xdr:nvPicPr>
      <xdr:blipFill>
        <a:blip xmlns:r="http://schemas.openxmlformats.org/officeDocument/2006/relationships" r:embed="rId2"/>
        <a:stretch>
          <a:fillRect/>
        </a:stretch>
      </xdr:blipFill>
      <xdr:spPr>
        <a:xfrm>
          <a:off x="9738832" y="13167360"/>
          <a:ext cx="5356203" cy="3231221"/>
        </a:xfrm>
        <a:prstGeom prst="rect">
          <a:avLst/>
        </a:prstGeom>
      </xdr:spPr>
    </xdr:pic>
    <xdr:clientData/>
  </xdr:twoCellAnchor>
  <xdr:twoCellAnchor editAs="oneCell">
    <xdr:from>
      <xdr:col>11</xdr:col>
      <xdr:colOff>352991</xdr:colOff>
      <xdr:row>45</xdr:row>
      <xdr:rowOff>167641</xdr:rowOff>
    </xdr:from>
    <xdr:to>
      <xdr:col>20</xdr:col>
      <xdr:colOff>327491</xdr:colOff>
      <xdr:row>60</xdr:row>
      <xdr:rowOff>38101</xdr:rowOff>
    </xdr:to>
    <xdr:pic>
      <xdr:nvPicPr>
        <xdr:cNvPr id="9" name="Picture 8">
          <a:extLst>
            <a:ext uri="{FF2B5EF4-FFF2-40B4-BE49-F238E27FC236}">
              <a16:creationId xmlns:a16="http://schemas.microsoft.com/office/drawing/2014/main" id="{C51634D6-67A2-E6B0-E98C-53E05546DD00}"/>
            </a:ext>
          </a:extLst>
        </xdr:cNvPr>
        <xdr:cNvPicPr>
          <a:picLocks noChangeAspect="1"/>
        </xdr:cNvPicPr>
      </xdr:nvPicPr>
      <xdr:blipFill>
        <a:blip xmlns:r="http://schemas.openxmlformats.org/officeDocument/2006/relationships" r:embed="rId3"/>
        <a:stretch>
          <a:fillRect/>
        </a:stretch>
      </xdr:blipFill>
      <xdr:spPr>
        <a:xfrm>
          <a:off x="9748451" y="16642081"/>
          <a:ext cx="5262780" cy="2499360"/>
        </a:xfrm>
        <a:prstGeom prst="rect">
          <a:avLst/>
        </a:prstGeom>
      </xdr:spPr>
    </xdr:pic>
    <xdr:clientData/>
  </xdr:twoCellAnchor>
  <xdr:twoCellAnchor editAs="oneCell">
    <xdr:from>
      <xdr:col>1</xdr:col>
      <xdr:colOff>342900</xdr:colOff>
      <xdr:row>55</xdr:row>
      <xdr:rowOff>144780</xdr:rowOff>
    </xdr:from>
    <xdr:to>
      <xdr:col>9</xdr:col>
      <xdr:colOff>145411</xdr:colOff>
      <xdr:row>71</xdr:row>
      <xdr:rowOff>145023</xdr:rowOff>
    </xdr:to>
    <xdr:pic>
      <xdr:nvPicPr>
        <xdr:cNvPr id="10" name="Picture 9">
          <a:extLst>
            <a:ext uri="{FF2B5EF4-FFF2-40B4-BE49-F238E27FC236}">
              <a16:creationId xmlns:a16="http://schemas.microsoft.com/office/drawing/2014/main" id="{966F61D2-935A-67C9-9725-1F319CCCFC63}"/>
            </a:ext>
          </a:extLst>
        </xdr:cNvPr>
        <xdr:cNvPicPr>
          <a:picLocks noChangeAspect="1"/>
        </xdr:cNvPicPr>
      </xdr:nvPicPr>
      <xdr:blipFill>
        <a:blip xmlns:r="http://schemas.openxmlformats.org/officeDocument/2006/relationships" r:embed="rId4"/>
        <a:stretch>
          <a:fillRect/>
        </a:stretch>
      </xdr:blipFill>
      <xdr:spPr>
        <a:xfrm>
          <a:off x="1165860" y="18371820"/>
          <a:ext cx="7277731" cy="2804403"/>
        </a:xfrm>
        <a:prstGeom prst="rect">
          <a:avLst/>
        </a:prstGeom>
      </xdr:spPr>
    </xdr:pic>
    <xdr:clientData/>
  </xdr:twoCellAnchor>
  <xdr:twoCellAnchor editAs="oneCell">
    <xdr:from>
      <xdr:col>13</xdr:col>
      <xdr:colOff>38172</xdr:colOff>
      <xdr:row>80</xdr:row>
      <xdr:rowOff>38100</xdr:rowOff>
    </xdr:from>
    <xdr:to>
      <xdr:col>21</xdr:col>
      <xdr:colOff>107776</xdr:colOff>
      <xdr:row>97</xdr:row>
      <xdr:rowOff>45720</xdr:rowOff>
    </xdr:to>
    <xdr:pic>
      <xdr:nvPicPr>
        <xdr:cNvPr id="14" name="Picture 13">
          <a:extLst>
            <a:ext uri="{FF2B5EF4-FFF2-40B4-BE49-F238E27FC236}">
              <a16:creationId xmlns:a16="http://schemas.microsoft.com/office/drawing/2014/main" id="{00288670-4B5F-AB81-67A0-5E8E5F2D8418}"/>
            </a:ext>
          </a:extLst>
        </xdr:cNvPr>
        <xdr:cNvPicPr>
          <a:picLocks noChangeAspect="1"/>
        </xdr:cNvPicPr>
      </xdr:nvPicPr>
      <xdr:blipFill>
        <a:blip xmlns:r="http://schemas.openxmlformats.org/officeDocument/2006/relationships" r:embed="rId5"/>
        <a:stretch>
          <a:fillRect/>
        </a:stretch>
      </xdr:blipFill>
      <xdr:spPr>
        <a:xfrm>
          <a:off x="10401372" y="29131260"/>
          <a:ext cx="5121664" cy="2987040"/>
        </a:xfrm>
        <a:prstGeom prst="rect">
          <a:avLst/>
        </a:prstGeom>
      </xdr:spPr>
    </xdr:pic>
    <xdr:clientData/>
  </xdr:twoCellAnchor>
  <xdr:twoCellAnchor editAs="oneCell">
    <xdr:from>
      <xdr:col>13</xdr:col>
      <xdr:colOff>33440</xdr:colOff>
      <xdr:row>97</xdr:row>
      <xdr:rowOff>121920</xdr:rowOff>
    </xdr:from>
    <xdr:to>
      <xdr:col>21</xdr:col>
      <xdr:colOff>129540</xdr:colOff>
      <xdr:row>113</xdr:row>
      <xdr:rowOff>80672</xdr:rowOff>
    </xdr:to>
    <xdr:pic>
      <xdr:nvPicPr>
        <xdr:cNvPr id="15" name="Picture 14">
          <a:extLst>
            <a:ext uri="{FF2B5EF4-FFF2-40B4-BE49-F238E27FC236}">
              <a16:creationId xmlns:a16="http://schemas.microsoft.com/office/drawing/2014/main" id="{57B2B7ED-40E2-FF38-1863-995E09FF21FF}"/>
            </a:ext>
          </a:extLst>
        </xdr:cNvPr>
        <xdr:cNvPicPr>
          <a:picLocks noChangeAspect="1"/>
        </xdr:cNvPicPr>
      </xdr:nvPicPr>
      <xdr:blipFill>
        <a:blip xmlns:r="http://schemas.openxmlformats.org/officeDocument/2006/relationships" r:embed="rId6"/>
        <a:stretch>
          <a:fillRect/>
        </a:stretch>
      </xdr:blipFill>
      <xdr:spPr>
        <a:xfrm>
          <a:off x="10396640" y="32194500"/>
          <a:ext cx="5148160" cy="2762912"/>
        </a:xfrm>
        <a:prstGeom prst="rect">
          <a:avLst/>
        </a:prstGeom>
      </xdr:spPr>
    </xdr:pic>
    <xdr:clientData/>
  </xdr:twoCellAnchor>
  <xdr:twoCellAnchor editAs="oneCell">
    <xdr:from>
      <xdr:col>13</xdr:col>
      <xdr:colOff>5123</xdr:colOff>
      <xdr:row>114</xdr:row>
      <xdr:rowOff>83820</xdr:rowOff>
    </xdr:from>
    <xdr:to>
      <xdr:col>21</xdr:col>
      <xdr:colOff>144781</xdr:colOff>
      <xdr:row>128</xdr:row>
      <xdr:rowOff>75700</xdr:rowOff>
    </xdr:to>
    <xdr:pic>
      <xdr:nvPicPr>
        <xdr:cNvPr id="16" name="Picture 15">
          <a:extLst>
            <a:ext uri="{FF2B5EF4-FFF2-40B4-BE49-F238E27FC236}">
              <a16:creationId xmlns:a16="http://schemas.microsoft.com/office/drawing/2014/main" id="{731D6CF6-F0CA-4540-08F3-1F7BEA78C867}"/>
            </a:ext>
          </a:extLst>
        </xdr:cNvPr>
        <xdr:cNvPicPr>
          <a:picLocks noChangeAspect="1"/>
        </xdr:cNvPicPr>
      </xdr:nvPicPr>
      <xdr:blipFill>
        <a:blip xmlns:r="http://schemas.openxmlformats.org/officeDocument/2006/relationships" r:embed="rId7"/>
        <a:stretch>
          <a:fillRect/>
        </a:stretch>
      </xdr:blipFill>
      <xdr:spPr>
        <a:xfrm>
          <a:off x="10368323" y="35135820"/>
          <a:ext cx="5191718" cy="2445520"/>
        </a:xfrm>
        <a:prstGeom prst="rect">
          <a:avLst/>
        </a:prstGeom>
      </xdr:spPr>
    </xdr:pic>
    <xdr:clientData/>
  </xdr:twoCellAnchor>
  <xdr:twoCellAnchor editAs="oneCell">
    <xdr:from>
      <xdr:col>1</xdr:col>
      <xdr:colOff>617220</xdr:colOff>
      <xdr:row>126</xdr:row>
      <xdr:rowOff>160020</xdr:rowOff>
    </xdr:from>
    <xdr:to>
      <xdr:col>9</xdr:col>
      <xdr:colOff>358765</xdr:colOff>
      <xdr:row>143</xdr:row>
      <xdr:rowOff>7865</xdr:rowOff>
    </xdr:to>
    <xdr:pic>
      <xdr:nvPicPr>
        <xdr:cNvPr id="17" name="Picture 16">
          <a:extLst>
            <a:ext uri="{FF2B5EF4-FFF2-40B4-BE49-F238E27FC236}">
              <a16:creationId xmlns:a16="http://schemas.microsoft.com/office/drawing/2014/main" id="{2EEA5AF7-6349-FA8D-0AD9-083204A2E864}"/>
            </a:ext>
          </a:extLst>
        </xdr:cNvPr>
        <xdr:cNvPicPr>
          <a:picLocks noChangeAspect="1"/>
        </xdr:cNvPicPr>
      </xdr:nvPicPr>
      <xdr:blipFill>
        <a:blip xmlns:r="http://schemas.openxmlformats.org/officeDocument/2006/relationships" r:embed="rId8"/>
        <a:stretch>
          <a:fillRect/>
        </a:stretch>
      </xdr:blipFill>
      <xdr:spPr>
        <a:xfrm>
          <a:off x="1440180" y="37315140"/>
          <a:ext cx="7216765" cy="2827265"/>
        </a:xfrm>
        <a:prstGeom prst="rect">
          <a:avLst/>
        </a:prstGeom>
      </xdr:spPr>
    </xdr:pic>
    <xdr:clientData/>
  </xdr:twoCellAnchor>
  <xdr:twoCellAnchor editAs="oneCell">
    <xdr:from>
      <xdr:col>12</xdr:col>
      <xdr:colOff>204652</xdr:colOff>
      <xdr:row>151</xdr:row>
      <xdr:rowOff>30479</xdr:rowOff>
    </xdr:from>
    <xdr:to>
      <xdr:col>20</xdr:col>
      <xdr:colOff>46200</xdr:colOff>
      <xdr:row>166</xdr:row>
      <xdr:rowOff>145056</xdr:rowOff>
    </xdr:to>
    <xdr:pic>
      <xdr:nvPicPr>
        <xdr:cNvPr id="18" name="Picture 17">
          <a:extLst>
            <a:ext uri="{FF2B5EF4-FFF2-40B4-BE49-F238E27FC236}">
              <a16:creationId xmlns:a16="http://schemas.microsoft.com/office/drawing/2014/main" id="{C611F0FD-D52B-08BF-65EE-113FA09AF2E2}"/>
            </a:ext>
          </a:extLst>
        </xdr:cNvPr>
        <xdr:cNvPicPr>
          <a:picLocks noChangeAspect="1"/>
        </xdr:cNvPicPr>
      </xdr:nvPicPr>
      <xdr:blipFill>
        <a:blip xmlns:r="http://schemas.openxmlformats.org/officeDocument/2006/relationships" r:embed="rId9"/>
        <a:stretch>
          <a:fillRect/>
        </a:stretch>
      </xdr:blipFill>
      <xdr:spPr>
        <a:xfrm>
          <a:off x="10103032" y="45773339"/>
          <a:ext cx="4748828" cy="2743477"/>
        </a:xfrm>
        <a:prstGeom prst="rect">
          <a:avLst/>
        </a:prstGeom>
      </xdr:spPr>
    </xdr:pic>
    <xdr:clientData/>
  </xdr:twoCellAnchor>
  <xdr:twoCellAnchor editAs="oneCell">
    <xdr:from>
      <xdr:col>12</xdr:col>
      <xdr:colOff>213359</xdr:colOff>
      <xdr:row>167</xdr:row>
      <xdr:rowOff>84936</xdr:rowOff>
    </xdr:from>
    <xdr:to>
      <xdr:col>20</xdr:col>
      <xdr:colOff>63870</xdr:colOff>
      <xdr:row>183</xdr:row>
      <xdr:rowOff>129540</xdr:rowOff>
    </xdr:to>
    <xdr:pic>
      <xdr:nvPicPr>
        <xdr:cNvPr id="19" name="Picture 18">
          <a:extLst>
            <a:ext uri="{FF2B5EF4-FFF2-40B4-BE49-F238E27FC236}">
              <a16:creationId xmlns:a16="http://schemas.microsoft.com/office/drawing/2014/main" id="{F87AA03B-8008-7794-C727-064776E79B3E}"/>
            </a:ext>
          </a:extLst>
        </xdr:cNvPr>
        <xdr:cNvPicPr>
          <a:picLocks noChangeAspect="1"/>
        </xdr:cNvPicPr>
      </xdr:nvPicPr>
      <xdr:blipFill>
        <a:blip xmlns:r="http://schemas.openxmlformats.org/officeDocument/2006/relationships" r:embed="rId10"/>
        <a:stretch>
          <a:fillRect/>
        </a:stretch>
      </xdr:blipFill>
      <xdr:spPr>
        <a:xfrm>
          <a:off x="10111739" y="48631956"/>
          <a:ext cx="4757791" cy="2848764"/>
        </a:xfrm>
        <a:prstGeom prst="rect">
          <a:avLst/>
        </a:prstGeom>
      </xdr:spPr>
    </xdr:pic>
    <xdr:clientData/>
  </xdr:twoCellAnchor>
  <xdr:twoCellAnchor editAs="oneCell">
    <xdr:from>
      <xdr:col>12</xdr:col>
      <xdr:colOff>38100</xdr:colOff>
      <xdr:row>184</xdr:row>
      <xdr:rowOff>169772</xdr:rowOff>
    </xdr:from>
    <xdr:to>
      <xdr:col>20</xdr:col>
      <xdr:colOff>503444</xdr:colOff>
      <xdr:row>199</xdr:row>
      <xdr:rowOff>122171</xdr:rowOff>
    </xdr:to>
    <xdr:pic>
      <xdr:nvPicPr>
        <xdr:cNvPr id="22" name="Picture 21">
          <a:extLst>
            <a:ext uri="{FF2B5EF4-FFF2-40B4-BE49-F238E27FC236}">
              <a16:creationId xmlns:a16="http://schemas.microsoft.com/office/drawing/2014/main" id="{173DD089-EF92-0BDF-EB9D-3D0F62183E01}"/>
            </a:ext>
          </a:extLst>
        </xdr:cNvPr>
        <xdr:cNvPicPr>
          <a:picLocks noChangeAspect="1"/>
        </xdr:cNvPicPr>
      </xdr:nvPicPr>
      <xdr:blipFill>
        <a:blip xmlns:r="http://schemas.openxmlformats.org/officeDocument/2006/relationships" r:embed="rId11"/>
        <a:stretch>
          <a:fillRect/>
        </a:stretch>
      </xdr:blipFill>
      <xdr:spPr>
        <a:xfrm>
          <a:off x="9936480" y="51696212"/>
          <a:ext cx="5372624" cy="2581299"/>
        </a:xfrm>
        <a:prstGeom prst="rect">
          <a:avLst/>
        </a:prstGeom>
      </xdr:spPr>
    </xdr:pic>
    <xdr:clientData/>
  </xdr:twoCellAnchor>
  <xdr:twoCellAnchor editAs="oneCell">
    <xdr:from>
      <xdr:col>1</xdr:col>
      <xdr:colOff>763733</xdr:colOff>
      <xdr:row>197</xdr:row>
      <xdr:rowOff>106680</xdr:rowOff>
    </xdr:from>
    <xdr:to>
      <xdr:col>8</xdr:col>
      <xdr:colOff>191127</xdr:colOff>
      <xdr:row>211</xdr:row>
      <xdr:rowOff>114550</xdr:rowOff>
    </xdr:to>
    <xdr:pic>
      <xdr:nvPicPr>
        <xdr:cNvPr id="23" name="Picture 22">
          <a:extLst>
            <a:ext uri="{FF2B5EF4-FFF2-40B4-BE49-F238E27FC236}">
              <a16:creationId xmlns:a16="http://schemas.microsoft.com/office/drawing/2014/main" id="{1B9D7D2E-31CE-E3F1-A5F5-7AC7A7AD378B}"/>
            </a:ext>
          </a:extLst>
        </xdr:cNvPr>
        <xdr:cNvPicPr>
          <a:picLocks noChangeAspect="1"/>
        </xdr:cNvPicPr>
      </xdr:nvPicPr>
      <xdr:blipFill>
        <a:blip xmlns:r="http://schemas.openxmlformats.org/officeDocument/2006/relationships" r:embed="rId12"/>
        <a:stretch>
          <a:fillRect/>
        </a:stretch>
      </xdr:blipFill>
      <xdr:spPr>
        <a:xfrm>
          <a:off x="1586693" y="53911500"/>
          <a:ext cx="6186334" cy="2461510"/>
        </a:xfrm>
        <a:prstGeom prst="rect">
          <a:avLst/>
        </a:prstGeom>
      </xdr:spPr>
    </xdr:pic>
    <xdr:clientData/>
  </xdr:twoCellAnchor>
  <xdr:twoCellAnchor editAs="oneCell">
    <xdr:from>
      <xdr:col>12</xdr:col>
      <xdr:colOff>232809</xdr:colOff>
      <xdr:row>220</xdr:row>
      <xdr:rowOff>45720</xdr:rowOff>
    </xdr:from>
    <xdr:to>
      <xdr:col>19</xdr:col>
      <xdr:colOff>23331</xdr:colOff>
      <xdr:row>234</xdr:row>
      <xdr:rowOff>277</xdr:rowOff>
    </xdr:to>
    <xdr:pic>
      <xdr:nvPicPr>
        <xdr:cNvPr id="24" name="Picture 23">
          <a:extLst>
            <a:ext uri="{FF2B5EF4-FFF2-40B4-BE49-F238E27FC236}">
              <a16:creationId xmlns:a16="http://schemas.microsoft.com/office/drawing/2014/main" id="{AFFA0545-79B2-DEFE-9CF4-38BBC2B64F63}"/>
            </a:ext>
          </a:extLst>
        </xdr:cNvPr>
        <xdr:cNvPicPr>
          <a:picLocks noChangeAspect="1"/>
        </xdr:cNvPicPr>
      </xdr:nvPicPr>
      <xdr:blipFill>
        <a:blip xmlns:r="http://schemas.openxmlformats.org/officeDocument/2006/relationships" r:embed="rId13"/>
        <a:stretch>
          <a:fillRect/>
        </a:stretch>
      </xdr:blipFill>
      <xdr:spPr>
        <a:xfrm>
          <a:off x="10131189" y="62087760"/>
          <a:ext cx="4088202" cy="2408197"/>
        </a:xfrm>
        <a:prstGeom prst="rect">
          <a:avLst/>
        </a:prstGeom>
      </xdr:spPr>
    </xdr:pic>
    <xdr:clientData/>
  </xdr:twoCellAnchor>
  <xdr:twoCellAnchor editAs="oneCell">
    <xdr:from>
      <xdr:col>11</xdr:col>
      <xdr:colOff>94616</xdr:colOff>
      <xdr:row>253</xdr:row>
      <xdr:rowOff>30480</xdr:rowOff>
    </xdr:from>
    <xdr:to>
      <xdr:col>19</xdr:col>
      <xdr:colOff>546708</xdr:colOff>
      <xdr:row>266</xdr:row>
      <xdr:rowOff>160020</xdr:rowOff>
    </xdr:to>
    <xdr:pic>
      <xdr:nvPicPr>
        <xdr:cNvPr id="25" name="Picture 24">
          <a:extLst>
            <a:ext uri="{FF2B5EF4-FFF2-40B4-BE49-F238E27FC236}">
              <a16:creationId xmlns:a16="http://schemas.microsoft.com/office/drawing/2014/main" id="{1097CDDE-E74D-B51D-849B-1976DB658678}"/>
            </a:ext>
          </a:extLst>
        </xdr:cNvPr>
        <xdr:cNvPicPr>
          <a:picLocks noChangeAspect="1"/>
        </xdr:cNvPicPr>
      </xdr:nvPicPr>
      <xdr:blipFill>
        <a:blip xmlns:r="http://schemas.openxmlformats.org/officeDocument/2006/relationships" r:embed="rId14"/>
        <a:stretch>
          <a:fillRect/>
        </a:stretch>
      </xdr:blipFill>
      <xdr:spPr>
        <a:xfrm>
          <a:off x="9611996" y="67856100"/>
          <a:ext cx="5130772" cy="2407920"/>
        </a:xfrm>
        <a:prstGeom prst="rect">
          <a:avLst/>
        </a:prstGeom>
      </xdr:spPr>
    </xdr:pic>
    <xdr:clientData/>
  </xdr:twoCellAnchor>
  <xdr:twoCellAnchor editAs="oneCell">
    <xdr:from>
      <xdr:col>11</xdr:col>
      <xdr:colOff>91118</xdr:colOff>
      <xdr:row>235</xdr:row>
      <xdr:rowOff>152400</xdr:rowOff>
    </xdr:from>
    <xdr:to>
      <xdr:col>19</xdr:col>
      <xdr:colOff>511059</xdr:colOff>
      <xdr:row>251</xdr:row>
      <xdr:rowOff>114582</xdr:rowOff>
    </xdr:to>
    <xdr:pic>
      <xdr:nvPicPr>
        <xdr:cNvPr id="26" name="Picture 25">
          <a:extLst>
            <a:ext uri="{FF2B5EF4-FFF2-40B4-BE49-F238E27FC236}">
              <a16:creationId xmlns:a16="http://schemas.microsoft.com/office/drawing/2014/main" id="{E3F51086-2257-6C1B-3BEB-26AD1376EEB3}"/>
            </a:ext>
          </a:extLst>
        </xdr:cNvPr>
        <xdr:cNvPicPr>
          <a:picLocks noChangeAspect="1"/>
        </xdr:cNvPicPr>
      </xdr:nvPicPr>
      <xdr:blipFill>
        <a:blip xmlns:r="http://schemas.openxmlformats.org/officeDocument/2006/relationships" r:embed="rId15"/>
        <a:stretch>
          <a:fillRect/>
        </a:stretch>
      </xdr:blipFill>
      <xdr:spPr>
        <a:xfrm>
          <a:off x="9608498" y="64823340"/>
          <a:ext cx="5098621" cy="2766342"/>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17</xdr:col>
      <xdr:colOff>38100</xdr:colOff>
      <xdr:row>38</xdr:row>
      <xdr:rowOff>121920</xdr:rowOff>
    </xdr:from>
    <xdr:to>
      <xdr:col>23</xdr:col>
      <xdr:colOff>328301</xdr:colOff>
      <xdr:row>61</xdr:row>
      <xdr:rowOff>76200</xdr:rowOff>
    </xdr:to>
    <xdr:pic>
      <xdr:nvPicPr>
        <xdr:cNvPr id="8" name="Picture 7">
          <a:extLst>
            <a:ext uri="{FF2B5EF4-FFF2-40B4-BE49-F238E27FC236}">
              <a16:creationId xmlns:a16="http://schemas.microsoft.com/office/drawing/2014/main" id="{9FB91566-DD4A-CDB8-0EB0-4B7EA2E973B7}"/>
            </a:ext>
          </a:extLst>
        </xdr:cNvPr>
        <xdr:cNvPicPr>
          <a:picLocks noChangeAspect="1"/>
        </xdr:cNvPicPr>
      </xdr:nvPicPr>
      <xdr:blipFill>
        <a:blip xmlns:r="http://schemas.openxmlformats.org/officeDocument/2006/relationships" r:embed="rId1"/>
        <a:stretch>
          <a:fillRect/>
        </a:stretch>
      </xdr:blipFill>
      <xdr:spPr>
        <a:xfrm>
          <a:off x="14173200" y="6781800"/>
          <a:ext cx="4359281" cy="3985260"/>
        </a:xfrm>
        <a:prstGeom prst="rect">
          <a:avLst/>
        </a:prstGeom>
      </xdr:spPr>
    </xdr:pic>
    <xdr:clientData/>
  </xdr:twoCellAnchor>
  <xdr:twoCellAnchor editAs="oneCell">
    <xdr:from>
      <xdr:col>0</xdr:col>
      <xdr:colOff>350520</xdr:colOff>
      <xdr:row>41</xdr:row>
      <xdr:rowOff>121920</xdr:rowOff>
    </xdr:from>
    <xdr:to>
      <xdr:col>7</xdr:col>
      <xdr:colOff>834475</xdr:colOff>
      <xdr:row>60</xdr:row>
      <xdr:rowOff>7934</xdr:rowOff>
    </xdr:to>
    <xdr:pic>
      <xdr:nvPicPr>
        <xdr:cNvPr id="11" name="Picture 10">
          <a:extLst>
            <a:ext uri="{FF2B5EF4-FFF2-40B4-BE49-F238E27FC236}">
              <a16:creationId xmlns:a16="http://schemas.microsoft.com/office/drawing/2014/main" id="{0FA8A7E4-AE67-415E-91C5-B7900F79FE07}"/>
            </a:ext>
          </a:extLst>
        </xdr:cNvPr>
        <xdr:cNvPicPr>
          <a:picLocks noChangeAspect="1"/>
        </xdr:cNvPicPr>
      </xdr:nvPicPr>
      <xdr:blipFill>
        <a:blip xmlns:r="http://schemas.openxmlformats.org/officeDocument/2006/relationships" r:embed="rId2"/>
        <a:stretch>
          <a:fillRect/>
        </a:stretch>
      </xdr:blipFill>
      <xdr:spPr>
        <a:xfrm>
          <a:off x="350520" y="7307580"/>
          <a:ext cx="6709495" cy="3215954"/>
        </a:xfrm>
        <a:prstGeom prst="rect">
          <a:avLst/>
        </a:prstGeom>
      </xdr:spPr>
    </xdr:pic>
    <xdr:clientData/>
  </xdr:twoCellAnchor>
  <xdr:twoCellAnchor editAs="oneCell">
    <xdr:from>
      <xdr:col>0</xdr:col>
      <xdr:colOff>350520</xdr:colOff>
      <xdr:row>9</xdr:row>
      <xdr:rowOff>144780</xdr:rowOff>
    </xdr:from>
    <xdr:to>
      <xdr:col>7</xdr:col>
      <xdr:colOff>84468</xdr:colOff>
      <xdr:row>25</xdr:row>
      <xdr:rowOff>30756</xdr:rowOff>
    </xdr:to>
    <xdr:pic>
      <xdr:nvPicPr>
        <xdr:cNvPr id="2" name="Picture 1">
          <a:extLst>
            <a:ext uri="{FF2B5EF4-FFF2-40B4-BE49-F238E27FC236}">
              <a16:creationId xmlns:a16="http://schemas.microsoft.com/office/drawing/2014/main" id="{48851949-09E2-485E-B07E-094D0EC384F1}"/>
            </a:ext>
          </a:extLst>
        </xdr:cNvPr>
        <xdr:cNvPicPr>
          <a:picLocks noChangeAspect="1"/>
        </xdr:cNvPicPr>
      </xdr:nvPicPr>
      <xdr:blipFill>
        <a:blip xmlns:r="http://schemas.openxmlformats.org/officeDocument/2006/relationships" r:embed="rId3"/>
        <a:stretch>
          <a:fillRect/>
        </a:stretch>
      </xdr:blipFill>
      <xdr:spPr>
        <a:xfrm>
          <a:off x="350520" y="1722120"/>
          <a:ext cx="5959488" cy="2690136"/>
        </a:xfrm>
        <a:prstGeom prst="rect">
          <a:avLst/>
        </a:prstGeom>
      </xdr:spPr>
    </xdr:pic>
    <xdr:clientData/>
  </xdr:twoCellAnchor>
  <xdr:twoCellAnchor editAs="oneCell">
    <xdr:from>
      <xdr:col>17</xdr:col>
      <xdr:colOff>6495</xdr:colOff>
      <xdr:row>7</xdr:row>
      <xdr:rowOff>160020</xdr:rowOff>
    </xdr:from>
    <xdr:to>
      <xdr:col>23</xdr:col>
      <xdr:colOff>76627</xdr:colOff>
      <xdr:row>30</xdr:row>
      <xdr:rowOff>114711</xdr:rowOff>
    </xdr:to>
    <xdr:pic>
      <xdr:nvPicPr>
        <xdr:cNvPr id="18" name="Picture 17">
          <a:extLst>
            <a:ext uri="{FF2B5EF4-FFF2-40B4-BE49-F238E27FC236}">
              <a16:creationId xmlns:a16="http://schemas.microsoft.com/office/drawing/2014/main" id="{2DD96894-5B8B-4AEB-95EA-103BEEAD12DA}"/>
            </a:ext>
          </a:extLst>
        </xdr:cNvPr>
        <xdr:cNvPicPr>
          <a:picLocks noChangeAspect="1"/>
        </xdr:cNvPicPr>
      </xdr:nvPicPr>
      <xdr:blipFill>
        <a:blip xmlns:r="http://schemas.openxmlformats.org/officeDocument/2006/relationships" r:embed="rId4"/>
        <a:stretch>
          <a:fillRect/>
        </a:stretch>
      </xdr:blipFill>
      <xdr:spPr>
        <a:xfrm>
          <a:off x="14141595" y="1386840"/>
          <a:ext cx="4139212" cy="3985671"/>
        </a:xfrm>
        <a:prstGeom prst="rect">
          <a:avLst/>
        </a:prstGeom>
      </xdr:spPr>
    </xdr:pic>
    <xdr:clientData/>
  </xdr:twoCellAnchor>
  <xdr:twoCellAnchor editAs="oneCell">
    <xdr:from>
      <xdr:col>1</xdr:col>
      <xdr:colOff>182880</xdr:colOff>
      <xdr:row>73</xdr:row>
      <xdr:rowOff>60960</xdr:rowOff>
    </xdr:from>
    <xdr:to>
      <xdr:col>7</xdr:col>
      <xdr:colOff>153012</xdr:colOff>
      <xdr:row>88</xdr:row>
      <xdr:rowOff>136803</xdr:rowOff>
    </xdr:to>
    <xdr:pic>
      <xdr:nvPicPr>
        <xdr:cNvPr id="19" name="Picture 18">
          <a:extLst>
            <a:ext uri="{FF2B5EF4-FFF2-40B4-BE49-F238E27FC236}">
              <a16:creationId xmlns:a16="http://schemas.microsoft.com/office/drawing/2014/main" id="{ED070526-B4C3-4BB4-B25A-547069A4A4BF}"/>
            </a:ext>
          </a:extLst>
        </xdr:cNvPr>
        <xdr:cNvPicPr>
          <a:picLocks noChangeAspect="1"/>
        </xdr:cNvPicPr>
      </xdr:nvPicPr>
      <xdr:blipFill>
        <a:blip xmlns:r="http://schemas.openxmlformats.org/officeDocument/2006/relationships" r:embed="rId5"/>
        <a:stretch>
          <a:fillRect/>
        </a:stretch>
      </xdr:blipFill>
      <xdr:spPr>
        <a:xfrm>
          <a:off x="1021080" y="12854940"/>
          <a:ext cx="5357472" cy="2704743"/>
        </a:xfrm>
        <a:prstGeom prst="rect">
          <a:avLst/>
        </a:prstGeom>
      </xdr:spPr>
    </xdr:pic>
    <xdr:clientData/>
  </xdr:twoCellAnchor>
  <xdr:twoCellAnchor editAs="oneCell">
    <xdr:from>
      <xdr:col>17</xdr:col>
      <xdr:colOff>91440</xdr:colOff>
      <xdr:row>71</xdr:row>
      <xdr:rowOff>7620</xdr:rowOff>
    </xdr:from>
    <xdr:to>
      <xdr:col>23</xdr:col>
      <xdr:colOff>281940</xdr:colOff>
      <xdr:row>94</xdr:row>
      <xdr:rowOff>12378</xdr:rowOff>
    </xdr:to>
    <xdr:pic>
      <xdr:nvPicPr>
        <xdr:cNvPr id="20" name="Picture 19">
          <a:extLst>
            <a:ext uri="{FF2B5EF4-FFF2-40B4-BE49-F238E27FC236}">
              <a16:creationId xmlns:a16="http://schemas.microsoft.com/office/drawing/2014/main" id="{D4B6F4E6-3E7D-4B7D-8504-E50E41601F7F}"/>
            </a:ext>
          </a:extLst>
        </xdr:cNvPr>
        <xdr:cNvPicPr>
          <a:picLocks noChangeAspect="1"/>
        </xdr:cNvPicPr>
      </xdr:nvPicPr>
      <xdr:blipFill>
        <a:blip xmlns:r="http://schemas.openxmlformats.org/officeDocument/2006/relationships" r:embed="rId6"/>
        <a:stretch>
          <a:fillRect/>
        </a:stretch>
      </xdr:blipFill>
      <xdr:spPr>
        <a:xfrm>
          <a:off x="14226540" y="12451080"/>
          <a:ext cx="4259580" cy="4035738"/>
        </a:xfrm>
        <a:prstGeom prst="rect">
          <a:avLst/>
        </a:prstGeom>
      </xdr:spPr>
    </xdr:pic>
    <xdr:clientData/>
  </xdr:twoCellAnchor>
  <xdr:twoCellAnchor editAs="oneCell">
    <xdr:from>
      <xdr:col>17</xdr:col>
      <xdr:colOff>114300</xdr:colOff>
      <xdr:row>98</xdr:row>
      <xdr:rowOff>121920</xdr:rowOff>
    </xdr:from>
    <xdr:to>
      <xdr:col>23</xdr:col>
      <xdr:colOff>327660</xdr:colOff>
      <xdr:row>121</xdr:row>
      <xdr:rowOff>141718</xdr:rowOff>
    </xdr:to>
    <xdr:pic>
      <xdr:nvPicPr>
        <xdr:cNvPr id="21" name="Picture 20">
          <a:extLst>
            <a:ext uri="{FF2B5EF4-FFF2-40B4-BE49-F238E27FC236}">
              <a16:creationId xmlns:a16="http://schemas.microsoft.com/office/drawing/2014/main" id="{7E7C73FD-8CEA-44B1-9DB2-BA2EDABFF6CF}"/>
            </a:ext>
          </a:extLst>
        </xdr:cNvPr>
        <xdr:cNvPicPr>
          <a:picLocks noChangeAspect="1"/>
        </xdr:cNvPicPr>
      </xdr:nvPicPr>
      <xdr:blipFill>
        <a:blip xmlns:r="http://schemas.openxmlformats.org/officeDocument/2006/relationships" r:embed="rId7"/>
        <a:stretch>
          <a:fillRect/>
        </a:stretch>
      </xdr:blipFill>
      <xdr:spPr>
        <a:xfrm>
          <a:off x="14249400" y="17297400"/>
          <a:ext cx="4282440" cy="4050778"/>
        </a:xfrm>
        <a:prstGeom prst="rect">
          <a:avLst/>
        </a:prstGeom>
      </xdr:spPr>
    </xdr:pic>
    <xdr:clientData/>
  </xdr:twoCellAnchor>
  <xdr:twoCellAnchor editAs="oneCell">
    <xdr:from>
      <xdr:col>1</xdr:col>
      <xdr:colOff>152400</xdr:colOff>
      <xdr:row>100</xdr:row>
      <xdr:rowOff>144780</xdr:rowOff>
    </xdr:from>
    <xdr:to>
      <xdr:col>7</xdr:col>
      <xdr:colOff>640712</xdr:colOff>
      <xdr:row>117</xdr:row>
      <xdr:rowOff>81697</xdr:rowOff>
    </xdr:to>
    <xdr:pic>
      <xdr:nvPicPr>
        <xdr:cNvPr id="22" name="Picture 21">
          <a:extLst>
            <a:ext uri="{FF2B5EF4-FFF2-40B4-BE49-F238E27FC236}">
              <a16:creationId xmlns:a16="http://schemas.microsoft.com/office/drawing/2014/main" id="{7F577C03-7A4B-4AC7-BDD0-7FDB129B5FD1}"/>
            </a:ext>
          </a:extLst>
        </xdr:cNvPr>
        <xdr:cNvPicPr>
          <a:picLocks noChangeAspect="1"/>
        </xdr:cNvPicPr>
      </xdr:nvPicPr>
      <xdr:blipFill>
        <a:blip xmlns:r="http://schemas.openxmlformats.org/officeDocument/2006/relationships" r:embed="rId8"/>
        <a:stretch>
          <a:fillRect/>
        </a:stretch>
      </xdr:blipFill>
      <xdr:spPr>
        <a:xfrm>
          <a:off x="990600" y="17670780"/>
          <a:ext cx="5875652" cy="291633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9</xdr:col>
      <xdr:colOff>326656</xdr:colOff>
      <xdr:row>9</xdr:row>
      <xdr:rowOff>167639</xdr:rowOff>
    </xdr:from>
    <xdr:to>
      <xdr:col>16</xdr:col>
      <xdr:colOff>449580</xdr:colOff>
      <xdr:row>42</xdr:row>
      <xdr:rowOff>44974</xdr:rowOff>
    </xdr:to>
    <xdr:pic>
      <xdr:nvPicPr>
        <xdr:cNvPr id="17" name="Picture 16">
          <a:extLst>
            <a:ext uri="{FF2B5EF4-FFF2-40B4-BE49-F238E27FC236}">
              <a16:creationId xmlns:a16="http://schemas.microsoft.com/office/drawing/2014/main" id="{E16AEF8D-62BD-0614-1627-B6CA14B44556}"/>
            </a:ext>
          </a:extLst>
        </xdr:cNvPr>
        <xdr:cNvPicPr>
          <a:picLocks noChangeAspect="1"/>
        </xdr:cNvPicPr>
      </xdr:nvPicPr>
      <xdr:blipFill>
        <a:blip xmlns:r="http://schemas.openxmlformats.org/officeDocument/2006/relationships" r:embed="rId1"/>
        <a:stretch>
          <a:fillRect/>
        </a:stretch>
      </xdr:blipFill>
      <xdr:spPr>
        <a:xfrm>
          <a:off x="7413256" y="42230039"/>
          <a:ext cx="4260584" cy="5660915"/>
        </a:xfrm>
        <a:prstGeom prst="rect">
          <a:avLst/>
        </a:prstGeom>
      </xdr:spPr>
    </xdr:pic>
    <xdr:clientData/>
  </xdr:twoCellAnchor>
  <xdr:twoCellAnchor editAs="oneCell">
    <xdr:from>
      <xdr:col>1</xdr:col>
      <xdr:colOff>60960</xdr:colOff>
      <xdr:row>29</xdr:row>
      <xdr:rowOff>17330</xdr:rowOff>
    </xdr:from>
    <xdr:to>
      <xdr:col>8</xdr:col>
      <xdr:colOff>389246</xdr:colOff>
      <xdr:row>42</xdr:row>
      <xdr:rowOff>61203</xdr:rowOff>
    </xdr:to>
    <xdr:pic>
      <xdr:nvPicPr>
        <xdr:cNvPr id="18" name="Picture 17">
          <a:extLst>
            <a:ext uri="{FF2B5EF4-FFF2-40B4-BE49-F238E27FC236}">
              <a16:creationId xmlns:a16="http://schemas.microsoft.com/office/drawing/2014/main" id="{63E10F07-301F-28BE-5C65-3A4E3B24DCCC}"/>
            </a:ext>
          </a:extLst>
        </xdr:cNvPr>
        <xdr:cNvPicPr>
          <a:picLocks noChangeAspect="1"/>
        </xdr:cNvPicPr>
      </xdr:nvPicPr>
      <xdr:blipFill>
        <a:blip xmlns:r="http://schemas.openxmlformats.org/officeDocument/2006/relationships" r:embed="rId2"/>
        <a:stretch>
          <a:fillRect/>
        </a:stretch>
      </xdr:blipFill>
      <xdr:spPr>
        <a:xfrm>
          <a:off x="883920" y="45584930"/>
          <a:ext cx="5982326" cy="2322253"/>
        </a:xfrm>
        <a:prstGeom prst="rect">
          <a:avLst/>
        </a:prstGeom>
      </xdr:spPr>
    </xdr:pic>
    <xdr:clientData/>
  </xdr:twoCellAnchor>
  <xdr:twoCellAnchor editAs="oneCell">
    <xdr:from>
      <xdr:col>10</xdr:col>
      <xdr:colOff>228770</xdr:colOff>
      <xdr:row>134</xdr:row>
      <xdr:rowOff>106680</xdr:rowOff>
    </xdr:from>
    <xdr:to>
      <xdr:col>18</xdr:col>
      <xdr:colOff>533400</xdr:colOff>
      <xdr:row>169</xdr:row>
      <xdr:rowOff>47732</xdr:rowOff>
    </xdr:to>
    <xdr:pic>
      <xdr:nvPicPr>
        <xdr:cNvPr id="19" name="Picture 18">
          <a:extLst>
            <a:ext uri="{FF2B5EF4-FFF2-40B4-BE49-F238E27FC236}">
              <a16:creationId xmlns:a16="http://schemas.microsoft.com/office/drawing/2014/main" id="{825536A5-DCBA-52D3-2EF0-B0790A45041A}"/>
            </a:ext>
          </a:extLst>
        </xdr:cNvPr>
        <xdr:cNvPicPr>
          <a:picLocks noChangeAspect="1"/>
        </xdr:cNvPicPr>
      </xdr:nvPicPr>
      <xdr:blipFill>
        <a:blip xmlns:r="http://schemas.openxmlformats.org/officeDocument/2006/relationships" r:embed="rId3"/>
        <a:stretch>
          <a:fillRect/>
        </a:stretch>
      </xdr:blipFill>
      <xdr:spPr>
        <a:xfrm>
          <a:off x="7924970" y="16055340"/>
          <a:ext cx="4914730" cy="6075152"/>
        </a:xfrm>
        <a:prstGeom prst="rect">
          <a:avLst/>
        </a:prstGeom>
      </xdr:spPr>
    </xdr:pic>
    <xdr:clientData/>
  </xdr:twoCellAnchor>
  <xdr:twoCellAnchor editAs="oneCell">
    <xdr:from>
      <xdr:col>1</xdr:col>
      <xdr:colOff>15240</xdr:colOff>
      <xdr:row>155</xdr:row>
      <xdr:rowOff>97475</xdr:rowOff>
    </xdr:from>
    <xdr:to>
      <xdr:col>8</xdr:col>
      <xdr:colOff>503545</xdr:colOff>
      <xdr:row>169</xdr:row>
      <xdr:rowOff>30723</xdr:rowOff>
    </xdr:to>
    <xdr:pic>
      <xdr:nvPicPr>
        <xdr:cNvPr id="20" name="Picture 19">
          <a:extLst>
            <a:ext uri="{FF2B5EF4-FFF2-40B4-BE49-F238E27FC236}">
              <a16:creationId xmlns:a16="http://schemas.microsoft.com/office/drawing/2014/main" id="{B6077750-7E43-2E41-5EBB-317BF79BF115}"/>
            </a:ext>
          </a:extLst>
        </xdr:cNvPr>
        <xdr:cNvPicPr>
          <a:picLocks noChangeAspect="1"/>
        </xdr:cNvPicPr>
      </xdr:nvPicPr>
      <xdr:blipFill>
        <a:blip xmlns:r="http://schemas.openxmlformats.org/officeDocument/2006/relationships" r:embed="rId4"/>
        <a:stretch>
          <a:fillRect/>
        </a:stretch>
      </xdr:blipFill>
      <xdr:spPr>
        <a:xfrm>
          <a:off x="838200" y="33221615"/>
          <a:ext cx="6142345" cy="2386888"/>
        </a:xfrm>
        <a:prstGeom prst="rect">
          <a:avLst/>
        </a:prstGeom>
      </xdr:spPr>
    </xdr:pic>
    <xdr:clientData/>
  </xdr:twoCellAnchor>
  <xdr:twoCellAnchor editAs="oneCell">
    <xdr:from>
      <xdr:col>9</xdr:col>
      <xdr:colOff>604206</xdr:colOff>
      <xdr:row>94</xdr:row>
      <xdr:rowOff>83820</xdr:rowOff>
    </xdr:from>
    <xdr:to>
      <xdr:col>18</xdr:col>
      <xdr:colOff>8749</xdr:colOff>
      <xdr:row>127</xdr:row>
      <xdr:rowOff>106680</xdr:rowOff>
    </xdr:to>
    <xdr:pic>
      <xdr:nvPicPr>
        <xdr:cNvPr id="21" name="Picture 20">
          <a:extLst>
            <a:ext uri="{FF2B5EF4-FFF2-40B4-BE49-F238E27FC236}">
              <a16:creationId xmlns:a16="http://schemas.microsoft.com/office/drawing/2014/main" id="{D86149CD-997D-2B47-E581-74483F3DFF13}"/>
            </a:ext>
          </a:extLst>
        </xdr:cNvPr>
        <xdr:cNvPicPr>
          <a:picLocks noChangeAspect="1"/>
        </xdr:cNvPicPr>
      </xdr:nvPicPr>
      <xdr:blipFill>
        <a:blip xmlns:r="http://schemas.openxmlformats.org/officeDocument/2006/relationships" r:embed="rId5"/>
        <a:stretch>
          <a:fillRect/>
        </a:stretch>
      </xdr:blipFill>
      <xdr:spPr>
        <a:xfrm>
          <a:off x="7690806" y="9022080"/>
          <a:ext cx="4624243" cy="5806440"/>
        </a:xfrm>
        <a:prstGeom prst="rect">
          <a:avLst/>
        </a:prstGeom>
      </xdr:spPr>
    </xdr:pic>
    <xdr:clientData/>
  </xdr:twoCellAnchor>
  <xdr:twoCellAnchor editAs="oneCell">
    <xdr:from>
      <xdr:col>1</xdr:col>
      <xdr:colOff>82846</xdr:colOff>
      <xdr:row>113</xdr:row>
      <xdr:rowOff>121920</xdr:rowOff>
    </xdr:from>
    <xdr:to>
      <xdr:col>8</xdr:col>
      <xdr:colOff>442587</xdr:colOff>
      <xdr:row>127</xdr:row>
      <xdr:rowOff>45968</xdr:rowOff>
    </xdr:to>
    <xdr:pic>
      <xdr:nvPicPr>
        <xdr:cNvPr id="22" name="Picture 21">
          <a:extLst>
            <a:ext uri="{FF2B5EF4-FFF2-40B4-BE49-F238E27FC236}">
              <a16:creationId xmlns:a16="http://schemas.microsoft.com/office/drawing/2014/main" id="{B892D4B1-B583-63AB-B320-F41A5942DECD}"/>
            </a:ext>
          </a:extLst>
        </xdr:cNvPr>
        <xdr:cNvPicPr>
          <a:picLocks noChangeAspect="1"/>
        </xdr:cNvPicPr>
      </xdr:nvPicPr>
      <xdr:blipFill>
        <a:blip xmlns:r="http://schemas.openxmlformats.org/officeDocument/2006/relationships" r:embed="rId6"/>
        <a:stretch>
          <a:fillRect/>
        </a:stretch>
      </xdr:blipFill>
      <xdr:spPr>
        <a:xfrm>
          <a:off x="905806" y="26586180"/>
          <a:ext cx="6013781" cy="2377688"/>
        </a:xfrm>
        <a:prstGeom prst="rect">
          <a:avLst/>
        </a:prstGeom>
      </xdr:spPr>
    </xdr:pic>
    <xdr:clientData/>
  </xdr:twoCellAnchor>
  <xdr:twoCellAnchor editAs="oneCell">
    <xdr:from>
      <xdr:col>9</xdr:col>
      <xdr:colOff>533400</xdr:colOff>
      <xdr:row>52</xdr:row>
      <xdr:rowOff>160020</xdr:rowOff>
    </xdr:from>
    <xdr:to>
      <xdr:col>17</xdr:col>
      <xdr:colOff>411480</xdr:colOff>
      <xdr:row>85</xdr:row>
      <xdr:rowOff>30929</xdr:rowOff>
    </xdr:to>
    <xdr:pic>
      <xdr:nvPicPr>
        <xdr:cNvPr id="25" name="Picture 24">
          <a:extLst>
            <a:ext uri="{FF2B5EF4-FFF2-40B4-BE49-F238E27FC236}">
              <a16:creationId xmlns:a16="http://schemas.microsoft.com/office/drawing/2014/main" id="{9EE147B4-EFFE-0AB6-A495-0C0E698268D2}"/>
            </a:ext>
          </a:extLst>
        </xdr:cNvPr>
        <xdr:cNvPicPr>
          <a:picLocks noChangeAspect="1"/>
        </xdr:cNvPicPr>
      </xdr:nvPicPr>
      <xdr:blipFill>
        <a:blip xmlns:r="http://schemas.openxmlformats.org/officeDocument/2006/relationships" r:embed="rId7"/>
        <a:stretch>
          <a:fillRect/>
        </a:stretch>
      </xdr:blipFill>
      <xdr:spPr>
        <a:xfrm>
          <a:off x="7620000" y="1737360"/>
          <a:ext cx="4556760" cy="5654489"/>
        </a:xfrm>
        <a:prstGeom prst="rect">
          <a:avLst/>
        </a:prstGeom>
      </xdr:spPr>
    </xdr:pic>
    <xdr:clientData/>
  </xdr:twoCellAnchor>
  <xdr:twoCellAnchor editAs="oneCell">
    <xdr:from>
      <xdr:col>0</xdr:col>
      <xdr:colOff>815340</xdr:colOff>
      <xdr:row>71</xdr:row>
      <xdr:rowOff>96340</xdr:rowOff>
    </xdr:from>
    <xdr:to>
      <xdr:col>8</xdr:col>
      <xdr:colOff>480685</xdr:colOff>
      <xdr:row>85</xdr:row>
      <xdr:rowOff>23102</xdr:rowOff>
    </xdr:to>
    <xdr:pic>
      <xdr:nvPicPr>
        <xdr:cNvPr id="26" name="Picture 25">
          <a:extLst>
            <a:ext uri="{FF2B5EF4-FFF2-40B4-BE49-F238E27FC236}">
              <a16:creationId xmlns:a16="http://schemas.microsoft.com/office/drawing/2014/main" id="{7ECFAC0A-2E75-46BD-0E76-585F75ACE546}"/>
            </a:ext>
          </a:extLst>
        </xdr:cNvPr>
        <xdr:cNvPicPr>
          <a:picLocks noChangeAspect="1"/>
        </xdr:cNvPicPr>
      </xdr:nvPicPr>
      <xdr:blipFill>
        <a:blip xmlns:r="http://schemas.openxmlformats.org/officeDocument/2006/relationships" r:embed="rId8"/>
        <a:stretch>
          <a:fillRect/>
        </a:stretch>
      </xdr:blipFill>
      <xdr:spPr>
        <a:xfrm>
          <a:off x="815340" y="14117140"/>
          <a:ext cx="6142345" cy="2380402"/>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10</xdr:col>
      <xdr:colOff>114300</xdr:colOff>
      <xdr:row>29</xdr:row>
      <xdr:rowOff>131350</xdr:rowOff>
    </xdr:from>
    <xdr:to>
      <xdr:col>21</xdr:col>
      <xdr:colOff>450211</xdr:colOff>
      <xdr:row>44</xdr:row>
      <xdr:rowOff>7865</xdr:rowOff>
    </xdr:to>
    <xdr:pic>
      <xdr:nvPicPr>
        <xdr:cNvPr id="7" name="Picture 6">
          <a:extLst>
            <a:ext uri="{FF2B5EF4-FFF2-40B4-BE49-F238E27FC236}">
              <a16:creationId xmlns:a16="http://schemas.microsoft.com/office/drawing/2014/main" id="{7697D29D-7CD6-45DC-46A6-2AAE77FF55E6}"/>
            </a:ext>
          </a:extLst>
        </xdr:cNvPr>
        <xdr:cNvPicPr>
          <a:picLocks noChangeAspect="1"/>
        </xdr:cNvPicPr>
      </xdr:nvPicPr>
      <xdr:blipFill>
        <a:blip xmlns:r="http://schemas.openxmlformats.org/officeDocument/2006/relationships" r:embed="rId1"/>
        <a:stretch>
          <a:fillRect/>
        </a:stretch>
      </xdr:blipFill>
      <xdr:spPr>
        <a:xfrm>
          <a:off x="7787640" y="5213890"/>
          <a:ext cx="6431911" cy="2505415"/>
        </a:xfrm>
        <a:prstGeom prst="rect">
          <a:avLst/>
        </a:prstGeom>
      </xdr:spPr>
    </xdr:pic>
    <xdr:clientData/>
  </xdr:twoCellAnchor>
  <xdr:twoCellAnchor editAs="oneCell">
    <xdr:from>
      <xdr:col>10</xdr:col>
      <xdr:colOff>74042</xdr:colOff>
      <xdr:row>72</xdr:row>
      <xdr:rowOff>106680</xdr:rowOff>
    </xdr:from>
    <xdr:to>
      <xdr:col>21</xdr:col>
      <xdr:colOff>541647</xdr:colOff>
      <xdr:row>87</xdr:row>
      <xdr:rowOff>38345</xdr:rowOff>
    </xdr:to>
    <xdr:pic>
      <xdr:nvPicPr>
        <xdr:cNvPr id="19" name="Picture 18">
          <a:extLst>
            <a:ext uri="{FF2B5EF4-FFF2-40B4-BE49-F238E27FC236}">
              <a16:creationId xmlns:a16="http://schemas.microsoft.com/office/drawing/2014/main" id="{7AFCB224-B183-38C9-8BC4-8ACC6470B360}"/>
            </a:ext>
          </a:extLst>
        </xdr:cNvPr>
        <xdr:cNvPicPr>
          <a:picLocks noChangeAspect="1"/>
        </xdr:cNvPicPr>
      </xdr:nvPicPr>
      <xdr:blipFill>
        <a:blip xmlns:r="http://schemas.openxmlformats.org/officeDocument/2006/relationships" r:embed="rId2"/>
        <a:stretch>
          <a:fillRect/>
        </a:stretch>
      </xdr:blipFill>
      <xdr:spPr>
        <a:xfrm>
          <a:off x="7747382" y="12725400"/>
          <a:ext cx="6563605" cy="2560565"/>
        </a:xfrm>
        <a:prstGeom prst="rect">
          <a:avLst/>
        </a:prstGeom>
      </xdr:spPr>
    </xdr:pic>
    <xdr:clientData/>
  </xdr:twoCellAnchor>
  <xdr:twoCellAnchor editAs="oneCell">
    <xdr:from>
      <xdr:col>10</xdr:col>
      <xdr:colOff>144780</xdr:colOff>
      <xdr:row>7</xdr:row>
      <xdr:rowOff>60960</xdr:rowOff>
    </xdr:from>
    <xdr:to>
      <xdr:col>21</xdr:col>
      <xdr:colOff>305575</xdr:colOff>
      <xdr:row>21</xdr:row>
      <xdr:rowOff>45966</xdr:rowOff>
    </xdr:to>
    <xdr:pic>
      <xdr:nvPicPr>
        <xdr:cNvPr id="24" name="Picture 23">
          <a:extLst>
            <a:ext uri="{FF2B5EF4-FFF2-40B4-BE49-F238E27FC236}">
              <a16:creationId xmlns:a16="http://schemas.microsoft.com/office/drawing/2014/main" id="{A267A21B-DCCC-4279-AE28-E469960F422F}"/>
            </a:ext>
          </a:extLst>
        </xdr:cNvPr>
        <xdr:cNvPicPr>
          <a:picLocks noChangeAspect="1"/>
        </xdr:cNvPicPr>
      </xdr:nvPicPr>
      <xdr:blipFill>
        <a:blip xmlns:r="http://schemas.openxmlformats.org/officeDocument/2006/relationships" r:embed="rId3"/>
        <a:stretch>
          <a:fillRect/>
        </a:stretch>
      </xdr:blipFill>
      <xdr:spPr>
        <a:xfrm>
          <a:off x="7818120" y="1287780"/>
          <a:ext cx="6256795" cy="2438646"/>
        </a:xfrm>
        <a:prstGeom prst="rect">
          <a:avLst/>
        </a:prstGeom>
      </xdr:spPr>
    </xdr:pic>
    <xdr:clientData/>
  </xdr:twoCellAnchor>
  <xdr:twoCellAnchor editAs="oneCell">
    <xdr:from>
      <xdr:col>10</xdr:col>
      <xdr:colOff>91439</xdr:colOff>
      <xdr:row>52</xdr:row>
      <xdr:rowOff>137160</xdr:rowOff>
    </xdr:from>
    <xdr:to>
      <xdr:col>21</xdr:col>
      <xdr:colOff>441255</xdr:colOff>
      <xdr:row>66</xdr:row>
      <xdr:rowOff>99060</xdr:rowOff>
    </xdr:to>
    <xdr:pic>
      <xdr:nvPicPr>
        <xdr:cNvPr id="26" name="Picture 25">
          <a:extLst>
            <a:ext uri="{FF2B5EF4-FFF2-40B4-BE49-F238E27FC236}">
              <a16:creationId xmlns:a16="http://schemas.microsoft.com/office/drawing/2014/main" id="{E14001E1-FEA1-418A-85E5-8BFFFF98142C}"/>
            </a:ext>
          </a:extLst>
        </xdr:cNvPr>
        <xdr:cNvPicPr>
          <a:picLocks noChangeAspect="1"/>
        </xdr:cNvPicPr>
      </xdr:nvPicPr>
      <xdr:blipFill>
        <a:blip xmlns:r="http://schemas.openxmlformats.org/officeDocument/2006/relationships" r:embed="rId4"/>
        <a:stretch>
          <a:fillRect/>
        </a:stretch>
      </xdr:blipFill>
      <xdr:spPr>
        <a:xfrm>
          <a:off x="7764779" y="9250680"/>
          <a:ext cx="6445816" cy="241554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10</xdr:col>
      <xdr:colOff>510540</xdr:colOff>
      <xdr:row>33</xdr:row>
      <xdr:rowOff>167640</xdr:rowOff>
    </xdr:from>
    <xdr:to>
      <xdr:col>23</xdr:col>
      <xdr:colOff>465465</xdr:colOff>
      <xdr:row>50</xdr:row>
      <xdr:rowOff>45968</xdr:rowOff>
    </xdr:to>
    <xdr:pic>
      <xdr:nvPicPr>
        <xdr:cNvPr id="13" name="Picture 12">
          <a:extLst>
            <a:ext uri="{FF2B5EF4-FFF2-40B4-BE49-F238E27FC236}">
              <a16:creationId xmlns:a16="http://schemas.microsoft.com/office/drawing/2014/main" id="{E1D8A918-0B36-3A74-631D-6A4CCFBE7B99}"/>
            </a:ext>
          </a:extLst>
        </xdr:cNvPr>
        <xdr:cNvPicPr>
          <a:picLocks noChangeAspect="1"/>
        </xdr:cNvPicPr>
      </xdr:nvPicPr>
      <xdr:blipFill>
        <a:blip xmlns:r="http://schemas.openxmlformats.org/officeDocument/2006/relationships" r:embed="rId1"/>
        <a:stretch>
          <a:fillRect/>
        </a:stretch>
      </xdr:blipFill>
      <xdr:spPr>
        <a:xfrm>
          <a:off x="8671560" y="8229600"/>
          <a:ext cx="7445385" cy="2857748"/>
        </a:xfrm>
        <a:prstGeom prst="rect">
          <a:avLst/>
        </a:prstGeom>
      </xdr:spPr>
    </xdr:pic>
    <xdr:clientData/>
  </xdr:twoCellAnchor>
  <xdr:twoCellAnchor editAs="oneCell">
    <xdr:from>
      <xdr:col>10</xdr:col>
      <xdr:colOff>556260</xdr:colOff>
      <xdr:row>86</xdr:row>
      <xdr:rowOff>31142</xdr:rowOff>
    </xdr:from>
    <xdr:to>
      <xdr:col>23</xdr:col>
      <xdr:colOff>396123</xdr:colOff>
      <xdr:row>100</xdr:row>
      <xdr:rowOff>60959</xdr:rowOff>
    </xdr:to>
    <xdr:pic>
      <xdr:nvPicPr>
        <xdr:cNvPr id="16" name="Picture 15">
          <a:extLst>
            <a:ext uri="{FF2B5EF4-FFF2-40B4-BE49-F238E27FC236}">
              <a16:creationId xmlns:a16="http://schemas.microsoft.com/office/drawing/2014/main" id="{A791B50B-C5DD-9D27-0474-A0570CA7691D}"/>
            </a:ext>
          </a:extLst>
        </xdr:cNvPr>
        <xdr:cNvPicPr>
          <a:picLocks noChangeAspect="1"/>
        </xdr:cNvPicPr>
      </xdr:nvPicPr>
      <xdr:blipFill>
        <a:blip xmlns:r="http://schemas.openxmlformats.org/officeDocument/2006/relationships" r:embed="rId2"/>
        <a:stretch>
          <a:fillRect/>
        </a:stretch>
      </xdr:blipFill>
      <xdr:spPr>
        <a:xfrm>
          <a:off x="8717280" y="15103502"/>
          <a:ext cx="7330323" cy="2483457"/>
        </a:xfrm>
        <a:prstGeom prst="rect">
          <a:avLst/>
        </a:prstGeom>
      </xdr:spPr>
    </xdr:pic>
    <xdr:clientData/>
  </xdr:twoCellAnchor>
  <xdr:twoCellAnchor editAs="oneCell">
    <xdr:from>
      <xdr:col>10</xdr:col>
      <xdr:colOff>525780</xdr:colOff>
      <xdr:row>60</xdr:row>
      <xdr:rowOff>110976</xdr:rowOff>
    </xdr:from>
    <xdr:to>
      <xdr:col>23</xdr:col>
      <xdr:colOff>419100</xdr:colOff>
      <xdr:row>76</xdr:row>
      <xdr:rowOff>80458</xdr:rowOff>
    </xdr:to>
    <xdr:pic>
      <xdr:nvPicPr>
        <xdr:cNvPr id="21" name="Picture 20">
          <a:extLst>
            <a:ext uri="{FF2B5EF4-FFF2-40B4-BE49-F238E27FC236}">
              <a16:creationId xmlns:a16="http://schemas.microsoft.com/office/drawing/2014/main" id="{EDCBACE1-1EED-860A-8B71-CA92E0A22BA3}"/>
            </a:ext>
          </a:extLst>
        </xdr:cNvPr>
        <xdr:cNvPicPr>
          <a:picLocks noChangeAspect="1"/>
        </xdr:cNvPicPr>
      </xdr:nvPicPr>
      <xdr:blipFill>
        <a:blip xmlns:r="http://schemas.openxmlformats.org/officeDocument/2006/relationships" r:embed="rId3"/>
        <a:stretch>
          <a:fillRect/>
        </a:stretch>
      </xdr:blipFill>
      <xdr:spPr>
        <a:xfrm>
          <a:off x="8686800" y="10626576"/>
          <a:ext cx="7383780" cy="2773642"/>
        </a:xfrm>
        <a:prstGeom prst="rect">
          <a:avLst/>
        </a:prstGeom>
      </xdr:spPr>
    </xdr:pic>
    <xdr:clientData/>
  </xdr:twoCellAnchor>
  <xdr:twoCellAnchor editAs="oneCell">
    <xdr:from>
      <xdr:col>10</xdr:col>
      <xdr:colOff>419100</xdr:colOff>
      <xdr:row>9</xdr:row>
      <xdr:rowOff>30480</xdr:rowOff>
    </xdr:from>
    <xdr:to>
      <xdr:col>24</xdr:col>
      <xdr:colOff>107355</xdr:colOff>
      <xdr:row>25</xdr:row>
      <xdr:rowOff>68826</xdr:rowOff>
    </xdr:to>
    <xdr:pic>
      <xdr:nvPicPr>
        <xdr:cNvPr id="2" name="Picture 1">
          <a:extLst>
            <a:ext uri="{FF2B5EF4-FFF2-40B4-BE49-F238E27FC236}">
              <a16:creationId xmlns:a16="http://schemas.microsoft.com/office/drawing/2014/main" id="{E385D258-80B0-154A-9413-5089DFBE5195}"/>
            </a:ext>
          </a:extLst>
        </xdr:cNvPr>
        <xdr:cNvPicPr>
          <a:picLocks noChangeAspect="1"/>
        </xdr:cNvPicPr>
      </xdr:nvPicPr>
      <xdr:blipFill>
        <a:blip xmlns:r="http://schemas.openxmlformats.org/officeDocument/2006/relationships" r:embed="rId4"/>
        <a:stretch>
          <a:fillRect/>
        </a:stretch>
      </xdr:blipFill>
      <xdr:spPr>
        <a:xfrm>
          <a:off x="8580120" y="1607820"/>
          <a:ext cx="7788315" cy="2842506"/>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9</xdr:col>
      <xdr:colOff>449580</xdr:colOff>
      <xdr:row>33</xdr:row>
      <xdr:rowOff>152288</xdr:rowOff>
    </xdr:from>
    <xdr:to>
      <xdr:col>18</xdr:col>
      <xdr:colOff>229229</xdr:colOff>
      <xdr:row>48</xdr:row>
      <xdr:rowOff>45999</xdr:rowOff>
    </xdr:to>
    <xdr:pic>
      <xdr:nvPicPr>
        <xdr:cNvPr id="6" name="Picture 5">
          <a:extLst>
            <a:ext uri="{FF2B5EF4-FFF2-40B4-BE49-F238E27FC236}">
              <a16:creationId xmlns:a16="http://schemas.microsoft.com/office/drawing/2014/main" id="{FDB029E2-D0F6-85D0-3461-61A83EAC8E62}"/>
            </a:ext>
          </a:extLst>
        </xdr:cNvPr>
        <xdr:cNvPicPr>
          <a:picLocks noChangeAspect="1"/>
        </xdr:cNvPicPr>
      </xdr:nvPicPr>
      <xdr:blipFill>
        <a:blip xmlns:r="http://schemas.openxmlformats.org/officeDocument/2006/relationships" r:embed="rId1"/>
        <a:stretch>
          <a:fillRect/>
        </a:stretch>
      </xdr:blipFill>
      <xdr:spPr>
        <a:xfrm>
          <a:off x="7360920" y="5943488"/>
          <a:ext cx="5708009" cy="2530231"/>
        </a:xfrm>
        <a:prstGeom prst="rect">
          <a:avLst/>
        </a:prstGeom>
      </xdr:spPr>
    </xdr:pic>
    <xdr:clientData/>
  </xdr:twoCellAnchor>
  <xdr:twoCellAnchor editAs="oneCell">
    <xdr:from>
      <xdr:col>9</xdr:col>
      <xdr:colOff>396240</xdr:colOff>
      <xdr:row>84</xdr:row>
      <xdr:rowOff>14188</xdr:rowOff>
    </xdr:from>
    <xdr:to>
      <xdr:col>19</xdr:col>
      <xdr:colOff>7620</xdr:colOff>
      <xdr:row>98</xdr:row>
      <xdr:rowOff>92402</xdr:rowOff>
    </xdr:to>
    <xdr:pic>
      <xdr:nvPicPr>
        <xdr:cNvPr id="19" name="Picture 18">
          <a:extLst>
            <a:ext uri="{FF2B5EF4-FFF2-40B4-BE49-F238E27FC236}">
              <a16:creationId xmlns:a16="http://schemas.microsoft.com/office/drawing/2014/main" id="{52FB4335-3685-5FC0-981A-00EEA97AC5C2}"/>
            </a:ext>
          </a:extLst>
        </xdr:cNvPr>
        <xdr:cNvPicPr>
          <a:picLocks noChangeAspect="1"/>
        </xdr:cNvPicPr>
      </xdr:nvPicPr>
      <xdr:blipFill>
        <a:blip xmlns:r="http://schemas.openxmlformats.org/officeDocument/2006/relationships" r:embed="rId2"/>
        <a:stretch>
          <a:fillRect/>
        </a:stretch>
      </xdr:blipFill>
      <xdr:spPr>
        <a:xfrm>
          <a:off x="7307580" y="14758888"/>
          <a:ext cx="5814060" cy="2539474"/>
        </a:xfrm>
        <a:prstGeom prst="rect">
          <a:avLst/>
        </a:prstGeom>
      </xdr:spPr>
    </xdr:pic>
    <xdr:clientData/>
  </xdr:twoCellAnchor>
  <xdr:twoCellAnchor editAs="oneCell">
    <xdr:from>
      <xdr:col>9</xdr:col>
      <xdr:colOff>426720</xdr:colOff>
      <xdr:row>57</xdr:row>
      <xdr:rowOff>101890</xdr:rowOff>
    </xdr:from>
    <xdr:to>
      <xdr:col>18</xdr:col>
      <xdr:colOff>175260</xdr:colOff>
      <xdr:row>71</xdr:row>
      <xdr:rowOff>169704</xdr:rowOff>
    </xdr:to>
    <xdr:pic>
      <xdr:nvPicPr>
        <xdr:cNvPr id="22" name="Picture 21">
          <a:extLst>
            <a:ext uri="{FF2B5EF4-FFF2-40B4-BE49-F238E27FC236}">
              <a16:creationId xmlns:a16="http://schemas.microsoft.com/office/drawing/2014/main" id="{40F6F1D6-0A2C-8022-15B6-AC7DCC4C3DD4}"/>
            </a:ext>
          </a:extLst>
        </xdr:cNvPr>
        <xdr:cNvPicPr>
          <a:picLocks noChangeAspect="1"/>
        </xdr:cNvPicPr>
      </xdr:nvPicPr>
      <xdr:blipFill>
        <a:blip xmlns:r="http://schemas.openxmlformats.org/officeDocument/2006/relationships" r:embed="rId3"/>
        <a:stretch>
          <a:fillRect/>
        </a:stretch>
      </xdr:blipFill>
      <xdr:spPr>
        <a:xfrm>
          <a:off x="7338060" y="10106950"/>
          <a:ext cx="5676900" cy="2529074"/>
        </a:xfrm>
        <a:prstGeom prst="rect">
          <a:avLst/>
        </a:prstGeom>
      </xdr:spPr>
    </xdr:pic>
    <xdr:clientData/>
  </xdr:twoCellAnchor>
  <xdr:twoCellAnchor editAs="oneCell">
    <xdr:from>
      <xdr:col>9</xdr:col>
      <xdr:colOff>457200</xdr:colOff>
      <xdr:row>9</xdr:row>
      <xdr:rowOff>68580</xdr:rowOff>
    </xdr:from>
    <xdr:to>
      <xdr:col>19</xdr:col>
      <xdr:colOff>198986</xdr:colOff>
      <xdr:row>24</xdr:row>
      <xdr:rowOff>53340</xdr:rowOff>
    </xdr:to>
    <xdr:pic>
      <xdr:nvPicPr>
        <xdr:cNvPr id="21" name="Picture 20">
          <a:extLst>
            <a:ext uri="{FF2B5EF4-FFF2-40B4-BE49-F238E27FC236}">
              <a16:creationId xmlns:a16="http://schemas.microsoft.com/office/drawing/2014/main" id="{6834A0BB-10B0-49B1-9633-0FD5EA3C6A3E}"/>
            </a:ext>
          </a:extLst>
        </xdr:cNvPr>
        <xdr:cNvPicPr>
          <a:picLocks noChangeAspect="1"/>
        </xdr:cNvPicPr>
      </xdr:nvPicPr>
      <xdr:blipFill>
        <a:blip xmlns:r="http://schemas.openxmlformats.org/officeDocument/2006/relationships" r:embed="rId4"/>
        <a:stretch>
          <a:fillRect/>
        </a:stretch>
      </xdr:blipFill>
      <xdr:spPr>
        <a:xfrm>
          <a:off x="7368540" y="1645920"/>
          <a:ext cx="5944466" cy="262128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9</xdr:col>
      <xdr:colOff>350520</xdr:colOff>
      <xdr:row>32</xdr:row>
      <xdr:rowOff>81243</xdr:rowOff>
    </xdr:from>
    <xdr:to>
      <xdr:col>18</xdr:col>
      <xdr:colOff>236863</xdr:colOff>
      <xdr:row>44</xdr:row>
      <xdr:rowOff>76443</xdr:rowOff>
    </xdr:to>
    <xdr:pic>
      <xdr:nvPicPr>
        <xdr:cNvPr id="6" name="Picture 5">
          <a:extLst>
            <a:ext uri="{FF2B5EF4-FFF2-40B4-BE49-F238E27FC236}">
              <a16:creationId xmlns:a16="http://schemas.microsoft.com/office/drawing/2014/main" id="{6565C1F5-AE82-28FD-B546-B9CD1E914A08}"/>
            </a:ext>
          </a:extLst>
        </xdr:cNvPr>
        <xdr:cNvPicPr>
          <a:picLocks noChangeAspect="1"/>
        </xdr:cNvPicPr>
      </xdr:nvPicPr>
      <xdr:blipFill>
        <a:blip xmlns:r="http://schemas.openxmlformats.org/officeDocument/2006/relationships" r:embed="rId1"/>
        <a:stretch>
          <a:fillRect/>
        </a:stretch>
      </xdr:blipFill>
      <xdr:spPr>
        <a:xfrm>
          <a:off x="7101840" y="5689563"/>
          <a:ext cx="5548003" cy="2098320"/>
        </a:xfrm>
        <a:prstGeom prst="rect">
          <a:avLst/>
        </a:prstGeom>
      </xdr:spPr>
    </xdr:pic>
    <xdr:clientData/>
  </xdr:twoCellAnchor>
  <xdr:twoCellAnchor editAs="oneCell">
    <xdr:from>
      <xdr:col>9</xdr:col>
      <xdr:colOff>289560</xdr:colOff>
      <xdr:row>54</xdr:row>
      <xdr:rowOff>172842</xdr:rowOff>
    </xdr:from>
    <xdr:to>
      <xdr:col>18</xdr:col>
      <xdr:colOff>343533</xdr:colOff>
      <xdr:row>67</xdr:row>
      <xdr:rowOff>84062</xdr:rowOff>
    </xdr:to>
    <xdr:pic>
      <xdr:nvPicPr>
        <xdr:cNvPr id="13" name="Picture 12">
          <a:extLst>
            <a:ext uri="{FF2B5EF4-FFF2-40B4-BE49-F238E27FC236}">
              <a16:creationId xmlns:a16="http://schemas.microsoft.com/office/drawing/2014/main" id="{14A16231-6756-6405-FA0E-74538266818B}"/>
            </a:ext>
          </a:extLst>
        </xdr:cNvPr>
        <xdr:cNvPicPr>
          <a:picLocks noChangeAspect="1"/>
        </xdr:cNvPicPr>
      </xdr:nvPicPr>
      <xdr:blipFill>
        <a:blip xmlns:r="http://schemas.openxmlformats.org/officeDocument/2006/relationships" r:embed="rId2"/>
        <a:stretch>
          <a:fillRect/>
        </a:stretch>
      </xdr:blipFill>
      <xdr:spPr>
        <a:xfrm>
          <a:off x="7040880" y="9636882"/>
          <a:ext cx="5715633" cy="2189600"/>
        </a:xfrm>
        <a:prstGeom prst="rect">
          <a:avLst/>
        </a:prstGeom>
      </xdr:spPr>
    </xdr:pic>
    <xdr:clientData/>
  </xdr:twoCellAnchor>
  <xdr:twoCellAnchor editAs="oneCell">
    <xdr:from>
      <xdr:col>9</xdr:col>
      <xdr:colOff>426720</xdr:colOff>
      <xdr:row>77</xdr:row>
      <xdr:rowOff>116877</xdr:rowOff>
    </xdr:from>
    <xdr:to>
      <xdr:col>18</xdr:col>
      <xdr:colOff>411480</xdr:colOff>
      <xdr:row>90</xdr:row>
      <xdr:rowOff>74526</xdr:rowOff>
    </xdr:to>
    <xdr:pic>
      <xdr:nvPicPr>
        <xdr:cNvPr id="16" name="Picture 15">
          <a:extLst>
            <a:ext uri="{FF2B5EF4-FFF2-40B4-BE49-F238E27FC236}">
              <a16:creationId xmlns:a16="http://schemas.microsoft.com/office/drawing/2014/main" id="{9BF801FE-0B95-EC92-EA5B-91B9B1AEF257}"/>
            </a:ext>
          </a:extLst>
        </xdr:cNvPr>
        <xdr:cNvPicPr>
          <a:picLocks noChangeAspect="1"/>
        </xdr:cNvPicPr>
      </xdr:nvPicPr>
      <xdr:blipFill>
        <a:blip xmlns:r="http://schemas.openxmlformats.org/officeDocument/2006/relationships" r:embed="rId3"/>
        <a:stretch>
          <a:fillRect/>
        </a:stretch>
      </xdr:blipFill>
      <xdr:spPr>
        <a:xfrm>
          <a:off x="7178040" y="13611897"/>
          <a:ext cx="5646420" cy="2236029"/>
        </a:xfrm>
        <a:prstGeom prst="rect">
          <a:avLst/>
        </a:prstGeom>
      </xdr:spPr>
    </xdr:pic>
    <xdr:clientData/>
  </xdr:twoCellAnchor>
  <xdr:twoCellAnchor editAs="oneCell">
    <xdr:from>
      <xdr:col>9</xdr:col>
      <xdr:colOff>320040</xdr:colOff>
      <xdr:row>9</xdr:row>
      <xdr:rowOff>71040</xdr:rowOff>
    </xdr:from>
    <xdr:to>
      <xdr:col>18</xdr:col>
      <xdr:colOff>457200</xdr:colOff>
      <xdr:row>22</xdr:row>
      <xdr:rowOff>42508</xdr:rowOff>
    </xdr:to>
    <xdr:pic>
      <xdr:nvPicPr>
        <xdr:cNvPr id="8" name="Picture 7">
          <a:extLst>
            <a:ext uri="{FF2B5EF4-FFF2-40B4-BE49-F238E27FC236}">
              <a16:creationId xmlns:a16="http://schemas.microsoft.com/office/drawing/2014/main" id="{6E855983-85BA-F66B-BF38-0FE20F2F6D33}"/>
            </a:ext>
          </a:extLst>
        </xdr:cNvPr>
        <xdr:cNvPicPr>
          <a:picLocks noChangeAspect="1"/>
        </xdr:cNvPicPr>
      </xdr:nvPicPr>
      <xdr:blipFill>
        <a:blip xmlns:r="http://schemas.openxmlformats.org/officeDocument/2006/relationships" r:embed="rId4"/>
        <a:stretch>
          <a:fillRect/>
        </a:stretch>
      </xdr:blipFill>
      <xdr:spPr>
        <a:xfrm>
          <a:off x="7071360" y="1648380"/>
          <a:ext cx="5798820" cy="2249848"/>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9</xdr:col>
      <xdr:colOff>325582</xdr:colOff>
      <xdr:row>64</xdr:row>
      <xdr:rowOff>127795</xdr:rowOff>
    </xdr:from>
    <xdr:to>
      <xdr:col>18</xdr:col>
      <xdr:colOff>338260</xdr:colOff>
      <xdr:row>79</xdr:row>
      <xdr:rowOff>52646</xdr:rowOff>
    </xdr:to>
    <xdr:pic>
      <xdr:nvPicPr>
        <xdr:cNvPr id="6" name="Picture 5">
          <a:extLst>
            <a:ext uri="{FF2B5EF4-FFF2-40B4-BE49-F238E27FC236}">
              <a16:creationId xmlns:a16="http://schemas.microsoft.com/office/drawing/2014/main" id="{D91FA557-D199-6F70-484F-F9B4B606907D}"/>
            </a:ext>
          </a:extLst>
        </xdr:cNvPr>
        <xdr:cNvPicPr>
          <a:picLocks noChangeAspect="1"/>
        </xdr:cNvPicPr>
      </xdr:nvPicPr>
      <xdr:blipFill>
        <a:blip xmlns:r="http://schemas.openxmlformats.org/officeDocument/2006/relationships" r:embed="rId1"/>
        <a:stretch>
          <a:fillRect/>
        </a:stretch>
      </xdr:blipFill>
      <xdr:spPr>
        <a:xfrm>
          <a:off x="7329055" y="8274268"/>
          <a:ext cx="5602987" cy="2522578"/>
        </a:xfrm>
        <a:prstGeom prst="rect">
          <a:avLst/>
        </a:prstGeom>
      </xdr:spPr>
    </xdr:pic>
    <xdr:clientData/>
  </xdr:twoCellAnchor>
  <xdr:twoCellAnchor editAs="oneCell">
    <xdr:from>
      <xdr:col>9</xdr:col>
      <xdr:colOff>397625</xdr:colOff>
      <xdr:row>21</xdr:row>
      <xdr:rowOff>151237</xdr:rowOff>
    </xdr:from>
    <xdr:to>
      <xdr:col>20</xdr:col>
      <xdr:colOff>59498</xdr:colOff>
      <xdr:row>38</xdr:row>
      <xdr:rowOff>41839</xdr:rowOff>
    </xdr:to>
    <xdr:pic>
      <xdr:nvPicPr>
        <xdr:cNvPr id="18" name="Picture 17">
          <a:extLst>
            <a:ext uri="{FF2B5EF4-FFF2-40B4-BE49-F238E27FC236}">
              <a16:creationId xmlns:a16="http://schemas.microsoft.com/office/drawing/2014/main" id="{674B476B-435E-05CE-2C54-6AEF92CFB6A9}"/>
            </a:ext>
          </a:extLst>
        </xdr:cNvPr>
        <xdr:cNvPicPr>
          <a:picLocks noChangeAspect="1"/>
        </xdr:cNvPicPr>
      </xdr:nvPicPr>
      <xdr:blipFill>
        <a:blip xmlns:r="http://schemas.openxmlformats.org/officeDocument/2006/relationships" r:embed="rId2"/>
        <a:stretch>
          <a:fillRect/>
        </a:stretch>
      </xdr:blipFill>
      <xdr:spPr>
        <a:xfrm>
          <a:off x="7401098" y="35660437"/>
          <a:ext cx="6402109" cy="2834693"/>
        </a:xfrm>
        <a:prstGeom prst="rect">
          <a:avLst/>
        </a:prstGeom>
      </xdr:spPr>
    </xdr:pic>
    <xdr:clientData/>
  </xdr:twoCellAnchor>
  <xdr:twoCellAnchor editAs="oneCell">
    <xdr:from>
      <xdr:col>9</xdr:col>
      <xdr:colOff>326967</xdr:colOff>
      <xdr:row>145</xdr:row>
      <xdr:rowOff>30145</xdr:rowOff>
    </xdr:from>
    <xdr:to>
      <xdr:col>18</xdr:col>
      <xdr:colOff>222985</xdr:colOff>
      <xdr:row>159</xdr:row>
      <xdr:rowOff>104193</xdr:rowOff>
    </xdr:to>
    <xdr:pic>
      <xdr:nvPicPr>
        <xdr:cNvPr id="21" name="Picture 20">
          <a:extLst>
            <a:ext uri="{FF2B5EF4-FFF2-40B4-BE49-F238E27FC236}">
              <a16:creationId xmlns:a16="http://schemas.microsoft.com/office/drawing/2014/main" id="{39245E30-631D-C25F-13D5-41F7DFFE9FE7}"/>
            </a:ext>
          </a:extLst>
        </xdr:cNvPr>
        <xdr:cNvPicPr>
          <a:picLocks noChangeAspect="1"/>
        </xdr:cNvPicPr>
      </xdr:nvPicPr>
      <xdr:blipFill>
        <a:blip xmlns:r="http://schemas.openxmlformats.org/officeDocument/2006/relationships" r:embed="rId3"/>
        <a:stretch>
          <a:fillRect/>
        </a:stretch>
      </xdr:blipFill>
      <xdr:spPr>
        <a:xfrm>
          <a:off x="7330440" y="22377527"/>
          <a:ext cx="5486327" cy="2498594"/>
        </a:xfrm>
        <a:prstGeom prst="rect">
          <a:avLst/>
        </a:prstGeom>
      </xdr:spPr>
    </xdr:pic>
    <xdr:clientData/>
  </xdr:twoCellAnchor>
  <xdr:twoCellAnchor editAs="oneCell">
    <xdr:from>
      <xdr:col>9</xdr:col>
      <xdr:colOff>399704</xdr:colOff>
      <xdr:row>105</xdr:row>
      <xdr:rowOff>22512</xdr:rowOff>
    </xdr:from>
    <xdr:to>
      <xdr:col>19</xdr:col>
      <xdr:colOff>74816</xdr:colOff>
      <xdr:row>119</xdr:row>
      <xdr:rowOff>37477</xdr:rowOff>
    </xdr:to>
    <xdr:pic>
      <xdr:nvPicPr>
        <xdr:cNvPr id="24" name="Picture 23">
          <a:extLst>
            <a:ext uri="{FF2B5EF4-FFF2-40B4-BE49-F238E27FC236}">
              <a16:creationId xmlns:a16="http://schemas.microsoft.com/office/drawing/2014/main" id="{31988C43-EA53-CA93-5F4C-F9EC3B372739}"/>
            </a:ext>
          </a:extLst>
        </xdr:cNvPr>
        <xdr:cNvPicPr>
          <a:picLocks noChangeAspect="1"/>
        </xdr:cNvPicPr>
      </xdr:nvPicPr>
      <xdr:blipFill>
        <a:blip xmlns:r="http://schemas.openxmlformats.org/officeDocument/2006/relationships" r:embed="rId4"/>
        <a:stretch>
          <a:fillRect/>
        </a:stretch>
      </xdr:blipFill>
      <xdr:spPr>
        <a:xfrm>
          <a:off x="7403177" y="15442621"/>
          <a:ext cx="5805748" cy="2439511"/>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12</xdr:col>
      <xdr:colOff>266700</xdr:colOff>
      <xdr:row>269</xdr:row>
      <xdr:rowOff>152400</xdr:rowOff>
    </xdr:from>
    <xdr:to>
      <xdr:col>21</xdr:col>
      <xdr:colOff>137630</xdr:colOff>
      <xdr:row>294</xdr:row>
      <xdr:rowOff>76590</xdr:rowOff>
    </xdr:to>
    <xdr:pic>
      <xdr:nvPicPr>
        <xdr:cNvPr id="10" name="Picture 9">
          <a:extLst>
            <a:ext uri="{FF2B5EF4-FFF2-40B4-BE49-F238E27FC236}">
              <a16:creationId xmlns:a16="http://schemas.microsoft.com/office/drawing/2014/main" id="{F60C3078-5873-5470-F7A1-00A09C13A0CB}"/>
            </a:ext>
          </a:extLst>
        </xdr:cNvPr>
        <xdr:cNvPicPr>
          <a:picLocks noChangeAspect="1"/>
        </xdr:cNvPicPr>
      </xdr:nvPicPr>
      <xdr:blipFill>
        <a:blip xmlns:r="http://schemas.openxmlformats.org/officeDocument/2006/relationships" r:embed="rId1"/>
        <a:stretch>
          <a:fillRect/>
        </a:stretch>
      </xdr:blipFill>
      <xdr:spPr>
        <a:xfrm>
          <a:off x="10675620" y="8199120"/>
          <a:ext cx="5418290" cy="4496190"/>
        </a:xfrm>
        <a:prstGeom prst="rect">
          <a:avLst/>
        </a:prstGeom>
      </xdr:spPr>
    </xdr:pic>
    <xdr:clientData/>
  </xdr:twoCellAnchor>
  <xdr:twoCellAnchor editAs="oneCell">
    <xdr:from>
      <xdr:col>0</xdr:col>
      <xdr:colOff>769620</xdr:colOff>
      <xdr:row>79</xdr:row>
      <xdr:rowOff>115353</xdr:rowOff>
    </xdr:from>
    <xdr:to>
      <xdr:col>7</xdr:col>
      <xdr:colOff>653413</xdr:colOff>
      <xdr:row>95</xdr:row>
      <xdr:rowOff>152677</xdr:rowOff>
    </xdr:to>
    <xdr:pic>
      <xdr:nvPicPr>
        <xdr:cNvPr id="6" name="Picture 5">
          <a:extLst>
            <a:ext uri="{FF2B5EF4-FFF2-40B4-BE49-F238E27FC236}">
              <a16:creationId xmlns:a16="http://schemas.microsoft.com/office/drawing/2014/main" id="{1CEA837A-79C7-535C-9207-7454BBA10398}"/>
            </a:ext>
          </a:extLst>
        </xdr:cNvPr>
        <xdr:cNvPicPr>
          <a:picLocks noChangeAspect="1"/>
        </xdr:cNvPicPr>
      </xdr:nvPicPr>
      <xdr:blipFill>
        <a:blip xmlns:r="http://schemas.openxmlformats.org/officeDocument/2006/relationships" r:embed="rId2"/>
        <a:stretch>
          <a:fillRect/>
        </a:stretch>
      </xdr:blipFill>
      <xdr:spPr>
        <a:xfrm>
          <a:off x="769620" y="14562873"/>
          <a:ext cx="6757033" cy="2963404"/>
        </a:xfrm>
        <a:prstGeom prst="rect">
          <a:avLst/>
        </a:prstGeom>
      </xdr:spPr>
    </xdr:pic>
    <xdr:clientData/>
  </xdr:twoCellAnchor>
  <xdr:twoCellAnchor editAs="oneCell">
    <xdr:from>
      <xdr:col>13</xdr:col>
      <xdr:colOff>54769</xdr:colOff>
      <xdr:row>107</xdr:row>
      <xdr:rowOff>30480</xdr:rowOff>
    </xdr:from>
    <xdr:to>
      <xdr:col>20</xdr:col>
      <xdr:colOff>467843</xdr:colOff>
      <xdr:row>129</xdr:row>
      <xdr:rowOff>53720</xdr:rowOff>
    </xdr:to>
    <xdr:pic>
      <xdr:nvPicPr>
        <xdr:cNvPr id="12" name="Picture 11">
          <a:extLst>
            <a:ext uri="{FF2B5EF4-FFF2-40B4-BE49-F238E27FC236}">
              <a16:creationId xmlns:a16="http://schemas.microsoft.com/office/drawing/2014/main" id="{B85FD7B4-4DC2-8D88-28C9-F4BCD60AA3C1}"/>
            </a:ext>
          </a:extLst>
        </xdr:cNvPr>
        <xdr:cNvPicPr>
          <a:picLocks noChangeAspect="1"/>
        </xdr:cNvPicPr>
      </xdr:nvPicPr>
      <xdr:blipFill>
        <a:blip xmlns:r="http://schemas.openxmlformats.org/officeDocument/2006/relationships" r:embed="rId3"/>
        <a:stretch>
          <a:fillRect/>
        </a:stretch>
      </xdr:blipFill>
      <xdr:spPr>
        <a:xfrm>
          <a:off x="10745629" y="19598640"/>
          <a:ext cx="5137474" cy="4046600"/>
        </a:xfrm>
        <a:prstGeom prst="rect">
          <a:avLst/>
        </a:prstGeom>
      </xdr:spPr>
    </xdr:pic>
    <xdr:clientData/>
  </xdr:twoCellAnchor>
  <xdr:twoCellAnchor editAs="oneCell">
    <xdr:from>
      <xdr:col>0</xdr:col>
      <xdr:colOff>812415</xdr:colOff>
      <xdr:row>125</xdr:row>
      <xdr:rowOff>144780</xdr:rowOff>
    </xdr:from>
    <xdr:to>
      <xdr:col>7</xdr:col>
      <xdr:colOff>271502</xdr:colOff>
      <xdr:row>141</xdr:row>
      <xdr:rowOff>83820</xdr:rowOff>
    </xdr:to>
    <xdr:pic>
      <xdr:nvPicPr>
        <xdr:cNvPr id="18" name="Picture 17">
          <a:extLst>
            <a:ext uri="{FF2B5EF4-FFF2-40B4-BE49-F238E27FC236}">
              <a16:creationId xmlns:a16="http://schemas.microsoft.com/office/drawing/2014/main" id="{EA2ED25D-B573-57DF-1712-E00BB8CE1EAE}"/>
            </a:ext>
          </a:extLst>
        </xdr:cNvPr>
        <xdr:cNvPicPr>
          <a:picLocks noChangeAspect="1"/>
        </xdr:cNvPicPr>
      </xdr:nvPicPr>
      <xdr:blipFill>
        <a:blip xmlns:r="http://schemas.openxmlformats.org/officeDocument/2006/relationships" r:embed="rId4"/>
        <a:stretch>
          <a:fillRect/>
        </a:stretch>
      </xdr:blipFill>
      <xdr:spPr>
        <a:xfrm>
          <a:off x="812415" y="23004780"/>
          <a:ext cx="6332327" cy="2865120"/>
        </a:xfrm>
        <a:prstGeom prst="rect">
          <a:avLst/>
        </a:prstGeom>
      </xdr:spPr>
    </xdr:pic>
    <xdr:clientData/>
  </xdr:twoCellAnchor>
  <xdr:twoCellAnchor editAs="oneCell">
    <xdr:from>
      <xdr:col>1</xdr:col>
      <xdr:colOff>30481</xdr:colOff>
      <xdr:row>171</xdr:row>
      <xdr:rowOff>22860</xdr:rowOff>
    </xdr:from>
    <xdr:to>
      <xdr:col>7</xdr:col>
      <xdr:colOff>556261</xdr:colOff>
      <xdr:row>186</xdr:row>
      <xdr:rowOff>180660</xdr:rowOff>
    </xdr:to>
    <xdr:pic>
      <xdr:nvPicPr>
        <xdr:cNvPr id="22" name="Picture 21">
          <a:extLst>
            <a:ext uri="{FF2B5EF4-FFF2-40B4-BE49-F238E27FC236}">
              <a16:creationId xmlns:a16="http://schemas.microsoft.com/office/drawing/2014/main" id="{BD8ECFBA-0636-C418-6C36-433DDBF6A024}"/>
            </a:ext>
          </a:extLst>
        </xdr:cNvPr>
        <xdr:cNvPicPr>
          <a:picLocks noChangeAspect="1"/>
        </xdr:cNvPicPr>
      </xdr:nvPicPr>
      <xdr:blipFill>
        <a:blip xmlns:r="http://schemas.openxmlformats.org/officeDocument/2006/relationships" r:embed="rId5"/>
        <a:stretch>
          <a:fillRect/>
        </a:stretch>
      </xdr:blipFill>
      <xdr:spPr>
        <a:xfrm>
          <a:off x="853441" y="31295340"/>
          <a:ext cx="6576060" cy="2901000"/>
        </a:xfrm>
        <a:prstGeom prst="rect">
          <a:avLst/>
        </a:prstGeom>
      </xdr:spPr>
    </xdr:pic>
    <xdr:clientData/>
  </xdr:twoCellAnchor>
  <xdr:twoCellAnchor editAs="oneCell">
    <xdr:from>
      <xdr:col>13</xdr:col>
      <xdr:colOff>149142</xdr:colOff>
      <xdr:row>10</xdr:row>
      <xdr:rowOff>22860</xdr:rowOff>
    </xdr:from>
    <xdr:to>
      <xdr:col>20</xdr:col>
      <xdr:colOff>292557</xdr:colOff>
      <xdr:row>31</xdr:row>
      <xdr:rowOff>168014</xdr:rowOff>
    </xdr:to>
    <xdr:pic>
      <xdr:nvPicPr>
        <xdr:cNvPr id="23" name="Picture 22">
          <a:extLst>
            <a:ext uri="{FF2B5EF4-FFF2-40B4-BE49-F238E27FC236}">
              <a16:creationId xmlns:a16="http://schemas.microsoft.com/office/drawing/2014/main" id="{69A9C02D-C3D4-E8E8-D27A-CAB54C39AE83}"/>
            </a:ext>
          </a:extLst>
        </xdr:cNvPr>
        <xdr:cNvPicPr>
          <a:picLocks noChangeAspect="1"/>
        </xdr:cNvPicPr>
      </xdr:nvPicPr>
      <xdr:blipFill>
        <a:blip xmlns:r="http://schemas.openxmlformats.org/officeDocument/2006/relationships" r:embed="rId6"/>
        <a:stretch>
          <a:fillRect/>
        </a:stretch>
      </xdr:blipFill>
      <xdr:spPr>
        <a:xfrm>
          <a:off x="10840002" y="1851660"/>
          <a:ext cx="4867815" cy="3985634"/>
        </a:xfrm>
        <a:prstGeom prst="rect">
          <a:avLst/>
        </a:prstGeom>
      </xdr:spPr>
    </xdr:pic>
    <xdr:clientData/>
  </xdr:twoCellAnchor>
  <xdr:twoCellAnchor editAs="oneCell">
    <xdr:from>
      <xdr:col>0</xdr:col>
      <xdr:colOff>777240</xdr:colOff>
      <xdr:row>30</xdr:row>
      <xdr:rowOff>15240</xdr:rowOff>
    </xdr:from>
    <xdr:to>
      <xdr:col>8</xdr:col>
      <xdr:colOff>186032</xdr:colOff>
      <xdr:row>47</xdr:row>
      <xdr:rowOff>84095</xdr:rowOff>
    </xdr:to>
    <xdr:pic>
      <xdr:nvPicPr>
        <xdr:cNvPr id="27" name="Picture 26">
          <a:extLst>
            <a:ext uri="{FF2B5EF4-FFF2-40B4-BE49-F238E27FC236}">
              <a16:creationId xmlns:a16="http://schemas.microsoft.com/office/drawing/2014/main" id="{C7A4C442-264A-8643-7A0E-5D86CB31B2DA}"/>
            </a:ext>
          </a:extLst>
        </xdr:cNvPr>
        <xdr:cNvPicPr>
          <a:picLocks noChangeAspect="1"/>
        </xdr:cNvPicPr>
      </xdr:nvPicPr>
      <xdr:blipFill>
        <a:blip xmlns:r="http://schemas.openxmlformats.org/officeDocument/2006/relationships" r:embed="rId7"/>
        <a:stretch>
          <a:fillRect/>
        </a:stretch>
      </xdr:blipFill>
      <xdr:spPr>
        <a:xfrm>
          <a:off x="777240" y="41711880"/>
          <a:ext cx="7051652" cy="3177815"/>
        </a:xfrm>
        <a:prstGeom prst="rect">
          <a:avLst/>
        </a:prstGeom>
      </xdr:spPr>
    </xdr:pic>
    <xdr:clientData/>
  </xdr:twoCellAnchor>
  <xdr:twoCellAnchor editAs="oneCell">
    <xdr:from>
      <xdr:col>13</xdr:col>
      <xdr:colOff>144780</xdr:colOff>
      <xdr:row>58</xdr:row>
      <xdr:rowOff>22860</xdr:rowOff>
    </xdr:from>
    <xdr:to>
      <xdr:col>21</xdr:col>
      <xdr:colOff>4670</xdr:colOff>
      <xdr:row>79</xdr:row>
      <xdr:rowOff>99434</xdr:rowOff>
    </xdr:to>
    <xdr:pic>
      <xdr:nvPicPr>
        <xdr:cNvPr id="9" name="Picture 8">
          <a:extLst>
            <a:ext uri="{FF2B5EF4-FFF2-40B4-BE49-F238E27FC236}">
              <a16:creationId xmlns:a16="http://schemas.microsoft.com/office/drawing/2014/main" id="{7CF890BD-C5FE-4123-BE89-50FC98C46F57}"/>
            </a:ext>
          </a:extLst>
        </xdr:cNvPr>
        <xdr:cNvPicPr>
          <a:picLocks noChangeAspect="1"/>
        </xdr:cNvPicPr>
      </xdr:nvPicPr>
      <xdr:blipFill>
        <a:blip xmlns:r="http://schemas.openxmlformats.org/officeDocument/2006/relationships" r:embed="rId8"/>
        <a:stretch>
          <a:fillRect/>
        </a:stretch>
      </xdr:blipFill>
      <xdr:spPr>
        <a:xfrm>
          <a:off x="10835640" y="10629900"/>
          <a:ext cx="5125310" cy="391705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6.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7.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9.bin"/></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C5AD3-512F-4173-9C38-B8A0AE698685}">
  <dimension ref="A1:CB191"/>
  <sheetViews>
    <sheetView showGridLines="0" zoomScaleNormal="100" workbookViewId="0">
      <selection activeCell="Y4" sqref="Y4"/>
    </sheetView>
  </sheetViews>
  <sheetFormatPr defaultRowHeight="13.8" outlineLevelCol="1" x14ac:dyDescent="0.25"/>
  <cols>
    <col min="1" max="1" width="4.44140625" style="2" bestFit="1" customWidth="1"/>
    <col min="2" max="2" width="6.88671875" style="2" bestFit="1" customWidth="1"/>
    <col min="3" max="3" width="7.44140625" style="2" bestFit="1" customWidth="1"/>
    <col min="4" max="4" width="9.6640625" style="2" hidden="1" customWidth="1" outlineLevel="1"/>
    <col min="5" max="5" width="14.44140625" style="2" hidden="1" customWidth="1" outlineLevel="1"/>
    <col min="6" max="6" width="11" style="2" hidden="1" customWidth="1" outlineLevel="1"/>
    <col min="7" max="7" width="10.21875" style="2" hidden="1" customWidth="1" outlineLevel="1"/>
    <col min="8" max="8" width="4.5546875" style="2" customWidth="1" collapsed="1"/>
    <col min="9" max="9" width="9.6640625" style="2" bestFit="1" customWidth="1"/>
    <col min="10" max="10" width="15.77734375" style="2" bestFit="1" customWidth="1"/>
    <col min="11" max="11" width="20.77734375" style="2" bestFit="1" customWidth="1"/>
    <col min="12" max="12" width="14" style="2" bestFit="1" customWidth="1"/>
    <col min="13" max="13" width="3.77734375" style="2" customWidth="1"/>
    <col min="14" max="14" width="15.77734375" style="2" hidden="1" customWidth="1" outlineLevel="1"/>
    <col min="15" max="15" width="8.109375" style="2" hidden="1" customWidth="1" outlineLevel="1"/>
    <col min="16" max="16" width="15.77734375" style="2" hidden="1" customWidth="1" outlineLevel="1"/>
    <col min="17" max="17" width="20.21875" style="2" hidden="1" customWidth="1" outlineLevel="1"/>
    <col min="18" max="18" width="17.109375" style="2" hidden="1" customWidth="1" outlineLevel="1"/>
    <col min="19" max="20" width="9.44140625" style="2" hidden="1" customWidth="1" outlineLevel="1"/>
    <col min="21" max="21" width="18.5546875" style="2" hidden="1" customWidth="1" outlineLevel="1"/>
    <col min="22" max="22" width="10.33203125" style="2" bestFit="1" customWidth="1" collapsed="1"/>
    <col min="23" max="23" width="7.44140625" style="2" bestFit="1" customWidth="1"/>
    <col min="24" max="24" width="12.33203125" style="2" customWidth="1"/>
    <col min="25" max="25" width="11.44140625" style="2" customWidth="1"/>
    <col min="26" max="26" width="4" style="2" customWidth="1"/>
    <col min="27" max="27" width="18.88671875" style="2" hidden="1" customWidth="1" outlineLevel="1"/>
    <col min="28" max="28" width="10.6640625" style="2" bestFit="1" customWidth="1" collapsed="1"/>
    <col min="29" max="29" width="10.6640625" style="2" bestFit="1" customWidth="1"/>
    <col min="30" max="30" width="9.77734375" style="2" bestFit="1" customWidth="1"/>
    <col min="31" max="31" width="6.6640625" style="2" bestFit="1" customWidth="1"/>
    <col min="32" max="32" width="12.109375" style="2" bestFit="1" customWidth="1"/>
    <col min="33" max="33" width="7.44140625" style="2" bestFit="1" customWidth="1"/>
    <col min="34" max="34" width="13.5546875" style="2" bestFit="1" customWidth="1"/>
    <col min="35" max="39" width="7.44140625" style="2" customWidth="1"/>
    <col min="40" max="41" width="4.77734375" style="2" customWidth="1"/>
    <col min="42" max="45" width="3.109375" style="2" customWidth="1"/>
    <col min="46" max="46" width="9.77734375" style="2" bestFit="1" customWidth="1"/>
    <col min="47" max="47" width="15.21875" style="2" customWidth="1"/>
    <col min="48" max="48" width="14" style="2" bestFit="1" customWidth="1"/>
    <col min="49" max="49" width="4.109375" style="2" customWidth="1"/>
    <col min="50" max="50" width="4.77734375" style="2" bestFit="1" customWidth="1"/>
    <col min="51" max="51" width="10.5546875" style="2" bestFit="1" customWidth="1"/>
    <col min="52" max="52" width="7.44140625" style="2" customWidth="1"/>
    <col min="53" max="56" width="12" style="2" customWidth="1"/>
    <col min="57" max="59" width="2.21875" style="2" customWidth="1"/>
    <col min="60" max="60" width="9.77734375" style="2" bestFit="1" customWidth="1"/>
    <col min="61" max="61" width="14.5546875" style="2" bestFit="1" customWidth="1"/>
    <col min="62" max="62" width="17.6640625" style="2" bestFit="1" customWidth="1"/>
    <col min="63" max="63" width="4.33203125" style="2" customWidth="1"/>
    <col min="64" max="64" width="5.44140625" style="2" bestFit="1" customWidth="1"/>
    <col min="65" max="65" width="10.5546875" style="2" bestFit="1" customWidth="1"/>
    <col min="66" max="73" width="8.88671875" style="2"/>
    <col min="74" max="74" width="9.77734375" style="2" hidden="1" customWidth="1" outlineLevel="1"/>
    <col min="75" max="75" width="10.6640625" style="2" hidden="1" customWidth="1" outlineLevel="1"/>
    <col min="76" max="76" width="11.44140625" style="2" hidden="1" customWidth="1" outlineLevel="1"/>
    <col min="77" max="79" width="0" style="2" hidden="1" customWidth="1" outlineLevel="1"/>
    <col min="80" max="80" width="8.88671875" style="2" collapsed="1"/>
    <col min="81" max="16384" width="8.88671875" style="2"/>
  </cols>
  <sheetData>
    <row r="1" spans="1:34" x14ac:dyDescent="0.25">
      <c r="A1" s="3"/>
      <c r="B1" s="5"/>
    </row>
    <row r="2" spans="1:34" ht="14.4" x14ac:dyDescent="0.3">
      <c r="A2" s="3"/>
      <c r="B2" s="5"/>
      <c r="AF2"/>
      <c r="AG2"/>
      <c r="AH2"/>
    </row>
    <row r="3" spans="1:34" ht="14.4" x14ac:dyDescent="0.3">
      <c r="A3" s="3"/>
      <c r="B3" s="5"/>
      <c r="AE3"/>
      <c r="AF3"/>
      <c r="AG3"/>
      <c r="AH3"/>
    </row>
    <row r="4" spans="1:34" ht="14.4" x14ac:dyDescent="0.3">
      <c r="A4" s="3"/>
      <c r="D4" s="1"/>
      <c r="E4" s="1"/>
      <c r="G4" s="7"/>
      <c r="H4" s="7"/>
      <c r="I4" s="174" t="s">
        <v>191</v>
      </c>
      <c r="J4" s="174"/>
      <c r="K4" s="174"/>
      <c r="L4" s="174"/>
      <c r="M4" s="174"/>
      <c r="N4" s="1"/>
      <c r="O4" s="1"/>
      <c r="P4" s="1"/>
      <c r="Q4" s="1"/>
      <c r="AE4"/>
      <c r="AF4"/>
      <c r="AG4"/>
      <c r="AH4"/>
    </row>
    <row r="5" spans="1:34" ht="14.4" customHeight="1" x14ac:dyDescent="0.3">
      <c r="A5" s="3"/>
      <c r="F5" s="1"/>
      <c r="G5" s="1"/>
      <c r="H5" s="1"/>
      <c r="I5" s="173" t="s">
        <v>274</v>
      </c>
      <c r="J5" s="173"/>
      <c r="K5" s="173"/>
      <c r="L5" s="173"/>
      <c r="M5"/>
      <c r="AE5"/>
      <c r="AF5"/>
      <c r="AG5"/>
      <c r="AH5"/>
    </row>
    <row r="6" spans="1:34" ht="14.4" x14ac:dyDescent="0.3">
      <c r="A6" s="3"/>
      <c r="I6" s="37"/>
      <c r="J6" s="77" t="s">
        <v>202</v>
      </c>
      <c r="K6" s="77" t="s">
        <v>244</v>
      </c>
      <c r="L6" s="78" t="s">
        <v>165</v>
      </c>
      <c r="O6" s="4"/>
      <c r="P6" s="4"/>
      <c r="Q6" s="4"/>
      <c r="V6" s="10" t="s">
        <v>261</v>
      </c>
      <c r="AB6" s="114"/>
      <c r="AC6" s="47"/>
      <c r="AE6"/>
      <c r="AF6"/>
      <c r="AG6"/>
      <c r="AH6"/>
    </row>
    <row r="7" spans="1:34" ht="14.4" x14ac:dyDescent="0.3">
      <c r="A7" s="3"/>
      <c r="I7" s="79" t="s">
        <v>2</v>
      </c>
      <c r="J7" s="4" t="s">
        <v>164</v>
      </c>
      <c r="K7" s="4" t="s">
        <v>249</v>
      </c>
      <c r="L7" s="80" t="s">
        <v>34</v>
      </c>
      <c r="O7" s="4"/>
      <c r="P7" s="4"/>
      <c r="Q7" s="4"/>
      <c r="AE7"/>
      <c r="AF7"/>
      <c r="AG7"/>
      <c r="AH7"/>
    </row>
    <row r="8" spans="1:34" ht="14.4" x14ac:dyDescent="0.3">
      <c r="A8" s="3"/>
      <c r="B8" s="14">
        <f>K8/$J8-1</f>
        <v>-0.29276315789473684</v>
      </c>
      <c r="C8" s="14">
        <f>L8/$J8-1</f>
        <v>0.22368421052631571</v>
      </c>
      <c r="H8" s="14"/>
      <c r="I8" s="81" t="s">
        <v>0</v>
      </c>
      <c r="J8" s="3">
        <f>L30</f>
        <v>304</v>
      </c>
      <c r="K8" s="26">
        <f>Y30</f>
        <v>215</v>
      </c>
      <c r="L8" s="52">
        <f>AD30</f>
        <v>372</v>
      </c>
      <c r="O8" s="26"/>
      <c r="P8" s="14"/>
      <c r="Q8" s="14"/>
      <c r="AE8"/>
      <c r="AF8"/>
      <c r="AG8"/>
      <c r="AH8"/>
    </row>
    <row r="9" spans="1:34" ht="14.4" x14ac:dyDescent="0.3">
      <c r="A9" s="3"/>
      <c r="B9" s="14">
        <f t="shared" ref="B9:B17" si="0">K9/$J9-1</f>
        <v>-0.18075980392156854</v>
      </c>
      <c r="C9" s="14">
        <f t="shared" ref="C9:C17" si="1">L9/$J9-1</f>
        <v>0.62198529411764714</v>
      </c>
      <c r="H9" s="14"/>
      <c r="I9" s="81" t="s">
        <v>3</v>
      </c>
      <c r="J9" s="26">
        <f>L43</f>
        <v>544</v>
      </c>
      <c r="K9" s="26">
        <f>Y43</f>
        <v>445.66666666666669</v>
      </c>
      <c r="L9" s="52">
        <f>AD43</f>
        <v>882.36</v>
      </c>
      <c r="O9" s="26"/>
      <c r="P9" s="14"/>
      <c r="Q9" s="14"/>
      <c r="AE9"/>
      <c r="AF9"/>
      <c r="AG9"/>
      <c r="AH9"/>
    </row>
    <row r="10" spans="1:34" ht="14.4" x14ac:dyDescent="0.3">
      <c r="A10" s="3"/>
      <c r="B10" s="14">
        <f t="shared" si="0"/>
        <v>-0.20121951219512191</v>
      </c>
      <c r="C10" s="14">
        <f t="shared" si="1"/>
        <v>-0.67886178861788615</v>
      </c>
      <c r="I10" s="81" t="s">
        <v>94</v>
      </c>
      <c r="J10" s="26">
        <f>L58</f>
        <v>492</v>
      </c>
      <c r="K10" s="26">
        <f>Y58</f>
        <v>393</v>
      </c>
      <c r="L10" s="52">
        <f>AD58</f>
        <v>158</v>
      </c>
      <c r="O10" s="26"/>
      <c r="P10" s="14"/>
      <c r="Q10" s="14"/>
      <c r="AE10"/>
      <c r="AF10"/>
      <c r="AG10"/>
      <c r="AH10" s="71" t="s">
        <v>257</v>
      </c>
    </row>
    <row r="11" spans="1:34" ht="14.4" x14ac:dyDescent="0.3">
      <c r="A11" s="3"/>
      <c r="B11" s="14">
        <f t="shared" si="0"/>
        <v>-0.31923076923076921</v>
      </c>
      <c r="C11" s="14">
        <f t="shared" si="1"/>
        <v>-0.35128205128205126</v>
      </c>
      <c r="H11" s="14"/>
      <c r="I11" s="81" t="s">
        <v>100</v>
      </c>
      <c r="J11" s="26">
        <f>L75</f>
        <v>260</v>
      </c>
      <c r="K11" s="26">
        <f>Y75</f>
        <v>177</v>
      </c>
      <c r="L11" s="52">
        <f>AD75</f>
        <v>168.66666666666669</v>
      </c>
      <c r="O11" s="26"/>
      <c r="P11" s="14"/>
      <c r="Q11" s="14"/>
      <c r="AB11" s="114"/>
      <c r="AE11"/>
      <c r="AF11"/>
      <c r="AG11"/>
      <c r="AH11" s="71" t="s">
        <v>258</v>
      </c>
    </row>
    <row r="12" spans="1:34" ht="14.4" x14ac:dyDescent="0.3">
      <c r="A12" s="3"/>
      <c r="B12" s="14">
        <f t="shared" si="0"/>
        <v>-0.60123042505592839</v>
      </c>
      <c r="C12" s="14">
        <f t="shared" si="1"/>
        <v>-0.71029082774049213</v>
      </c>
      <c r="I12" s="81" t="s">
        <v>111</v>
      </c>
      <c r="J12" s="26">
        <f>L91</f>
        <v>596</v>
      </c>
      <c r="K12" s="26">
        <f>Y91</f>
        <v>237.66666666666669</v>
      </c>
      <c r="L12" s="52">
        <f>AD91</f>
        <v>172.66666666666669</v>
      </c>
      <c r="O12" s="26"/>
      <c r="P12" s="14"/>
      <c r="Q12" s="14"/>
      <c r="AB12" s="114"/>
      <c r="AE12"/>
      <c r="AF12"/>
      <c r="AG12"/>
      <c r="AH12" s="71" t="s">
        <v>259</v>
      </c>
    </row>
    <row r="13" spans="1:34" ht="14.4" x14ac:dyDescent="0.3">
      <c r="A13" s="3"/>
      <c r="B13" s="14">
        <f t="shared" si="0"/>
        <v>-0.5535714285714286</v>
      </c>
      <c r="C13" s="14">
        <f t="shared" si="1"/>
        <v>0.31994047619047605</v>
      </c>
      <c r="H13" s="14"/>
      <c r="I13" s="81" t="s">
        <v>112</v>
      </c>
      <c r="J13" s="26">
        <f>L109</f>
        <v>224</v>
      </c>
      <c r="K13" s="26">
        <f>Y109</f>
        <v>100</v>
      </c>
      <c r="L13" s="52">
        <f>AD109</f>
        <v>295.66666666666663</v>
      </c>
      <c r="O13" s="26"/>
      <c r="P13" s="14"/>
      <c r="Q13" s="14"/>
      <c r="AB13" s="114"/>
      <c r="AG13"/>
      <c r="AH13" s="71" t="s">
        <v>260</v>
      </c>
    </row>
    <row r="14" spans="1:34" ht="14.4" x14ac:dyDescent="0.3">
      <c r="A14" s="3"/>
      <c r="B14" s="14">
        <f t="shared" si="0"/>
        <v>-0.75707547169811318</v>
      </c>
      <c r="C14" s="14">
        <f t="shared" si="1"/>
        <v>-0.66273584905660377</v>
      </c>
      <c r="I14" s="81" t="s">
        <v>129</v>
      </c>
      <c r="J14" s="26">
        <f>L127</f>
        <v>424</v>
      </c>
      <c r="K14" s="26">
        <f>Y127</f>
        <v>103</v>
      </c>
      <c r="L14" s="52">
        <f>AD127</f>
        <v>143</v>
      </c>
      <c r="O14" s="26"/>
      <c r="P14" s="14"/>
      <c r="Q14" s="14"/>
      <c r="AB14" s="114"/>
      <c r="AC14" s="47"/>
      <c r="AF14"/>
      <c r="AG14"/>
      <c r="AH14"/>
    </row>
    <row r="15" spans="1:34" ht="14.4" x14ac:dyDescent="0.3">
      <c r="A15" s="3"/>
      <c r="B15" s="14">
        <f t="shared" si="0"/>
        <v>-0.68465909090909083</v>
      </c>
      <c r="C15" s="14">
        <f t="shared" si="1"/>
        <v>-0.58617424242424243</v>
      </c>
      <c r="I15" s="81" t="s">
        <v>135</v>
      </c>
      <c r="J15" s="26">
        <f>L143</f>
        <v>352</v>
      </c>
      <c r="K15" s="26">
        <f>Y143</f>
        <v>111</v>
      </c>
      <c r="L15" s="52">
        <f>AD143</f>
        <v>145.66666666666669</v>
      </c>
      <c r="O15" s="26"/>
      <c r="P15" s="14"/>
      <c r="Q15" s="14"/>
      <c r="AB15" s="114"/>
      <c r="AC15" s="47"/>
      <c r="AF15"/>
      <c r="AG15"/>
      <c r="AH15"/>
    </row>
    <row r="16" spans="1:34" ht="14.4" x14ac:dyDescent="0.3">
      <c r="A16" s="3"/>
      <c r="B16" s="14">
        <f t="shared" si="0"/>
        <v>-0.75</v>
      </c>
      <c r="C16" s="14">
        <f t="shared" si="1"/>
        <v>1.1299435028248483E-2</v>
      </c>
      <c r="I16" s="81" t="s">
        <v>136</v>
      </c>
      <c r="J16" s="26">
        <f>L163</f>
        <v>472</v>
      </c>
      <c r="K16" s="26">
        <f>Y163</f>
        <v>118</v>
      </c>
      <c r="L16" s="52">
        <f>AD163</f>
        <v>477.33333333333331</v>
      </c>
      <c r="O16" s="26"/>
      <c r="P16" s="14"/>
      <c r="Q16" s="14"/>
      <c r="AF16"/>
      <c r="AG16"/>
      <c r="AH16"/>
    </row>
    <row r="17" spans="1:79" ht="14.4" x14ac:dyDescent="0.3">
      <c r="A17" s="3"/>
      <c r="B17" s="14">
        <f t="shared" si="0"/>
        <v>-0.45661157024793386</v>
      </c>
      <c r="C17" s="14">
        <f t="shared" si="1"/>
        <v>-0.29771349862258945</v>
      </c>
      <c r="H17" s="14"/>
      <c r="I17" s="81" t="s">
        <v>149</v>
      </c>
      <c r="J17" s="26">
        <f>L184</f>
        <v>484</v>
      </c>
      <c r="K17" s="26">
        <f>Y184</f>
        <v>263</v>
      </c>
      <c r="L17" s="52">
        <f>AD184</f>
        <v>339.90666666666669</v>
      </c>
      <c r="O17" s="26"/>
      <c r="P17" s="14"/>
      <c r="Q17" s="14"/>
      <c r="AF17"/>
      <c r="AG17"/>
      <c r="AH17"/>
    </row>
    <row r="18" spans="1:79" ht="5.4" customHeight="1" x14ac:dyDescent="0.25">
      <c r="A18" s="3"/>
      <c r="B18" s="14"/>
      <c r="C18" s="14"/>
      <c r="I18" s="81"/>
      <c r="J18" s="3"/>
      <c r="K18" s="3"/>
      <c r="L18" s="44"/>
      <c r="O18" s="3"/>
      <c r="P18" s="3"/>
      <c r="Q18" s="3"/>
    </row>
    <row r="19" spans="1:79" x14ac:dyDescent="0.25">
      <c r="A19" s="3"/>
      <c r="B19" s="14">
        <f t="shared" ref="B19" si="2">K19/$J19-1</f>
        <v>-0.47896596017983295</v>
      </c>
      <c r="C19" s="14">
        <f t="shared" ref="C19" si="3">L19/$J19-1</f>
        <v>-0.24006101477199737</v>
      </c>
      <c r="G19" s="26">
        <f>AVERAGE(G30,G43,G58,G75,G91,G109,G127,G143,G163,G184)</f>
        <v>640.79999999999995</v>
      </c>
      <c r="I19" s="82" t="s">
        <v>163</v>
      </c>
      <c r="J19" s="66">
        <f>AVERAGE(J8:J17)</f>
        <v>415.2</v>
      </c>
      <c r="K19" s="66">
        <f>AVERAGE(K8:K17)</f>
        <v>216.33333333333334</v>
      </c>
      <c r="L19" s="83">
        <f>AVERAGE(L8:L17)</f>
        <v>315.5266666666667</v>
      </c>
      <c r="O19" s="110"/>
      <c r="P19" s="110"/>
      <c r="Q19" s="110"/>
    </row>
    <row r="20" spans="1:79" x14ac:dyDescent="0.25">
      <c r="A20" s="3"/>
      <c r="I20" s="84" t="s">
        <v>192</v>
      </c>
      <c r="J20" s="85"/>
      <c r="K20" s="85">
        <f>($J$19-K19)/$J$19</f>
        <v>0.47896596017983295</v>
      </c>
      <c r="L20" s="86">
        <f>($J$19-L19)/$J$19</f>
        <v>0.24006101477199734</v>
      </c>
      <c r="O20" s="111"/>
      <c r="P20" s="111"/>
      <c r="Q20" s="111"/>
    </row>
    <row r="21" spans="1:79" x14ac:dyDescent="0.25">
      <c r="B21" s="5"/>
      <c r="C21" s="13"/>
    </row>
    <row r="22" spans="1:79" ht="14.4" customHeight="1" x14ac:dyDescent="0.25">
      <c r="B22" s="174"/>
      <c r="C22" s="174"/>
      <c r="D22" s="10"/>
      <c r="E22" s="10"/>
      <c r="AU22" s="177" t="s">
        <v>250</v>
      </c>
      <c r="AV22" s="177"/>
      <c r="AW22" s="7"/>
      <c r="BI22" s="177" t="s">
        <v>250</v>
      </c>
      <c r="BJ22" s="177"/>
      <c r="BK22" s="177"/>
      <c r="BL22" s="177"/>
      <c r="BM22" s="177"/>
    </row>
    <row r="23" spans="1:79" ht="14.4" customHeight="1" x14ac:dyDescent="0.25">
      <c r="B23" s="5"/>
      <c r="D23" s="174" t="s">
        <v>62</v>
      </c>
      <c r="E23" s="174"/>
      <c r="F23" s="174"/>
      <c r="G23" s="174"/>
      <c r="H23" s="4"/>
      <c r="I23" s="174" t="s">
        <v>323</v>
      </c>
      <c r="J23" s="174"/>
      <c r="K23" s="174"/>
      <c r="L23" s="174"/>
      <c r="M23" s="4"/>
      <c r="N23" s="174" t="s">
        <v>242</v>
      </c>
      <c r="O23" s="174"/>
      <c r="P23" s="174"/>
      <c r="Q23" s="174"/>
      <c r="R23" s="174"/>
      <c r="S23" s="174"/>
      <c r="T23" s="4"/>
      <c r="U23" s="174" t="s">
        <v>245</v>
      </c>
      <c r="V23" s="174"/>
      <c r="W23" s="174"/>
      <c r="X23" s="174"/>
      <c r="Y23" s="174"/>
      <c r="Z23" s="4"/>
      <c r="AA23" s="174" t="s">
        <v>318</v>
      </c>
      <c r="AB23" s="174"/>
      <c r="AC23" s="174"/>
      <c r="AD23" s="174"/>
      <c r="AG23" s="177" t="s">
        <v>13</v>
      </c>
      <c r="AH23" s="177"/>
      <c r="AI23" s="6"/>
      <c r="AJ23" s="6"/>
      <c r="AK23" s="6"/>
      <c r="AL23" s="6"/>
      <c r="AM23" s="6"/>
      <c r="AN23" s="6"/>
      <c r="AO23" s="6"/>
      <c r="AU23" s="177" t="s">
        <v>321</v>
      </c>
      <c r="AV23" s="177"/>
      <c r="AW23" s="6"/>
      <c r="AZ23" s="6"/>
      <c r="BA23" s="6"/>
      <c r="BB23" s="6"/>
      <c r="BC23" s="6"/>
      <c r="BD23" s="6"/>
      <c r="BI23" s="177" t="s">
        <v>322</v>
      </c>
      <c r="BJ23" s="177"/>
      <c r="BK23" s="177"/>
      <c r="BL23" s="177"/>
      <c r="BM23" s="177"/>
      <c r="BW23" s="177" t="s">
        <v>252</v>
      </c>
      <c r="BX23" s="177"/>
      <c r="BZ23" s="177" t="s">
        <v>254</v>
      </c>
      <c r="CA23" s="177"/>
    </row>
    <row r="24" spans="1:79" ht="14.4" x14ac:dyDescent="0.3">
      <c r="B24" s="5"/>
      <c r="D24" s="6"/>
      <c r="E24" s="6"/>
      <c r="F24" s="6"/>
      <c r="G24" s="6"/>
      <c r="H24" s="6"/>
      <c r="I24" s="173" t="s">
        <v>274</v>
      </c>
      <c r="J24" s="173"/>
      <c r="K24" s="173"/>
      <c r="L24" s="173"/>
      <c r="M24" s="6"/>
      <c r="N24" s="9" t="s">
        <v>54</v>
      </c>
      <c r="O24" s="6"/>
      <c r="P24" s="9" t="s">
        <v>53</v>
      </c>
      <c r="Q24" s="9" t="s">
        <v>83</v>
      </c>
      <c r="R24" s="9" t="s">
        <v>57</v>
      </c>
      <c r="S24" s="6"/>
      <c r="T24"/>
      <c r="U24" s="173" t="s">
        <v>274</v>
      </c>
      <c r="V24" s="173"/>
      <c r="W24" s="173"/>
      <c r="X24" s="173"/>
      <c r="Y24" s="173"/>
      <c r="Z24" s="6"/>
      <c r="AA24" s="173" t="s">
        <v>274</v>
      </c>
      <c r="AB24" s="173"/>
      <c r="AC24" s="173"/>
      <c r="AD24" s="173"/>
      <c r="AI24" s="6"/>
      <c r="AJ24" s="6"/>
      <c r="AK24" s="6"/>
      <c r="AL24" s="6"/>
      <c r="AM24" s="6"/>
      <c r="AN24" s="6"/>
      <c r="AO24" s="6"/>
      <c r="AU24" s="177"/>
      <c r="AV24" s="177"/>
      <c r="AW24" s="6"/>
      <c r="AX24" s="6"/>
      <c r="AY24" s="6"/>
      <c r="AZ24" s="6"/>
      <c r="BA24" s="6"/>
      <c r="BB24" s="6"/>
      <c r="BC24" s="6"/>
      <c r="BD24" s="6"/>
      <c r="BI24" s="7"/>
      <c r="BJ24" s="7"/>
      <c r="BK24" s="7"/>
      <c r="BL24" s="7"/>
      <c r="BM24" s="7"/>
      <c r="BW24" s="177" t="s">
        <v>253</v>
      </c>
      <c r="BX24" s="177"/>
      <c r="BZ24" s="177" t="s">
        <v>253</v>
      </c>
      <c r="CA24" s="177"/>
    </row>
    <row r="25" spans="1:79" ht="14.4" x14ac:dyDescent="0.3">
      <c r="B25" s="6" t="s">
        <v>2</v>
      </c>
      <c r="C25" s="6" t="s">
        <v>6</v>
      </c>
      <c r="D25" s="37" t="s">
        <v>64</v>
      </c>
      <c r="E25" s="38" t="s">
        <v>63</v>
      </c>
      <c r="F25" s="38" t="s">
        <v>319</v>
      </c>
      <c r="G25" s="32" t="s">
        <v>38</v>
      </c>
      <c r="H25" s="6"/>
      <c r="I25" s="37" t="s">
        <v>64</v>
      </c>
      <c r="J25" s="38" t="s">
        <v>63</v>
      </c>
      <c r="K25" s="38" t="s">
        <v>319</v>
      </c>
      <c r="L25" s="32" t="s">
        <v>11</v>
      </c>
      <c r="M25"/>
      <c r="N25" s="37" t="s">
        <v>64</v>
      </c>
      <c r="O25" s="38" t="s">
        <v>5</v>
      </c>
      <c r="P25" s="38" t="s">
        <v>88</v>
      </c>
      <c r="Q25" s="38" t="s">
        <v>63</v>
      </c>
      <c r="R25" s="38" t="s">
        <v>319</v>
      </c>
      <c r="S25" s="32" t="s">
        <v>37</v>
      </c>
      <c r="T25"/>
      <c r="U25" s="37" t="s">
        <v>87</v>
      </c>
      <c r="V25" s="37" t="s">
        <v>85</v>
      </c>
      <c r="W25" s="38" t="s">
        <v>86</v>
      </c>
      <c r="X25" s="38" t="s">
        <v>5</v>
      </c>
      <c r="Y25" s="32" t="s">
        <v>11</v>
      </c>
      <c r="Z25"/>
      <c r="AA25" s="37" t="s">
        <v>87</v>
      </c>
      <c r="AB25" s="37" t="s">
        <v>85</v>
      </c>
      <c r="AC25" s="38" t="s">
        <v>86</v>
      </c>
      <c r="AD25" s="32" t="s">
        <v>11</v>
      </c>
      <c r="AF25" s="6" t="s">
        <v>12</v>
      </c>
      <c r="AG25" s="6" t="s">
        <v>244</v>
      </c>
      <c r="AH25" s="6" t="s">
        <v>320</v>
      </c>
      <c r="AI25" s="6"/>
      <c r="AJ25" s="6"/>
      <c r="AK25" s="6"/>
      <c r="AL25" s="6"/>
      <c r="AM25" s="6"/>
      <c r="AN25" s="6"/>
      <c r="AO25" s="6"/>
      <c r="AU25" s="6" t="s">
        <v>203</v>
      </c>
      <c r="AV25" s="6" t="s">
        <v>320</v>
      </c>
      <c r="AW25" s="6"/>
      <c r="AX25" s="6" t="s">
        <v>35</v>
      </c>
      <c r="AY25" s="6" t="s">
        <v>251</v>
      </c>
      <c r="AZ25" s="6"/>
      <c r="BA25" s="6"/>
      <c r="BB25" s="6"/>
      <c r="BC25" s="6"/>
      <c r="BD25" s="6"/>
      <c r="BI25" s="6" t="s">
        <v>203</v>
      </c>
      <c r="BJ25" s="6" t="s">
        <v>244</v>
      </c>
      <c r="BK25" s="6"/>
      <c r="BL25" s="6" t="s">
        <v>35</v>
      </c>
      <c r="BM25" s="6" t="s">
        <v>251</v>
      </c>
    </row>
    <row r="26" spans="1:79" ht="14.4" x14ac:dyDescent="0.3">
      <c r="B26" s="6" t="s">
        <v>0</v>
      </c>
      <c r="C26" s="3" t="s">
        <v>8</v>
      </c>
      <c r="D26" s="33">
        <v>33</v>
      </c>
      <c r="E26" s="68">
        <v>0</v>
      </c>
      <c r="F26" s="19">
        <v>59</v>
      </c>
      <c r="G26" s="34">
        <f>SUM(D26:F26)</f>
        <v>92</v>
      </c>
      <c r="H26" s="31"/>
      <c r="I26" s="33">
        <v>30</v>
      </c>
      <c r="J26" s="19">
        <v>0</v>
      </c>
      <c r="K26" s="19">
        <v>46</v>
      </c>
      <c r="L26" s="34">
        <f t="shared" ref="L26" si="4">SUM(I26:K26)</f>
        <v>76</v>
      </c>
      <c r="M26"/>
      <c r="N26" s="39">
        <f>42+39</f>
        <v>81</v>
      </c>
      <c r="O26" s="40">
        <f>'BAC LLM Interface'!T23</f>
        <v>0.9</v>
      </c>
      <c r="P26" s="17">
        <f>N26+52+20</f>
        <v>153</v>
      </c>
      <c r="Q26" s="17">
        <v>0</v>
      </c>
      <c r="R26" s="17">
        <f>66+32+57+38+37+33+55+12</f>
        <v>330</v>
      </c>
      <c r="S26" s="34">
        <f>SUM(N26,P26,Q26,R26)</f>
        <v>564</v>
      </c>
      <c r="T26"/>
      <c r="U26" s="39"/>
      <c r="V26" s="39">
        <v>37</v>
      </c>
      <c r="W26" s="17">
        <v>19</v>
      </c>
      <c r="X26" s="94">
        <f>'BAC LLM API'!F42</f>
        <v>0.7</v>
      </c>
      <c r="Y26" s="44">
        <f>SUM(U26:W26)</f>
        <v>56</v>
      </c>
      <c r="Z26"/>
      <c r="AA26" s="39"/>
      <c r="AB26" s="39">
        <v>62</v>
      </c>
      <c r="AC26" s="17">
        <v>28</v>
      </c>
      <c r="AD26" s="44">
        <f>SUM(AA26:AC26)</f>
        <v>90</v>
      </c>
      <c r="AF26" s="12">
        <v>45657</v>
      </c>
      <c r="AG26" s="26">
        <f>L26-Y26</f>
        <v>20</v>
      </c>
      <c r="AH26" s="26">
        <f>L26-AD26</f>
        <v>-14</v>
      </c>
      <c r="AI26" s="26"/>
      <c r="AJ26" s="26"/>
      <c r="AK26" s="26"/>
      <c r="AL26" s="26"/>
      <c r="AM26" s="26"/>
      <c r="AN26" s="26"/>
      <c r="AO26" s="26"/>
      <c r="AT26" s="28">
        <v>45657</v>
      </c>
      <c r="AU26" s="26">
        <f>L26+L27+L28+L29</f>
        <v>304</v>
      </c>
      <c r="AV26" s="26">
        <f>AD26+AD27+AD28+AD29</f>
        <v>372</v>
      </c>
      <c r="AW26" s="3"/>
      <c r="AX26" s="30">
        <f>AV26-AU26</f>
        <v>68</v>
      </c>
      <c r="AY26" s="24">
        <f>(-AX26/AU26)</f>
        <v>-0.22368421052631579</v>
      </c>
      <c r="AZ26" s="3"/>
      <c r="BA26" s="3"/>
      <c r="BB26" s="3"/>
      <c r="BC26" s="3"/>
      <c r="BD26" s="3"/>
      <c r="BH26" s="28">
        <v>45657</v>
      </c>
      <c r="BI26" s="26">
        <f>AU26</f>
        <v>304</v>
      </c>
      <c r="BJ26" s="26">
        <f>Y27+Y28+Y26+Y29</f>
        <v>215</v>
      </c>
      <c r="BK26" s="26"/>
      <c r="BL26" s="30">
        <f>BJ26-BI26</f>
        <v>-89</v>
      </c>
      <c r="BM26" s="24">
        <f>(-BL26/BI26)</f>
        <v>0.29276315789473684</v>
      </c>
      <c r="BU26" s="3" t="str">
        <f>B26</f>
        <v>BAC</v>
      </c>
      <c r="BV26" s="28">
        <v>45657</v>
      </c>
      <c r="BW26" s="175">
        <f>L26-AD26</f>
        <v>-14</v>
      </c>
      <c r="BX26" s="175"/>
      <c r="BZ26" s="175">
        <f>L26-Y26</f>
        <v>20</v>
      </c>
      <c r="CA26" s="175"/>
    </row>
    <row r="27" spans="1:79" ht="14.4" x14ac:dyDescent="0.3">
      <c r="A27" s="47" t="s">
        <v>29</v>
      </c>
      <c r="B27" s="6" t="s">
        <v>0</v>
      </c>
      <c r="C27" s="3" t="s">
        <v>7</v>
      </c>
      <c r="D27" s="33">
        <v>33</v>
      </c>
      <c r="E27" s="68">
        <v>0</v>
      </c>
      <c r="F27" s="19">
        <v>59</v>
      </c>
      <c r="G27" s="34">
        <f>SUM(D27:F27)</f>
        <v>92</v>
      </c>
      <c r="H27" s="31"/>
      <c r="I27" s="33">
        <v>30</v>
      </c>
      <c r="J27" s="19">
        <v>0</v>
      </c>
      <c r="K27" s="19">
        <v>46</v>
      </c>
      <c r="L27" s="51">
        <f>SUM(I27:K27)</f>
        <v>76</v>
      </c>
      <c r="M27"/>
      <c r="N27" s="39">
        <f>42+26</f>
        <v>68</v>
      </c>
      <c r="O27" s="40">
        <f>'BAC LLM Interface'!T52</f>
        <v>0.9</v>
      </c>
      <c r="P27" s="17">
        <f>N27+52+15</f>
        <v>135</v>
      </c>
      <c r="Q27" s="17">
        <v>0</v>
      </c>
      <c r="R27" s="17">
        <f>66+17+57+15+37+28+55+9</f>
        <v>284</v>
      </c>
      <c r="S27" s="34">
        <f>SUM(N27,P27,Q27,R27)</f>
        <v>487</v>
      </c>
      <c r="T27"/>
      <c r="U27" s="33">
        <f>2727/250*60</f>
        <v>654.48</v>
      </c>
      <c r="V27" s="39">
        <v>0</v>
      </c>
      <c r="W27" s="17">
        <v>20</v>
      </c>
      <c r="X27" s="40">
        <f>'BAC LLM API'!F83</f>
        <v>0.9</v>
      </c>
      <c r="Y27" s="52">
        <f>W27+AVERAGE(V26,V28:V29)</f>
        <v>55</v>
      </c>
      <c r="Z27"/>
      <c r="AA27" s="33">
        <f>1680/250*60</f>
        <v>403.2</v>
      </c>
      <c r="AB27" s="39">
        <v>0</v>
      </c>
      <c r="AC27" s="17">
        <v>32</v>
      </c>
      <c r="AD27" s="52">
        <f>AC27+AVERAGE(AB26,AB28:AB29)</f>
        <v>97</v>
      </c>
      <c r="AF27" s="12">
        <v>45565</v>
      </c>
      <c r="AG27" s="26">
        <f t="shared" ref="AG27:AG29" si="5">L27-Y27</f>
        <v>21</v>
      </c>
      <c r="AH27" s="26">
        <f t="shared" ref="AH27:AH29" si="6">L27-AD27</f>
        <v>-21</v>
      </c>
      <c r="AI27" s="26"/>
      <c r="AJ27" s="26"/>
      <c r="AK27" s="26"/>
      <c r="AL27" s="26"/>
      <c r="AM27" s="26"/>
      <c r="AN27" s="26"/>
      <c r="AO27" s="26"/>
      <c r="AT27" s="28">
        <v>45565</v>
      </c>
      <c r="AU27" s="26">
        <f>L27+L28+L29</f>
        <v>228</v>
      </c>
      <c r="AV27" s="26">
        <f>AD27+AD28+AD29</f>
        <v>282</v>
      </c>
      <c r="AW27" s="3"/>
      <c r="AX27" s="30">
        <f>AV27-AU27</f>
        <v>54</v>
      </c>
      <c r="AY27" s="24">
        <f>(-AX27/AU27)</f>
        <v>-0.23684210526315788</v>
      </c>
      <c r="AZ27" s="3"/>
      <c r="BA27" s="3"/>
      <c r="BB27" s="3"/>
      <c r="BC27" s="3"/>
      <c r="BD27" s="3"/>
      <c r="BH27" s="28">
        <v>45565</v>
      </c>
      <c r="BI27" s="26">
        <f t="shared" ref="BI27:BI29" si="7">AU27</f>
        <v>228</v>
      </c>
      <c r="BJ27" s="26">
        <f>Y28+Y29+Y27</f>
        <v>159</v>
      </c>
      <c r="BK27" s="26"/>
      <c r="BL27" s="30">
        <f t="shared" ref="BL27:BL29" si="8">BJ27-BI27</f>
        <v>-69</v>
      </c>
      <c r="BM27" s="24">
        <f>(-BL27/BI27)</f>
        <v>0.30263157894736842</v>
      </c>
      <c r="BU27" s="3" t="str">
        <f t="shared" ref="BU27:BU29" si="9">B27</f>
        <v>BAC</v>
      </c>
      <c r="BV27" s="28">
        <v>45565</v>
      </c>
      <c r="BW27" s="175">
        <f>L27-(AC27+AVERAGE(AB26,AB28:AB29))</f>
        <v>-21</v>
      </c>
      <c r="BX27" s="175"/>
      <c r="BZ27" s="175">
        <f>L27-(W27+AVERAGE(V26,V28:V29))</f>
        <v>21</v>
      </c>
      <c r="CA27" s="175"/>
    </row>
    <row r="28" spans="1:79" ht="14.4" x14ac:dyDescent="0.3">
      <c r="B28" s="6" t="s">
        <v>0</v>
      </c>
      <c r="C28" s="3" t="s">
        <v>9</v>
      </c>
      <c r="D28" s="33">
        <v>33</v>
      </c>
      <c r="E28" s="68">
        <v>0</v>
      </c>
      <c r="F28" s="19">
        <v>59</v>
      </c>
      <c r="G28" s="34">
        <f>SUM(D28:F28)</f>
        <v>92</v>
      </c>
      <c r="H28" s="31"/>
      <c r="I28" s="33">
        <v>30</v>
      </c>
      <c r="J28" s="19">
        <v>0</v>
      </c>
      <c r="K28" s="19">
        <v>46</v>
      </c>
      <c r="L28" s="34">
        <f t="shared" ref="L28:L29" si="10">SUM(I28:K28)</f>
        <v>76</v>
      </c>
      <c r="M28"/>
      <c r="N28" s="39">
        <f>42+27</f>
        <v>69</v>
      </c>
      <c r="O28" s="40">
        <f>'BAC LLM Interface'!T83</f>
        <v>1</v>
      </c>
      <c r="P28" s="17">
        <v>0</v>
      </c>
      <c r="Q28" s="17">
        <v>0</v>
      </c>
      <c r="R28" s="17">
        <f>66+14+57+20+37+30+55+11</f>
        <v>290</v>
      </c>
      <c r="S28" s="34">
        <f>SUM(N28,P28,Q28,R28)</f>
        <v>359</v>
      </c>
      <c r="T28"/>
      <c r="U28" s="39"/>
      <c r="V28" s="39">
        <v>34</v>
      </c>
      <c r="W28" s="17">
        <v>19</v>
      </c>
      <c r="X28" s="40">
        <f>'BAC LLM API'!F120</f>
        <v>1</v>
      </c>
      <c r="Y28" s="44">
        <f>SUM(U28:W28)</f>
        <v>53</v>
      </c>
      <c r="Z28"/>
      <c r="AA28" s="39"/>
      <c r="AB28" s="39">
        <v>49</v>
      </c>
      <c r="AC28" s="17">
        <v>25</v>
      </c>
      <c r="AD28" s="44">
        <f>SUM(AA28:AC28)</f>
        <v>74</v>
      </c>
      <c r="AF28" s="12">
        <v>45473</v>
      </c>
      <c r="AG28" s="26">
        <f t="shared" si="5"/>
        <v>23</v>
      </c>
      <c r="AH28" s="26">
        <f t="shared" si="6"/>
        <v>2</v>
      </c>
      <c r="AI28" s="26"/>
      <c r="AJ28" s="26"/>
      <c r="AK28" s="26"/>
      <c r="AL28" s="26"/>
      <c r="AM28" s="26"/>
      <c r="AN28" s="26"/>
      <c r="AO28" s="26"/>
      <c r="AT28" s="28">
        <v>45473</v>
      </c>
      <c r="AU28" s="26">
        <f>L28+L29</f>
        <v>152</v>
      </c>
      <c r="AV28" s="26">
        <f>AD28+AD29</f>
        <v>185</v>
      </c>
      <c r="AW28" s="3"/>
      <c r="AX28" s="30">
        <f>AV28-AU28</f>
        <v>33</v>
      </c>
      <c r="AY28" s="24">
        <f>(-AX28/AU28)</f>
        <v>-0.21710526315789475</v>
      </c>
      <c r="AZ28" s="3"/>
      <c r="BA28" s="3"/>
      <c r="BB28" s="3"/>
      <c r="BC28" s="3"/>
      <c r="BD28" s="3"/>
      <c r="BH28" s="28">
        <v>45473</v>
      </c>
      <c r="BI28" s="26">
        <f t="shared" si="7"/>
        <v>152</v>
      </c>
      <c r="BJ28" s="3">
        <f>Y28+Y29</f>
        <v>104</v>
      </c>
      <c r="BK28" s="3"/>
      <c r="BL28" s="30">
        <f t="shared" si="8"/>
        <v>-48</v>
      </c>
      <c r="BM28" s="24">
        <f>(-BL28/BI28)</f>
        <v>0.31578947368421051</v>
      </c>
      <c r="BU28" s="3" t="str">
        <f t="shared" si="9"/>
        <v>BAC</v>
      </c>
      <c r="BV28" s="28">
        <v>45473</v>
      </c>
      <c r="BW28" s="175">
        <f>L28-AD28</f>
        <v>2</v>
      </c>
      <c r="BX28" s="175"/>
      <c r="BZ28" s="175">
        <f>L28-Y28</f>
        <v>23</v>
      </c>
      <c r="CA28" s="175"/>
    </row>
    <row r="29" spans="1:79" ht="14.4" x14ac:dyDescent="0.3">
      <c r="B29" s="6" t="s">
        <v>0</v>
      </c>
      <c r="C29" s="3" t="s">
        <v>10</v>
      </c>
      <c r="D29" s="35">
        <v>33</v>
      </c>
      <c r="E29" s="69">
        <v>0</v>
      </c>
      <c r="F29" s="46">
        <v>59</v>
      </c>
      <c r="G29" s="36">
        <f>SUM(D29:F29)</f>
        <v>92</v>
      </c>
      <c r="H29" s="31"/>
      <c r="I29" s="35">
        <v>30</v>
      </c>
      <c r="J29" s="46">
        <v>0</v>
      </c>
      <c r="K29" s="46">
        <v>46</v>
      </c>
      <c r="L29" s="36">
        <f t="shared" si="10"/>
        <v>76</v>
      </c>
      <c r="M29"/>
      <c r="N29" s="41">
        <f>42+42</f>
        <v>84</v>
      </c>
      <c r="O29" s="42">
        <f>'BAC LLM Interface'!T109</f>
        <v>1</v>
      </c>
      <c r="P29" s="43">
        <v>0</v>
      </c>
      <c r="Q29" s="43">
        <v>0</v>
      </c>
      <c r="R29" s="48">
        <f>66+11+57+20+37+29+55+26</f>
        <v>301</v>
      </c>
      <c r="S29" s="36">
        <f>SUM(N29,P29,Q29,R29)</f>
        <v>385</v>
      </c>
      <c r="T29"/>
      <c r="U29" s="41"/>
      <c r="V29" s="41">
        <v>34</v>
      </c>
      <c r="W29" s="43">
        <v>17</v>
      </c>
      <c r="X29" s="42">
        <f>'BAC LLM API'!F158</f>
        <v>1</v>
      </c>
      <c r="Y29" s="45">
        <f>SUM(U29:W29)</f>
        <v>51</v>
      </c>
      <c r="Z29"/>
      <c r="AA29" s="41"/>
      <c r="AB29" s="41">
        <v>84</v>
      </c>
      <c r="AC29" s="43">
        <v>27</v>
      </c>
      <c r="AD29" s="45">
        <f>SUM(AA29:AC29)</f>
        <v>111</v>
      </c>
      <c r="AF29" s="12">
        <v>45382</v>
      </c>
      <c r="AG29" s="26">
        <f t="shared" si="5"/>
        <v>25</v>
      </c>
      <c r="AH29" s="26">
        <f t="shared" si="6"/>
        <v>-35</v>
      </c>
      <c r="AI29" s="26"/>
      <c r="AJ29" s="26"/>
      <c r="AK29" s="26"/>
      <c r="AL29" s="26"/>
      <c r="AM29" s="26"/>
      <c r="AN29" s="26"/>
      <c r="AO29" s="26"/>
      <c r="AT29" s="28">
        <v>45382</v>
      </c>
      <c r="AU29" s="26">
        <f>L29</f>
        <v>76</v>
      </c>
      <c r="AV29" s="26">
        <f>AD29</f>
        <v>111</v>
      </c>
      <c r="AW29" s="3"/>
      <c r="AX29" s="30">
        <f>AV29-AU29</f>
        <v>35</v>
      </c>
      <c r="AY29" s="24">
        <f>(-AX29/AU29)</f>
        <v>-0.46052631578947367</v>
      </c>
      <c r="AZ29" s="3"/>
      <c r="BA29" s="3"/>
      <c r="BB29" s="3"/>
      <c r="BC29" s="3"/>
      <c r="BD29" s="3"/>
      <c r="BH29" s="28">
        <v>45382</v>
      </c>
      <c r="BI29" s="26">
        <f t="shared" si="7"/>
        <v>76</v>
      </c>
      <c r="BJ29" s="3">
        <f>Y29</f>
        <v>51</v>
      </c>
      <c r="BK29" s="3"/>
      <c r="BL29" s="30">
        <f t="shared" si="8"/>
        <v>-25</v>
      </c>
      <c r="BM29" s="24">
        <f>(-BL29/BI29)</f>
        <v>0.32894736842105265</v>
      </c>
      <c r="BU29" s="3" t="str">
        <f t="shared" si="9"/>
        <v>BAC</v>
      </c>
      <c r="BV29" s="28">
        <v>45382</v>
      </c>
      <c r="BW29" s="175">
        <f>L29-AD29</f>
        <v>-35</v>
      </c>
      <c r="BX29" s="175"/>
      <c r="BY29" s="47"/>
      <c r="BZ29" s="175">
        <f>L29-Y29</f>
        <v>25</v>
      </c>
      <c r="CA29" s="175"/>
    </row>
    <row r="30" spans="1:79" ht="14.4" x14ac:dyDescent="0.3">
      <c r="B30" s="6" t="s">
        <v>11</v>
      </c>
      <c r="G30" s="3">
        <f>SUM(G26:G29)</f>
        <v>368</v>
      </c>
      <c r="H30" s="3"/>
      <c r="K30" s="11" t="s">
        <v>324</v>
      </c>
      <c r="L30" s="3">
        <f>SUM(L26:L29)</f>
        <v>304</v>
      </c>
      <c r="M30"/>
      <c r="S30" s="26">
        <f>SUM(S26:S29)</f>
        <v>1795</v>
      </c>
      <c r="T30"/>
      <c r="W30" s="11" t="s">
        <v>324</v>
      </c>
      <c r="Y30" s="26">
        <f>SUM(Y26:Y29)</f>
        <v>215</v>
      </c>
      <c r="Z30" s="31"/>
      <c r="AC30" s="11" t="s">
        <v>324</v>
      </c>
      <c r="AD30" s="26">
        <f>SUM(AD26:AD29)</f>
        <v>372</v>
      </c>
      <c r="AF30" s="12" t="s">
        <v>11</v>
      </c>
      <c r="AG30" s="26">
        <f>SUM(AG26:AG29)</f>
        <v>89</v>
      </c>
      <c r="AH30" s="26">
        <f>SUM(AH26:AH29)</f>
        <v>-68</v>
      </c>
      <c r="AT30" s="12"/>
      <c r="AU30" s="26"/>
      <c r="AV30" s="26"/>
      <c r="BV30" s="11" t="s">
        <v>36</v>
      </c>
      <c r="BW30" s="176">
        <f>AA27/AVERAGE(BW26:BX29)</f>
        <v>-23.71764705882353</v>
      </c>
      <c r="BX30" s="176"/>
      <c r="BZ30" s="176">
        <f>U27/AVERAGE(BZ26:CA29)</f>
        <v>29.414831460674158</v>
      </c>
      <c r="CA30" s="176"/>
    </row>
    <row r="31" spans="1:79" ht="14.4" x14ac:dyDescent="0.3">
      <c r="B31" s="6"/>
      <c r="R31" s="11" t="s">
        <v>166</v>
      </c>
      <c r="S31" s="14">
        <f>(($L30-S30)/$L30)*1</f>
        <v>-4.9046052631578947</v>
      </c>
      <c r="T31"/>
      <c r="W31" s="11" t="s">
        <v>166</v>
      </c>
      <c r="Y31" s="14">
        <f>($L30-Y30)/$L30*100%</f>
        <v>0.29276315789473684</v>
      </c>
      <c r="AC31" s="11" t="s">
        <v>166</v>
      </c>
      <c r="AD31" s="14">
        <f>($L30-AD30)/$L30*100%</f>
        <v>-0.22368421052631579</v>
      </c>
      <c r="AX31" s="112"/>
    </row>
    <row r="32" spans="1:79" ht="14.4" x14ac:dyDescent="0.3">
      <c r="B32" s="6"/>
      <c r="T32"/>
      <c r="W32" s="11" t="s">
        <v>325</v>
      </c>
      <c r="X32" s="171">
        <f>AVERAGE(X26:X29)</f>
        <v>0.9</v>
      </c>
      <c r="AX32" s="112"/>
    </row>
    <row r="33" spans="1:79" ht="14.4" x14ac:dyDescent="0.3">
      <c r="B33" s="6"/>
      <c r="T33"/>
      <c r="V33" s="3"/>
      <c r="Y33" s="13"/>
      <c r="AB33" s="26">
        <f>AVERAGE(AB28:AB29,AB26)</f>
        <v>65</v>
      </c>
      <c r="AC33" s="26">
        <f>AVERAGE(AC26:AC29)</f>
        <v>28</v>
      </c>
      <c r="AX33" s="112"/>
    </row>
    <row r="34" spans="1:79" ht="14.4" x14ac:dyDescent="0.3">
      <c r="B34" s="6"/>
      <c r="T34"/>
    </row>
    <row r="35" spans="1:79" ht="14.4" x14ac:dyDescent="0.3">
      <c r="B35" s="6"/>
      <c r="T35"/>
    </row>
    <row r="36" spans="1:79" ht="14.4" x14ac:dyDescent="0.3">
      <c r="B36" s="6"/>
      <c r="D36" s="174" t="s">
        <v>62</v>
      </c>
      <c r="E36" s="174"/>
      <c r="F36" s="174"/>
      <c r="G36" s="174"/>
      <c r="H36" s="4"/>
      <c r="I36" s="174" t="s">
        <v>323</v>
      </c>
      <c r="J36" s="174"/>
      <c r="K36" s="174"/>
      <c r="L36" s="174"/>
      <c r="M36" s="4"/>
      <c r="N36" s="174" t="s">
        <v>44</v>
      </c>
      <c r="O36" s="174"/>
      <c r="P36" s="174"/>
      <c r="Q36" s="174"/>
      <c r="R36" s="174"/>
      <c r="S36" s="174"/>
      <c r="T36"/>
      <c r="U36" s="174" t="s">
        <v>245</v>
      </c>
      <c r="V36" s="174"/>
      <c r="W36" s="174"/>
      <c r="X36" s="174"/>
      <c r="Y36" s="174"/>
      <c r="Z36" s="4"/>
      <c r="AA36" s="174" t="s">
        <v>318</v>
      </c>
      <c r="AB36" s="174"/>
      <c r="AC36" s="174"/>
      <c r="AD36" s="174"/>
    </row>
    <row r="37" spans="1:79" ht="14.4" x14ac:dyDescent="0.3">
      <c r="B37" s="6"/>
      <c r="I37" s="173" t="s">
        <v>274</v>
      </c>
      <c r="J37" s="173"/>
      <c r="K37" s="173"/>
      <c r="L37" s="173"/>
      <c r="M37" s="6"/>
      <c r="N37" s="9" t="s">
        <v>54</v>
      </c>
      <c r="O37" s="6"/>
      <c r="P37" s="9" t="s">
        <v>53</v>
      </c>
      <c r="Q37" s="9" t="s">
        <v>83</v>
      </c>
      <c r="R37" s="9" t="s">
        <v>57</v>
      </c>
      <c r="S37" s="6"/>
      <c r="T37"/>
      <c r="U37" s="173" t="s">
        <v>274</v>
      </c>
      <c r="V37" s="173"/>
      <c r="W37" s="173"/>
      <c r="X37" s="173"/>
      <c r="Y37" s="173"/>
      <c r="Z37" s="6"/>
      <c r="AA37" s="173" t="s">
        <v>274</v>
      </c>
      <c r="AB37" s="173"/>
      <c r="AC37" s="173"/>
      <c r="AD37" s="173"/>
    </row>
    <row r="38" spans="1:79" ht="14.4" x14ac:dyDescent="0.3">
      <c r="B38" s="6" t="s">
        <v>2</v>
      </c>
      <c r="C38" s="6" t="s">
        <v>6</v>
      </c>
      <c r="D38" s="37" t="s">
        <v>64</v>
      </c>
      <c r="E38" s="38" t="s">
        <v>63</v>
      </c>
      <c r="F38" s="38" t="s">
        <v>319</v>
      </c>
      <c r="G38" s="32" t="s">
        <v>38</v>
      </c>
      <c r="H38" s="6"/>
      <c r="I38" s="37" t="s">
        <v>64</v>
      </c>
      <c r="J38" s="38" t="s">
        <v>63</v>
      </c>
      <c r="K38" s="38" t="s">
        <v>319</v>
      </c>
      <c r="L38" s="32" t="s">
        <v>11</v>
      </c>
      <c r="M38"/>
      <c r="N38" s="37" t="s">
        <v>64</v>
      </c>
      <c r="O38" s="38" t="s">
        <v>5</v>
      </c>
      <c r="P38" s="38" t="s">
        <v>88</v>
      </c>
      <c r="Q38" s="38" t="s">
        <v>63</v>
      </c>
      <c r="R38" s="38" t="s">
        <v>319</v>
      </c>
      <c r="S38" s="32" t="s">
        <v>37</v>
      </c>
      <c r="T38"/>
      <c r="U38" s="37" t="s">
        <v>87</v>
      </c>
      <c r="V38" s="37" t="s">
        <v>85</v>
      </c>
      <c r="W38" s="38" t="s">
        <v>86</v>
      </c>
      <c r="X38" s="38" t="s">
        <v>5</v>
      </c>
      <c r="Y38" s="32" t="s">
        <v>11</v>
      </c>
      <c r="Z38"/>
      <c r="AA38" s="37" t="s">
        <v>87</v>
      </c>
      <c r="AB38" s="37" t="s">
        <v>85</v>
      </c>
      <c r="AC38" s="38" t="s">
        <v>86</v>
      </c>
      <c r="AD38" s="32" t="s">
        <v>11</v>
      </c>
      <c r="AF38" s="6" t="s">
        <v>12</v>
      </c>
      <c r="AG38" s="6" t="s">
        <v>244</v>
      </c>
      <c r="AH38" s="6" t="s">
        <v>320</v>
      </c>
      <c r="AU38" s="6" t="s">
        <v>203</v>
      </c>
      <c r="AV38" s="6" t="s">
        <v>320</v>
      </c>
      <c r="AW38" s="6"/>
      <c r="AX38" s="6" t="s">
        <v>35</v>
      </c>
      <c r="AY38" s="6" t="s">
        <v>251</v>
      </c>
      <c r="AZ38" s="6"/>
      <c r="BI38" s="6" t="s">
        <v>203</v>
      </c>
      <c r="BJ38" s="6" t="s">
        <v>244</v>
      </c>
      <c r="BK38" s="6"/>
      <c r="BL38" s="6" t="s">
        <v>35</v>
      </c>
      <c r="BM38" s="6" t="s">
        <v>251</v>
      </c>
    </row>
    <row r="39" spans="1:79" ht="14.4" x14ac:dyDescent="0.3">
      <c r="B39" s="6" t="s">
        <v>3</v>
      </c>
      <c r="C39" s="3" t="s">
        <v>8</v>
      </c>
      <c r="D39" s="33">
        <v>138</v>
      </c>
      <c r="E39" s="19">
        <v>52</v>
      </c>
      <c r="F39" s="19">
        <v>60</v>
      </c>
      <c r="G39" s="34">
        <f>SUM(D39:F39)</f>
        <v>250</v>
      </c>
      <c r="H39" s="31"/>
      <c r="I39" s="33">
        <v>52</v>
      </c>
      <c r="J39" s="19">
        <v>54</v>
      </c>
      <c r="K39" s="19">
        <v>30</v>
      </c>
      <c r="L39" s="34">
        <f t="shared" ref="L39" si="11">SUM(I39:K39)</f>
        <v>136</v>
      </c>
      <c r="M39"/>
      <c r="N39" s="39">
        <f>49+17</f>
        <v>66</v>
      </c>
      <c r="O39" s="40">
        <f>'WFC LLM Interface'!M27</f>
        <v>0.92307692307692313</v>
      </c>
      <c r="P39" s="17">
        <f>52+12</f>
        <v>64</v>
      </c>
      <c r="Q39" s="17">
        <f>41+11</f>
        <v>52</v>
      </c>
      <c r="R39" s="17">
        <f>87+12+54+15+56+11</f>
        <v>235</v>
      </c>
      <c r="S39" s="34">
        <f>SUM(N39,P39,Q39,R39)</f>
        <v>417</v>
      </c>
      <c r="T39"/>
      <c r="U39" s="39"/>
      <c r="V39" s="39">
        <v>85</v>
      </c>
      <c r="W39" s="17">
        <v>24</v>
      </c>
      <c r="X39" s="40">
        <f>'WFC LLM API'!F46</f>
        <v>0.83333333333333337</v>
      </c>
      <c r="Y39" s="44">
        <f>SUM(U39:W39)</f>
        <v>109</v>
      </c>
      <c r="Z39"/>
      <c r="AA39" s="39"/>
      <c r="AB39" s="33">
        <f>666/250*60+40</f>
        <v>199.84</v>
      </c>
      <c r="AC39" s="17">
        <v>25</v>
      </c>
      <c r="AD39" s="52">
        <f>SUM(AA39:AC39)</f>
        <v>224.84</v>
      </c>
      <c r="AF39" s="12">
        <v>45657</v>
      </c>
      <c r="AG39" s="26">
        <f>L39-Y39</f>
        <v>27</v>
      </c>
      <c r="AH39" s="26">
        <f>L39-AD39</f>
        <v>-88.84</v>
      </c>
      <c r="AI39" s="3"/>
      <c r="AJ39" s="3"/>
      <c r="AK39" s="3"/>
      <c r="AL39" s="3"/>
      <c r="AM39" s="3"/>
      <c r="AN39" s="3"/>
      <c r="AO39" s="3"/>
      <c r="AT39" s="28">
        <v>45657</v>
      </c>
      <c r="AU39" s="26">
        <f>L39+L40+L41+L42</f>
        <v>544</v>
      </c>
      <c r="AV39" s="26">
        <f>AD39+AD40+AD41+AD42</f>
        <v>882.36</v>
      </c>
      <c r="AW39" s="26"/>
      <c r="AX39" s="30">
        <f>AV39-AU39</f>
        <v>338.36</v>
      </c>
      <c r="AY39" s="24">
        <f>(-AX39/AU39)</f>
        <v>-0.62198529411764714</v>
      </c>
      <c r="AZ39" s="3"/>
      <c r="BA39" s="3"/>
      <c r="BB39" s="3"/>
      <c r="BC39" s="3"/>
      <c r="BD39" s="3"/>
      <c r="BH39" s="28">
        <v>45657</v>
      </c>
      <c r="BI39" s="26">
        <f>AU39</f>
        <v>544</v>
      </c>
      <c r="BJ39" s="26">
        <f>Y40+Y41+Y39+Y42</f>
        <v>445.66666666666669</v>
      </c>
      <c r="BK39" s="26"/>
      <c r="BL39" s="30">
        <f>BJ39-BI39</f>
        <v>-98.333333333333314</v>
      </c>
      <c r="BM39" s="24">
        <f>(-BL39/BI39)</f>
        <v>0.1807598039215686</v>
      </c>
      <c r="BU39" s="3" t="str">
        <f>B39</f>
        <v>WFC</v>
      </c>
      <c r="BV39" s="28">
        <v>45657</v>
      </c>
      <c r="BW39" s="175">
        <f>L39-AD39</f>
        <v>-88.84</v>
      </c>
      <c r="BX39" s="175"/>
      <c r="BZ39" s="175">
        <f>L39-Y39</f>
        <v>27</v>
      </c>
      <c r="CA39" s="175"/>
    </row>
    <row r="40" spans="1:79" ht="14.4" x14ac:dyDescent="0.3">
      <c r="A40" s="47" t="s">
        <v>29</v>
      </c>
      <c r="B40" s="6" t="s">
        <v>3</v>
      </c>
      <c r="C40" s="3" t="s">
        <v>7</v>
      </c>
      <c r="D40" s="33">
        <v>138</v>
      </c>
      <c r="E40" s="19">
        <v>52</v>
      </c>
      <c r="F40" s="19">
        <v>60</v>
      </c>
      <c r="G40" s="51">
        <f>SUM(D40:F40)</f>
        <v>250</v>
      </c>
      <c r="H40" s="74"/>
      <c r="I40" s="33">
        <v>52</v>
      </c>
      <c r="J40" s="19">
        <v>54</v>
      </c>
      <c r="K40" s="19">
        <v>30</v>
      </c>
      <c r="L40" s="51">
        <f>SUM(I40:K40)</f>
        <v>136</v>
      </c>
      <c r="M40"/>
      <c r="N40" s="39">
        <f>49+20</f>
        <v>69</v>
      </c>
      <c r="O40" s="40">
        <f>'WFC LLM Interface'!M59</f>
        <v>0.96153846153846156</v>
      </c>
      <c r="P40" s="17">
        <f>29+16</f>
        <v>45</v>
      </c>
      <c r="Q40" s="17">
        <f>34+28</f>
        <v>62</v>
      </c>
      <c r="R40" s="17">
        <f>87+9+54+10+56+15</f>
        <v>231</v>
      </c>
      <c r="S40" s="51">
        <f>SUM(N40,P40,Q40,R40)</f>
        <v>407</v>
      </c>
      <c r="T40"/>
      <c r="U40" s="33">
        <f>2921/250*60</f>
        <v>701.04</v>
      </c>
      <c r="V40" s="39">
        <v>0</v>
      </c>
      <c r="W40" s="17">
        <v>33</v>
      </c>
      <c r="X40" s="40">
        <f>'WFC LLM API'!F95</f>
        <v>0.85</v>
      </c>
      <c r="Y40" s="52">
        <f>W40+AVERAGE(V39,V41:V42)</f>
        <v>112.66666666666667</v>
      </c>
      <c r="Z40"/>
      <c r="AA40" s="33">
        <f>(2334/250)*60+(1686/250)*60</f>
        <v>964.8</v>
      </c>
      <c r="AB40" s="39">
        <v>0</v>
      </c>
      <c r="AC40" s="17">
        <v>40</v>
      </c>
      <c r="AD40" s="52">
        <f>AC40+AVERAGE(AB39,AB41:AB42)</f>
        <v>232.84</v>
      </c>
      <c r="AF40" s="12">
        <v>45565</v>
      </c>
      <c r="AG40" s="26">
        <f t="shared" ref="AG40:AG42" si="12">L40-Y40</f>
        <v>23.333333333333329</v>
      </c>
      <c r="AH40" s="26">
        <f t="shared" ref="AH40:AH42" si="13">L40-AD40</f>
        <v>-96.84</v>
      </c>
      <c r="AI40" s="3"/>
      <c r="AJ40" s="3"/>
      <c r="AK40" s="3"/>
      <c r="AL40" s="3"/>
      <c r="AM40" s="3"/>
      <c r="AN40" s="3"/>
      <c r="AO40" s="3"/>
      <c r="AT40" s="28">
        <v>45565</v>
      </c>
      <c r="AU40" s="26">
        <f>L40+L41+L42</f>
        <v>408</v>
      </c>
      <c r="AV40" s="26">
        <f>AD40+AD41+AD42</f>
        <v>657.52</v>
      </c>
      <c r="AW40" s="26"/>
      <c r="AX40" s="30">
        <f>AV40-AU40</f>
        <v>249.51999999999998</v>
      </c>
      <c r="AY40" s="24">
        <f>(-AX40/AU40)</f>
        <v>-0.6115686274509804</v>
      </c>
      <c r="AZ40" s="3"/>
      <c r="BA40" s="3"/>
      <c r="BB40" s="3"/>
      <c r="BC40" s="3"/>
      <c r="BD40" s="3"/>
      <c r="BH40" s="28">
        <v>45565</v>
      </c>
      <c r="BI40" s="26">
        <f t="shared" ref="BI40:BI42" si="14">AU40</f>
        <v>408</v>
      </c>
      <c r="BJ40" s="26">
        <f>Y41+Y42+Y40</f>
        <v>336.66666666666669</v>
      </c>
      <c r="BK40" s="26"/>
      <c r="BL40" s="30">
        <f t="shared" ref="BL40:BL42" si="15">BJ40-BI40</f>
        <v>-71.333333333333314</v>
      </c>
      <c r="BM40" s="24">
        <f>(-BL40/BI40)</f>
        <v>0.1748366013071895</v>
      </c>
      <c r="BU40" s="3" t="str">
        <f t="shared" ref="BU40:BU42" si="16">B40</f>
        <v>WFC</v>
      </c>
      <c r="BV40" s="28">
        <v>45565</v>
      </c>
      <c r="BW40" s="175">
        <f>L40-(AC40+AVERAGE(AB39,AB41:AB42))</f>
        <v>-96.84</v>
      </c>
      <c r="BX40" s="175"/>
      <c r="BZ40" s="175">
        <f>L40-(W40+AVERAGE(V39,V41:V42))</f>
        <v>23.333333333333329</v>
      </c>
      <c r="CA40" s="175"/>
    </row>
    <row r="41" spans="1:79" ht="14.4" x14ac:dyDescent="0.3">
      <c r="B41" s="6" t="s">
        <v>3</v>
      </c>
      <c r="C41" s="3" t="s">
        <v>9</v>
      </c>
      <c r="D41" s="33">
        <v>138</v>
      </c>
      <c r="E41" s="19">
        <v>52</v>
      </c>
      <c r="F41" s="19">
        <v>60</v>
      </c>
      <c r="G41" s="34">
        <f>SUM(D41:F41)</f>
        <v>250</v>
      </c>
      <c r="H41" s="31"/>
      <c r="I41" s="33">
        <v>52</v>
      </c>
      <c r="J41" s="19">
        <v>54</v>
      </c>
      <c r="K41" s="19">
        <v>30</v>
      </c>
      <c r="L41" s="34">
        <f t="shared" ref="L41:L42" si="17">SUM(I41:K41)</f>
        <v>136</v>
      </c>
      <c r="M41"/>
      <c r="N41" s="39">
        <f>49+20</f>
        <v>69</v>
      </c>
      <c r="O41" s="40">
        <f>'WFC LLM Interface'!M91</f>
        <v>0.92307692307692313</v>
      </c>
      <c r="P41" s="17">
        <f>50+11</f>
        <v>61</v>
      </c>
      <c r="Q41" s="17">
        <f>34+10</f>
        <v>44</v>
      </c>
      <c r="R41" s="17">
        <f>87+10+54+19+56+13</f>
        <v>239</v>
      </c>
      <c r="S41" s="34">
        <f>SUM(N41,P41,Q41,R41)</f>
        <v>413</v>
      </c>
      <c r="T41"/>
      <c r="U41" s="39"/>
      <c r="V41" s="39">
        <v>74</v>
      </c>
      <c r="W41" s="17">
        <v>31</v>
      </c>
      <c r="X41" s="40">
        <f>'WFC LLM API'!F142</f>
        <v>0.8</v>
      </c>
      <c r="Y41" s="44">
        <f>SUM(U41:W41)</f>
        <v>105</v>
      </c>
      <c r="Z41"/>
      <c r="AA41" s="39"/>
      <c r="AB41" s="33">
        <f>666/250*60+29</f>
        <v>188.84</v>
      </c>
      <c r="AC41" s="19">
        <v>25</v>
      </c>
      <c r="AD41" s="52">
        <f>SUM(AA41:AC41)</f>
        <v>213.84</v>
      </c>
      <c r="AF41" s="12">
        <v>45473</v>
      </c>
      <c r="AG41" s="26">
        <f t="shared" si="12"/>
        <v>31</v>
      </c>
      <c r="AH41" s="26">
        <f t="shared" si="13"/>
        <v>-77.84</v>
      </c>
      <c r="AI41" s="3"/>
      <c r="AJ41" s="3"/>
      <c r="AK41" s="3"/>
      <c r="AL41" s="3"/>
      <c r="AM41" s="3"/>
      <c r="AN41" s="3"/>
      <c r="AO41" s="3"/>
      <c r="AT41" s="28">
        <v>45473</v>
      </c>
      <c r="AU41" s="26">
        <f>L41+L42</f>
        <v>272</v>
      </c>
      <c r="AV41" s="26">
        <f>AD41+AD42</f>
        <v>424.68</v>
      </c>
      <c r="AW41" s="26"/>
      <c r="AX41" s="30">
        <f>AV41-AU41</f>
        <v>152.68</v>
      </c>
      <c r="AY41" s="24">
        <f>(-AX41/AU41)</f>
        <v>-0.56132352941176478</v>
      </c>
      <c r="AZ41" s="3"/>
      <c r="BA41" s="3"/>
      <c r="BB41" s="3"/>
      <c r="BC41" s="3"/>
      <c r="BD41" s="3"/>
      <c r="BH41" s="28">
        <v>45473</v>
      </c>
      <c r="BI41" s="26">
        <f t="shared" si="14"/>
        <v>272</v>
      </c>
      <c r="BJ41" s="3">
        <f>Y41+Y42</f>
        <v>224</v>
      </c>
      <c r="BK41" s="3"/>
      <c r="BL41" s="30">
        <f t="shared" si="15"/>
        <v>-48</v>
      </c>
      <c r="BM41" s="24">
        <f>(-BL41/BI41)</f>
        <v>0.17647058823529413</v>
      </c>
      <c r="BU41" s="3" t="str">
        <f t="shared" si="16"/>
        <v>WFC</v>
      </c>
      <c r="BV41" s="28">
        <v>45473</v>
      </c>
      <c r="BW41" s="175">
        <f>L41-AD41</f>
        <v>-77.84</v>
      </c>
      <c r="BX41" s="175"/>
      <c r="BZ41" s="175">
        <f>L41-Y41</f>
        <v>31</v>
      </c>
      <c r="CA41" s="175"/>
    </row>
    <row r="42" spans="1:79" ht="14.4" x14ac:dyDescent="0.3">
      <c r="B42" s="6" t="s">
        <v>3</v>
      </c>
      <c r="C42" s="3" t="s">
        <v>10</v>
      </c>
      <c r="D42" s="35">
        <v>138</v>
      </c>
      <c r="E42" s="46">
        <v>52</v>
      </c>
      <c r="F42" s="46">
        <v>60</v>
      </c>
      <c r="G42" s="36">
        <f>SUM(D42:F42)</f>
        <v>250</v>
      </c>
      <c r="H42" s="31"/>
      <c r="I42" s="35">
        <v>52</v>
      </c>
      <c r="J42" s="46">
        <v>54</v>
      </c>
      <c r="K42" s="46">
        <v>30</v>
      </c>
      <c r="L42" s="36">
        <f t="shared" si="17"/>
        <v>136</v>
      </c>
      <c r="M42"/>
      <c r="N42" s="41">
        <f>49+13</f>
        <v>62</v>
      </c>
      <c r="O42" s="42">
        <f>'WFC LLM Interface'!M118</f>
        <v>0.92307692307692313</v>
      </c>
      <c r="P42" s="43">
        <f>48+15</f>
        <v>63</v>
      </c>
      <c r="Q42" s="43">
        <f>34+12</f>
        <v>46</v>
      </c>
      <c r="R42" s="48">
        <f>87+14+54+14+56+13</f>
        <v>238</v>
      </c>
      <c r="S42" s="36">
        <f>SUM(N42,P42,Q42,R42)</f>
        <v>409</v>
      </c>
      <c r="T42"/>
      <c r="U42" s="41"/>
      <c r="V42" s="41">
        <v>80</v>
      </c>
      <c r="W42" s="43">
        <v>39</v>
      </c>
      <c r="X42" s="42">
        <f>'WFC LLM API'!F188</f>
        <v>0.85</v>
      </c>
      <c r="Y42" s="45">
        <f>SUM(U42:W42)</f>
        <v>119</v>
      </c>
      <c r="Z42"/>
      <c r="AA42" s="41"/>
      <c r="AB42" s="35">
        <f>666/250*60+30</f>
        <v>189.84</v>
      </c>
      <c r="AC42" s="43">
        <v>21</v>
      </c>
      <c r="AD42" s="67">
        <f>SUM(AA42:AC42)</f>
        <v>210.84</v>
      </c>
      <c r="AF42" s="12">
        <v>45382</v>
      </c>
      <c r="AG42" s="26">
        <f t="shared" si="12"/>
        <v>17</v>
      </c>
      <c r="AH42" s="26">
        <f t="shared" si="13"/>
        <v>-74.84</v>
      </c>
      <c r="AI42" s="3"/>
      <c r="AJ42" s="3"/>
      <c r="AK42" s="3"/>
      <c r="AL42" s="3"/>
      <c r="AM42" s="3"/>
      <c r="AN42" s="3"/>
      <c r="AO42" s="3"/>
      <c r="AT42" s="28">
        <v>45382</v>
      </c>
      <c r="AU42" s="26">
        <f>L42</f>
        <v>136</v>
      </c>
      <c r="AV42" s="26">
        <f>AD42</f>
        <v>210.84</v>
      </c>
      <c r="AW42" s="26"/>
      <c r="AX42" s="30">
        <f>AV42-AU42</f>
        <v>74.84</v>
      </c>
      <c r="AY42" s="24">
        <f>(-AX42/AU42)</f>
        <v>-0.55029411764705882</v>
      </c>
      <c r="AZ42" s="3"/>
      <c r="BA42" s="3"/>
      <c r="BB42" s="3"/>
      <c r="BC42" s="3"/>
      <c r="BD42" s="3"/>
      <c r="BH42" s="28">
        <v>45382</v>
      </c>
      <c r="BI42" s="26">
        <f t="shared" si="14"/>
        <v>136</v>
      </c>
      <c r="BJ42" s="3">
        <f>Y42</f>
        <v>119</v>
      </c>
      <c r="BK42" s="3"/>
      <c r="BL42" s="30">
        <f t="shared" si="15"/>
        <v>-17</v>
      </c>
      <c r="BM42" s="24">
        <f>(-BL42/BI42)</f>
        <v>0.125</v>
      </c>
      <c r="BU42" s="3" t="str">
        <f t="shared" si="16"/>
        <v>WFC</v>
      </c>
      <c r="BV42" s="28">
        <v>45382</v>
      </c>
      <c r="BW42" s="175">
        <f>L42-AD42</f>
        <v>-74.84</v>
      </c>
      <c r="BX42" s="175"/>
      <c r="BZ42" s="175">
        <f>L42-Y42</f>
        <v>17</v>
      </c>
      <c r="CA42" s="175"/>
    </row>
    <row r="43" spans="1:79" ht="14.4" x14ac:dyDescent="0.3">
      <c r="G43" s="3">
        <f>SUM(G39:G42)</f>
        <v>1000</v>
      </c>
      <c r="H43" s="3"/>
      <c r="K43" s="11" t="s">
        <v>324</v>
      </c>
      <c r="L43" s="3">
        <f>SUM(L39:L42)</f>
        <v>544</v>
      </c>
      <c r="M43"/>
      <c r="S43" s="26">
        <f>SUM(S39:S42)</f>
        <v>1646</v>
      </c>
      <c r="T43"/>
      <c r="W43" s="11" t="s">
        <v>324</v>
      </c>
      <c r="Y43" s="26">
        <f>SUM(Y39:Y42)</f>
        <v>445.66666666666669</v>
      </c>
      <c r="Z43" s="31"/>
      <c r="AC43" s="11" t="s">
        <v>324</v>
      </c>
      <c r="AD43" s="26">
        <f>SUM(AD39:AD42)</f>
        <v>882.36</v>
      </c>
      <c r="AF43" s="12" t="s">
        <v>11</v>
      </c>
      <c r="AG43" s="26">
        <f>SUM(AG39:AG42)</f>
        <v>98.333333333333329</v>
      </c>
      <c r="AH43" s="26">
        <f>SUM(AH39:AH42)</f>
        <v>-338.36</v>
      </c>
      <c r="AT43" s="12"/>
      <c r="AU43" s="26"/>
      <c r="AV43" s="26"/>
      <c r="BV43" s="11" t="s">
        <v>36</v>
      </c>
      <c r="BW43" s="176">
        <f>AA40/AVERAGE(BW39:BX42)</f>
        <v>-11.405603499231587</v>
      </c>
      <c r="BX43" s="176"/>
      <c r="BZ43" s="176">
        <f>U40/AVERAGE(BZ39:CA42)</f>
        <v>28.516881355932203</v>
      </c>
      <c r="CA43" s="176"/>
    </row>
    <row r="44" spans="1:79" ht="14.4" x14ac:dyDescent="0.3">
      <c r="R44" s="11" t="s">
        <v>166</v>
      </c>
      <c r="S44" s="14">
        <f>(($L43-S43)/$L43)*1</f>
        <v>-2.0257352941176472</v>
      </c>
      <c r="T44"/>
      <c r="W44" s="11" t="s">
        <v>166</v>
      </c>
      <c r="Y44" s="172">
        <f>(($L43-Y43)/$L43)*1</f>
        <v>0.1807598039215686</v>
      </c>
      <c r="AC44" s="11" t="s">
        <v>166</v>
      </c>
      <c r="AD44" s="172">
        <f>(($L43-AD43)/$L43)*1</f>
        <v>-0.62198529411764714</v>
      </c>
    </row>
    <row r="45" spans="1:79" ht="14.4" x14ac:dyDescent="0.3">
      <c r="T45"/>
      <c r="W45" s="11" t="s">
        <v>325</v>
      </c>
      <c r="X45" s="171">
        <f>AVERAGE(X39:X42)</f>
        <v>0.83333333333333337</v>
      </c>
    </row>
    <row r="46" spans="1:79" ht="14.4" x14ac:dyDescent="0.3">
      <c r="T46"/>
      <c r="AB46" s="26">
        <f>AVERAGE(AB41:AB42,AB39)</f>
        <v>192.84</v>
      </c>
      <c r="AC46" s="26">
        <f>AVERAGE(AC39:AC42)</f>
        <v>27.75</v>
      </c>
    </row>
    <row r="47" spans="1:79" ht="14.4" x14ac:dyDescent="0.3">
      <c r="T47"/>
    </row>
    <row r="48" spans="1:79" ht="14.4" x14ac:dyDescent="0.3">
      <c r="T48"/>
    </row>
    <row r="49" spans="1:79" ht="14.4" x14ac:dyDescent="0.3">
      <c r="T49"/>
    </row>
    <row r="50" spans="1:79" ht="14.4" x14ac:dyDescent="0.3">
      <c r="T50"/>
    </row>
    <row r="51" spans="1:79" ht="14.4" x14ac:dyDescent="0.3">
      <c r="B51" s="6"/>
      <c r="D51" s="174" t="s">
        <v>62</v>
      </c>
      <c r="E51" s="174"/>
      <c r="F51" s="174"/>
      <c r="G51" s="174"/>
      <c r="H51" s="4"/>
      <c r="I51" s="174" t="s">
        <v>323</v>
      </c>
      <c r="J51" s="174"/>
      <c r="K51" s="174"/>
      <c r="L51" s="174"/>
      <c r="M51" s="4"/>
      <c r="N51" s="174" t="s">
        <v>44</v>
      </c>
      <c r="O51" s="174"/>
      <c r="P51" s="174"/>
      <c r="Q51" s="174"/>
      <c r="R51" s="174"/>
      <c r="S51" s="174"/>
      <c r="T51"/>
      <c r="U51" s="174" t="s">
        <v>245</v>
      </c>
      <c r="V51" s="174"/>
      <c r="W51" s="174"/>
      <c r="X51" s="174"/>
      <c r="Y51" s="174"/>
      <c r="Z51" s="4"/>
      <c r="AA51" s="174" t="s">
        <v>318</v>
      </c>
      <c r="AB51" s="174"/>
      <c r="AC51" s="174"/>
      <c r="AD51" s="174"/>
    </row>
    <row r="52" spans="1:79" ht="14.4" x14ac:dyDescent="0.3">
      <c r="B52" s="6"/>
      <c r="I52" s="173" t="s">
        <v>274</v>
      </c>
      <c r="J52" s="173"/>
      <c r="K52" s="173"/>
      <c r="L52" s="173"/>
      <c r="M52" s="6"/>
      <c r="N52" s="9" t="s">
        <v>54</v>
      </c>
      <c r="O52" s="6"/>
      <c r="P52" s="9" t="s">
        <v>53</v>
      </c>
      <c r="Q52" s="9" t="s">
        <v>83</v>
      </c>
      <c r="R52" s="9" t="s">
        <v>57</v>
      </c>
      <c r="S52" s="6"/>
      <c r="T52"/>
      <c r="U52" s="173" t="s">
        <v>274</v>
      </c>
      <c r="V52" s="173"/>
      <c r="W52" s="173"/>
      <c r="X52" s="173"/>
      <c r="Y52" s="173"/>
      <c r="Z52" s="6"/>
      <c r="AA52" s="173" t="s">
        <v>274</v>
      </c>
      <c r="AB52" s="173"/>
      <c r="AC52" s="173"/>
      <c r="AD52" s="173"/>
    </row>
    <row r="53" spans="1:79" ht="14.4" x14ac:dyDescent="0.3">
      <c r="B53" s="6" t="s">
        <v>2</v>
      </c>
      <c r="C53" s="6" t="s">
        <v>6</v>
      </c>
      <c r="D53" s="37" t="s">
        <v>64</v>
      </c>
      <c r="E53" s="38" t="s">
        <v>63</v>
      </c>
      <c r="F53" s="38" t="s">
        <v>319</v>
      </c>
      <c r="G53" s="32" t="s">
        <v>38</v>
      </c>
      <c r="H53" s="6"/>
      <c r="I53" s="37" t="s">
        <v>64</v>
      </c>
      <c r="J53" s="38" t="s">
        <v>63</v>
      </c>
      <c r="K53" s="38" t="s">
        <v>319</v>
      </c>
      <c r="L53" s="32" t="s">
        <v>11</v>
      </c>
      <c r="M53"/>
      <c r="N53" s="37" t="s">
        <v>64</v>
      </c>
      <c r="O53" s="38" t="s">
        <v>5</v>
      </c>
      <c r="P53" s="38" t="s">
        <v>88</v>
      </c>
      <c r="Q53" s="38" t="s">
        <v>63</v>
      </c>
      <c r="R53" s="38" t="s">
        <v>319</v>
      </c>
      <c r="S53" s="32" t="s">
        <v>37</v>
      </c>
      <c r="T53"/>
      <c r="U53" s="37" t="s">
        <v>87</v>
      </c>
      <c r="V53" s="37" t="s">
        <v>85</v>
      </c>
      <c r="W53" s="38" t="s">
        <v>86</v>
      </c>
      <c r="X53" s="38" t="s">
        <v>5</v>
      </c>
      <c r="Y53" s="32" t="s">
        <v>11</v>
      </c>
      <c r="Z53"/>
      <c r="AA53" s="37" t="s">
        <v>87</v>
      </c>
      <c r="AB53" s="37" t="s">
        <v>85</v>
      </c>
      <c r="AC53" s="38" t="s">
        <v>86</v>
      </c>
      <c r="AD53" s="32" t="s">
        <v>11</v>
      </c>
      <c r="AF53" s="6" t="s">
        <v>12</v>
      </c>
      <c r="AG53" s="6" t="s">
        <v>244</v>
      </c>
      <c r="AH53" s="6" t="s">
        <v>320</v>
      </c>
      <c r="AU53" s="6" t="s">
        <v>203</v>
      </c>
      <c r="AV53" s="6" t="s">
        <v>320</v>
      </c>
      <c r="AW53" s="6"/>
      <c r="AX53" s="6" t="s">
        <v>35</v>
      </c>
      <c r="AY53" s="6" t="s">
        <v>251</v>
      </c>
      <c r="AZ53" s="6"/>
      <c r="BI53" s="6" t="s">
        <v>203</v>
      </c>
      <c r="BJ53" s="6" t="s">
        <v>244</v>
      </c>
      <c r="BK53" s="6"/>
      <c r="BL53" s="6" t="s">
        <v>35</v>
      </c>
      <c r="BM53" s="6" t="s">
        <v>251</v>
      </c>
    </row>
    <row r="54" spans="1:79" ht="14.4" x14ac:dyDescent="0.3">
      <c r="B54" s="6" t="s">
        <v>94</v>
      </c>
      <c r="C54" s="3" t="s">
        <v>8</v>
      </c>
      <c r="D54" s="33">
        <v>88</v>
      </c>
      <c r="E54" s="19">
        <v>50</v>
      </c>
      <c r="F54" s="19">
        <v>62</v>
      </c>
      <c r="G54" s="34">
        <f>SUM(D54:F54)</f>
        <v>200</v>
      </c>
      <c r="H54" s="31"/>
      <c r="I54" s="33">
        <v>49</v>
      </c>
      <c r="J54" s="19">
        <v>39</v>
      </c>
      <c r="K54" s="19">
        <v>35</v>
      </c>
      <c r="L54" s="34">
        <f t="shared" ref="L54" si="18">SUM(I54:K54)</f>
        <v>123</v>
      </c>
      <c r="M54"/>
      <c r="N54" s="39">
        <f>48+10</f>
        <v>58</v>
      </c>
      <c r="O54" s="40">
        <f>'JPM LLM Interface'!G236</f>
        <v>1</v>
      </c>
      <c r="P54" s="17">
        <v>0</v>
      </c>
      <c r="Q54" s="17">
        <f>54+18+40+19</f>
        <v>131</v>
      </c>
      <c r="R54" s="17">
        <f>54+12+56+12+26+11</f>
        <v>171</v>
      </c>
      <c r="S54" s="34">
        <f t="shared" ref="S54:S57" si="19">SUM(N54,P54,Q54,R54)</f>
        <v>360</v>
      </c>
      <c r="T54"/>
      <c r="U54" s="39"/>
      <c r="V54" s="39">
        <v>65</v>
      </c>
      <c r="W54" s="17">
        <v>34</v>
      </c>
      <c r="X54" s="40">
        <f>'JPM LLM API'!F48</f>
        <v>0.8125</v>
      </c>
      <c r="Y54" s="44">
        <f>SUM(U54:W54)</f>
        <v>99</v>
      </c>
      <c r="Z54"/>
      <c r="AA54" s="39"/>
      <c r="AB54" s="39">
        <v>20</v>
      </c>
      <c r="AC54" s="17">
        <v>18</v>
      </c>
      <c r="AD54" s="44">
        <f>SUM(AA54:AC54)</f>
        <v>38</v>
      </c>
      <c r="AF54" s="12">
        <v>45657</v>
      </c>
      <c r="AG54" s="26">
        <f>L54-Y54</f>
        <v>24</v>
      </c>
      <c r="AH54" s="26">
        <f>L54-AD54</f>
        <v>85</v>
      </c>
      <c r="AI54" s="3"/>
      <c r="AJ54" s="3"/>
      <c r="AK54" s="3"/>
      <c r="AL54" s="3"/>
      <c r="AM54" s="3"/>
      <c r="AN54" s="3"/>
      <c r="AO54" s="3"/>
      <c r="AT54" s="28">
        <v>45657</v>
      </c>
      <c r="AU54" s="26">
        <f>L54+L55+L56+L57</f>
        <v>492</v>
      </c>
      <c r="AV54" s="26">
        <f>AD54+AD55+AD56+AD57</f>
        <v>158</v>
      </c>
      <c r="AW54" s="26"/>
      <c r="AX54" s="30">
        <f>AV54-AU54</f>
        <v>-334</v>
      </c>
      <c r="AY54" s="24">
        <f>(-AX54/AU54)</f>
        <v>0.67886178861788615</v>
      </c>
      <c r="AZ54" s="3"/>
      <c r="BA54" s="3"/>
      <c r="BB54" s="3"/>
      <c r="BC54" s="3"/>
      <c r="BD54" s="3"/>
      <c r="BH54" s="28">
        <v>45657</v>
      </c>
      <c r="BI54" s="26">
        <f>AU54</f>
        <v>492</v>
      </c>
      <c r="BJ54" s="26">
        <f>Y55+Y56+Y54+Y57</f>
        <v>393</v>
      </c>
      <c r="BK54" s="26"/>
      <c r="BL54" s="30">
        <f>BJ54-BI54</f>
        <v>-99</v>
      </c>
      <c r="BM54" s="24">
        <f>(-BL54/BI54)</f>
        <v>0.20121951219512196</v>
      </c>
      <c r="BU54" s="3" t="str">
        <f>B54</f>
        <v>JPM</v>
      </c>
      <c r="BV54" s="28">
        <v>45657</v>
      </c>
      <c r="BW54" s="175">
        <f>L54-AD54</f>
        <v>85</v>
      </c>
      <c r="BX54" s="175"/>
      <c r="BZ54" s="175">
        <f>L54-Y54</f>
        <v>24</v>
      </c>
      <c r="CA54" s="175"/>
    </row>
    <row r="55" spans="1:79" ht="14.4" x14ac:dyDescent="0.3">
      <c r="A55" s="47" t="s">
        <v>29</v>
      </c>
      <c r="B55" s="6" t="s">
        <v>94</v>
      </c>
      <c r="C55" s="3" t="s">
        <v>7</v>
      </c>
      <c r="D55" s="33">
        <v>88</v>
      </c>
      <c r="E55" s="19">
        <v>50</v>
      </c>
      <c r="F55" s="19">
        <v>62</v>
      </c>
      <c r="G55" s="51">
        <f>SUM(D55:F55)</f>
        <v>200</v>
      </c>
      <c r="H55" s="74"/>
      <c r="I55" s="33">
        <v>49</v>
      </c>
      <c r="J55" s="19">
        <v>39</v>
      </c>
      <c r="K55" s="19">
        <v>35</v>
      </c>
      <c r="L55" s="51">
        <f>SUM(I55:K55)</f>
        <v>123</v>
      </c>
      <c r="M55"/>
      <c r="N55" s="39">
        <f>48+14</f>
        <v>62</v>
      </c>
      <c r="O55" s="40">
        <f>'JPM LLM Interface'!G24</f>
        <v>1</v>
      </c>
      <c r="P55" s="17">
        <v>0</v>
      </c>
      <c r="Q55" s="17">
        <f>54+18+40+17</f>
        <v>129</v>
      </c>
      <c r="R55" s="17">
        <f>54+12+56+15+26+11</f>
        <v>174</v>
      </c>
      <c r="S55" s="51">
        <f t="shared" si="19"/>
        <v>365</v>
      </c>
      <c r="T55"/>
      <c r="U55" s="33">
        <f>3190/250*60</f>
        <v>765.6</v>
      </c>
      <c r="V55" s="39">
        <v>0</v>
      </c>
      <c r="W55" s="17">
        <v>35</v>
      </c>
      <c r="X55" s="40">
        <f>'JPM LLM API'!F107</f>
        <v>0.75</v>
      </c>
      <c r="Y55" s="52">
        <f>W55+AVERAGE(V54,V56:V57)</f>
        <v>96</v>
      </c>
      <c r="Z55"/>
      <c r="AA55" s="33">
        <f>3417/250*60</f>
        <v>820.07999999999993</v>
      </c>
      <c r="AB55" s="39">
        <v>0</v>
      </c>
      <c r="AC55" s="17">
        <v>29</v>
      </c>
      <c r="AD55" s="52">
        <f>AC55+AVERAGE(AB54,AB56:AB57)</f>
        <v>49</v>
      </c>
      <c r="AF55" s="12">
        <v>45565</v>
      </c>
      <c r="AG55" s="26">
        <f t="shared" ref="AG55:AG57" si="20">L55-Y55</f>
        <v>27</v>
      </c>
      <c r="AH55" s="26">
        <f t="shared" ref="AH55:AH57" si="21">L55-AD55</f>
        <v>74</v>
      </c>
      <c r="AI55" s="3"/>
      <c r="AJ55" s="3"/>
      <c r="AK55" s="3"/>
      <c r="AL55" s="3"/>
      <c r="AM55" s="3"/>
      <c r="AN55" s="3"/>
      <c r="AO55" s="3"/>
      <c r="AT55" s="28">
        <v>45565</v>
      </c>
      <c r="AU55" s="26">
        <f>L55+L56+L57</f>
        <v>369</v>
      </c>
      <c r="AV55" s="26">
        <f>AD55+AD56+AD57</f>
        <v>120</v>
      </c>
      <c r="AW55" s="26"/>
      <c r="AX55" s="30">
        <f>AV55-AU55</f>
        <v>-249</v>
      </c>
      <c r="AY55" s="24">
        <f>(-AX55/AU55)</f>
        <v>0.67479674796747968</v>
      </c>
      <c r="AZ55" s="3"/>
      <c r="BA55" s="3"/>
      <c r="BB55" s="3"/>
      <c r="BC55" s="3"/>
      <c r="BD55" s="3"/>
      <c r="BH55" s="28">
        <v>45565</v>
      </c>
      <c r="BI55" s="26">
        <f t="shared" ref="BI55:BI57" si="22">AU55</f>
        <v>369</v>
      </c>
      <c r="BJ55" s="26">
        <f>Y56+Y57+Y55</f>
        <v>294</v>
      </c>
      <c r="BK55" s="26"/>
      <c r="BL55" s="30">
        <f t="shared" ref="BL55:BL57" si="23">BJ55-BI55</f>
        <v>-75</v>
      </c>
      <c r="BM55" s="24">
        <f>(-BL55/BI55)</f>
        <v>0.2032520325203252</v>
      </c>
      <c r="BU55" s="3" t="str">
        <f t="shared" ref="BU55:BU57" si="24">B55</f>
        <v>JPM</v>
      </c>
      <c r="BV55" s="28">
        <v>45565</v>
      </c>
      <c r="BW55" s="175">
        <f>L55-(AC55+AVERAGE(AB54,AB56:AB57))</f>
        <v>74</v>
      </c>
      <c r="BX55" s="175"/>
      <c r="BZ55" s="175">
        <f>L55-(W55+AVERAGE(V54,V56:V57))</f>
        <v>27</v>
      </c>
      <c r="CA55" s="175"/>
    </row>
    <row r="56" spans="1:79" ht="14.4" x14ac:dyDescent="0.3">
      <c r="B56" s="6" t="s">
        <v>94</v>
      </c>
      <c r="C56" s="3" t="s">
        <v>9</v>
      </c>
      <c r="D56" s="33">
        <v>88</v>
      </c>
      <c r="E56" s="19">
        <v>50</v>
      </c>
      <c r="F56" s="19">
        <v>62</v>
      </c>
      <c r="G56" s="34">
        <f>SUM(D56:F56)</f>
        <v>200</v>
      </c>
      <c r="H56" s="31"/>
      <c r="I56" s="33">
        <v>49</v>
      </c>
      <c r="J56" s="19">
        <v>39</v>
      </c>
      <c r="K56" s="19">
        <v>35</v>
      </c>
      <c r="L56" s="34">
        <f t="shared" ref="L56:L57" si="25">SUM(I56:K56)</f>
        <v>123</v>
      </c>
      <c r="M56"/>
      <c r="N56" s="39">
        <f>48+12</f>
        <v>60</v>
      </c>
      <c r="O56" s="40">
        <f>'JPM LLM Interface'!G96</f>
        <v>1</v>
      </c>
      <c r="P56" s="17">
        <v>0</v>
      </c>
      <c r="Q56" s="17">
        <f>54+18+40+17</f>
        <v>129</v>
      </c>
      <c r="R56" s="17">
        <f>54+13+56+14+26+13</f>
        <v>176</v>
      </c>
      <c r="S56" s="34">
        <f t="shared" si="19"/>
        <v>365</v>
      </c>
      <c r="T56"/>
      <c r="U56" s="39"/>
      <c r="V56" s="39">
        <v>60</v>
      </c>
      <c r="W56" s="17">
        <v>43</v>
      </c>
      <c r="X56" s="40">
        <f>'JPM LLM API'!F164</f>
        <v>0.8125</v>
      </c>
      <c r="Y56" s="44">
        <f>SUM(U56:W56)</f>
        <v>103</v>
      </c>
      <c r="Z56"/>
      <c r="AA56" s="39"/>
      <c r="AB56" s="39">
        <v>18</v>
      </c>
      <c r="AC56" s="17">
        <v>14</v>
      </c>
      <c r="AD56" s="44">
        <f>SUM(AA56:AC56)</f>
        <v>32</v>
      </c>
      <c r="AF56" s="12">
        <v>45473</v>
      </c>
      <c r="AG56" s="26">
        <f t="shared" si="20"/>
        <v>20</v>
      </c>
      <c r="AH56" s="26">
        <f t="shared" si="21"/>
        <v>91</v>
      </c>
      <c r="AI56" s="3"/>
      <c r="AJ56" s="3"/>
      <c r="AK56" s="3"/>
      <c r="AL56" s="3"/>
      <c r="AM56" s="3"/>
      <c r="AN56" s="3"/>
      <c r="AO56" s="3"/>
      <c r="AT56" s="28">
        <v>45473</v>
      </c>
      <c r="AU56" s="26">
        <f>L56+L57</f>
        <v>246</v>
      </c>
      <c r="AV56" s="26">
        <f>AD56+AD57</f>
        <v>71</v>
      </c>
      <c r="AW56" s="26"/>
      <c r="AX56" s="30">
        <f>AV56-AU56</f>
        <v>-175</v>
      </c>
      <c r="AY56" s="24">
        <f>(-AX56/AU56)</f>
        <v>0.71138211382113825</v>
      </c>
      <c r="AZ56" s="3"/>
      <c r="BA56" s="3"/>
      <c r="BB56" s="3"/>
      <c r="BC56" s="3"/>
      <c r="BD56" s="3"/>
      <c r="BH56" s="28">
        <v>45473</v>
      </c>
      <c r="BI56" s="26">
        <f t="shared" si="22"/>
        <v>246</v>
      </c>
      <c r="BJ56" s="3">
        <f>Y56+Y57</f>
        <v>198</v>
      </c>
      <c r="BK56" s="3"/>
      <c r="BL56" s="30">
        <f t="shared" si="23"/>
        <v>-48</v>
      </c>
      <c r="BM56" s="24">
        <f>(-BL56/BI56)</f>
        <v>0.1951219512195122</v>
      </c>
      <c r="BU56" s="3" t="str">
        <f t="shared" si="24"/>
        <v>JPM</v>
      </c>
      <c r="BV56" s="28">
        <v>45473</v>
      </c>
      <c r="BW56" s="175">
        <f>L56-AD56</f>
        <v>91</v>
      </c>
      <c r="BX56" s="175"/>
      <c r="BZ56" s="175">
        <f>L56-Y56</f>
        <v>20</v>
      </c>
      <c r="CA56" s="175"/>
    </row>
    <row r="57" spans="1:79" ht="14.4" x14ac:dyDescent="0.3">
      <c r="B57" s="6" t="s">
        <v>94</v>
      </c>
      <c r="C57" s="3" t="s">
        <v>10</v>
      </c>
      <c r="D57" s="35">
        <v>88</v>
      </c>
      <c r="E57" s="46">
        <v>50</v>
      </c>
      <c r="F57" s="46">
        <v>62</v>
      </c>
      <c r="G57" s="36">
        <f>SUM(D57:F57)</f>
        <v>200</v>
      </c>
      <c r="H57" s="31"/>
      <c r="I57" s="35">
        <v>49</v>
      </c>
      <c r="J57" s="46">
        <v>39</v>
      </c>
      <c r="K57" s="46">
        <v>35</v>
      </c>
      <c r="L57" s="36">
        <f t="shared" si="25"/>
        <v>123</v>
      </c>
      <c r="M57"/>
      <c r="N57" s="41">
        <f>48+11</f>
        <v>59</v>
      </c>
      <c r="O57" s="42">
        <f>'JPM LLM Interface'!G167</f>
        <v>1</v>
      </c>
      <c r="P57" s="43">
        <v>0</v>
      </c>
      <c r="Q57" s="43">
        <f>54+19+40+16</f>
        <v>129</v>
      </c>
      <c r="R57" s="48">
        <f>54+13+56+22+26+15</f>
        <v>186</v>
      </c>
      <c r="S57" s="36">
        <f t="shared" si="19"/>
        <v>374</v>
      </c>
      <c r="T57"/>
      <c r="U57" s="41"/>
      <c r="V57" s="41">
        <v>58</v>
      </c>
      <c r="W57" s="43">
        <v>37</v>
      </c>
      <c r="X57" s="42">
        <f>'JPM LLM API'!F221</f>
        <v>0.75</v>
      </c>
      <c r="Y57" s="45">
        <f>SUM(U57:W57)</f>
        <v>95</v>
      </c>
      <c r="Z57"/>
      <c r="AA57" s="41"/>
      <c r="AB57" s="41">
        <v>22</v>
      </c>
      <c r="AC57" s="43">
        <v>17</v>
      </c>
      <c r="AD57" s="45">
        <f>SUM(AA57:AC57)</f>
        <v>39</v>
      </c>
      <c r="AF57" s="12">
        <v>45382</v>
      </c>
      <c r="AG57" s="26">
        <f t="shared" si="20"/>
        <v>28</v>
      </c>
      <c r="AH57" s="26">
        <f t="shared" si="21"/>
        <v>84</v>
      </c>
      <c r="AI57" s="3"/>
      <c r="AJ57" s="3"/>
      <c r="AK57" s="3"/>
      <c r="AL57" s="3"/>
      <c r="AM57" s="3"/>
      <c r="AN57" s="3"/>
      <c r="AO57" s="3"/>
      <c r="AT57" s="28">
        <v>45382</v>
      </c>
      <c r="AU57" s="26">
        <f>L57</f>
        <v>123</v>
      </c>
      <c r="AV57" s="26">
        <f>AD57</f>
        <v>39</v>
      </c>
      <c r="AW57" s="26"/>
      <c r="AX57" s="30">
        <f>AV57-AU57</f>
        <v>-84</v>
      </c>
      <c r="AY57" s="24">
        <f>(-AX57/AU57)</f>
        <v>0.68292682926829273</v>
      </c>
      <c r="AZ57" s="3"/>
      <c r="BA57" s="3"/>
      <c r="BB57" s="3"/>
      <c r="BC57" s="3"/>
      <c r="BD57" s="3"/>
      <c r="BH57" s="28">
        <v>45382</v>
      </c>
      <c r="BI57" s="26">
        <f t="shared" si="22"/>
        <v>123</v>
      </c>
      <c r="BJ57" s="3">
        <f>Y57</f>
        <v>95</v>
      </c>
      <c r="BK57" s="3"/>
      <c r="BL57" s="30">
        <f t="shared" si="23"/>
        <v>-28</v>
      </c>
      <c r="BM57" s="24">
        <f>(-BL57/BI57)</f>
        <v>0.22764227642276422</v>
      </c>
      <c r="BU57" s="3" t="str">
        <f t="shared" si="24"/>
        <v>JPM</v>
      </c>
      <c r="BV57" s="28">
        <v>45382</v>
      </c>
      <c r="BW57" s="175">
        <f>L57-AD57</f>
        <v>84</v>
      </c>
      <c r="BX57" s="175"/>
      <c r="BZ57" s="175">
        <f>L57-Y57</f>
        <v>28</v>
      </c>
      <c r="CA57" s="175"/>
    </row>
    <row r="58" spans="1:79" ht="14.4" x14ac:dyDescent="0.3">
      <c r="G58" s="3">
        <f>SUM(G54:G57)</f>
        <v>800</v>
      </c>
      <c r="H58" s="3"/>
      <c r="K58" s="11" t="s">
        <v>324</v>
      </c>
      <c r="L58" s="3">
        <f>SUM(L54:L57)</f>
        <v>492</v>
      </c>
      <c r="M58"/>
      <c r="S58" s="26">
        <f>SUM(S54:S57)</f>
        <v>1464</v>
      </c>
      <c r="T58"/>
      <c r="W58" s="11" t="s">
        <v>324</v>
      </c>
      <c r="Y58" s="26">
        <f>SUM(Y54:Y57)</f>
        <v>393</v>
      </c>
      <c r="Z58" s="31"/>
      <c r="AC58" s="11" t="s">
        <v>324</v>
      </c>
      <c r="AD58" s="26">
        <f>SUM(AD54:AD57)</f>
        <v>158</v>
      </c>
      <c r="AF58" s="12" t="s">
        <v>11</v>
      </c>
      <c r="AG58" s="26">
        <f>SUM(AG54:AG57)</f>
        <v>99</v>
      </c>
      <c r="AH58" s="26">
        <f>SUM(AH54:AH57)</f>
        <v>334</v>
      </c>
      <c r="AT58" s="12"/>
      <c r="AU58" s="26"/>
      <c r="AV58" s="26"/>
      <c r="BV58" s="11" t="s">
        <v>36</v>
      </c>
      <c r="BW58" s="176">
        <f>AA55/AVERAGE(BW54:BX57)</f>
        <v>9.8213173652694596</v>
      </c>
      <c r="BX58" s="176"/>
      <c r="BZ58" s="176">
        <f>U55/AVERAGE(BZ54:CA57)</f>
        <v>30.933333333333334</v>
      </c>
      <c r="CA58" s="176"/>
    </row>
    <row r="59" spans="1:79" ht="14.4" x14ac:dyDescent="0.3">
      <c r="R59" s="11" t="s">
        <v>166</v>
      </c>
      <c r="S59" s="14">
        <f>(($L58-S58)/$L58)*1</f>
        <v>-1.975609756097561</v>
      </c>
      <c r="T59"/>
      <c r="W59" s="11" t="s">
        <v>166</v>
      </c>
      <c r="Y59" s="172">
        <f>(($L58-Y58)/$L58)*1</f>
        <v>0.20121951219512196</v>
      </c>
      <c r="AC59" s="11" t="s">
        <v>166</v>
      </c>
      <c r="AD59" s="172">
        <f>(($L58-AD58)/$L58)*1</f>
        <v>0.67886178861788615</v>
      </c>
    </row>
    <row r="60" spans="1:79" ht="14.4" x14ac:dyDescent="0.3">
      <c r="T60"/>
      <c r="W60" s="11" t="s">
        <v>325</v>
      </c>
      <c r="X60" s="171">
        <f>AVERAGE(X54:X57)</f>
        <v>0.78125</v>
      </c>
    </row>
    <row r="61" spans="1:79" ht="14.4" x14ac:dyDescent="0.3">
      <c r="T61"/>
      <c r="AB61" s="26">
        <f>AVERAGE(AB56:AB57,AB54)</f>
        <v>20</v>
      </c>
      <c r="AC61" s="26">
        <f>AVERAGE(AC54:AC57)</f>
        <v>19.5</v>
      </c>
    </row>
    <row r="62" spans="1:79" ht="14.4" x14ac:dyDescent="0.3">
      <c r="T62"/>
    </row>
    <row r="63" spans="1:79" ht="14.4" x14ac:dyDescent="0.3">
      <c r="T63"/>
    </row>
    <row r="64" spans="1:79" ht="14.4" x14ac:dyDescent="0.3">
      <c r="T64"/>
    </row>
    <row r="65" spans="1:79" ht="14.4" x14ac:dyDescent="0.3">
      <c r="T65"/>
    </row>
    <row r="66" spans="1:79" ht="14.4" x14ac:dyDescent="0.3">
      <c r="T66"/>
    </row>
    <row r="67" spans="1:79" ht="14.4" x14ac:dyDescent="0.3">
      <c r="T67"/>
    </row>
    <row r="68" spans="1:79" ht="14.4" x14ac:dyDescent="0.3">
      <c r="B68" s="6"/>
      <c r="D68" s="174" t="s">
        <v>62</v>
      </c>
      <c r="E68" s="174"/>
      <c r="F68" s="174"/>
      <c r="G68" s="174"/>
      <c r="H68" s="4"/>
      <c r="I68" s="174" t="s">
        <v>323</v>
      </c>
      <c r="J68" s="174"/>
      <c r="K68" s="174"/>
      <c r="L68" s="174"/>
      <c r="M68" s="4"/>
      <c r="N68" s="174" t="s">
        <v>4</v>
      </c>
      <c r="O68" s="174"/>
      <c r="P68" s="174"/>
      <c r="Q68" s="174"/>
      <c r="R68" s="174"/>
      <c r="S68" s="174"/>
      <c r="T68"/>
      <c r="U68" s="174" t="s">
        <v>245</v>
      </c>
      <c r="V68" s="174"/>
      <c r="W68" s="174"/>
      <c r="X68" s="174"/>
      <c r="Y68" s="174"/>
      <c r="Z68" s="4"/>
      <c r="AA68" s="174" t="s">
        <v>318</v>
      </c>
      <c r="AB68" s="174"/>
      <c r="AC68" s="174"/>
      <c r="AD68" s="174"/>
    </row>
    <row r="69" spans="1:79" ht="14.4" x14ac:dyDescent="0.3">
      <c r="B69" s="6"/>
      <c r="I69" s="173" t="s">
        <v>274</v>
      </c>
      <c r="J69" s="173"/>
      <c r="K69" s="173"/>
      <c r="L69" s="173"/>
      <c r="M69" s="6"/>
      <c r="N69" s="9" t="s">
        <v>54</v>
      </c>
      <c r="O69" s="6"/>
      <c r="P69" s="9" t="s">
        <v>53</v>
      </c>
      <c r="Q69" s="9" t="s">
        <v>83</v>
      </c>
      <c r="R69" s="9" t="s">
        <v>57</v>
      </c>
      <c r="S69" s="6"/>
      <c r="T69"/>
      <c r="U69" s="173" t="s">
        <v>274</v>
      </c>
      <c r="V69" s="173"/>
      <c r="W69" s="173"/>
      <c r="X69" s="173"/>
      <c r="Y69" s="173"/>
      <c r="Z69" s="6"/>
      <c r="AA69" s="173" t="s">
        <v>274</v>
      </c>
      <c r="AB69" s="173"/>
      <c r="AC69" s="173"/>
      <c r="AD69" s="173"/>
    </row>
    <row r="70" spans="1:79" ht="14.4" x14ac:dyDescent="0.3">
      <c r="B70" s="6" t="s">
        <v>2</v>
      </c>
      <c r="C70" s="6" t="s">
        <v>6</v>
      </c>
      <c r="D70" s="37" t="s">
        <v>64</v>
      </c>
      <c r="E70" s="38" t="s">
        <v>63</v>
      </c>
      <c r="F70" s="38" t="s">
        <v>319</v>
      </c>
      <c r="G70" s="32" t="s">
        <v>38</v>
      </c>
      <c r="H70" s="6"/>
      <c r="I70" s="37" t="s">
        <v>64</v>
      </c>
      <c r="J70" s="38" t="s">
        <v>63</v>
      </c>
      <c r="K70" s="38" t="s">
        <v>319</v>
      </c>
      <c r="L70" s="32" t="s">
        <v>11</v>
      </c>
      <c r="M70"/>
      <c r="N70" s="37" t="s">
        <v>64</v>
      </c>
      <c r="O70" s="38" t="s">
        <v>5</v>
      </c>
      <c r="P70" s="38" t="s">
        <v>88</v>
      </c>
      <c r="Q70" s="38" t="s">
        <v>63</v>
      </c>
      <c r="R70" s="38" t="s">
        <v>319</v>
      </c>
      <c r="S70" s="32" t="s">
        <v>37</v>
      </c>
      <c r="T70"/>
      <c r="U70" s="37" t="s">
        <v>87</v>
      </c>
      <c r="V70" s="37" t="s">
        <v>85</v>
      </c>
      <c r="W70" s="38" t="s">
        <v>86</v>
      </c>
      <c r="X70" s="38" t="s">
        <v>5</v>
      </c>
      <c r="Y70" s="32" t="s">
        <v>11</v>
      </c>
      <c r="Z70"/>
      <c r="AA70" s="37" t="s">
        <v>87</v>
      </c>
      <c r="AB70" s="37" t="s">
        <v>85</v>
      </c>
      <c r="AC70" s="38" t="s">
        <v>86</v>
      </c>
      <c r="AD70" s="32" t="s">
        <v>11</v>
      </c>
      <c r="AF70" s="6" t="s">
        <v>12</v>
      </c>
      <c r="AG70" s="6" t="s">
        <v>244</v>
      </c>
      <c r="AH70" s="6" t="s">
        <v>320</v>
      </c>
      <c r="AU70" s="6" t="s">
        <v>203</v>
      </c>
      <c r="AV70" s="6" t="s">
        <v>320</v>
      </c>
      <c r="AW70" s="6"/>
      <c r="AX70" s="6" t="s">
        <v>35</v>
      </c>
      <c r="AY70" s="6" t="s">
        <v>251</v>
      </c>
      <c r="AZ70" s="6"/>
      <c r="BI70" s="6" t="s">
        <v>203</v>
      </c>
      <c r="BJ70" s="6" t="s">
        <v>244</v>
      </c>
      <c r="BK70" s="6"/>
      <c r="BL70" s="6" t="s">
        <v>35</v>
      </c>
      <c r="BM70" s="6" t="s">
        <v>251</v>
      </c>
    </row>
    <row r="71" spans="1:79" ht="14.4" x14ac:dyDescent="0.3">
      <c r="B71" s="6" t="s">
        <v>100</v>
      </c>
      <c r="C71" s="3" t="s">
        <v>8</v>
      </c>
      <c r="D71" s="33">
        <v>48</v>
      </c>
      <c r="E71" s="19">
        <v>17</v>
      </c>
      <c r="F71" s="19">
        <v>39</v>
      </c>
      <c r="G71" s="34">
        <f>SUM(D71:F71)</f>
        <v>104</v>
      </c>
      <c r="H71" s="31"/>
      <c r="I71" s="33">
        <v>22</v>
      </c>
      <c r="J71" s="19">
        <v>12</v>
      </c>
      <c r="K71" s="19">
        <v>31</v>
      </c>
      <c r="L71" s="34">
        <f t="shared" ref="L71" si="26">SUM(I71:K71)</f>
        <v>65</v>
      </c>
      <c r="M71"/>
      <c r="N71" s="39">
        <f>49+10</f>
        <v>59</v>
      </c>
      <c r="O71" s="40">
        <f>'PNC LLM Interface'!F24</f>
        <v>1</v>
      </c>
      <c r="P71" s="17">
        <v>0</v>
      </c>
      <c r="Q71" s="17">
        <f>34+6</f>
        <v>40</v>
      </c>
      <c r="R71" s="17">
        <f>34+8+54+12+56+16</f>
        <v>180</v>
      </c>
      <c r="S71" s="34">
        <f t="shared" ref="S71:S74" si="27">SUM(N71,P71,Q71,R71)</f>
        <v>279</v>
      </c>
      <c r="T71"/>
      <c r="U71" s="39"/>
      <c r="V71" s="39">
        <v>27</v>
      </c>
      <c r="W71" s="17">
        <v>26</v>
      </c>
      <c r="X71" s="40">
        <f>'PNC LLM API'!F33</f>
        <v>0.9285714285714286</v>
      </c>
      <c r="Y71" s="44">
        <f>SUM(U71:W71)</f>
        <v>53</v>
      </c>
      <c r="Z71"/>
      <c r="AA71" s="39"/>
      <c r="AB71" s="39">
        <v>30</v>
      </c>
      <c r="AC71" s="17">
        <v>15</v>
      </c>
      <c r="AD71" s="44">
        <f>SUM(AA71:AC71)</f>
        <v>45</v>
      </c>
      <c r="AF71" s="12">
        <v>45657</v>
      </c>
      <c r="AG71" s="26">
        <f>L71-Y71</f>
        <v>12</v>
      </c>
      <c r="AH71" s="26">
        <f>L71-AD71</f>
        <v>20</v>
      </c>
      <c r="AI71" s="3"/>
      <c r="AJ71" s="3"/>
      <c r="AK71" s="3"/>
      <c r="AL71" s="3"/>
      <c r="AM71" s="3"/>
      <c r="AN71" s="3"/>
      <c r="AO71" s="3"/>
      <c r="AT71" s="28">
        <v>45657</v>
      </c>
      <c r="AU71" s="26">
        <f>L71+L72+L73+L74</f>
        <v>260</v>
      </c>
      <c r="AV71" s="26">
        <f>AD71+AD72+AD73+AD74</f>
        <v>168.66666666666669</v>
      </c>
      <c r="AW71" s="26"/>
      <c r="AX71" s="30">
        <f>AV71-AU71</f>
        <v>-91.333333333333314</v>
      </c>
      <c r="AY71" s="24">
        <f>(-AX71/AU71)</f>
        <v>0.3512820512820512</v>
      </c>
      <c r="AZ71" s="3"/>
      <c r="BA71" s="3"/>
      <c r="BB71" s="3"/>
      <c r="BC71" s="3"/>
      <c r="BD71" s="3"/>
      <c r="BH71" s="28">
        <v>45657</v>
      </c>
      <c r="BI71" s="26">
        <f>AU71</f>
        <v>260</v>
      </c>
      <c r="BJ71" s="26">
        <f>Y72+Y73+Y71+Y74</f>
        <v>177</v>
      </c>
      <c r="BK71" s="26"/>
      <c r="BL71" s="30">
        <f>BJ71-BI71</f>
        <v>-83</v>
      </c>
      <c r="BM71" s="24">
        <f>(-BL71/BI71)</f>
        <v>0.31923076923076921</v>
      </c>
      <c r="BU71" s="3" t="str">
        <f>B71</f>
        <v>PNC</v>
      </c>
      <c r="BV71" s="28">
        <v>45657</v>
      </c>
      <c r="BW71" s="175">
        <f>L71-AD71</f>
        <v>20</v>
      </c>
      <c r="BX71" s="175"/>
      <c r="BZ71" s="175">
        <f>L71-Y71</f>
        <v>12</v>
      </c>
      <c r="CA71" s="175"/>
    </row>
    <row r="72" spans="1:79" ht="14.4" x14ac:dyDescent="0.3">
      <c r="A72" s="47" t="s">
        <v>29</v>
      </c>
      <c r="B72" s="6" t="s">
        <v>100</v>
      </c>
      <c r="C72" s="3" t="s">
        <v>7</v>
      </c>
      <c r="D72" s="33">
        <v>48</v>
      </c>
      <c r="E72" s="19">
        <v>17</v>
      </c>
      <c r="F72" s="19">
        <v>39</v>
      </c>
      <c r="G72" s="51">
        <f>SUM(D72:F72)</f>
        <v>104</v>
      </c>
      <c r="H72" s="74"/>
      <c r="I72" s="33">
        <v>22</v>
      </c>
      <c r="J72" s="19">
        <v>12</v>
      </c>
      <c r="K72" s="19">
        <v>31</v>
      </c>
      <c r="L72" s="51">
        <f>SUM(I72:K72)</f>
        <v>65</v>
      </c>
      <c r="M72"/>
      <c r="N72" s="39">
        <f>49+20</f>
        <v>69</v>
      </c>
      <c r="O72" s="40">
        <f>'PNC LLM Interface'!F65</f>
        <v>1</v>
      </c>
      <c r="P72" s="17">
        <v>0</v>
      </c>
      <c r="Q72" s="17">
        <f>34+18</f>
        <v>52</v>
      </c>
      <c r="R72" s="17">
        <f>34+12+54+23+56+24</f>
        <v>203</v>
      </c>
      <c r="S72" s="51">
        <f t="shared" si="27"/>
        <v>324</v>
      </c>
      <c r="T72"/>
      <c r="U72" s="33">
        <f>2720/250*60</f>
        <v>652.80000000000007</v>
      </c>
      <c r="V72" s="39">
        <v>0</v>
      </c>
      <c r="W72" s="17">
        <v>25</v>
      </c>
      <c r="X72" s="40">
        <f>'PNC LLM API'!F58</f>
        <v>1</v>
      </c>
      <c r="Y72" s="52">
        <f>W72+AVERAGE(V71,V73:V74)</f>
        <v>44</v>
      </c>
      <c r="Z72"/>
      <c r="AA72" s="33">
        <f>3015/250*60</f>
        <v>723.6</v>
      </c>
      <c r="AB72" s="39">
        <v>0</v>
      </c>
      <c r="AC72" s="17">
        <v>32</v>
      </c>
      <c r="AD72" s="52">
        <f>AC72+AVERAGE(AB71,AB73:AB74)</f>
        <v>55.666666666666671</v>
      </c>
      <c r="AF72" s="12">
        <v>45565</v>
      </c>
      <c r="AG72" s="26">
        <f t="shared" ref="AG72:AG74" si="28">L72-Y72</f>
        <v>21</v>
      </c>
      <c r="AH72" s="26">
        <f t="shared" ref="AH72:AH74" si="29">L72-AD72</f>
        <v>9.3333333333333286</v>
      </c>
      <c r="AI72" s="3"/>
      <c r="AJ72" s="3"/>
      <c r="AK72" s="3"/>
      <c r="AL72" s="3"/>
      <c r="AM72" s="3"/>
      <c r="AN72" s="3"/>
      <c r="AO72" s="3"/>
      <c r="AT72" s="28">
        <v>45565</v>
      </c>
      <c r="AU72" s="26">
        <f>L72+L73+L74</f>
        <v>195</v>
      </c>
      <c r="AV72" s="26">
        <f>AD72+AD73+AD74</f>
        <v>123.66666666666667</v>
      </c>
      <c r="AW72" s="26"/>
      <c r="AX72" s="30">
        <f>AV72-AU72</f>
        <v>-71.333333333333329</v>
      </c>
      <c r="AY72" s="24">
        <f>(-AX72/AU72)</f>
        <v>0.36581196581196579</v>
      </c>
      <c r="AZ72" s="3"/>
      <c r="BA72" s="3"/>
      <c r="BB72" s="3"/>
      <c r="BC72" s="3"/>
      <c r="BD72" s="3"/>
      <c r="BH72" s="28">
        <v>45565</v>
      </c>
      <c r="BI72" s="26">
        <f t="shared" ref="BI72:BI74" si="30">AU72</f>
        <v>195</v>
      </c>
      <c r="BJ72" s="26">
        <f>Y73+Y74+Y72</f>
        <v>124</v>
      </c>
      <c r="BK72" s="26"/>
      <c r="BL72" s="30">
        <f t="shared" ref="BL72:BL74" si="31">BJ72-BI72</f>
        <v>-71</v>
      </c>
      <c r="BM72" s="24">
        <f>(-BL72/BI72)</f>
        <v>0.36410256410256409</v>
      </c>
      <c r="BU72" s="3" t="str">
        <f t="shared" ref="BU72:BU74" si="32">B72</f>
        <v>PNC</v>
      </c>
      <c r="BV72" s="28">
        <v>45565</v>
      </c>
      <c r="BW72" s="175">
        <f>L72-(AC72+AVERAGE(AB71,AB73:AB74))</f>
        <v>9.3333333333333286</v>
      </c>
      <c r="BX72" s="175"/>
      <c r="BZ72" s="175">
        <f>L72-(W72+AVERAGE(V71,V73:V74))</f>
        <v>21</v>
      </c>
      <c r="CA72" s="175"/>
    </row>
    <row r="73" spans="1:79" ht="14.4" x14ac:dyDescent="0.3">
      <c r="B73" s="6" t="s">
        <v>100</v>
      </c>
      <c r="C73" s="3" t="s">
        <v>9</v>
      </c>
      <c r="D73" s="33">
        <v>48</v>
      </c>
      <c r="E73" s="19">
        <v>17</v>
      </c>
      <c r="F73" s="19">
        <v>39</v>
      </c>
      <c r="G73" s="34">
        <f>SUM(D73:F73)</f>
        <v>104</v>
      </c>
      <c r="H73" s="31"/>
      <c r="I73" s="33">
        <v>22</v>
      </c>
      <c r="J73" s="19">
        <v>12</v>
      </c>
      <c r="K73" s="19">
        <v>31</v>
      </c>
      <c r="L73" s="34">
        <f t="shared" ref="L73:L74" si="33">SUM(I73:K73)</f>
        <v>65</v>
      </c>
      <c r="M73"/>
      <c r="N73" s="39">
        <f>49+10</f>
        <v>59</v>
      </c>
      <c r="O73" s="40">
        <f>'PNC LLM Interface'!F105</f>
        <v>1</v>
      </c>
      <c r="P73" s="17">
        <v>0</v>
      </c>
      <c r="Q73" s="17">
        <f>34+15</f>
        <v>49</v>
      </c>
      <c r="R73" s="17">
        <f>34+8+54+11+56+12</f>
        <v>175</v>
      </c>
      <c r="S73" s="34">
        <f t="shared" si="27"/>
        <v>283</v>
      </c>
      <c r="T73"/>
      <c r="U73" s="39"/>
      <c r="V73" s="39">
        <v>2</v>
      </c>
      <c r="W73" s="17">
        <v>24</v>
      </c>
      <c r="X73" s="40">
        <f>'PNC LLM API'!F83</f>
        <v>1</v>
      </c>
      <c r="Y73" s="44">
        <f>SUM(U73:W73)</f>
        <v>26</v>
      </c>
      <c r="Z73"/>
      <c r="AA73" s="39"/>
      <c r="AB73" s="39">
        <v>20</v>
      </c>
      <c r="AC73" s="17">
        <v>15</v>
      </c>
      <c r="AD73" s="44">
        <f>SUM(AA73:AC73)</f>
        <v>35</v>
      </c>
      <c r="AF73" s="12">
        <v>45473</v>
      </c>
      <c r="AG73" s="26">
        <f t="shared" si="28"/>
        <v>39</v>
      </c>
      <c r="AH73" s="26">
        <f t="shared" si="29"/>
        <v>30</v>
      </c>
      <c r="AI73" s="3"/>
      <c r="AJ73" s="3"/>
      <c r="AK73" s="3"/>
      <c r="AL73" s="3"/>
      <c r="AM73" s="3"/>
      <c r="AN73" s="3"/>
      <c r="AO73" s="3"/>
      <c r="AT73" s="28">
        <v>45473</v>
      </c>
      <c r="AU73" s="26">
        <f>L73+L74</f>
        <v>130</v>
      </c>
      <c r="AV73" s="26">
        <f>AD73+AD74</f>
        <v>68</v>
      </c>
      <c r="AW73" s="26"/>
      <c r="AX73" s="30">
        <f>AV73-AU73</f>
        <v>-62</v>
      </c>
      <c r="AY73" s="24">
        <f>(-AX73/AU73)</f>
        <v>0.47692307692307695</v>
      </c>
      <c r="AZ73" s="3"/>
      <c r="BA73" s="3"/>
      <c r="BB73" s="3"/>
      <c r="BC73" s="3"/>
      <c r="BD73" s="3"/>
      <c r="BH73" s="28">
        <v>45473</v>
      </c>
      <c r="BI73" s="26">
        <f t="shared" si="30"/>
        <v>130</v>
      </c>
      <c r="BJ73" s="3">
        <f>Y73+Y74</f>
        <v>80</v>
      </c>
      <c r="BK73" s="3"/>
      <c r="BL73" s="30">
        <f t="shared" si="31"/>
        <v>-50</v>
      </c>
      <c r="BM73" s="24">
        <f>(-BL73/BI73)</f>
        <v>0.38461538461538464</v>
      </c>
      <c r="BU73" s="3" t="str">
        <f t="shared" si="32"/>
        <v>PNC</v>
      </c>
      <c r="BV73" s="28">
        <v>45473</v>
      </c>
      <c r="BW73" s="175">
        <f>L73-AD73</f>
        <v>30</v>
      </c>
      <c r="BX73" s="175"/>
      <c r="BZ73" s="175">
        <f>L73-Y73</f>
        <v>39</v>
      </c>
      <c r="CA73" s="175"/>
    </row>
    <row r="74" spans="1:79" ht="14.4" x14ac:dyDescent="0.3">
      <c r="B74" s="6" t="s">
        <v>100</v>
      </c>
      <c r="C74" s="3" t="s">
        <v>10</v>
      </c>
      <c r="D74" s="35">
        <v>48</v>
      </c>
      <c r="E74" s="46">
        <v>17</v>
      </c>
      <c r="F74" s="46">
        <v>39</v>
      </c>
      <c r="G74" s="36">
        <f>SUM(D74:F74)</f>
        <v>104</v>
      </c>
      <c r="H74" s="31"/>
      <c r="I74" s="35">
        <v>22</v>
      </c>
      <c r="J74" s="46">
        <v>12</v>
      </c>
      <c r="K74" s="46">
        <v>31</v>
      </c>
      <c r="L74" s="36">
        <f t="shared" si="33"/>
        <v>65</v>
      </c>
      <c r="M74"/>
      <c r="N74" s="41">
        <f>49+10</f>
        <v>59</v>
      </c>
      <c r="O74" s="42">
        <f>'PNC LLM Interface'!F145</f>
        <v>1</v>
      </c>
      <c r="P74" s="43">
        <v>0</v>
      </c>
      <c r="Q74" s="43">
        <f>34+10</f>
        <v>44</v>
      </c>
      <c r="R74" s="48">
        <f>34+10+54+8+56+17</f>
        <v>179</v>
      </c>
      <c r="S74" s="36">
        <f t="shared" si="27"/>
        <v>282</v>
      </c>
      <c r="T74"/>
      <c r="U74" s="41"/>
      <c r="V74" s="41">
        <v>28</v>
      </c>
      <c r="W74" s="43">
        <v>26</v>
      </c>
      <c r="X74" s="42">
        <f>'PNC LLM API'!F119</f>
        <v>0.9285714285714286</v>
      </c>
      <c r="Y74" s="45">
        <f>SUM(U74:W74)</f>
        <v>54</v>
      </c>
      <c r="Z74"/>
      <c r="AA74" s="41"/>
      <c r="AB74" s="41">
        <v>21</v>
      </c>
      <c r="AC74" s="43">
        <v>12</v>
      </c>
      <c r="AD74" s="45">
        <f>SUM(AA74:AC74)</f>
        <v>33</v>
      </c>
      <c r="AF74" s="12">
        <v>45382</v>
      </c>
      <c r="AG74" s="26">
        <f t="shared" si="28"/>
        <v>11</v>
      </c>
      <c r="AH74" s="26">
        <f t="shared" si="29"/>
        <v>32</v>
      </c>
      <c r="AI74" s="3"/>
      <c r="AJ74" s="3"/>
      <c r="AK74" s="3"/>
      <c r="AL74" s="3"/>
      <c r="AM74" s="3"/>
      <c r="AN74" s="3"/>
      <c r="AO74" s="3"/>
      <c r="AT74" s="28">
        <v>45382</v>
      </c>
      <c r="AU74" s="26">
        <f>L74</f>
        <v>65</v>
      </c>
      <c r="AV74" s="26">
        <f>AD74</f>
        <v>33</v>
      </c>
      <c r="AW74" s="26"/>
      <c r="AX74" s="30">
        <f>AV74-AU74</f>
        <v>-32</v>
      </c>
      <c r="AY74" s="24">
        <f>(-AX74/AU74)</f>
        <v>0.49230769230769234</v>
      </c>
      <c r="AZ74" s="3"/>
      <c r="BA74" s="3"/>
      <c r="BB74" s="3"/>
      <c r="BC74" s="3"/>
      <c r="BD74" s="3"/>
      <c r="BH74" s="28">
        <v>45382</v>
      </c>
      <c r="BI74" s="26">
        <f t="shared" si="30"/>
        <v>65</v>
      </c>
      <c r="BJ74" s="3">
        <f>Y74</f>
        <v>54</v>
      </c>
      <c r="BK74" s="3"/>
      <c r="BL74" s="30">
        <f t="shared" si="31"/>
        <v>-11</v>
      </c>
      <c r="BM74" s="24">
        <f>(-BL74/BI74)</f>
        <v>0.16923076923076924</v>
      </c>
      <c r="BU74" s="3" t="str">
        <f t="shared" si="32"/>
        <v>PNC</v>
      </c>
      <c r="BV74" s="28">
        <v>45382</v>
      </c>
      <c r="BW74" s="175">
        <f>L74-AD74</f>
        <v>32</v>
      </c>
      <c r="BX74" s="175"/>
      <c r="BZ74" s="175">
        <f>L74-Y74</f>
        <v>11</v>
      </c>
      <c r="CA74" s="175"/>
    </row>
    <row r="75" spans="1:79" ht="14.4" x14ac:dyDescent="0.3">
      <c r="G75" s="3">
        <f>SUM(G71:G74)</f>
        <v>416</v>
      </c>
      <c r="H75" s="3"/>
      <c r="K75" s="11" t="s">
        <v>324</v>
      </c>
      <c r="L75" s="3">
        <f>SUM(L71:L74)</f>
        <v>260</v>
      </c>
      <c r="M75"/>
      <c r="S75" s="26">
        <f>SUM(S71:S74)</f>
        <v>1168</v>
      </c>
      <c r="T75"/>
      <c r="W75" s="11" t="s">
        <v>324</v>
      </c>
      <c r="Y75" s="26">
        <f>SUM(Y71:Y74)</f>
        <v>177</v>
      </c>
      <c r="Z75" s="31"/>
      <c r="AC75" s="11" t="s">
        <v>324</v>
      </c>
      <c r="AD75" s="26">
        <f>SUM(AD71:AD74)</f>
        <v>168.66666666666669</v>
      </c>
      <c r="AF75" s="12" t="s">
        <v>11</v>
      </c>
      <c r="AG75" s="26">
        <f>SUM(AG71:AG74)</f>
        <v>83</v>
      </c>
      <c r="AH75" s="26">
        <f>SUM(AH71:AH74)</f>
        <v>91.333333333333329</v>
      </c>
      <c r="AT75" s="12"/>
      <c r="AU75" s="26"/>
      <c r="AV75" s="26"/>
      <c r="BV75" s="11" t="s">
        <v>36</v>
      </c>
      <c r="BW75" s="176">
        <f>AA72/AVERAGE(BW71:BX74)</f>
        <v>31.690510948905111</v>
      </c>
      <c r="BX75" s="176"/>
      <c r="BZ75" s="176">
        <f>U72/AVERAGE(BZ71:CA74)</f>
        <v>31.460240963855426</v>
      </c>
      <c r="CA75" s="176"/>
    </row>
    <row r="76" spans="1:79" ht="14.4" x14ac:dyDescent="0.3">
      <c r="R76" s="11" t="s">
        <v>166</v>
      </c>
      <c r="S76" s="14">
        <f>(($L75-S75)/$L75)*1</f>
        <v>-3.4923076923076923</v>
      </c>
      <c r="T76"/>
      <c r="W76" s="11" t="s">
        <v>166</v>
      </c>
      <c r="Y76" s="172">
        <f>(($L75-Y75)/$L75)*1</f>
        <v>0.31923076923076921</v>
      </c>
      <c r="AC76" s="11" t="s">
        <v>166</v>
      </c>
      <c r="AD76" s="172">
        <f>(($L75-AD75)/$L75)*1</f>
        <v>0.3512820512820512</v>
      </c>
    </row>
    <row r="77" spans="1:79" ht="14.4" x14ac:dyDescent="0.3">
      <c r="T77"/>
      <c r="W77" s="11" t="s">
        <v>325</v>
      </c>
      <c r="X77" s="171">
        <f>AVERAGE(X71:X74)</f>
        <v>0.96428571428571441</v>
      </c>
    </row>
    <row r="78" spans="1:79" ht="14.4" x14ac:dyDescent="0.3">
      <c r="T78"/>
      <c r="AB78" s="26">
        <f>AVERAGE(AB73:AB74,AB71)</f>
        <v>23.666666666666668</v>
      </c>
      <c r="AC78" s="26">
        <f>AVERAGE(AC71:AC74)</f>
        <v>18.5</v>
      </c>
    </row>
    <row r="79" spans="1:79" ht="14.4" x14ac:dyDescent="0.3">
      <c r="T79"/>
    </row>
    <row r="80" spans="1:79" ht="14.4" x14ac:dyDescent="0.3">
      <c r="T80"/>
    </row>
    <row r="81" spans="1:79" ht="14.4" x14ac:dyDescent="0.3">
      <c r="T81"/>
    </row>
    <row r="82" spans="1:79" ht="14.4" x14ac:dyDescent="0.3">
      <c r="T82"/>
    </row>
    <row r="83" spans="1:79" ht="14.4" x14ac:dyDescent="0.3">
      <c r="T83"/>
    </row>
    <row r="84" spans="1:79" ht="14.4" x14ac:dyDescent="0.3">
      <c r="B84" s="6"/>
      <c r="D84" s="174" t="s">
        <v>62</v>
      </c>
      <c r="E84" s="174"/>
      <c r="F84" s="174"/>
      <c r="G84" s="174"/>
      <c r="H84" s="4"/>
      <c r="I84" s="174" t="s">
        <v>323</v>
      </c>
      <c r="J84" s="174"/>
      <c r="K84" s="174"/>
      <c r="L84" s="174"/>
      <c r="M84" s="4"/>
      <c r="N84" s="174" t="s">
        <v>4</v>
      </c>
      <c r="O84" s="174"/>
      <c r="P84" s="174"/>
      <c r="Q84" s="174"/>
      <c r="R84" s="174"/>
      <c r="S84" s="174"/>
      <c r="T84"/>
      <c r="U84" s="174" t="s">
        <v>245</v>
      </c>
      <c r="V84" s="174"/>
      <c r="W84" s="174"/>
      <c r="X84" s="174"/>
      <c r="Y84" s="174"/>
      <c r="Z84" s="4"/>
      <c r="AA84" s="174" t="s">
        <v>318</v>
      </c>
      <c r="AB84" s="174"/>
      <c r="AC84" s="174"/>
      <c r="AD84" s="174"/>
    </row>
    <row r="85" spans="1:79" ht="14.4" x14ac:dyDescent="0.3">
      <c r="B85" s="6"/>
      <c r="I85" s="173" t="s">
        <v>274</v>
      </c>
      <c r="J85" s="173"/>
      <c r="K85" s="173"/>
      <c r="L85" s="173"/>
      <c r="M85" s="6"/>
      <c r="N85" s="9" t="s">
        <v>54</v>
      </c>
      <c r="O85" s="6"/>
      <c r="P85" s="9" t="s">
        <v>53</v>
      </c>
      <c r="Q85" s="9" t="s">
        <v>83</v>
      </c>
      <c r="R85" s="9" t="s">
        <v>57</v>
      </c>
      <c r="S85" s="6"/>
      <c r="T85"/>
      <c r="U85" s="173" t="s">
        <v>274</v>
      </c>
      <c r="V85" s="173"/>
      <c r="W85" s="173"/>
      <c r="X85" s="173"/>
      <c r="Y85" s="173"/>
      <c r="Z85" s="6"/>
      <c r="AA85" s="173" t="s">
        <v>274</v>
      </c>
      <c r="AB85" s="173"/>
      <c r="AC85" s="173"/>
      <c r="AD85" s="173"/>
    </row>
    <row r="86" spans="1:79" ht="14.4" x14ac:dyDescent="0.3">
      <c r="B86" s="6" t="s">
        <v>2</v>
      </c>
      <c r="C86" s="6" t="s">
        <v>6</v>
      </c>
      <c r="D86" s="37" t="s">
        <v>64</v>
      </c>
      <c r="E86" s="38" t="s">
        <v>63</v>
      </c>
      <c r="F86" s="38" t="s">
        <v>319</v>
      </c>
      <c r="G86" s="32" t="s">
        <v>38</v>
      </c>
      <c r="H86" s="6"/>
      <c r="I86" s="37" t="s">
        <v>64</v>
      </c>
      <c r="J86" s="38" t="s">
        <v>63</v>
      </c>
      <c r="K86" s="38" t="s">
        <v>319</v>
      </c>
      <c r="L86" s="32" t="s">
        <v>11</v>
      </c>
      <c r="M86"/>
      <c r="N86" s="37" t="s">
        <v>64</v>
      </c>
      <c r="O86" s="38" t="s">
        <v>5</v>
      </c>
      <c r="P86" s="38" t="s">
        <v>88</v>
      </c>
      <c r="Q86" s="38" t="s">
        <v>63</v>
      </c>
      <c r="R86" s="38" t="s">
        <v>319</v>
      </c>
      <c r="S86" s="32" t="s">
        <v>37</v>
      </c>
      <c r="T86"/>
      <c r="U86" s="37" t="s">
        <v>87</v>
      </c>
      <c r="V86" s="37" t="s">
        <v>85</v>
      </c>
      <c r="W86" s="38" t="s">
        <v>86</v>
      </c>
      <c r="X86" s="38" t="s">
        <v>5</v>
      </c>
      <c r="Y86" s="32" t="s">
        <v>11</v>
      </c>
      <c r="Z86"/>
      <c r="AA86" s="37" t="s">
        <v>87</v>
      </c>
      <c r="AB86" s="37" t="s">
        <v>85</v>
      </c>
      <c r="AC86" s="38" t="s">
        <v>86</v>
      </c>
      <c r="AD86" s="32" t="s">
        <v>11</v>
      </c>
      <c r="AF86" s="6" t="s">
        <v>12</v>
      </c>
      <c r="AG86" s="6" t="s">
        <v>244</v>
      </c>
      <c r="AH86" s="6" t="s">
        <v>320</v>
      </c>
      <c r="AU86" s="6" t="s">
        <v>203</v>
      </c>
      <c r="AV86" s="6" t="s">
        <v>320</v>
      </c>
      <c r="AW86" s="6"/>
      <c r="AX86" s="6" t="s">
        <v>35</v>
      </c>
      <c r="AY86" s="6" t="s">
        <v>251</v>
      </c>
      <c r="AZ86" s="6"/>
      <c r="BI86" s="6" t="s">
        <v>203</v>
      </c>
      <c r="BJ86" s="6" t="s">
        <v>244</v>
      </c>
      <c r="BK86" s="6"/>
      <c r="BL86" s="6" t="s">
        <v>35</v>
      </c>
      <c r="BM86" s="6" t="s">
        <v>251</v>
      </c>
    </row>
    <row r="87" spans="1:79" ht="14.4" x14ac:dyDescent="0.3">
      <c r="B87" s="6" t="s">
        <v>111</v>
      </c>
      <c r="C87" s="3" t="s">
        <v>8</v>
      </c>
      <c r="D87" s="33">
        <v>99</v>
      </c>
      <c r="E87" s="19">
        <v>89</v>
      </c>
      <c r="F87" s="19">
        <v>44</v>
      </c>
      <c r="G87" s="34">
        <f>SUM(D87:F87)</f>
        <v>232</v>
      </c>
      <c r="H87" s="31"/>
      <c r="I87" s="33">
        <v>47</v>
      </c>
      <c r="J87" s="19">
        <v>60</v>
      </c>
      <c r="K87" s="19">
        <v>42</v>
      </c>
      <c r="L87" s="34">
        <f t="shared" ref="L87" si="34">SUM(I87:K87)</f>
        <v>149</v>
      </c>
      <c r="M87"/>
      <c r="N87" s="39">
        <f>52+10</f>
        <v>62</v>
      </c>
      <c r="O87" s="40">
        <f>'KEY LLM Interface'!F28</f>
        <v>1</v>
      </c>
      <c r="P87" s="17">
        <v>0</v>
      </c>
      <c r="Q87" s="17">
        <f>73+5</f>
        <v>78</v>
      </c>
      <c r="R87" s="17">
        <f>54+5+56+7+27+7</f>
        <v>156</v>
      </c>
      <c r="S87" s="34">
        <f t="shared" ref="S87:S90" si="35">SUM(N87,P87,Q87,R87)</f>
        <v>296</v>
      </c>
      <c r="T87"/>
      <c r="U87" s="39"/>
      <c r="V87" s="39">
        <v>31</v>
      </c>
      <c r="W87" s="17">
        <v>28</v>
      </c>
      <c r="X87" s="40">
        <f>'KEY LLM API'!F43</f>
        <v>1</v>
      </c>
      <c r="Y87" s="44">
        <f>SUM(U87:W87)</f>
        <v>59</v>
      </c>
      <c r="Z87"/>
      <c r="AA87" s="39"/>
      <c r="AB87" s="39">
        <v>48</v>
      </c>
      <c r="AC87" s="17">
        <v>12</v>
      </c>
      <c r="AD87" s="44">
        <f>SUM(AA87:AC87)</f>
        <v>60</v>
      </c>
      <c r="AF87" s="12">
        <v>45657</v>
      </c>
      <c r="AG87" s="26">
        <f>L87-Y87</f>
        <v>90</v>
      </c>
      <c r="AH87" s="26">
        <f>L87-AD87</f>
        <v>89</v>
      </c>
      <c r="AI87" s="3"/>
      <c r="AJ87" s="3"/>
      <c r="AK87" s="3"/>
      <c r="AL87" s="3"/>
      <c r="AM87" s="3"/>
      <c r="AN87" s="3"/>
      <c r="AO87" s="3"/>
      <c r="AT87" s="28">
        <v>45657</v>
      </c>
      <c r="AU87" s="26">
        <f>L87+L88+L89+L90</f>
        <v>596</v>
      </c>
      <c r="AV87" s="26">
        <f>AD87+AD88+AD89+AD90</f>
        <v>172.66666666666669</v>
      </c>
      <c r="AW87" s="26"/>
      <c r="AX87" s="30">
        <f>AV87-AU87</f>
        <v>-423.33333333333331</v>
      </c>
      <c r="AY87" s="24">
        <f>(-AX87/AU87)</f>
        <v>0.71029082774049213</v>
      </c>
      <c r="AZ87" s="3"/>
      <c r="BA87" s="3"/>
      <c r="BB87" s="3"/>
      <c r="BC87" s="3"/>
      <c r="BD87" s="3"/>
      <c r="BH87" s="28">
        <v>45657</v>
      </c>
      <c r="BI87" s="26">
        <f>AU87</f>
        <v>596</v>
      </c>
      <c r="BJ87" s="26">
        <f>Y88+Y89+Y87+Y90</f>
        <v>237.66666666666669</v>
      </c>
      <c r="BK87" s="26"/>
      <c r="BL87" s="30">
        <f>BJ87-BI87</f>
        <v>-358.33333333333331</v>
      </c>
      <c r="BM87" s="24">
        <f>(-BL87/BI87)</f>
        <v>0.60123042505592839</v>
      </c>
      <c r="BU87" s="3" t="str">
        <f>B87</f>
        <v>KEY</v>
      </c>
      <c r="BV87" s="28">
        <v>45657</v>
      </c>
      <c r="BW87" s="175">
        <f>L87-AD87</f>
        <v>89</v>
      </c>
      <c r="BX87" s="175"/>
      <c r="BZ87" s="175">
        <f>L87-Y87</f>
        <v>90</v>
      </c>
      <c r="CA87" s="175"/>
    </row>
    <row r="88" spans="1:79" ht="14.4" x14ac:dyDescent="0.3">
      <c r="A88" s="47" t="s">
        <v>29</v>
      </c>
      <c r="B88" s="6" t="s">
        <v>111</v>
      </c>
      <c r="C88" s="3" t="s">
        <v>7</v>
      </c>
      <c r="D88" s="33">
        <v>99</v>
      </c>
      <c r="E88" s="19">
        <v>89</v>
      </c>
      <c r="F88" s="19">
        <v>44</v>
      </c>
      <c r="G88" s="51">
        <f>SUM(D88:F88)</f>
        <v>232</v>
      </c>
      <c r="H88" s="74"/>
      <c r="I88" s="33">
        <v>47</v>
      </c>
      <c r="J88" s="19">
        <v>60</v>
      </c>
      <c r="K88" s="19">
        <v>42</v>
      </c>
      <c r="L88" s="51">
        <f>SUM(I88:K88)</f>
        <v>149</v>
      </c>
      <c r="M88"/>
      <c r="N88" s="39">
        <f>52+9</f>
        <v>61</v>
      </c>
      <c r="O88" s="40">
        <f>'KEY LLM Interface'!F71</f>
        <v>0.93333333333333335</v>
      </c>
      <c r="P88" s="17">
        <f>19+5</f>
        <v>24</v>
      </c>
      <c r="Q88" s="17">
        <f>66+6</f>
        <v>72</v>
      </c>
      <c r="R88" s="17">
        <f>54+7+56+7+64+6</f>
        <v>194</v>
      </c>
      <c r="S88" s="51">
        <f t="shared" si="35"/>
        <v>351</v>
      </c>
      <c r="T88"/>
      <c r="U88" s="33">
        <f>2999/250*60</f>
        <v>719.76</v>
      </c>
      <c r="V88" s="39">
        <v>0</v>
      </c>
      <c r="W88" s="17">
        <v>24</v>
      </c>
      <c r="X88" s="40">
        <f>'KEY LLM API'!F88</f>
        <v>1</v>
      </c>
      <c r="Y88" s="52">
        <f>W88+AVERAGE(V87,V89:V90)</f>
        <v>55.666666666666671</v>
      </c>
      <c r="Z88"/>
      <c r="AA88" s="33">
        <f>2987/250*60</f>
        <v>716.88</v>
      </c>
      <c r="AB88" s="39">
        <v>0</v>
      </c>
      <c r="AC88" s="17">
        <v>23</v>
      </c>
      <c r="AD88" s="52">
        <f>AC88+AVERAGE(AB87,AB89:AB90)</f>
        <v>49.666666666666671</v>
      </c>
      <c r="AF88" s="12">
        <v>45565</v>
      </c>
      <c r="AG88" s="26">
        <f t="shared" ref="AG88:AG90" si="36">L88-Y88</f>
        <v>93.333333333333329</v>
      </c>
      <c r="AH88" s="26">
        <f t="shared" ref="AH88:AH90" si="37">L88-AD88</f>
        <v>99.333333333333329</v>
      </c>
      <c r="AI88" s="3"/>
      <c r="AJ88" s="3"/>
      <c r="AK88" s="3"/>
      <c r="AL88" s="3"/>
      <c r="AM88" s="3"/>
      <c r="AN88" s="3"/>
      <c r="AO88" s="3"/>
      <c r="AT88" s="28">
        <v>45565</v>
      </c>
      <c r="AU88" s="26">
        <f>L88+L89+L90</f>
        <v>447</v>
      </c>
      <c r="AV88" s="26">
        <f>AD88+AD89+AD90</f>
        <v>112.66666666666667</v>
      </c>
      <c r="AW88" s="26"/>
      <c r="AX88" s="30">
        <f>AV88-AU88</f>
        <v>-334.33333333333331</v>
      </c>
      <c r="AY88" s="24">
        <f>(-AX88/AU88)</f>
        <v>0.74794929157345258</v>
      </c>
      <c r="AZ88" s="3"/>
      <c r="BA88" s="3"/>
      <c r="BB88" s="3"/>
      <c r="BC88" s="3"/>
      <c r="BD88" s="3"/>
      <c r="BH88" s="28">
        <v>45565</v>
      </c>
      <c r="BI88" s="26">
        <f t="shared" ref="BI88:BI90" si="38">AU88</f>
        <v>447</v>
      </c>
      <c r="BJ88" s="26">
        <f>Y89+Y90+Y88</f>
        <v>178.66666666666669</v>
      </c>
      <c r="BK88" s="26"/>
      <c r="BL88" s="30">
        <f t="shared" ref="BL88:BL90" si="39">BJ88-BI88</f>
        <v>-268.33333333333331</v>
      </c>
      <c r="BM88" s="24">
        <f>(-BL88/BI88)</f>
        <v>0.60029828486204317</v>
      </c>
      <c r="BU88" s="3" t="str">
        <f t="shared" ref="BU88:BU90" si="40">B88</f>
        <v>KEY</v>
      </c>
      <c r="BV88" s="28">
        <v>45565</v>
      </c>
      <c r="BW88" s="175">
        <f>L88-(AC88+AVERAGE(AB87,AB89:AB90))</f>
        <v>99.333333333333329</v>
      </c>
      <c r="BX88" s="175"/>
      <c r="BZ88" s="175">
        <f>L88-(W88+AVERAGE(V87,V89:V90))</f>
        <v>93.333333333333329</v>
      </c>
      <c r="CA88" s="175"/>
    </row>
    <row r="89" spans="1:79" ht="14.4" x14ac:dyDescent="0.3">
      <c r="B89" s="6" t="s">
        <v>111</v>
      </c>
      <c r="C89" s="3" t="s">
        <v>9</v>
      </c>
      <c r="D89" s="33">
        <v>99</v>
      </c>
      <c r="E89" s="19">
        <v>89</v>
      </c>
      <c r="F89" s="19">
        <v>44</v>
      </c>
      <c r="G89" s="34">
        <f>SUM(D89:F89)</f>
        <v>232</v>
      </c>
      <c r="H89" s="31"/>
      <c r="I89" s="33">
        <v>47</v>
      </c>
      <c r="J89" s="19">
        <v>60</v>
      </c>
      <c r="K89" s="19">
        <v>42</v>
      </c>
      <c r="L89" s="34">
        <f t="shared" ref="L89:L90" si="41">SUM(I89:K89)</f>
        <v>149</v>
      </c>
      <c r="M89"/>
      <c r="N89" s="39">
        <f>52+9</f>
        <v>61</v>
      </c>
      <c r="O89" s="40">
        <f>'KEY LLM Interface'!F113</f>
        <v>1</v>
      </c>
      <c r="P89" s="17">
        <v>0</v>
      </c>
      <c r="Q89" s="17">
        <f>66+7</f>
        <v>73</v>
      </c>
      <c r="R89" s="17">
        <f>54+7+56+6+27+7</f>
        <v>157</v>
      </c>
      <c r="S89" s="34">
        <f t="shared" si="35"/>
        <v>291</v>
      </c>
      <c r="T89"/>
      <c r="U89" s="39"/>
      <c r="V89" s="39">
        <v>36</v>
      </c>
      <c r="W89" s="17">
        <v>32</v>
      </c>
      <c r="X89" s="40">
        <f>'KEY LLM API'!F139</f>
        <v>0.875</v>
      </c>
      <c r="Y89" s="44">
        <f>SUM(U89:W89)</f>
        <v>68</v>
      </c>
      <c r="Z89"/>
      <c r="AA89" s="39"/>
      <c r="AB89" s="39">
        <v>17</v>
      </c>
      <c r="AC89" s="17">
        <v>17</v>
      </c>
      <c r="AD89" s="44">
        <f>SUM(AA89:AC89)</f>
        <v>34</v>
      </c>
      <c r="AF89" s="12">
        <v>45473</v>
      </c>
      <c r="AG89" s="26">
        <f t="shared" si="36"/>
        <v>81</v>
      </c>
      <c r="AH89" s="26">
        <f t="shared" si="37"/>
        <v>115</v>
      </c>
      <c r="AI89" s="3"/>
      <c r="AJ89" s="3"/>
      <c r="AK89" s="3"/>
      <c r="AL89" s="3"/>
      <c r="AM89" s="3"/>
      <c r="AN89" s="3"/>
      <c r="AO89" s="3"/>
      <c r="AT89" s="28">
        <v>45473</v>
      </c>
      <c r="AU89" s="26">
        <f>L89+L90</f>
        <v>298</v>
      </c>
      <c r="AV89" s="26">
        <f>AD89+AD90</f>
        <v>63</v>
      </c>
      <c r="AW89" s="26"/>
      <c r="AX89" s="30">
        <f>AV89-AU89</f>
        <v>-235</v>
      </c>
      <c r="AY89" s="24">
        <f>(-AX89/AU89)</f>
        <v>0.78859060402684567</v>
      </c>
      <c r="AZ89" s="3"/>
      <c r="BA89" s="3"/>
      <c r="BB89" s="3"/>
      <c r="BC89" s="3"/>
      <c r="BD89" s="3"/>
      <c r="BH89" s="28">
        <v>45473</v>
      </c>
      <c r="BI89" s="26">
        <f t="shared" si="38"/>
        <v>298</v>
      </c>
      <c r="BJ89" s="3">
        <f>Y89+Y90</f>
        <v>123</v>
      </c>
      <c r="BK89" s="3"/>
      <c r="BL89" s="30">
        <f t="shared" si="39"/>
        <v>-175</v>
      </c>
      <c r="BM89" s="24">
        <f>(-BL89/BI89)</f>
        <v>0.58724832214765099</v>
      </c>
      <c r="BU89" s="3" t="str">
        <f t="shared" si="40"/>
        <v>KEY</v>
      </c>
      <c r="BV89" s="28">
        <v>45473</v>
      </c>
      <c r="BW89" s="175">
        <f>L89-AD89</f>
        <v>115</v>
      </c>
      <c r="BX89" s="175"/>
      <c r="BZ89" s="175">
        <f>L89-Y89</f>
        <v>81</v>
      </c>
      <c r="CA89" s="175"/>
    </row>
    <row r="90" spans="1:79" ht="14.4" x14ac:dyDescent="0.3">
      <c r="B90" s="6" t="s">
        <v>111</v>
      </c>
      <c r="C90" s="3" t="s">
        <v>10</v>
      </c>
      <c r="D90" s="35">
        <v>99</v>
      </c>
      <c r="E90" s="46">
        <v>89</v>
      </c>
      <c r="F90" s="46">
        <v>44</v>
      </c>
      <c r="G90" s="36">
        <f>SUM(D90:F90)</f>
        <v>232</v>
      </c>
      <c r="H90" s="31"/>
      <c r="I90" s="35">
        <v>47</v>
      </c>
      <c r="J90" s="46">
        <v>60</v>
      </c>
      <c r="K90" s="46">
        <v>42</v>
      </c>
      <c r="L90" s="36">
        <f t="shared" si="41"/>
        <v>149</v>
      </c>
      <c r="M90"/>
      <c r="N90" s="41">
        <f>52+9</f>
        <v>61</v>
      </c>
      <c r="O90" s="42">
        <f>'KEY LLM Interface'!F155</f>
        <v>1</v>
      </c>
      <c r="P90" s="43">
        <v>0</v>
      </c>
      <c r="Q90" s="43">
        <f>66+6</f>
        <v>72</v>
      </c>
      <c r="R90" s="48">
        <f>54+6+56+8+27+7</f>
        <v>158</v>
      </c>
      <c r="S90" s="36">
        <f t="shared" si="35"/>
        <v>291</v>
      </c>
      <c r="T90"/>
      <c r="U90" s="41"/>
      <c r="V90" s="41">
        <v>28</v>
      </c>
      <c r="W90" s="43">
        <v>27</v>
      </c>
      <c r="X90" s="42">
        <f>'KEY LLM API'!F190</f>
        <v>0.75</v>
      </c>
      <c r="Y90" s="45">
        <f>SUM(U90:W90)</f>
        <v>55</v>
      </c>
      <c r="Z90"/>
      <c r="AA90" s="41"/>
      <c r="AB90" s="41">
        <v>15</v>
      </c>
      <c r="AC90" s="43">
        <v>14</v>
      </c>
      <c r="AD90" s="45">
        <f>SUM(AA90:AC90)</f>
        <v>29</v>
      </c>
      <c r="AF90" s="12">
        <v>45382</v>
      </c>
      <c r="AG90" s="26">
        <f t="shared" si="36"/>
        <v>94</v>
      </c>
      <c r="AH90" s="26">
        <f t="shared" si="37"/>
        <v>120</v>
      </c>
      <c r="AI90" s="3"/>
      <c r="AJ90" s="3"/>
      <c r="AK90" s="3"/>
      <c r="AL90" s="3"/>
      <c r="AM90" s="3"/>
      <c r="AN90" s="3"/>
      <c r="AO90" s="3"/>
      <c r="AT90" s="28">
        <v>45382</v>
      </c>
      <c r="AU90" s="26">
        <f>L90</f>
        <v>149</v>
      </c>
      <c r="AV90" s="26">
        <f>AD90</f>
        <v>29</v>
      </c>
      <c r="AW90" s="26"/>
      <c r="AX90" s="30">
        <f>AV90-AU90</f>
        <v>-120</v>
      </c>
      <c r="AY90" s="24">
        <f>(-AX90/AU90)</f>
        <v>0.80536912751677847</v>
      </c>
      <c r="AZ90" s="3"/>
      <c r="BA90" s="3"/>
      <c r="BB90" s="3"/>
      <c r="BC90" s="3"/>
      <c r="BD90" s="3"/>
      <c r="BH90" s="28">
        <v>45382</v>
      </c>
      <c r="BI90" s="26">
        <f t="shared" si="38"/>
        <v>149</v>
      </c>
      <c r="BJ90" s="3">
        <f>Y90</f>
        <v>55</v>
      </c>
      <c r="BK90" s="3"/>
      <c r="BL90" s="30">
        <f t="shared" si="39"/>
        <v>-94</v>
      </c>
      <c r="BM90" s="24">
        <f>(-BL90/BI90)</f>
        <v>0.63087248322147649</v>
      </c>
      <c r="BU90" s="3" t="str">
        <f t="shared" si="40"/>
        <v>KEY</v>
      </c>
      <c r="BV90" s="28">
        <v>45382</v>
      </c>
      <c r="BW90" s="175">
        <f>L90-AD90</f>
        <v>120</v>
      </c>
      <c r="BX90" s="175"/>
      <c r="BZ90" s="175">
        <f>L90-Y90</f>
        <v>94</v>
      </c>
      <c r="CA90" s="175"/>
    </row>
    <row r="91" spans="1:79" ht="14.4" x14ac:dyDescent="0.3">
      <c r="G91" s="3">
        <f>SUM(G87:G90)</f>
        <v>928</v>
      </c>
      <c r="H91" s="3"/>
      <c r="K91" s="11" t="s">
        <v>324</v>
      </c>
      <c r="L91" s="3">
        <f>SUM(L87:L90)</f>
        <v>596</v>
      </c>
      <c r="M91"/>
      <c r="S91" s="26">
        <f>SUM(S87:S90)</f>
        <v>1229</v>
      </c>
      <c r="T91"/>
      <c r="W91" s="11" t="s">
        <v>324</v>
      </c>
      <c r="Y91" s="26">
        <f>SUM(Y87:Y90)</f>
        <v>237.66666666666669</v>
      </c>
      <c r="Z91" s="31"/>
      <c r="AC91" s="11" t="s">
        <v>324</v>
      </c>
      <c r="AD91" s="26">
        <f>SUM(AD87:AD90)</f>
        <v>172.66666666666669</v>
      </c>
      <c r="AF91" s="12" t="s">
        <v>11</v>
      </c>
      <c r="AG91" s="26">
        <f>SUM(AG87:AG90)</f>
        <v>358.33333333333331</v>
      </c>
      <c r="AH91" s="26">
        <f>SUM(AH87:AH90)</f>
        <v>423.33333333333331</v>
      </c>
      <c r="AT91" s="12"/>
      <c r="AU91" s="26"/>
      <c r="AV91" s="26"/>
      <c r="BV91" s="11" t="s">
        <v>36</v>
      </c>
      <c r="BW91" s="176">
        <f>AA88/AVERAGE(BW87:BX90)</f>
        <v>6.7736692913385825</v>
      </c>
      <c r="BX91" s="176"/>
      <c r="BZ91" s="176">
        <f>U88/AVERAGE(BZ87:CA90)</f>
        <v>8.03453023255814</v>
      </c>
      <c r="CA91" s="176"/>
    </row>
    <row r="92" spans="1:79" ht="14.4" x14ac:dyDescent="0.3">
      <c r="R92" s="11" t="s">
        <v>166</v>
      </c>
      <c r="S92" s="14">
        <f>(($L91-S91)/$L91)*1</f>
        <v>-1.0620805369127517</v>
      </c>
      <c r="T92"/>
      <c r="W92" s="11" t="s">
        <v>166</v>
      </c>
      <c r="Y92" s="172">
        <f>(($L91-Y91)/$L91)*1</f>
        <v>0.60123042505592839</v>
      </c>
      <c r="AC92" s="11" t="s">
        <v>166</v>
      </c>
      <c r="AD92" s="172">
        <f>(($L91-AD91)/$L91)*1</f>
        <v>0.71029082774049213</v>
      </c>
    </row>
    <row r="93" spans="1:79" ht="14.4" x14ac:dyDescent="0.3">
      <c r="T93"/>
      <c r="W93" s="11" t="s">
        <v>325</v>
      </c>
      <c r="X93" s="171">
        <f>AVERAGE(X87:X90)</f>
        <v>0.90625</v>
      </c>
    </row>
    <row r="94" spans="1:79" ht="14.4" x14ac:dyDescent="0.3">
      <c r="T94"/>
      <c r="AB94" s="26">
        <f>AVERAGE(AB89:AB90,AB87)</f>
        <v>26.666666666666668</v>
      </c>
      <c r="AC94" s="26">
        <f>AVERAGE(AC87:AC90)</f>
        <v>16.5</v>
      </c>
    </row>
    <row r="95" spans="1:79" ht="14.4" x14ac:dyDescent="0.3">
      <c r="T95"/>
    </row>
    <row r="96" spans="1:79" ht="14.4" x14ac:dyDescent="0.3">
      <c r="T96"/>
    </row>
    <row r="97" spans="1:79" ht="14.4" x14ac:dyDescent="0.3">
      <c r="T97"/>
    </row>
    <row r="98" spans="1:79" ht="14.4" x14ac:dyDescent="0.3">
      <c r="T98"/>
    </row>
    <row r="99" spans="1:79" ht="14.4" x14ac:dyDescent="0.3">
      <c r="T99"/>
    </row>
    <row r="100" spans="1:79" ht="14.4" x14ac:dyDescent="0.3">
      <c r="T100"/>
    </row>
    <row r="101" spans="1:79" ht="14.4" x14ac:dyDescent="0.3">
      <c r="T101"/>
    </row>
    <row r="102" spans="1:79" ht="14.4" x14ac:dyDescent="0.3">
      <c r="B102" s="6"/>
      <c r="D102" s="174" t="s">
        <v>62</v>
      </c>
      <c r="E102" s="174"/>
      <c r="F102" s="174"/>
      <c r="G102" s="174"/>
      <c r="H102" s="4"/>
      <c r="I102" s="174" t="s">
        <v>323</v>
      </c>
      <c r="J102" s="174"/>
      <c r="K102" s="174"/>
      <c r="L102" s="174"/>
      <c r="M102" s="4"/>
      <c r="N102" s="174" t="s">
        <v>4</v>
      </c>
      <c r="O102" s="174"/>
      <c r="P102" s="174"/>
      <c r="Q102" s="174"/>
      <c r="R102" s="174"/>
      <c r="S102" s="174"/>
      <c r="T102"/>
      <c r="U102" s="174" t="s">
        <v>245</v>
      </c>
      <c r="V102" s="174"/>
      <c r="W102" s="174"/>
      <c r="X102" s="174"/>
      <c r="Y102" s="174"/>
      <c r="Z102" s="4"/>
      <c r="AA102" s="174" t="s">
        <v>318</v>
      </c>
      <c r="AB102" s="174"/>
      <c r="AC102" s="174"/>
      <c r="AD102" s="174"/>
    </row>
    <row r="103" spans="1:79" ht="14.4" x14ac:dyDescent="0.3">
      <c r="B103" s="6"/>
      <c r="I103" s="173" t="s">
        <v>274</v>
      </c>
      <c r="J103" s="173"/>
      <c r="K103" s="173"/>
      <c r="L103" s="173"/>
      <c r="M103" s="6"/>
      <c r="N103" s="9" t="s">
        <v>54</v>
      </c>
      <c r="O103" s="6"/>
      <c r="P103" s="9" t="s">
        <v>53</v>
      </c>
      <c r="Q103" s="9" t="s">
        <v>83</v>
      </c>
      <c r="R103" s="9" t="s">
        <v>57</v>
      </c>
      <c r="S103" s="6"/>
      <c r="T103"/>
      <c r="U103" s="173" t="s">
        <v>274</v>
      </c>
      <c r="V103" s="173"/>
      <c r="W103" s="173"/>
      <c r="X103" s="173"/>
      <c r="Y103" s="173"/>
      <c r="Z103" s="6"/>
      <c r="AA103" s="173" t="s">
        <v>274</v>
      </c>
      <c r="AB103" s="173"/>
      <c r="AC103" s="173"/>
      <c r="AD103" s="173"/>
    </row>
    <row r="104" spans="1:79" ht="14.4" x14ac:dyDescent="0.3">
      <c r="B104" s="6" t="s">
        <v>2</v>
      </c>
      <c r="C104" s="6" t="s">
        <v>6</v>
      </c>
      <c r="D104" s="37" t="s">
        <v>64</v>
      </c>
      <c r="E104" s="38" t="s">
        <v>63</v>
      </c>
      <c r="F104" s="38" t="s">
        <v>319</v>
      </c>
      <c r="G104" s="32" t="s">
        <v>38</v>
      </c>
      <c r="H104" s="6"/>
      <c r="I104" s="37" t="s">
        <v>64</v>
      </c>
      <c r="J104" s="38" t="s">
        <v>63</v>
      </c>
      <c r="K104" s="38" t="s">
        <v>319</v>
      </c>
      <c r="L104" s="32" t="s">
        <v>11</v>
      </c>
      <c r="M104"/>
      <c r="N104" s="37" t="s">
        <v>64</v>
      </c>
      <c r="O104" s="38" t="s">
        <v>5</v>
      </c>
      <c r="P104" s="38" t="s">
        <v>88</v>
      </c>
      <c r="Q104" s="38" t="s">
        <v>63</v>
      </c>
      <c r="R104" s="38" t="s">
        <v>319</v>
      </c>
      <c r="S104" s="32" t="s">
        <v>37</v>
      </c>
      <c r="T104"/>
      <c r="U104" s="37" t="s">
        <v>87</v>
      </c>
      <c r="V104" s="37" t="s">
        <v>85</v>
      </c>
      <c r="W104" s="38" t="s">
        <v>86</v>
      </c>
      <c r="X104" s="38" t="s">
        <v>5</v>
      </c>
      <c r="Y104" s="32" t="s">
        <v>11</v>
      </c>
      <c r="Z104"/>
      <c r="AA104" s="37" t="s">
        <v>87</v>
      </c>
      <c r="AB104" s="37" t="s">
        <v>85</v>
      </c>
      <c r="AC104" s="38" t="s">
        <v>86</v>
      </c>
      <c r="AD104" s="32" t="s">
        <v>11</v>
      </c>
      <c r="AF104" s="6" t="s">
        <v>12</v>
      </c>
      <c r="AG104" s="6" t="s">
        <v>244</v>
      </c>
      <c r="AH104" s="6" t="s">
        <v>320</v>
      </c>
      <c r="AU104" s="6" t="s">
        <v>203</v>
      </c>
      <c r="AV104" s="6" t="s">
        <v>320</v>
      </c>
      <c r="AW104" s="6"/>
      <c r="AX104" s="6" t="s">
        <v>35</v>
      </c>
      <c r="AY104" s="6" t="s">
        <v>251</v>
      </c>
      <c r="AZ104" s="6"/>
      <c r="BI104" s="6" t="s">
        <v>203</v>
      </c>
      <c r="BJ104" s="6" t="s">
        <v>244</v>
      </c>
      <c r="BK104" s="6"/>
      <c r="BL104" s="6" t="s">
        <v>35</v>
      </c>
      <c r="BM104" s="6" t="s">
        <v>251</v>
      </c>
    </row>
    <row r="105" spans="1:79" ht="14.4" x14ac:dyDescent="0.3">
      <c r="B105" s="6" t="s">
        <v>112</v>
      </c>
      <c r="C105" s="3" t="s">
        <v>8</v>
      </c>
      <c r="D105" s="33">
        <v>38</v>
      </c>
      <c r="E105" s="19">
        <v>0</v>
      </c>
      <c r="F105" s="19">
        <v>44</v>
      </c>
      <c r="G105" s="34">
        <f>SUM(D105:F105)</f>
        <v>82</v>
      </c>
      <c r="H105" s="31"/>
      <c r="I105" s="33">
        <v>24</v>
      </c>
      <c r="J105" s="19">
        <v>0</v>
      </c>
      <c r="K105" s="19">
        <v>32</v>
      </c>
      <c r="L105" s="34">
        <f t="shared" ref="L105" si="42">SUM(I105:K105)</f>
        <v>56</v>
      </c>
      <c r="M105"/>
      <c r="N105" s="39">
        <f>49+7</f>
        <v>56</v>
      </c>
      <c r="O105" s="40">
        <f>'HBAN LLM Interface'!G19</f>
        <v>1</v>
      </c>
      <c r="P105" s="17">
        <v>0</v>
      </c>
      <c r="Q105" s="17">
        <v>0</v>
      </c>
      <c r="R105" s="17">
        <f>54+9+56+14+37+12</f>
        <v>182</v>
      </c>
      <c r="S105" s="34">
        <f t="shared" ref="S105:S108" si="43">SUM(N105,P105,Q105,R105)</f>
        <v>238</v>
      </c>
      <c r="T105"/>
      <c r="U105" s="39"/>
      <c r="V105" s="39">
        <v>2</v>
      </c>
      <c r="W105" s="17">
        <v>22</v>
      </c>
      <c r="X105" s="40">
        <f>'HBAN LLM API'!F25</f>
        <v>1</v>
      </c>
      <c r="Y105" s="44">
        <f>SUM(U105:W105)</f>
        <v>24</v>
      </c>
      <c r="Z105"/>
      <c r="AA105" s="39"/>
      <c r="AB105" s="39">
        <f>525/250*60+19</f>
        <v>145</v>
      </c>
      <c r="AC105" s="17">
        <v>15</v>
      </c>
      <c r="AD105" s="44">
        <f>SUM(AA105:AC105)</f>
        <v>160</v>
      </c>
      <c r="AF105" s="12">
        <v>45657</v>
      </c>
      <c r="AG105" s="26">
        <f>L105-Y105</f>
        <v>32</v>
      </c>
      <c r="AH105" s="26">
        <f>L105-AD105</f>
        <v>-104</v>
      </c>
      <c r="AI105" s="3"/>
      <c r="AJ105" s="3"/>
      <c r="AK105" s="3"/>
      <c r="AL105" s="3"/>
      <c r="AM105" s="3"/>
      <c r="AN105" s="3"/>
      <c r="AO105" s="3"/>
      <c r="AT105" s="28">
        <v>45657</v>
      </c>
      <c r="AU105" s="26">
        <f>L105+L106+L107+L108</f>
        <v>224</v>
      </c>
      <c r="AV105" s="26">
        <f>AD105+AD106+AD107+AD108</f>
        <v>295.66666666666663</v>
      </c>
      <c r="AW105" s="26"/>
      <c r="AX105" s="30">
        <f>AV105-AU105</f>
        <v>71.666666666666629</v>
      </c>
      <c r="AY105" s="24">
        <f>(-AX105/AU105)</f>
        <v>-0.319940476190476</v>
      </c>
      <c r="AZ105" s="3"/>
      <c r="BA105" s="3"/>
      <c r="BB105" s="3"/>
      <c r="BC105" s="3"/>
      <c r="BD105" s="3"/>
      <c r="BH105" s="28">
        <v>45657</v>
      </c>
      <c r="BI105" s="26">
        <f>AU105</f>
        <v>224</v>
      </c>
      <c r="BJ105" s="26">
        <f>Y106+Y107+Y105+Y108</f>
        <v>100</v>
      </c>
      <c r="BK105" s="26"/>
      <c r="BL105" s="30">
        <f>BJ105-BI105</f>
        <v>-124</v>
      </c>
      <c r="BM105" s="24">
        <f>(-BL105/BI105)</f>
        <v>0.5535714285714286</v>
      </c>
      <c r="BU105" s="3" t="str">
        <f>B105</f>
        <v>HBAN</v>
      </c>
      <c r="BV105" s="28">
        <v>45657</v>
      </c>
      <c r="BW105" s="175">
        <f>L105-AD105</f>
        <v>-104</v>
      </c>
      <c r="BX105" s="175"/>
      <c r="BZ105" s="175">
        <f>L105-Y105</f>
        <v>32</v>
      </c>
      <c r="CA105" s="175"/>
    </row>
    <row r="106" spans="1:79" ht="14.4" x14ac:dyDescent="0.3">
      <c r="A106" s="47" t="s">
        <v>29</v>
      </c>
      <c r="B106" s="6" t="s">
        <v>112</v>
      </c>
      <c r="C106" s="3" t="s">
        <v>7</v>
      </c>
      <c r="D106" s="33">
        <v>38</v>
      </c>
      <c r="E106" s="19">
        <v>0</v>
      </c>
      <c r="F106" s="19">
        <v>44</v>
      </c>
      <c r="G106" s="51">
        <f>SUM(D106:F106)</f>
        <v>82</v>
      </c>
      <c r="H106" s="74"/>
      <c r="I106" s="33">
        <v>24</v>
      </c>
      <c r="J106" s="19">
        <v>0</v>
      </c>
      <c r="K106" s="19">
        <v>32</v>
      </c>
      <c r="L106" s="51">
        <f>SUM(I106:K106)</f>
        <v>56</v>
      </c>
      <c r="M106"/>
      <c r="N106" s="39">
        <f>49+19</f>
        <v>68</v>
      </c>
      <c r="O106" s="40">
        <f>'HBAN LLM Interface'!G41</f>
        <v>1</v>
      </c>
      <c r="P106" s="17">
        <v>0</v>
      </c>
      <c r="Q106" s="17">
        <v>0</v>
      </c>
      <c r="R106" s="17">
        <f>54+10+56+15+37+5</f>
        <v>177</v>
      </c>
      <c r="S106" s="51">
        <f t="shared" si="43"/>
        <v>245</v>
      </c>
      <c r="T106"/>
      <c r="U106" s="33">
        <f>1641/250*60</f>
        <v>393.84000000000003</v>
      </c>
      <c r="V106" s="39">
        <v>0</v>
      </c>
      <c r="W106" s="17">
        <v>24</v>
      </c>
      <c r="X106" s="40">
        <f>'HBAN LLM API'!F51</f>
        <v>1</v>
      </c>
      <c r="Y106" s="52">
        <f>W106+AVERAGE(V105,V107:V108)</f>
        <v>26</v>
      </c>
      <c r="Z106"/>
      <c r="AA106" s="33">
        <f>1788/250*60</f>
        <v>429.12</v>
      </c>
      <c r="AB106" s="39">
        <v>0</v>
      </c>
      <c r="AC106" s="17">
        <v>17</v>
      </c>
      <c r="AD106" s="52">
        <f>AC106+AVERAGE(AB105,AB107:AB108)</f>
        <v>74.666666666666657</v>
      </c>
      <c r="AF106" s="12">
        <v>45565</v>
      </c>
      <c r="AG106" s="26">
        <f t="shared" ref="AG106:AG108" si="44">L106-Y106</f>
        <v>30</v>
      </c>
      <c r="AH106" s="26">
        <f t="shared" ref="AH106:AH108" si="45">L106-AD106</f>
        <v>-18.666666666666657</v>
      </c>
      <c r="AI106" s="3"/>
      <c r="AJ106" s="3"/>
      <c r="AK106" s="3"/>
      <c r="AL106" s="3"/>
      <c r="AM106" s="3"/>
      <c r="AN106" s="3"/>
      <c r="AO106" s="3"/>
      <c r="AT106" s="28">
        <v>45565</v>
      </c>
      <c r="AU106" s="26">
        <f>L106+L107+L108</f>
        <v>168</v>
      </c>
      <c r="AV106" s="26">
        <f>AD106+AD107+AD108</f>
        <v>135.66666666666666</v>
      </c>
      <c r="AW106" s="26"/>
      <c r="AX106" s="30">
        <f>AV106-AU106</f>
        <v>-32.333333333333343</v>
      </c>
      <c r="AY106" s="24">
        <f>(-AX106/AU106)</f>
        <v>0.19246031746031753</v>
      </c>
      <c r="AZ106" s="3"/>
      <c r="BA106" s="3"/>
      <c r="BB106" s="3"/>
      <c r="BC106" s="3"/>
      <c r="BD106" s="3"/>
      <c r="BH106" s="28">
        <v>45565</v>
      </c>
      <c r="BI106" s="26">
        <f t="shared" ref="BI106:BI108" si="46">AU106</f>
        <v>168</v>
      </c>
      <c r="BJ106" s="26">
        <f>Y107+Y108+Y106</f>
        <v>76</v>
      </c>
      <c r="BK106" s="26"/>
      <c r="BL106" s="30">
        <f t="shared" ref="BL106:BL108" si="47">BJ106-BI106</f>
        <v>-92</v>
      </c>
      <c r="BM106" s="24">
        <f>(-BL106/BI106)</f>
        <v>0.54761904761904767</v>
      </c>
      <c r="BU106" s="3" t="str">
        <f t="shared" ref="BU106:BU108" si="48">B106</f>
        <v>HBAN</v>
      </c>
      <c r="BV106" s="28">
        <v>45565</v>
      </c>
      <c r="BW106" s="175">
        <f>L106-(AC106+AVERAGE(AB105,AB107:AB108))</f>
        <v>-18.666666666666657</v>
      </c>
      <c r="BX106" s="175"/>
      <c r="BZ106" s="175">
        <f>L106-(W106+AVERAGE(V105,V107:V108))</f>
        <v>30</v>
      </c>
      <c r="CA106" s="175"/>
    </row>
    <row r="107" spans="1:79" ht="14.4" x14ac:dyDescent="0.3">
      <c r="B107" s="6" t="s">
        <v>112</v>
      </c>
      <c r="C107" s="3" t="s">
        <v>9</v>
      </c>
      <c r="D107" s="33">
        <v>38</v>
      </c>
      <c r="E107" s="19">
        <v>0</v>
      </c>
      <c r="F107" s="19">
        <v>44</v>
      </c>
      <c r="G107" s="34">
        <f>SUM(D107:F107)</f>
        <v>82</v>
      </c>
      <c r="H107" s="31"/>
      <c r="I107" s="33">
        <v>24</v>
      </c>
      <c r="J107" s="19">
        <v>0</v>
      </c>
      <c r="K107" s="19">
        <v>32</v>
      </c>
      <c r="L107" s="34">
        <f t="shared" ref="L107:L108" si="49">SUM(I107:K107)</f>
        <v>56</v>
      </c>
      <c r="M107"/>
      <c r="N107" s="39">
        <f>49+10</f>
        <v>59</v>
      </c>
      <c r="O107" s="40">
        <f>'HBAN LLM Interface'!G64</f>
        <v>1</v>
      </c>
      <c r="P107" s="17">
        <v>0</v>
      </c>
      <c r="Q107" s="17">
        <v>0</v>
      </c>
      <c r="R107" s="17">
        <f>54+9+56+10+37+14</f>
        <v>180</v>
      </c>
      <c r="S107" s="34">
        <f t="shared" si="43"/>
        <v>239</v>
      </c>
      <c r="T107"/>
      <c r="U107" s="39"/>
      <c r="V107" s="39">
        <v>2</v>
      </c>
      <c r="W107" s="17">
        <v>21</v>
      </c>
      <c r="X107" s="40">
        <f>'HBAN LLM API'!F76</f>
        <v>1</v>
      </c>
      <c r="Y107" s="44">
        <f>SUM(U107:W107)</f>
        <v>23</v>
      </c>
      <c r="Z107"/>
      <c r="AA107" s="39"/>
      <c r="AB107" s="39">
        <v>14</v>
      </c>
      <c r="AC107" s="17">
        <v>15</v>
      </c>
      <c r="AD107" s="44">
        <f>SUM(AA107:AC107)</f>
        <v>29</v>
      </c>
      <c r="AF107" s="12">
        <v>45473</v>
      </c>
      <c r="AG107" s="26">
        <f t="shared" si="44"/>
        <v>33</v>
      </c>
      <c r="AH107" s="26">
        <f t="shared" si="45"/>
        <v>27</v>
      </c>
      <c r="AI107" s="3"/>
      <c r="AJ107" s="3"/>
      <c r="AK107" s="3"/>
      <c r="AL107" s="3"/>
      <c r="AM107" s="3"/>
      <c r="AN107" s="3"/>
      <c r="AO107" s="3"/>
      <c r="AT107" s="28">
        <v>45473</v>
      </c>
      <c r="AU107" s="26">
        <f>L107+L108</f>
        <v>112</v>
      </c>
      <c r="AV107" s="26">
        <f>AD107+AD108</f>
        <v>61</v>
      </c>
      <c r="AW107" s="26"/>
      <c r="AX107" s="30">
        <f>AV107-AU107</f>
        <v>-51</v>
      </c>
      <c r="AY107" s="24">
        <f>(-AX107/AU107)</f>
        <v>0.45535714285714285</v>
      </c>
      <c r="AZ107" s="3"/>
      <c r="BA107" s="3"/>
      <c r="BB107" s="3"/>
      <c r="BC107" s="3"/>
      <c r="BD107" s="3"/>
      <c r="BH107" s="28">
        <v>45473</v>
      </c>
      <c r="BI107" s="26">
        <f t="shared" si="46"/>
        <v>112</v>
      </c>
      <c r="BJ107" s="3">
        <f>Y107+Y108</f>
        <v>50</v>
      </c>
      <c r="BK107" s="3"/>
      <c r="BL107" s="30">
        <f t="shared" si="47"/>
        <v>-62</v>
      </c>
      <c r="BM107" s="24">
        <f>(-BL107/BI107)</f>
        <v>0.5535714285714286</v>
      </c>
      <c r="BU107" s="3" t="str">
        <f t="shared" si="48"/>
        <v>HBAN</v>
      </c>
      <c r="BV107" s="28">
        <v>45473</v>
      </c>
      <c r="BW107" s="175">
        <f>L107-AD107</f>
        <v>27</v>
      </c>
      <c r="BX107" s="175"/>
      <c r="BZ107" s="175">
        <f>L107-Y107</f>
        <v>33</v>
      </c>
      <c r="CA107" s="175"/>
    </row>
    <row r="108" spans="1:79" ht="14.4" x14ac:dyDescent="0.3">
      <c r="B108" s="6" t="s">
        <v>112</v>
      </c>
      <c r="C108" s="3" t="s">
        <v>10</v>
      </c>
      <c r="D108" s="35">
        <v>38</v>
      </c>
      <c r="E108" s="46">
        <v>0</v>
      </c>
      <c r="F108" s="46">
        <v>44</v>
      </c>
      <c r="G108" s="36">
        <f>SUM(D108:F108)</f>
        <v>82</v>
      </c>
      <c r="H108" s="31"/>
      <c r="I108" s="35">
        <v>24</v>
      </c>
      <c r="J108" s="46">
        <v>0</v>
      </c>
      <c r="K108" s="46">
        <v>32</v>
      </c>
      <c r="L108" s="36">
        <f t="shared" si="49"/>
        <v>56</v>
      </c>
      <c r="M108"/>
      <c r="N108" s="41">
        <f>49+10</f>
        <v>59</v>
      </c>
      <c r="O108" s="42">
        <f>'HBAN LLM Interface'!G85</f>
        <v>1</v>
      </c>
      <c r="P108" s="43">
        <v>0</v>
      </c>
      <c r="Q108" s="43">
        <v>0</v>
      </c>
      <c r="R108" s="48">
        <f>54+8+56+16+37+12</f>
        <v>183</v>
      </c>
      <c r="S108" s="36">
        <f t="shared" si="43"/>
        <v>242</v>
      </c>
      <c r="T108"/>
      <c r="U108" s="41"/>
      <c r="V108" s="41">
        <v>2</v>
      </c>
      <c r="W108" s="43">
        <v>25</v>
      </c>
      <c r="X108" s="42">
        <f>'HBAN LLM API'!F102</f>
        <v>1</v>
      </c>
      <c r="Y108" s="45">
        <f>SUM(U108:W108)</f>
        <v>27</v>
      </c>
      <c r="Z108"/>
      <c r="AA108" s="41"/>
      <c r="AB108" s="41">
        <v>14</v>
      </c>
      <c r="AC108" s="43">
        <v>18</v>
      </c>
      <c r="AD108" s="45">
        <f>SUM(AA108:AC108)</f>
        <v>32</v>
      </c>
      <c r="AF108" s="12">
        <v>45382</v>
      </c>
      <c r="AG108" s="26">
        <f t="shared" si="44"/>
        <v>29</v>
      </c>
      <c r="AH108" s="26">
        <f t="shared" si="45"/>
        <v>24</v>
      </c>
      <c r="AI108" s="3"/>
      <c r="AJ108" s="3"/>
      <c r="AK108" s="3"/>
      <c r="AL108" s="3"/>
      <c r="AM108" s="3"/>
      <c r="AN108" s="3"/>
      <c r="AO108" s="3"/>
      <c r="AT108" s="28">
        <v>45382</v>
      </c>
      <c r="AU108" s="26">
        <f>L108</f>
        <v>56</v>
      </c>
      <c r="AV108" s="26">
        <f>AD108</f>
        <v>32</v>
      </c>
      <c r="AW108" s="26"/>
      <c r="AX108" s="30">
        <f>AV108-AU108</f>
        <v>-24</v>
      </c>
      <c r="AY108" s="24">
        <f>(-AX108/AU108)</f>
        <v>0.42857142857142855</v>
      </c>
      <c r="AZ108" s="3"/>
      <c r="BA108" s="3"/>
      <c r="BB108" s="3"/>
      <c r="BC108" s="3"/>
      <c r="BD108" s="3"/>
      <c r="BH108" s="28">
        <v>45382</v>
      </c>
      <c r="BI108" s="26">
        <f t="shared" si="46"/>
        <v>56</v>
      </c>
      <c r="BJ108" s="3">
        <f>Y108</f>
        <v>27</v>
      </c>
      <c r="BK108" s="3"/>
      <c r="BL108" s="30">
        <f t="shared" si="47"/>
        <v>-29</v>
      </c>
      <c r="BM108" s="24">
        <f>(-BL108/BI108)</f>
        <v>0.5178571428571429</v>
      </c>
      <c r="BU108" s="3" t="str">
        <f t="shared" si="48"/>
        <v>HBAN</v>
      </c>
      <c r="BV108" s="28">
        <v>45382</v>
      </c>
      <c r="BW108" s="175">
        <f>L108-AD108</f>
        <v>24</v>
      </c>
      <c r="BX108" s="175"/>
      <c r="BZ108" s="175">
        <f>L108-Y108</f>
        <v>29</v>
      </c>
      <c r="CA108" s="175"/>
    </row>
    <row r="109" spans="1:79" ht="14.4" x14ac:dyDescent="0.3">
      <c r="G109" s="3">
        <f>SUM(G105:G108)</f>
        <v>328</v>
      </c>
      <c r="H109" s="3"/>
      <c r="K109" s="11" t="s">
        <v>324</v>
      </c>
      <c r="L109" s="3">
        <f>SUM(L105:L108)</f>
        <v>224</v>
      </c>
      <c r="M109"/>
      <c r="S109" s="26">
        <f>SUM(S105:S108)</f>
        <v>964</v>
      </c>
      <c r="T109"/>
      <c r="W109" s="11" t="s">
        <v>324</v>
      </c>
      <c r="Y109" s="26">
        <f>SUM(Y105:Y108)</f>
        <v>100</v>
      </c>
      <c r="Z109" s="31"/>
      <c r="AC109" s="11" t="s">
        <v>324</v>
      </c>
      <c r="AD109" s="26">
        <f>SUM(AD105:AD108)</f>
        <v>295.66666666666663</v>
      </c>
      <c r="AF109" s="12" t="s">
        <v>11</v>
      </c>
      <c r="AG109" s="26">
        <f>SUM(AG105:AG108)</f>
        <v>124</v>
      </c>
      <c r="AH109" s="26">
        <f>SUM(AH105:AH108)</f>
        <v>-71.666666666666657</v>
      </c>
      <c r="AT109" s="12"/>
      <c r="AU109" s="26"/>
      <c r="AV109" s="26"/>
      <c r="BV109" s="11" t="s">
        <v>36</v>
      </c>
      <c r="BW109" s="176">
        <f>AA106/AVERAGE(BW105:BX108)</f>
        <v>-23.950883720930236</v>
      </c>
      <c r="BX109" s="176"/>
      <c r="BZ109" s="176">
        <f>U106/AVERAGE(BZ105:CA108)</f>
        <v>12.704516129032259</v>
      </c>
      <c r="CA109" s="176"/>
    </row>
    <row r="110" spans="1:79" ht="14.4" x14ac:dyDescent="0.3">
      <c r="R110" s="11" t="s">
        <v>166</v>
      </c>
      <c r="S110" s="14">
        <f>(($L109-S109)/$L109)*1</f>
        <v>-3.3035714285714284</v>
      </c>
      <c r="T110"/>
      <c r="W110" s="11" t="s">
        <v>166</v>
      </c>
      <c r="Y110" s="172">
        <f>(($L109-Y109)/$L109)*1</f>
        <v>0.5535714285714286</v>
      </c>
      <c r="AC110" s="11" t="s">
        <v>166</v>
      </c>
      <c r="AD110" s="172">
        <f>(($L109-AD109)/$L109)*1</f>
        <v>-0.319940476190476</v>
      </c>
    </row>
    <row r="111" spans="1:79" ht="14.4" x14ac:dyDescent="0.3">
      <c r="T111"/>
      <c r="W111" s="11" t="s">
        <v>325</v>
      </c>
      <c r="X111" s="171">
        <f>AVERAGE(X105:X108)</f>
        <v>1</v>
      </c>
    </row>
    <row r="112" spans="1:79" ht="14.4" x14ac:dyDescent="0.3">
      <c r="T112"/>
      <c r="AB112" s="26">
        <f>AVERAGE(AB107:AB108,AB105)</f>
        <v>57.666666666666664</v>
      </c>
      <c r="AC112" s="26">
        <f>AVERAGE(AC105:AC108)</f>
        <v>16.25</v>
      </c>
    </row>
    <row r="113" spans="1:79" ht="14.4" x14ac:dyDescent="0.3">
      <c r="T113"/>
    </row>
    <row r="114" spans="1:79" ht="14.4" x14ac:dyDescent="0.3">
      <c r="T114"/>
    </row>
    <row r="115" spans="1:79" ht="14.4" x14ac:dyDescent="0.3">
      <c r="T115"/>
    </row>
    <row r="116" spans="1:79" ht="14.4" x14ac:dyDescent="0.3">
      <c r="T116"/>
    </row>
    <row r="117" spans="1:79" ht="14.4" x14ac:dyDescent="0.3">
      <c r="T117"/>
    </row>
    <row r="118" spans="1:79" ht="14.4" x14ac:dyDescent="0.3">
      <c r="T118"/>
    </row>
    <row r="119" spans="1:79" ht="14.4" x14ac:dyDescent="0.3">
      <c r="T119"/>
    </row>
    <row r="120" spans="1:79" ht="14.4" x14ac:dyDescent="0.3">
      <c r="B120" s="6"/>
      <c r="D120" s="174" t="s">
        <v>62</v>
      </c>
      <c r="E120" s="174"/>
      <c r="F120" s="174"/>
      <c r="G120" s="174"/>
      <c r="H120" s="4"/>
      <c r="I120" s="174" t="s">
        <v>323</v>
      </c>
      <c r="J120" s="174"/>
      <c r="K120" s="174"/>
      <c r="L120" s="174"/>
      <c r="M120" s="4"/>
      <c r="N120" s="174" t="s">
        <v>4</v>
      </c>
      <c r="O120" s="174"/>
      <c r="P120" s="174"/>
      <c r="Q120" s="174"/>
      <c r="R120" s="174"/>
      <c r="S120" s="174"/>
      <c r="T120"/>
      <c r="U120" s="174" t="s">
        <v>245</v>
      </c>
      <c r="V120" s="174"/>
      <c r="W120" s="174"/>
      <c r="X120" s="174"/>
      <c r="Y120" s="174"/>
      <c r="Z120" s="4"/>
      <c r="AA120" s="174" t="s">
        <v>318</v>
      </c>
      <c r="AB120" s="174"/>
      <c r="AC120" s="174"/>
      <c r="AD120" s="174"/>
    </row>
    <row r="121" spans="1:79" ht="14.4" x14ac:dyDescent="0.3">
      <c r="B121" s="6"/>
      <c r="I121" s="173" t="s">
        <v>274</v>
      </c>
      <c r="J121" s="173"/>
      <c r="K121" s="173"/>
      <c r="L121" s="173"/>
      <c r="M121" s="6"/>
      <c r="N121" s="9" t="s">
        <v>54</v>
      </c>
      <c r="O121" s="6"/>
      <c r="P121" s="9" t="s">
        <v>53</v>
      </c>
      <c r="Q121" s="9" t="s">
        <v>83</v>
      </c>
      <c r="R121" s="9" t="s">
        <v>57</v>
      </c>
      <c r="S121" s="6"/>
      <c r="T121"/>
      <c r="U121" s="173" t="s">
        <v>274</v>
      </c>
      <c r="V121" s="173"/>
      <c r="W121" s="173"/>
      <c r="X121" s="173"/>
      <c r="Y121" s="173"/>
      <c r="Z121" s="6"/>
      <c r="AA121" s="173" t="s">
        <v>274</v>
      </c>
      <c r="AB121" s="173"/>
      <c r="AC121" s="173"/>
      <c r="AD121" s="173"/>
    </row>
    <row r="122" spans="1:79" ht="14.4" x14ac:dyDescent="0.3">
      <c r="B122" s="6" t="s">
        <v>2</v>
      </c>
      <c r="C122" s="6" t="s">
        <v>6</v>
      </c>
      <c r="D122" s="37" t="s">
        <v>64</v>
      </c>
      <c r="E122" s="38" t="s">
        <v>63</v>
      </c>
      <c r="F122" s="38" t="s">
        <v>319</v>
      </c>
      <c r="G122" s="32" t="s">
        <v>38</v>
      </c>
      <c r="H122" s="6"/>
      <c r="I122" s="37" t="s">
        <v>64</v>
      </c>
      <c r="J122" s="38" t="s">
        <v>63</v>
      </c>
      <c r="K122" s="38" t="s">
        <v>319</v>
      </c>
      <c r="L122" s="32" t="s">
        <v>11</v>
      </c>
      <c r="M122"/>
      <c r="N122" s="37" t="s">
        <v>64</v>
      </c>
      <c r="O122" s="38" t="s">
        <v>5</v>
      </c>
      <c r="P122" s="38" t="s">
        <v>88</v>
      </c>
      <c r="Q122" s="38" t="s">
        <v>63</v>
      </c>
      <c r="R122" s="38" t="s">
        <v>319</v>
      </c>
      <c r="S122" s="32" t="s">
        <v>37</v>
      </c>
      <c r="T122"/>
      <c r="U122" s="37" t="s">
        <v>87</v>
      </c>
      <c r="V122" s="37" t="s">
        <v>85</v>
      </c>
      <c r="W122" s="38" t="s">
        <v>86</v>
      </c>
      <c r="X122" s="38" t="s">
        <v>5</v>
      </c>
      <c r="Y122" s="32" t="s">
        <v>11</v>
      </c>
      <c r="Z122"/>
      <c r="AA122" s="37" t="s">
        <v>87</v>
      </c>
      <c r="AB122" s="37" t="s">
        <v>85</v>
      </c>
      <c r="AC122" s="38" t="s">
        <v>86</v>
      </c>
      <c r="AD122" s="32" t="s">
        <v>11</v>
      </c>
      <c r="AF122" s="6" t="s">
        <v>12</v>
      </c>
      <c r="AG122" s="6" t="s">
        <v>244</v>
      </c>
      <c r="AH122" s="6" t="s">
        <v>320</v>
      </c>
      <c r="AU122" s="6" t="s">
        <v>203</v>
      </c>
      <c r="AV122" s="6" t="s">
        <v>320</v>
      </c>
      <c r="AW122" s="6"/>
      <c r="AX122" s="6" t="s">
        <v>35</v>
      </c>
      <c r="AY122" s="6" t="s">
        <v>251</v>
      </c>
      <c r="AZ122" s="6"/>
      <c r="BI122" s="6" t="s">
        <v>203</v>
      </c>
      <c r="BJ122" s="6" t="s">
        <v>244</v>
      </c>
      <c r="BK122" s="6"/>
      <c r="BL122" s="6" t="s">
        <v>35</v>
      </c>
      <c r="BM122" s="6" t="s">
        <v>251</v>
      </c>
    </row>
    <row r="123" spans="1:79" ht="14.4" x14ac:dyDescent="0.3">
      <c r="B123" s="6" t="s">
        <v>129</v>
      </c>
      <c r="C123" s="3" t="s">
        <v>8</v>
      </c>
      <c r="D123" s="33">
        <v>54</v>
      </c>
      <c r="E123" s="19">
        <v>50</v>
      </c>
      <c r="F123" s="19">
        <v>48</v>
      </c>
      <c r="G123" s="34">
        <f>SUM(D123:F123)</f>
        <v>152</v>
      </c>
      <c r="H123" s="31"/>
      <c r="I123" s="33">
        <v>32</v>
      </c>
      <c r="J123" s="19">
        <v>42</v>
      </c>
      <c r="K123" s="19">
        <v>32</v>
      </c>
      <c r="L123" s="34">
        <f t="shared" ref="L123" si="50">SUM(I123:K123)</f>
        <v>106</v>
      </c>
      <c r="M123"/>
      <c r="N123" s="39">
        <f>49+8</f>
        <v>57</v>
      </c>
      <c r="O123" s="40">
        <f>'CFG LLM Interface'!F25</f>
        <v>1</v>
      </c>
      <c r="P123" s="17">
        <v>0</v>
      </c>
      <c r="Q123" s="17">
        <f>40+8</f>
        <v>48</v>
      </c>
      <c r="R123" s="17">
        <f>54+9+56+12+33+12</f>
        <v>176</v>
      </c>
      <c r="S123" s="34">
        <f t="shared" ref="S123:S126" si="51">SUM(N123,P123,Q123,R123)</f>
        <v>281</v>
      </c>
      <c r="T123"/>
      <c r="U123" s="39"/>
      <c r="V123" s="39">
        <v>2</v>
      </c>
      <c r="W123" s="17">
        <v>23</v>
      </c>
      <c r="X123" s="40">
        <f>'CFG LLM API'!F24</f>
        <v>1</v>
      </c>
      <c r="Y123" s="44">
        <f>SUM(U123:W123)</f>
        <v>25</v>
      </c>
      <c r="Z123"/>
      <c r="AA123" s="39"/>
      <c r="AB123" s="39">
        <v>22</v>
      </c>
      <c r="AC123" s="17">
        <v>18</v>
      </c>
      <c r="AD123" s="44">
        <f>SUM(AA123:AC123)</f>
        <v>40</v>
      </c>
      <c r="AF123" s="12">
        <v>45657</v>
      </c>
      <c r="AG123" s="26">
        <f>L123-Y123</f>
        <v>81</v>
      </c>
      <c r="AH123" s="26">
        <f>L123-AD123</f>
        <v>66</v>
      </c>
      <c r="AI123" s="3"/>
      <c r="AJ123" s="3"/>
      <c r="AK123" s="3"/>
      <c r="AL123" s="3"/>
      <c r="AM123" s="3"/>
      <c r="AN123" s="3"/>
      <c r="AO123" s="3"/>
      <c r="AT123" s="28">
        <v>45657</v>
      </c>
      <c r="AU123" s="26">
        <f>L123+L124+L125+L126</f>
        <v>424</v>
      </c>
      <c r="AV123" s="26">
        <f>AD123+AD124+AD125+AD126</f>
        <v>143</v>
      </c>
      <c r="AW123" s="26"/>
      <c r="AX123" s="30">
        <f>AV123-AU123</f>
        <v>-281</v>
      </c>
      <c r="AY123" s="24">
        <f>(-AX123/AU123)</f>
        <v>0.66273584905660377</v>
      </c>
      <c r="AZ123" s="3"/>
      <c r="BA123" s="3"/>
      <c r="BB123" s="3"/>
      <c r="BC123" s="3"/>
      <c r="BD123" s="3"/>
      <c r="BH123" s="28">
        <v>45657</v>
      </c>
      <c r="BI123" s="26">
        <f>AU123</f>
        <v>424</v>
      </c>
      <c r="BJ123" s="26">
        <f>Y124+Y125+Y123+Y126</f>
        <v>103</v>
      </c>
      <c r="BK123" s="26"/>
      <c r="BL123" s="30">
        <f>BJ123-BI123</f>
        <v>-321</v>
      </c>
      <c r="BM123" s="24">
        <f>(-BL123/BI123)</f>
        <v>0.75707547169811318</v>
      </c>
      <c r="BU123" s="3" t="str">
        <f>B123</f>
        <v>CFG</v>
      </c>
      <c r="BV123" s="28">
        <v>45657</v>
      </c>
      <c r="BW123" s="175">
        <f>L123-AD123</f>
        <v>66</v>
      </c>
      <c r="BX123" s="175"/>
      <c r="BZ123" s="175">
        <f>L123-Y123</f>
        <v>81</v>
      </c>
      <c r="CA123" s="175"/>
    </row>
    <row r="124" spans="1:79" ht="14.4" x14ac:dyDescent="0.3">
      <c r="A124" s="47" t="s">
        <v>29</v>
      </c>
      <c r="B124" s="6" t="s">
        <v>129</v>
      </c>
      <c r="C124" s="3" t="s">
        <v>7</v>
      </c>
      <c r="D124" s="33">
        <v>54</v>
      </c>
      <c r="E124" s="19">
        <v>50</v>
      </c>
      <c r="F124" s="19">
        <v>48</v>
      </c>
      <c r="G124" s="51">
        <f>SUM(D124:F124)</f>
        <v>152</v>
      </c>
      <c r="H124" s="74"/>
      <c r="I124" s="33">
        <v>32</v>
      </c>
      <c r="J124" s="19">
        <v>42</v>
      </c>
      <c r="K124" s="19">
        <v>32</v>
      </c>
      <c r="L124" s="51">
        <f>SUM(I124:K124)</f>
        <v>106</v>
      </c>
      <c r="M124"/>
      <c r="N124" s="39">
        <f>49+9</f>
        <v>58</v>
      </c>
      <c r="O124" s="40">
        <f>'CFG LLM Interface'!F50</f>
        <v>1</v>
      </c>
      <c r="P124" s="17">
        <v>0</v>
      </c>
      <c r="Q124" s="17">
        <f>40+7</f>
        <v>47</v>
      </c>
      <c r="R124" s="17">
        <f>54+11+56+10+33+14</f>
        <v>178</v>
      </c>
      <c r="S124" s="51">
        <f t="shared" si="51"/>
        <v>283</v>
      </c>
      <c r="T124"/>
      <c r="U124" s="33">
        <f>1879/250*60</f>
        <v>450.96</v>
      </c>
      <c r="V124" s="39">
        <v>0</v>
      </c>
      <c r="W124" s="17">
        <v>23</v>
      </c>
      <c r="X124" s="40">
        <f>'CFG LLM API'!F50</f>
        <v>1</v>
      </c>
      <c r="Y124" s="52">
        <f>W124+AVERAGE(V123,V125:V126)</f>
        <v>25</v>
      </c>
      <c r="Z124"/>
      <c r="AA124" s="33">
        <f>2694/250*60</f>
        <v>646.55999999999995</v>
      </c>
      <c r="AB124" s="39">
        <v>0</v>
      </c>
      <c r="AC124" s="17">
        <v>16</v>
      </c>
      <c r="AD124" s="52">
        <f>AC124+AVERAGE(AB123,AB125:AB126)</f>
        <v>36</v>
      </c>
      <c r="AF124" s="12">
        <v>45565</v>
      </c>
      <c r="AG124" s="26">
        <f t="shared" ref="AG124:AG126" si="52">L124-Y124</f>
        <v>81</v>
      </c>
      <c r="AH124" s="26">
        <f t="shared" ref="AH124:AH126" si="53">L124-AD124</f>
        <v>70</v>
      </c>
      <c r="AI124" s="3"/>
      <c r="AJ124" s="3"/>
      <c r="AK124" s="3"/>
      <c r="AL124" s="3"/>
      <c r="AM124" s="3"/>
      <c r="AN124" s="3"/>
      <c r="AO124" s="3"/>
      <c r="AT124" s="28">
        <v>45565</v>
      </c>
      <c r="AU124" s="26">
        <f>L124+L125+L126</f>
        <v>318</v>
      </c>
      <c r="AV124" s="26">
        <f>AD124+AD125+AD126</f>
        <v>103</v>
      </c>
      <c r="AW124" s="26"/>
      <c r="AX124" s="30">
        <f>AV124-AU124</f>
        <v>-215</v>
      </c>
      <c r="AY124" s="24">
        <f>(-AX124/AU124)</f>
        <v>0.67610062893081757</v>
      </c>
      <c r="AZ124" s="3"/>
      <c r="BA124" s="3"/>
      <c r="BB124" s="3"/>
      <c r="BC124" s="3"/>
      <c r="BD124" s="3"/>
      <c r="BH124" s="28">
        <v>45565</v>
      </c>
      <c r="BI124" s="26">
        <f t="shared" ref="BI124:BI126" si="54">AU124</f>
        <v>318</v>
      </c>
      <c r="BJ124" s="26">
        <f>Y125+Y126+Y124</f>
        <v>78</v>
      </c>
      <c r="BK124" s="26"/>
      <c r="BL124" s="30">
        <f t="shared" ref="BL124:BL126" si="55">BJ124-BI124</f>
        <v>-240</v>
      </c>
      <c r="BM124" s="24">
        <f>(-BL124/BI124)</f>
        <v>0.75471698113207553</v>
      </c>
      <c r="BU124" s="3" t="str">
        <f t="shared" ref="BU124:BU126" si="56">B124</f>
        <v>CFG</v>
      </c>
      <c r="BV124" s="28">
        <v>45565</v>
      </c>
      <c r="BW124" s="175">
        <f>L124-(AC124+AVERAGE(AB123,AB125:AB126))</f>
        <v>70</v>
      </c>
      <c r="BX124" s="175"/>
      <c r="BZ124" s="175">
        <f>L124-(W124+AVERAGE(V123,V125:V126))</f>
        <v>81</v>
      </c>
      <c r="CA124" s="175"/>
    </row>
    <row r="125" spans="1:79" ht="14.4" x14ac:dyDescent="0.3">
      <c r="B125" s="6" t="s">
        <v>129</v>
      </c>
      <c r="C125" s="3" t="s">
        <v>9</v>
      </c>
      <c r="D125" s="33">
        <v>54</v>
      </c>
      <c r="E125" s="19">
        <v>50</v>
      </c>
      <c r="F125" s="19">
        <v>48</v>
      </c>
      <c r="G125" s="34">
        <f>SUM(D125:F125)</f>
        <v>152</v>
      </c>
      <c r="H125" s="31"/>
      <c r="I125" s="33">
        <v>32</v>
      </c>
      <c r="J125" s="19">
        <v>42</v>
      </c>
      <c r="K125" s="19">
        <v>32</v>
      </c>
      <c r="L125" s="34">
        <f t="shared" ref="L125:L126" si="57">SUM(I125:K125)</f>
        <v>106</v>
      </c>
      <c r="M125"/>
      <c r="N125" s="39">
        <f>49+8</f>
        <v>57</v>
      </c>
      <c r="O125" s="40">
        <f>'CFG LLM Interface'!F77</f>
        <v>1</v>
      </c>
      <c r="P125" s="17">
        <v>0</v>
      </c>
      <c r="Q125" s="17">
        <f>40+5</f>
        <v>45</v>
      </c>
      <c r="R125" s="17">
        <f>54+7+56+10+33+12</f>
        <v>172</v>
      </c>
      <c r="S125" s="34">
        <f t="shared" si="51"/>
        <v>274</v>
      </c>
      <c r="T125"/>
      <c r="U125" s="39"/>
      <c r="V125" s="39">
        <v>2</v>
      </c>
      <c r="W125" s="17">
        <v>24</v>
      </c>
      <c r="X125" s="40">
        <f>'CFG LLM API'!F75</f>
        <v>1</v>
      </c>
      <c r="Y125" s="44">
        <f>SUM(U125:W125)</f>
        <v>26</v>
      </c>
      <c r="Z125"/>
      <c r="AA125" s="39"/>
      <c r="AB125" s="39">
        <v>20</v>
      </c>
      <c r="AC125" s="17">
        <v>14</v>
      </c>
      <c r="AD125" s="44">
        <f>SUM(AA125:AC125)</f>
        <v>34</v>
      </c>
      <c r="AF125" s="12">
        <v>45473</v>
      </c>
      <c r="AG125" s="26">
        <f t="shared" si="52"/>
        <v>80</v>
      </c>
      <c r="AH125" s="26">
        <f t="shared" si="53"/>
        <v>72</v>
      </c>
      <c r="AI125" s="3"/>
      <c r="AJ125" s="3"/>
      <c r="AK125" s="3"/>
      <c r="AL125" s="3"/>
      <c r="AM125" s="3"/>
      <c r="AN125" s="3"/>
      <c r="AO125" s="3"/>
      <c r="AT125" s="28">
        <v>45473</v>
      </c>
      <c r="AU125" s="26">
        <f>L125+L126</f>
        <v>212</v>
      </c>
      <c r="AV125" s="26">
        <f>AD125+AD126</f>
        <v>67</v>
      </c>
      <c r="AW125" s="26"/>
      <c r="AX125" s="30">
        <f>AV125-AU125</f>
        <v>-145</v>
      </c>
      <c r="AY125" s="24">
        <f>(-AX125/AU125)</f>
        <v>0.68396226415094341</v>
      </c>
      <c r="AZ125" s="3"/>
      <c r="BA125" s="3"/>
      <c r="BB125" s="3"/>
      <c r="BC125" s="3"/>
      <c r="BD125" s="3"/>
      <c r="BH125" s="28">
        <v>45473</v>
      </c>
      <c r="BI125" s="26">
        <f t="shared" si="54"/>
        <v>212</v>
      </c>
      <c r="BJ125" s="3">
        <f>Y125+Y126</f>
        <v>53</v>
      </c>
      <c r="BK125" s="3"/>
      <c r="BL125" s="30">
        <f t="shared" si="55"/>
        <v>-159</v>
      </c>
      <c r="BM125" s="24">
        <f>(-BL125/BI125)</f>
        <v>0.75</v>
      </c>
      <c r="BU125" s="3" t="str">
        <f t="shared" si="56"/>
        <v>CFG</v>
      </c>
      <c r="BV125" s="28">
        <v>45473</v>
      </c>
      <c r="BW125" s="175">
        <f>L125-AD125</f>
        <v>72</v>
      </c>
      <c r="BX125" s="175"/>
      <c r="BZ125" s="175">
        <f>L125-Y125</f>
        <v>80</v>
      </c>
      <c r="CA125" s="175"/>
    </row>
    <row r="126" spans="1:79" ht="14.4" x14ac:dyDescent="0.3">
      <c r="B126" s="6" t="s">
        <v>129</v>
      </c>
      <c r="C126" s="3" t="s">
        <v>10</v>
      </c>
      <c r="D126" s="35">
        <v>54</v>
      </c>
      <c r="E126" s="46">
        <v>50</v>
      </c>
      <c r="F126" s="46">
        <v>48</v>
      </c>
      <c r="G126" s="36">
        <f>SUM(D126:F126)</f>
        <v>152</v>
      </c>
      <c r="H126" s="31"/>
      <c r="I126" s="35">
        <v>32</v>
      </c>
      <c r="J126" s="46">
        <v>42</v>
      </c>
      <c r="K126" s="46">
        <v>32</v>
      </c>
      <c r="L126" s="36">
        <f t="shared" si="57"/>
        <v>106</v>
      </c>
      <c r="M126"/>
      <c r="N126" s="41">
        <f>49+11</f>
        <v>60</v>
      </c>
      <c r="O126" s="42">
        <f>'CFG LLM Interface'!F102</f>
        <v>1</v>
      </c>
      <c r="P126" s="43">
        <v>0</v>
      </c>
      <c r="Q126" s="43">
        <f>40+6</f>
        <v>46</v>
      </c>
      <c r="R126" s="48">
        <f>54+7+56+11+33+10</f>
        <v>171</v>
      </c>
      <c r="S126" s="36">
        <f t="shared" si="51"/>
        <v>277</v>
      </c>
      <c r="T126"/>
      <c r="U126" s="41"/>
      <c r="V126" s="41">
        <v>2</v>
      </c>
      <c r="W126" s="43">
        <v>25</v>
      </c>
      <c r="X126" s="42">
        <f>'CFG LLM API'!F100</f>
        <v>1</v>
      </c>
      <c r="Y126" s="45">
        <f>SUM(U126:W126)</f>
        <v>27</v>
      </c>
      <c r="Z126"/>
      <c r="AA126" s="41"/>
      <c r="AB126" s="41">
        <v>18</v>
      </c>
      <c r="AC126" s="43">
        <v>15</v>
      </c>
      <c r="AD126" s="45">
        <f>SUM(AA126:AC126)</f>
        <v>33</v>
      </c>
      <c r="AF126" s="12">
        <v>45382</v>
      </c>
      <c r="AG126" s="26">
        <f t="shared" si="52"/>
        <v>79</v>
      </c>
      <c r="AH126" s="26">
        <f t="shared" si="53"/>
        <v>73</v>
      </c>
      <c r="AI126" s="3"/>
      <c r="AJ126" s="3"/>
      <c r="AK126" s="3"/>
      <c r="AL126" s="3"/>
      <c r="AM126" s="3"/>
      <c r="AN126" s="3"/>
      <c r="AO126" s="3"/>
      <c r="AT126" s="28">
        <v>45382</v>
      </c>
      <c r="AU126" s="26">
        <f>L126</f>
        <v>106</v>
      </c>
      <c r="AV126" s="26">
        <f>AD126</f>
        <v>33</v>
      </c>
      <c r="AW126" s="26"/>
      <c r="AX126" s="30">
        <f>AV126-AU126</f>
        <v>-73</v>
      </c>
      <c r="AY126" s="24">
        <f>(-AX126/AU126)</f>
        <v>0.68867924528301883</v>
      </c>
      <c r="AZ126" s="3"/>
      <c r="BA126" s="3"/>
      <c r="BB126" s="3"/>
      <c r="BC126" s="3"/>
      <c r="BD126" s="3"/>
      <c r="BH126" s="28">
        <v>45382</v>
      </c>
      <c r="BI126" s="26">
        <f t="shared" si="54"/>
        <v>106</v>
      </c>
      <c r="BJ126" s="3">
        <f>Y126</f>
        <v>27</v>
      </c>
      <c r="BK126" s="3"/>
      <c r="BL126" s="30">
        <f t="shared" si="55"/>
        <v>-79</v>
      </c>
      <c r="BM126" s="24">
        <f>(-BL126/BI126)</f>
        <v>0.74528301886792447</v>
      </c>
      <c r="BU126" s="3" t="str">
        <f t="shared" si="56"/>
        <v>CFG</v>
      </c>
      <c r="BV126" s="28">
        <v>45382</v>
      </c>
      <c r="BW126" s="175">
        <f>L126-AD126</f>
        <v>73</v>
      </c>
      <c r="BX126" s="175"/>
      <c r="BZ126" s="175">
        <f>L126-Y126</f>
        <v>79</v>
      </c>
      <c r="CA126" s="175"/>
    </row>
    <row r="127" spans="1:79" ht="14.4" x14ac:dyDescent="0.3">
      <c r="G127" s="3">
        <f>SUM(G123:G126)</f>
        <v>608</v>
      </c>
      <c r="H127" s="3"/>
      <c r="K127" s="11" t="s">
        <v>324</v>
      </c>
      <c r="L127" s="3">
        <f>SUM(L123:L126)</f>
        <v>424</v>
      </c>
      <c r="M127"/>
      <c r="S127" s="26">
        <f>SUM(S123:S126)</f>
        <v>1115</v>
      </c>
      <c r="T127"/>
      <c r="W127" s="11" t="s">
        <v>324</v>
      </c>
      <c r="Y127" s="26">
        <f>SUM(Y123:Y126)</f>
        <v>103</v>
      </c>
      <c r="Z127" s="31"/>
      <c r="AC127" s="11" t="s">
        <v>324</v>
      </c>
      <c r="AD127" s="26">
        <f>SUM(AD123:AD126)</f>
        <v>143</v>
      </c>
      <c r="AF127" s="12" t="s">
        <v>11</v>
      </c>
      <c r="AG127" s="26">
        <f>SUM(AG123:AG126)</f>
        <v>321</v>
      </c>
      <c r="AH127" s="26">
        <f>SUM(AH123:AH126)</f>
        <v>281</v>
      </c>
      <c r="AT127" s="12"/>
      <c r="AU127" s="26"/>
      <c r="AV127" s="26"/>
      <c r="BV127" s="11" t="s">
        <v>36</v>
      </c>
      <c r="BW127" s="176">
        <f>AA124/AVERAGE(BW123:BX126)</f>
        <v>9.2037010676156576</v>
      </c>
      <c r="BX127" s="176"/>
      <c r="BZ127" s="176">
        <f>U124/AVERAGE(BZ123:CA126)</f>
        <v>5.6194392523364485</v>
      </c>
      <c r="CA127" s="176"/>
    </row>
    <row r="128" spans="1:79" ht="14.4" x14ac:dyDescent="0.3">
      <c r="R128" s="11" t="s">
        <v>166</v>
      </c>
      <c r="S128" s="14">
        <f>(($L127-S127)/$L127)*1</f>
        <v>-1.6297169811320755</v>
      </c>
      <c r="T128"/>
      <c r="W128" s="11" t="s">
        <v>166</v>
      </c>
      <c r="Y128" s="172">
        <f>(($L127-Y127)/$L127)*1</f>
        <v>0.75707547169811318</v>
      </c>
      <c r="AC128" s="11" t="s">
        <v>166</v>
      </c>
      <c r="AD128" s="172">
        <f>(($L127-AD127)/$L127)*1</f>
        <v>0.66273584905660377</v>
      </c>
    </row>
    <row r="129" spans="1:79" ht="14.4" x14ac:dyDescent="0.3">
      <c r="T129"/>
      <c r="W129" s="11" t="s">
        <v>325</v>
      </c>
      <c r="X129" s="171">
        <f>AVERAGE(X123:X126)</f>
        <v>1</v>
      </c>
    </row>
    <row r="130" spans="1:79" ht="14.4" x14ac:dyDescent="0.3">
      <c r="T130"/>
      <c r="AB130" s="26">
        <f>AVERAGE(AB125:AB126,AB123)</f>
        <v>20</v>
      </c>
      <c r="AC130" s="26">
        <f>AVERAGE(AC123:AC126)</f>
        <v>15.75</v>
      </c>
    </row>
    <row r="131" spans="1:79" ht="14.4" x14ac:dyDescent="0.3">
      <c r="T131"/>
    </row>
    <row r="132" spans="1:79" ht="14.4" x14ac:dyDescent="0.3">
      <c r="T132"/>
    </row>
    <row r="133" spans="1:79" ht="14.4" x14ac:dyDescent="0.3">
      <c r="T133"/>
    </row>
    <row r="134" spans="1:79" ht="14.4" x14ac:dyDescent="0.3">
      <c r="T134"/>
    </row>
    <row r="135" spans="1:79" ht="14.4" x14ac:dyDescent="0.3">
      <c r="T135"/>
    </row>
    <row r="136" spans="1:79" ht="14.4" x14ac:dyDescent="0.3">
      <c r="B136" s="6"/>
      <c r="D136" s="174" t="s">
        <v>62</v>
      </c>
      <c r="E136" s="174"/>
      <c r="F136" s="174"/>
      <c r="G136" s="174"/>
      <c r="H136" s="4"/>
      <c r="I136" s="174" t="s">
        <v>323</v>
      </c>
      <c r="J136" s="174"/>
      <c r="K136" s="174"/>
      <c r="L136" s="174"/>
      <c r="M136" s="4"/>
      <c r="N136" s="174" t="s">
        <v>4</v>
      </c>
      <c r="O136" s="174"/>
      <c r="P136" s="174"/>
      <c r="Q136" s="174"/>
      <c r="R136" s="174"/>
      <c r="S136" s="174"/>
      <c r="T136"/>
      <c r="U136" s="174" t="s">
        <v>245</v>
      </c>
      <c r="V136" s="174"/>
      <c r="W136" s="174"/>
      <c r="X136" s="174"/>
      <c r="Y136" s="174"/>
      <c r="Z136" s="4"/>
      <c r="AA136" s="174" t="s">
        <v>318</v>
      </c>
      <c r="AB136" s="174"/>
      <c r="AC136" s="174"/>
      <c r="AD136" s="174"/>
    </row>
    <row r="137" spans="1:79" ht="14.4" x14ac:dyDescent="0.3">
      <c r="B137" s="6"/>
      <c r="I137" s="173" t="s">
        <v>274</v>
      </c>
      <c r="J137" s="173"/>
      <c r="K137" s="173"/>
      <c r="L137" s="173"/>
      <c r="M137" s="6"/>
      <c r="N137" s="9" t="s">
        <v>54</v>
      </c>
      <c r="O137" s="6"/>
      <c r="P137" s="9" t="s">
        <v>53</v>
      </c>
      <c r="Q137" s="9" t="s">
        <v>83</v>
      </c>
      <c r="R137" s="9" t="s">
        <v>57</v>
      </c>
      <c r="S137" s="6"/>
      <c r="T137"/>
      <c r="U137" s="173" t="s">
        <v>274</v>
      </c>
      <c r="V137" s="173"/>
      <c r="W137" s="173"/>
      <c r="X137" s="173"/>
      <c r="Y137" s="173"/>
      <c r="Z137" s="6"/>
      <c r="AA137" s="173" t="s">
        <v>274</v>
      </c>
      <c r="AB137" s="173"/>
      <c r="AC137" s="173"/>
      <c r="AD137" s="173"/>
    </row>
    <row r="138" spans="1:79" ht="14.4" x14ac:dyDescent="0.3">
      <c r="B138" s="6" t="s">
        <v>2</v>
      </c>
      <c r="C138" s="6" t="s">
        <v>6</v>
      </c>
      <c r="D138" s="37" t="s">
        <v>64</v>
      </c>
      <c r="E138" s="38" t="s">
        <v>63</v>
      </c>
      <c r="F138" s="38" t="s">
        <v>319</v>
      </c>
      <c r="G138" s="32" t="s">
        <v>38</v>
      </c>
      <c r="H138" s="6"/>
      <c r="I138" s="37" t="s">
        <v>64</v>
      </c>
      <c r="J138" s="38" t="s">
        <v>63</v>
      </c>
      <c r="K138" s="38" t="s">
        <v>319</v>
      </c>
      <c r="L138" s="32" t="s">
        <v>11</v>
      </c>
      <c r="M138"/>
      <c r="N138" s="37" t="s">
        <v>64</v>
      </c>
      <c r="O138" s="38" t="s">
        <v>5</v>
      </c>
      <c r="P138" s="38" t="s">
        <v>88</v>
      </c>
      <c r="Q138" s="38" t="s">
        <v>63</v>
      </c>
      <c r="R138" s="38" t="s">
        <v>319</v>
      </c>
      <c r="S138" s="32" t="s">
        <v>37</v>
      </c>
      <c r="T138"/>
      <c r="U138" s="37" t="s">
        <v>87</v>
      </c>
      <c r="V138" s="37" t="s">
        <v>85</v>
      </c>
      <c r="W138" s="38" t="s">
        <v>86</v>
      </c>
      <c r="X138" s="38" t="s">
        <v>5</v>
      </c>
      <c r="Y138" s="32" t="s">
        <v>11</v>
      </c>
      <c r="Z138"/>
      <c r="AA138" s="37" t="s">
        <v>87</v>
      </c>
      <c r="AB138" s="37" t="s">
        <v>85</v>
      </c>
      <c r="AC138" s="38" t="s">
        <v>86</v>
      </c>
      <c r="AD138" s="32" t="s">
        <v>11</v>
      </c>
      <c r="AF138" s="6" t="s">
        <v>12</v>
      </c>
      <c r="AG138" s="6" t="s">
        <v>244</v>
      </c>
      <c r="AH138" s="6" t="s">
        <v>320</v>
      </c>
      <c r="AU138" s="6" t="s">
        <v>203</v>
      </c>
      <c r="AV138" s="6" t="s">
        <v>320</v>
      </c>
      <c r="AW138" s="6"/>
      <c r="AX138" s="6" t="s">
        <v>35</v>
      </c>
      <c r="AY138" s="6" t="s">
        <v>251</v>
      </c>
      <c r="AZ138" s="6"/>
      <c r="BI138" s="6" t="s">
        <v>203</v>
      </c>
      <c r="BJ138" s="6" t="s">
        <v>244</v>
      </c>
      <c r="BK138" s="6"/>
      <c r="BL138" s="6" t="s">
        <v>35</v>
      </c>
      <c r="BM138" s="6" t="s">
        <v>251</v>
      </c>
    </row>
    <row r="139" spans="1:79" ht="14.4" x14ac:dyDescent="0.3">
      <c r="B139" s="6" t="s">
        <v>135</v>
      </c>
      <c r="C139" s="3" t="s">
        <v>8</v>
      </c>
      <c r="D139" s="33">
        <v>47</v>
      </c>
      <c r="E139" s="19">
        <v>27</v>
      </c>
      <c r="F139" s="19">
        <v>57</v>
      </c>
      <c r="G139" s="34">
        <f>SUM(D139:F139)</f>
        <v>131</v>
      </c>
      <c r="H139" s="31"/>
      <c r="I139" s="33">
        <v>27</v>
      </c>
      <c r="J139" s="19">
        <v>21</v>
      </c>
      <c r="K139" s="19">
        <v>40</v>
      </c>
      <c r="L139" s="34">
        <f t="shared" ref="L139" si="58">SUM(I139:K139)</f>
        <v>88</v>
      </c>
      <c r="M139"/>
      <c r="N139" s="39">
        <f>49+6</f>
        <v>55</v>
      </c>
      <c r="O139" s="40">
        <f>'FCNCA LLM Interface'!F21</f>
        <v>1</v>
      </c>
      <c r="P139" s="17">
        <v>0</v>
      </c>
      <c r="Q139" s="17">
        <f>25+6</f>
        <v>31</v>
      </c>
      <c r="R139" s="17">
        <f>34+6+56+8+44+6</f>
        <v>154</v>
      </c>
      <c r="S139" s="34">
        <f t="shared" ref="S139:S142" si="59">SUM(N139,P139,Q139,R139)</f>
        <v>240</v>
      </c>
      <c r="T139"/>
      <c r="U139" s="39"/>
      <c r="V139" s="39">
        <v>2</v>
      </c>
      <c r="W139" s="17">
        <v>26</v>
      </c>
      <c r="X139" s="40">
        <f>'FCNCA LLM API'!F25</f>
        <v>1</v>
      </c>
      <c r="Y139" s="44">
        <f>SUM(U139:W139)</f>
        <v>28</v>
      </c>
      <c r="Z139"/>
      <c r="AA139" s="39"/>
      <c r="AB139" s="39">
        <v>24</v>
      </c>
      <c r="AC139" s="17">
        <v>16</v>
      </c>
      <c r="AD139" s="44">
        <f>SUM(AA139:AC139)</f>
        <v>40</v>
      </c>
      <c r="AF139" s="12">
        <v>45657</v>
      </c>
      <c r="AG139" s="26">
        <f>L139-Y139</f>
        <v>60</v>
      </c>
      <c r="AH139" s="26">
        <f>L139-AD139</f>
        <v>48</v>
      </c>
      <c r="AI139" s="3"/>
      <c r="AJ139" s="3"/>
      <c r="AK139" s="3"/>
      <c r="AL139" s="3"/>
      <c r="AM139" s="3"/>
      <c r="AN139" s="3"/>
      <c r="AO139" s="3"/>
      <c r="AT139" s="28">
        <v>45657</v>
      </c>
      <c r="AU139" s="26">
        <f>L139+L140+L141+L142</f>
        <v>352</v>
      </c>
      <c r="AV139" s="26">
        <f>AD139+AD140+AD141+AD142</f>
        <v>145.66666666666669</v>
      </c>
      <c r="AW139" s="26"/>
      <c r="AX139" s="30">
        <f>AV139-AU139</f>
        <v>-206.33333333333331</v>
      </c>
      <c r="AY139" s="24">
        <f>(-AX139/AU139)</f>
        <v>0.58617424242424232</v>
      </c>
      <c r="AZ139" s="3"/>
      <c r="BA139" s="3"/>
      <c r="BB139" s="3"/>
      <c r="BC139" s="3"/>
      <c r="BD139" s="3"/>
      <c r="BH139" s="28">
        <v>45657</v>
      </c>
      <c r="BI139" s="26">
        <f>AU139</f>
        <v>352</v>
      </c>
      <c r="BJ139" s="26">
        <f>Y140+Y141+Y139+Y142</f>
        <v>111</v>
      </c>
      <c r="BK139" s="26"/>
      <c r="BL139" s="30">
        <f>BJ139-BI139</f>
        <v>-241</v>
      </c>
      <c r="BM139" s="24">
        <f>(-BL139/BI139)</f>
        <v>0.68465909090909094</v>
      </c>
      <c r="BU139" s="3" t="str">
        <f>B139</f>
        <v>FCNCA</v>
      </c>
      <c r="BV139" s="28">
        <v>45657</v>
      </c>
      <c r="BW139" s="175">
        <f>L139-AD139</f>
        <v>48</v>
      </c>
      <c r="BX139" s="175"/>
      <c r="BZ139" s="175">
        <f>L139-Y139</f>
        <v>60</v>
      </c>
      <c r="CA139" s="175"/>
    </row>
    <row r="140" spans="1:79" ht="14.4" x14ac:dyDescent="0.3">
      <c r="A140" s="47" t="s">
        <v>29</v>
      </c>
      <c r="B140" s="6" t="s">
        <v>135</v>
      </c>
      <c r="C140" s="3" t="s">
        <v>7</v>
      </c>
      <c r="D140" s="33">
        <v>47</v>
      </c>
      <c r="E140" s="19">
        <v>27</v>
      </c>
      <c r="F140" s="19">
        <v>57</v>
      </c>
      <c r="G140" s="51">
        <f>SUM(D140:F140)</f>
        <v>131</v>
      </c>
      <c r="H140" s="74"/>
      <c r="I140" s="33">
        <v>27</v>
      </c>
      <c r="J140" s="19">
        <v>21</v>
      </c>
      <c r="K140" s="19">
        <v>40</v>
      </c>
      <c r="L140" s="51">
        <f>SUM(I140:K140)</f>
        <v>88</v>
      </c>
      <c r="M140"/>
      <c r="N140" s="39">
        <f>49+6</f>
        <v>55</v>
      </c>
      <c r="O140" s="40">
        <f>'FCNCA LLM Interface'!F45</f>
        <v>1</v>
      </c>
      <c r="P140" s="17">
        <v>0</v>
      </c>
      <c r="Q140" s="17">
        <f>25+7</f>
        <v>32</v>
      </c>
      <c r="R140" s="17">
        <f>34+7+56+10+45+11</f>
        <v>163</v>
      </c>
      <c r="S140" s="51">
        <f t="shared" si="59"/>
        <v>250</v>
      </c>
      <c r="T140"/>
      <c r="U140" s="33">
        <f>1788/250*60</f>
        <v>429.12</v>
      </c>
      <c r="V140" s="39">
        <v>0</v>
      </c>
      <c r="W140" s="17">
        <v>26</v>
      </c>
      <c r="X140" s="40">
        <f>'FCNCA LLM API'!F49</f>
        <v>1</v>
      </c>
      <c r="Y140" s="52">
        <f>W140+AVERAGE(V139,V141:V142)</f>
        <v>28</v>
      </c>
      <c r="Z140"/>
      <c r="AA140" s="33">
        <f>1967/250*60</f>
        <v>472.08000000000004</v>
      </c>
      <c r="AB140" s="39">
        <v>0</v>
      </c>
      <c r="AC140" s="17">
        <v>18</v>
      </c>
      <c r="AD140" s="52">
        <f>AC140+AVERAGE(AB139,AB141:AB142)</f>
        <v>37.666666666666671</v>
      </c>
      <c r="AF140" s="12">
        <v>45565</v>
      </c>
      <c r="AG140" s="26">
        <f t="shared" ref="AG140:AG142" si="60">L140-Y140</f>
        <v>60</v>
      </c>
      <c r="AH140" s="26">
        <f t="shared" ref="AH140:AH142" si="61">L140-AD140</f>
        <v>50.333333333333329</v>
      </c>
      <c r="AI140" s="3"/>
      <c r="AJ140" s="3"/>
      <c r="AK140" s="3"/>
      <c r="AL140" s="3"/>
      <c r="AM140" s="3"/>
      <c r="AN140" s="3"/>
      <c r="AO140" s="3"/>
      <c r="AT140" s="28">
        <v>45565</v>
      </c>
      <c r="AU140" s="26">
        <f>L140+L141+L142</f>
        <v>264</v>
      </c>
      <c r="AV140" s="26">
        <f>AD140+AD141+AD142</f>
        <v>105.66666666666667</v>
      </c>
      <c r="AW140" s="26"/>
      <c r="AX140" s="30">
        <f>AV140-AU140</f>
        <v>-158.33333333333331</v>
      </c>
      <c r="AY140" s="24">
        <f>(-AX140/AU140)</f>
        <v>0.5997474747474747</v>
      </c>
      <c r="AZ140" s="3"/>
      <c r="BA140" s="3"/>
      <c r="BB140" s="3"/>
      <c r="BC140" s="3"/>
      <c r="BD140" s="3"/>
      <c r="BH140" s="28">
        <v>45565</v>
      </c>
      <c r="BI140" s="26">
        <f t="shared" ref="BI140:BI142" si="62">AU140</f>
        <v>264</v>
      </c>
      <c r="BJ140" s="26">
        <f>Y141+Y142+Y140</f>
        <v>83</v>
      </c>
      <c r="BK140" s="26"/>
      <c r="BL140" s="30">
        <f t="shared" ref="BL140:BL142" si="63">BJ140-BI140</f>
        <v>-181</v>
      </c>
      <c r="BM140" s="24">
        <f>(-BL140/BI140)</f>
        <v>0.68560606060606055</v>
      </c>
      <c r="BU140" s="3" t="str">
        <f t="shared" ref="BU140:BU142" si="64">B140</f>
        <v>FCNCA</v>
      </c>
      <c r="BV140" s="28">
        <v>45565</v>
      </c>
      <c r="BW140" s="175">
        <f>L140-(AC140+AVERAGE(AB139,AB141:AB142))</f>
        <v>50.333333333333329</v>
      </c>
      <c r="BX140" s="175"/>
      <c r="BZ140" s="175">
        <f>L140-(W140+AVERAGE(V139,V141:V142))</f>
        <v>60</v>
      </c>
      <c r="CA140" s="175"/>
    </row>
    <row r="141" spans="1:79" ht="14.4" x14ac:dyDescent="0.3">
      <c r="B141" s="6" t="s">
        <v>135</v>
      </c>
      <c r="C141" s="3" t="s">
        <v>9</v>
      </c>
      <c r="D141" s="33">
        <v>47</v>
      </c>
      <c r="E141" s="19">
        <v>27</v>
      </c>
      <c r="F141" s="19">
        <v>57</v>
      </c>
      <c r="G141" s="34">
        <f>SUM(D141:F141)</f>
        <v>131</v>
      </c>
      <c r="H141" s="31"/>
      <c r="I141" s="33">
        <v>27</v>
      </c>
      <c r="J141" s="19">
        <v>21</v>
      </c>
      <c r="K141" s="19">
        <v>40</v>
      </c>
      <c r="L141" s="34">
        <f t="shared" ref="L141:L142" si="65">SUM(I141:K141)</f>
        <v>88</v>
      </c>
      <c r="M141"/>
      <c r="N141" s="39">
        <f>49+6</f>
        <v>55</v>
      </c>
      <c r="O141" s="40">
        <f>'FCNCA LLM Interface'!$F$68</f>
        <v>1</v>
      </c>
      <c r="P141" s="17">
        <v>0</v>
      </c>
      <c r="Q141" s="17">
        <f>25+4</f>
        <v>29</v>
      </c>
      <c r="R141" s="17">
        <f>34+7+56+7+44+7</f>
        <v>155</v>
      </c>
      <c r="S141" s="34">
        <f t="shared" si="59"/>
        <v>239</v>
      </c>
      <c r="T141"/>
      <c r="U141" s="39"/>
      <c r="V141" s="39">
        <v>2</v>
      </c>
      <c r="W141" s="17">
        <v>25</v>
      </c>
      <c r="X141" s="40">
        <f>'FCNCA LLM API'!F75</f>
        <v>1</v>
      </c>
      <c r="Y141" s="44">
        <f>SUM(U141:W141)</f>
        <v>27</v>
      </c>
      <c r="Z141"/>
      <c r="AA141" s="39"/>
      <c r="AB141" s="39">
        <v>18</v>
      </c>
      <c r="AC141" s="17">
        <v>18</v>
      </c>
      <c r="AD141" s="44">
        <f>SUM(AA141:AC141)</f>
        <v>36</v>
      </c>
      <c r="AF141" s="12">
        <v>45473</v>
      </c>
      <c r="AG141" s="26">
        <f t="shared" si="60"/>
        <v>61</v>
      </c>
      <c r="AH141" s="26">
        <f t="shared" si="61"/>
        <v>52</v>
      </c>
      <c r="AI141" s="3"/>
      <c r="AJ141" s="3"/>
      <c r="AK141" s="3"/>
      <c r="AL141" s="3"/>
      <c r="AM141" s="3"/>
      <c r="AN141" s="3"/>
      <c r="AO141" s="3"/>
      <c r="AT141" s="28">
        <v>45473</v>
      </c>
      <c r="AU141" s="26">
        <f>L141+L142</f>
        <v>176</v>
      </c>
      <c r="AV141" s="26">
        <f>AD141+AD142</f>
        <v>68</v>
      </c>
      <c r="AW141" s="26"/>
      <c r="AX141" s="30">
        <f>AV141-AU141</f>
        <v>-108</v>
      </c>
      <c r="AY141" s="24">
        <f>(-AX141/AU141)</f>
        <v>0.61363636363636365</v>
      </c>
      <c r="AZ141" s="3"/>
      <c r="BA141" s="3"/>
      <c r="BB141" s="3"/>
      <c r="BC141" s="3"/>
      <c r="BD141" s="3"/>
      <c r="BH141" s="28">
        <v>45473</v>
      </c>
      <c r="BI141" s="26">
        <f t="shared" si="62"/>
        <v>176</v>
      </c>
      <c r="BJ141" s="3">
        <f>Y141+Y142</f>
        <v>55</v>
      </c>
      <c r="BK141" s="3"/>
      <c r="BL141" s="30">
        <f t="shared" si="63"/>
        <v>-121</v>
      </c>
      <c r="BM141" s="24">
        <f>(-BL141/BI141)</f>
        <v>0.6875</v>
      </c>
      <c r="BU141" s="3" t="str">
        <f t="shared" si="64"/>
        <v>FCNCA</v>
      </c>
      <c r="BV141" s="28">
        <v>45473</v>
      </c>
      <c r="BW141" s="175">
        <f>L141-AD141</f>
        <v>52</v>
      </c>
      <c r="BX141" s="175"/>
      <c r="BZ141" s="175">
        <f>L141-Y141</f>
        <v>61</v>
      </c>
      <c r="CA141" s="175"/>
    </row>
    <row r="142" spans="1:79" ht="14.4" x14ac:dyDescent="0.3">
      <c r="B142" s="6" t="s">
        <v>135</v>
      </c>
      <c r="C142" s="3" t="s">
        <v>10</v>
      </c>
      <c r="D142" s="35">
        <v>47</v>
      </c>
      <c r="E142" s="46">
        <v>27</v>
      </c>
      <c r="F142" s="46">
        <v>57</v>
      </c>
      <c r="G142" s="36">
        <f>SUM(D142:F142)</f>
        <v>131</v>
      </c>
      <c r="H142" s="31"/>
      <c r="I142" s="35">
        <v>27</v>
      </c>
      <c r="J142" s="46">
        <v>21</v>
      </c>
      <c r="K142" s="46">
        <v>40</v>
      </c>
      <c r="L142" s="36">
        <f t="shared" si="65"/>
        <v>88</v>
      </c>
      <c r="M142"/>
      <c r="N142" s="41">
        <f>49+5</f>
        <v>54</v>
      </c>
      <c r="O142" s="42">
        <f>'FCNCA LLM Interface'!F90</f>
        <v>1</v>
      </c>
      <c r="P142" s="43">
        <v>0</v>
      </c>
      <c r="Q142" s="43">
        <f>25+7</f>
        <v>32</v>
      </c>
      <c r="R142" s="48">
        <f>34+6+56+9+44+6</f>
        <v>155</v>
      </c>
      <c r="S142" s="36">
        <f t="shared" si="59"/>
        <v>241</v>
      </c>
      <c r="T142"/>
      <c r="U142" s="41"/>
      <c r="V142" s="41">
        <v>2</v>
      </c>
      <c r="W142" s="43">
        <v>26</v>
      </c>
      <c r="X142" s="42">
        <f>'FCNCA LLM API'!F99</f>
        <v>1</v>
      </c>
      <c r="Y142" s="45">
        <f>SUM(U142:W142)</f>
        <v>28</v>
      </c>
      <c r="Z142"/>
      <c r="AA142" s="41"/>
      <c r="AB142" s="41">
        <v>17</v>
      </c>
      <c r="AC142" s="43">
        <v>15</v>
      </c>
      <c r="AD142" s="45">
        <f>SUM(AA142:AC142)</f>
        <v>32</v>
      </c>
      <c r="AF142" s="12">
        <v>45382</v>
      </c>
      <c r="AG142" s="26">
        <f t="shared" si="60"/>
        <v>60</v>
      </c>
      <c r="AH142" s="26">
        <f t="shared" si="61"/>
        <v>56</v>
      </c>
      <c r="AI142" s="3"/>
      <c r="AJ142" s="3"/>
      <c r="AK142" s="3"/>
      <c r="AL142" s="3"/>
      <c r="AM142" s="3"/>
      <c r="AN142" s="3"/>
      <c r="AO142" s="3"/>
      <c r="AT142" s="28">
        <v>45382</v>
      </c>
      <c r="AU142" s="26">
        <f>L142</f>
        <v>88</v>
      </c>
      <c r="AV142" s="26">
        <f>AD142</f>
        <v>32</v>
      </c>
      <c r="AW142" s="26"/>
      <c r="AX142" s="30">
        <f>AV142-AU142</f>
        <v>-56</v>
      </c>
      <c r="AY142" s="24">
        <f>(-AX142/AU142)</f>
        <v>0.63636363636363635</v>
      </c>
      <c r="AZ142" s="3"/>
      <c r="BA142" s="3"/>
      <c r="BB142" s="3"/>
      <c r="BC142" s="3"/>
      <c r="BD142" s="3"/>
      <c r="BH142" s="28">
        <v>45382</v>
      </c>
      <c r="BI142" s="26">
        <f t="shared" si="62"/>
        <v>88</v>
      </c>
      <c r="BJ142" s="3">
        <f>Y142</f>
        <v>28</v>
      </c>
      <c r="BK142" s="3"/>
      <c r="BL142" s="30">
        <f t="shared" si="63"/>
        <v>-60</v>
      </c>
      <c r="BM142" s="24">
        <f>(-BL142/BI142)</f>
        <v>0.68181818181818177</v>
      </c>
      <c r="BU142" s="3" t="str">
        <f t="shared" si="64"/>
        <v>FCNCA</v>
      </c>
      <c r="BV142" s="28">
        <v>45382</v>
      </c>
      <c r="BW142" s="175">
        <f>L142-AD142</f>
        <v>56</v>
      </c>
      <c r="BX142" s="175"/>
      <c r="BZ142" s="175">
        <f>L142-Y142</f>
        <v>60</v>
      </c>
      <c r="CA142" s="175"/>
    </row>
    <row r="143" spans="1:79" ht="14.4" x14ac:dyDescent="0.3">
      <c r="G143" s="3">
        <f>SUM(G139:G142)</f>
        <v>524</v>
      </c>
      <c r="H143" s="3"/>
      <c r="K143" s="11" t="s">
        <v>324</v>
      </c>
      <c r="L143" s="3">
        <f>SUM(L139:L142)</f>
        <v>352</v>
      </c>
      <c r="M143"/>
      <c r="S143" s="26">
        <f>SUM(S139:S142)</f>
        <v>970</v>
      </c>
      <c r="T143"/>
      <c r="W143" s="11" t="s">
        <v>324</v>
      </c>
      <c r="Y143" s="26">
        <f>SUM(Y139:Y142)</f>
        <v>111</v>
      </c>
      <c r="Z143" s="31"/>
      <c r="AC143" s="11" t="s">
        <v>324</v>
      </c>
      <c r="AD143" s="26">
        <f>SUM(AD139:AD142)</f>
        <v>145.66666666666669</v>
      </c>
      <c r="AF143" s="12" t="s">
        <v>11</v>
      </c>
      <c r="AG143" s="26">
        <f>SUM(AG139:AG142)</f>
        <v>241</v>
      </c>
      <c r="AH143" s="26">
        <f>SUM(AH139:AH142)</f>
        <v>206.33333333333331</v>
      </c>
      <c r="AT143" s="12"/>
      <c r="AU143" s="26"/>
      <c r="AV143" s="26"/>
      <c r="BV143" s="11" t="s">
        <v>36</v>
      </c>
      <c r="BW143" s="176">
        <f>AA140/AVERAGE(BW139:BX142)</f>
        <v>9.1517932148626837</v>
      </c>
      <c r="BX143" s="176"/>
      <c r="BZ143" s="176">
        <f>U140/AVERAGE(BZ139:CA142)</f>
        <v>7.1223236514522821</v>
      </c>
      <c r="CA143" s="176"/>
    </row>
    <row r="144" spans="1:79" ht="14.4" x14ac:dyDescent="0.3">
      <c r="R144" s="11" t="s">
        <v>166</v>
      </c>
      <c r="S144" s="14">
        <f>(($L143-S143)/$L143)*1</f>
        <v>-1.7556818181818181</v>
      </c>
      <c r="T144"/>
      <c r="W144" s="11" t="s">
        <v>166</v>
      </c>
      <c r="Y144" s="172">
        <f>(($L143-Y143)/$L143)*1</f>
        <v>0.68465909090909094</v>
      </c>
      <c r="AC144" s="11" t="s">
        <v>166</v>
      </c>
      <c r="AD144" s="172">
        <f>(($L143-AD143)/$L143)*1</f>
        <v>0.58617424242424232</v>
      </c>
    </row>
    <row r="145" spans="1:79" ht="14.4" x14ac:dyDescent="0.3">
      <c r="T145"/>
      <c r="W145" s="11" t="s">
        <v>325</v>
      </c>
      <c r="X145" s="171">
        <f>AVERAGE(X139:X142)</f>
        <v>1</v>
      </c>
    </row>
    <row r="146" spans="1:79" ht="14.4" x14ac:dyDescent="0.3">
      <c r="T146"/>
      <c r="AB146" s="26">
        <f>AVERAGE(AB141:AB142,AB139)</f>
        <v>19.666666666666668</v>
      </c>
      <c r="AC146" s="26">
        <f>AVERAGE(AC139:AC142)</f>
        <v>16.75</v>
      </c>
    </row>
    <row r="147" spans="1:79" ht="14.4" x14ac:dyDescent="0.3">
      <c r="T147"/>
    </row>
    <row r="148" spans="1:79" ht="14.4" x14ac:dyDescent="0.3">
      <c r="T148"/>
    </row>
    <row r="149" spans="1:79" ht="14.4" x14ac:dyDescent="0.3">
      <c r="T149"/>
    </row>
    <row r="150" spans="1:79" ht="14.4" x14ac:dyDescent="0.3">
      <c r="T150"/>
    </row>
    <row r="151" spans="1:79" ht="14.4" x14ac:dyDescent="0.3">
      <c r="T151"/>
    </row>
    <row r="152" spans="1:79" ht="14.4" x14ac:dyDescent="0.3">
      <c r="T152"/>
    </row>
    <row r="153" spans="1:79" ht="14.4" x14ac:dyDescent="0.3">
      <c r="T153"/>
    </row>
    <row r="154" spans="1:79" ht="14.4" x14ac:dyDescent="0.3">
      <c r="T154"/>
    </row>
    <row r="155" spans="1:79" ht="14.4" x14ac:dyDescent="0.3">
      <c r="T155"/>
    </row>
    <row r="156" spans="1:79" ht="14.4" x14ac:dyDescent="0.3">
      <c r="B156" s="6"/>
      <c r="D156" s="174" t="s">
        <v>62</v>
      </c>
      <c r="E156" s="174"/>
      <c r="F156" s="174"/>
      <c r="G156" s="174"/>
      <c r="H156" s="4"/>
      <c r="I156" s="174" t="s">
        <v>323</v>
      </c>
      <c r="J156" s="174"/>
      <c r="K156" s="174"/>
      <c r="L156" s="174"/>
      <c r="M156" s="4"/>
      <c r="N156" s="174" t="s">
        <v>4</v>
      </c>
      <c r="O156" s="174"/>
      <c r="P156" s="174"/>
      <c r="Q156" s="174"/>
      <c r="R156" s="174"/>
      <c r="S156" s="174"/>
      <c r="T156"/>
      <c r="U156" s="174" t="s">
        <v>245</v>
      </c>
      <c r="V156" s="174"/>
      <c r="W156" s="174"/>
      <c r="X156" s="174"/>
      <c r="Y156" s="174"/>
      <c r="Z156" s="4"/>
      <c r="AA156" s="174" t="s">
        <v>318</v>
      </c>
      <c r="AB156" s="174"/>
      <c r="AC156" s="174"/>
      <c r="AD156" s="174"/>
    </row>
    <row r="157" spans="1:79" ht="14.4" x14ac:dyDescent="0.3">
      <c r="B157" s="6"/>
      <c r="I157" s="173" t="s">
        <v>274</v>
      </c>
      <c r="J157" s="173"/>
      <c r="K157" s="173"/>
      <c r="L157" s="173"/>
      <c r="M157" s="6"/>
      <c r="N157" s="9" t="s">
        <v>54</v>
      </c>
      <c r="O157" s="6"/>
      <c r="P157" s="9" t="s">
        <v>53</v>
      </c>
      <c r="Q157" s="9" t="s">
        <v>83</v>
      </c>
      <c r="R157" s="9" t="s">
        <v>57</v>
      </c>
      <c r="S157" s="6"/>
      <c r="T157"/>
      <c r="U157" s="173" t="s">
        <v>274</v>
      </c>
      <c r="V157" s="173"/>
      <c r="W157" s="173"/>
      <c r="X157" s="173"/>
      <c r="Y157" s="173"/>
      <c r="Z157" s="6"/>
      <c r="AA157" s="173" t="s">
        <v>274</v>
      </c>
      <c r="AB157" s="173"/>
      <c r="AC157" s="173"/>
      <c r="AD157" s="173"/>
    </row>
    <row r="158" spans="1:79" ht="14.4" x14ac:dyDescent="0.3">
      <c r="B158" s="6" t="s">
        <v>2</v>
      </c>
      <c r="C158" s="6" t="s">
        <v>6</v>
      </c>
      <c r="D158" s="37" t="s">
        <v>64</v>
      </c>
      <c r="E158" s="38" t="s">
        <v>63</v>
      </c>
      <c r="F158" s="38" t="s">
        <v>319</v>
      </c>
      <c r="G158" s="32" t="s">
        <v>38</v>
      </c>
      <c r="H158" s="6"/>
      <c r="I158" s="37" t="s">
        <v>64</v>
      </c>
      <c r="J158" s="38" t="s">
        <v>63</v>
      </c>
      <c r="K158" s="38" t="s">
        <v>319</v>
      </c>
      <c r="L158" s="32" t="s">
        <v>11</v>
      </c>
      <c r="M158"/>
      <c r="N158" s="37" t="s">
        <v>64</v>
      </c>
      <c r="O158" s="38" t="s">
        <v>5</v>
      </c>
      <c r="P158" s="38" t="s">
        <v>88</v>
      </c>
      <c r="Q158" s="38" t="s">
        <v>63</v>
      </c>
      <c r="R158" s="38" t="s">
        <v>319</v>
      </c>
      <c r="S158" s="32" t="s">
        <v>37</v>
      </c>
      <c r="T158"/>
      <c r="U158" s="37" t="s">
        <v>87</v>
      </c>
      <c r="V158" s="37" t="s">
        <v>85</v>
      </c>
      <c r="W158" s="38" t="s">
        <v>86</v>
      </c>
      <c r="X158" s="38" t="s">
        <v>5</v>
      </c>
      <c r="Y158" s="32" t="s">
        <v>11</v>
      </c>
      <c r="Z158"/>
      <c r="AA158" s="37" t="s">
        <v>87</v>
      </c>
      <c r="AB158" s="37" t="s">
        <v>85</v>
      </c>
      <c r="AC158" s="38" t="s">
        <v>86</v>
      </c>
      <c r="AD158" s="32" t="s">
        <v>11</v>
      </c>
      <c r="AF158" s="6" t="s">
        <v>12</v>
      </c>
      <c r="AG158" s="6" t="s">
        <v>244</v>
      </c>
      <c r="AH158" s="6" t="s">
        <v>320</v>
      </c>
      <c r="AU158" s="6" t="s">
        <v>203</v>
      </c>
      <c r="AV158" s="6" t="s">
        <v>320</v>
      </c>
      <c r="AW158" s="6"/>
      <c r="AX158" s="6" t="s">
        <v>35</v>
      </c>
      <c r="AY158" s="6" t="s">
        <v>251</v>
      </c>
      <c r="AZ158" s="6"/>
      <c r="BI158" s="6" t="s">
        <v>203</v>
      </c>
      <c r="BJ158" s="6" t="s">
        <v>244</v>
      </c>
      <c r="BK158" s="6"/>
      <c r="BL158" s="6" t="s">
        <v>35</v>
      </c>
      <c r="BM158" s="6" t="s">
        <v>251</v>
      </c>
    </row>
    <row r="159" spans="1:79" ht="14.4" x14ac:dyDescent="0.3">
      <c r="B159" s="6" t="s">
        <v>136</v>
      </c>
      <c r="C159" s="3" t="s">
        <v>8</v>
      </c>
      <c r="D159" s="33">
        <v>81</v>
      </c>
      <c r="E159" s="19">
        <v>31</v>
      </c>
      <c r="F159" s="19">
        <v>44</v>
      </c>
      <c r="G159" s="34">
        <f>SUM(D159:F159)</f>
        <v>156</v>
      </c>
      <c r="H159" s="31"/>
      <c r="I159" s="33">
        <v>47</v>
      </c>
      <c r="J159" s="19">
        <v>37</v>
      </c>
      <c r="K159" s="19">
        <v>34</v>
      </c>
      <c r="L159" s="34">
        <f t="shared" ref="L159" si="66">SUM(I159:K159)</f>
        <v>118</v>
      </c>
      <c r="M159"/>
      <c r="N159" s="39">
        <f>49+7</f>
        <v>56</v>
      </c>
      <c r="O159" s="40">
        <f>'SNV LLM Interface'!F23</f>
        <v>1</v>
      </c>
      <c r="P159" s="17">
        <v>0</v>
      </c>
      <c r="Q159" s="17">
        <f>22+5</f>
        <v>27</v>
      </c>
      <c r="R159" s="17">
        <f>34+5+56+7+72+8</f>
        <v>182</v>
      </c>
      <c r="S159" s="34">
        <f t="shared" ref="S159:S162" si="67">SUM(N159,P159,Q159,R159)</f>
        <v>265</v>
      </c>
      <c r="T159"/>
      <c r="U159" s="39"/>
      <c r="V159" s="39">
        <v>2</v>
      </c>
      <c r="W159" s="17">
        <v>24</v>
      </c>
      <c r="X159" s="40">
        <f>'SNV LLM API'!F34</f>
        <v>1</v>
      </c>
      <c r="Y159" s="44">
        <f>SUM(U159:W159)</f>
        <v>26</v>
      </c>
      <c r="Z159"/>
      <c r="AA159" s="39"/>
      <c r="AB159" s="39">
        <f>300/250*60+54</f>
        <v>126</v>
      </c>
      <c r="AC159" s="17">
        <v>30</v>
      </c>
      <c r="AD159" s="44">
        <f>SUM(AA159:AC159)</f>
        <v>156</v>
      </c>
      <c r="AF159" s="12">
        <v>45657</v>
      </c>
      <c r="AG159" s="26">
        <f>L159-Y159</f>
        <v>92</v>
      </c>
      <c r="AH159" s="26">
        <f>L159-AD159</f>
        <v>-38</v>
      </c>
      <c r="AI159" s="3"/>
      <c r="AJ159" s="3"/>
      <c r="AK159" s="3"/>
      <c r="AL159" s="3"/>
      <c r="AM159" s="3"/>
      <c r="AN159" s="3"/>
      <c r="AO159" s="3"/>
      <c r="AT159" s="28">
        <v>45657</v>
      </c>
      <c r="AU159" s="26">
        <f>L159+L160+L161+L162</f>
        <v>472</v>
      </c>
      <c r="AV159" s="26">
        <f>AD159+AD160+AD161+AD162</f>
        <v>477.33333333333331</v>
      </c>
      <c r="AW159" s="26"/>
      <c r="AX159" s="30">
        <f>AV159-AU159</f>
        <v>5.3333333333333144</v>
      </c>
      <c r="AY159" s="24">
        <f>(-AX159/AU159)</f>
        <v>-1.1299435028248548E-2</v>
      </c>
      <c r="AZ159" s="3"/>
      <c r="BA159" s="3"/>
      <c r="BB159" s="3"/>
      <c r="BC159" s="3"/>
      <c r="BD159" s="3"/>
      <c r="BH159" s="28">
        <v>45657</v>
      </c>
      <c r="BI159" s="26">
        <f>AU159</f>
        <v>472</v>
      </c>
      <c r="BJ159" s="26">
        <f>Y160+Y161+Y159+Y162</f>
        <v>118</v>
      </c>
      <c r="BK159" s="26"/>
      <c r="BL159" s="30">
        <f>BJ159-BI159</f>
        <v>-354</v>
      </c>
      <c r="BM159" s="24">
        <f>(-BL159/BI159)</f>
        <v>0.75</v>
      </c>
      <c r="BU159" s="3" t="str">
        <f>B159</f>
        <v>SNV</v>
      </c>
      <c r="BV159" s="28">
        <v>45657</v>
      </c>
      <c r="BW159" s="175">
        <f>L159-AD159</f>
        <v>-38</v>
      </c>
      <c r="BX159" s="175"/>
      <c r="BZ159" s="175">
        <f>L159-Y159</f>
        <v>92</v>
      </c>
      <c r="CA159" s="175"/>
    </row>
    <row r="160" spans="1:79" ht="14.4" x14ac:dyDescent="0.3">
      <c r="A160" s="47" t="s">
        <v>29</v>
      </c>
      <c r="B160" s="6" t="s">
        <v>136</v>
      </c>
      <c r="C160" s="3" t="s">
        <v>7</v>
      </c>
      <c r="D160" s="33">
        <v>81</v>
      </c>
      <c r="E160" s="19">
        <v>31</v>
      </c>
      <c r="F160" s="19">
        <v>44</v>
      </c>
      <c r="G160" s="51">
        <f>SUM(D160:F160)</f>
        <v>156</v>
      </c>
      <c r="H160" s="74"/>
      <c r="I160" s="33">
        <v>47</v>
      </c>
      <c r="J160" s="19">
        <v>37</v>
      </c>
      <c r="K160" s="19">
        <v>34</v>
      </c>
      <c r="L160" s="51">
        <f>SUM(I160:K160)</f>
        <v>118</v>
      </c>
      <c r="M160"/>
      <c r="N160" s="39">
        <f>49+10</f>
        <v>59</v>
      </c>
      <c r="O160" s="40">
        <f>'SNV LLM Interface'!F47</f>
        <v>1</v>
      </c>
      <c r="P160" s="17">
        <v>0</v>
      </c>
      <c r="Q160" s="17">
        <f>22+8</f>
        <v>30</v>
      </c>
      <c r="R160" s="17">
        <f>34+8+56+10+72+14</f>
        <v>194</v>
      </c>
      <c r="S160" s="51">
        <f>SUM(N160,P160,Q160,R160)</f>
        <v>283</v>
      </c>
      <c r="T160"/>
      <c r="U160" s="33">
        <f>1879/250*60</f>
        <v>450.96</v>
      </c>
      <c r="V160" s="39">
        <v>0</v>
      </c>
      <c r="W160" s="17">
        <v>35</v>
      </c>
      <c r="X160" s="40">
        <f>'SNV LLM API'!F70</f>
        <v>1</v>
      </c>
      <c r="Y160" s="52">
        <f>W160+AVERAGE(V159,V161:V162)</f>
        <v>37</v>
      </c>
      <c r="Z160"/>
      <c r="AA160" s="33">
        <f>835/250*60+1527/250*60+1276/250*60</f>
        <v>873.11999999999989</v>
      </c>
      <c r="AB160" s="39">
        <v>0</v>
      </c>
      <c r="AC160" s="17">
        <f>5+6+25</f>
        <v>36</v>
      </c>
      <c r="AD160" s="52">
        <f>AC160+AVERAGE(AB159,AB161:AB162)</f>
        <v>129.33333333333331</v>
      </c>
      <c r="AF160" s="12">
        <v>45565</v>
      </c>
      <c r="AG160" s="26">
        <f t="shared" ref="AG160:AG162" si="68">L160-Y160</f>
        <v>81</v>
      </c>
      <c r="AH160" s="26">
        <f t="shared" ref="AH160:AH162" si="69">L160-AD160</f>
        <v>-11.333333333333314</v>
      </c>
      <c r="AI160" s="3"/>
      <c r="AJ160" s="3"/>
      <c r="AK160" s="3"/>
      <c r="AL160" s="3"/>
      <c r="AM160" s="3"/>
      <c r="AN160" s="3"/>
      <c r="AO160" s="3"/>
      <c r="AT160" s="28">
        <v>45565</v>
      </c>
      <c r="AU160" s="26">
        <f>L160+L161+L162</f>
        <v>354</v>
      </c>
      <c r="AV160" s="26">
        <f>AD160+AD161+AD162</f>
        <v>321.33333333333331</v>
      </c>
      <c r="AW160" s="26"/>
      <c r="AX160" s="30">
        <f>AV160-AU160</f>
        <v>-32.666666666666686</v>
      </c>
      <c r="AY160" s="24">
        <f>(-AX160/AU160)</f>
        <v>9.2278719397363512E-2</v>
      </c>
      <c r="AZ160" s="3"/>
      <c r="BA160" s="3"/>
      <c r="BB160" s="3"/>
      <c r="BC160" s="3"/>
      <c r="BD160" s="3"/>
      <c r="BH160" s="28">
        <v>45565</v>
      </c>
      <c r="BI160" s="26">
        <f t="shared" ref="BI160:BI162" si="70">AU160</f>
        <v>354</v>
      </c>
      <c r="BJ160" s="26">
        <f>Y161+Y162+Y160</f>
        <v>92</v>
      </c>
      <c r="BK160" s="26"/>
      <c r="BL160" s="30">
        <f t="shared" ref="BL160:BL162" si="71">BJ160-BI160</f>
        <v>-262</v>
      </c>
      <c r="BM160" s="24">
        <f>(-BL160/BI160)</f>
        <v>0.74011299435028244</v>
      </c>
      <c r="BU160" s="3" t="str">
        <f t="shared" ref="BU160:BU162" si="72">B160</f>
        <v>SNV</v>
      </c>
      <c r="BV160" s="28">
        <v>45565</v>
      </c>
      <c r="BW160" s="175">
        <f>L160-(AC160+AVERAGE(AB159,AB161:AB162))</f>
        <v>-11.333333333333314</v>
      </c>
      <c r="BX160" s="175"/>
      <c r="BZ160" s="175">
        <f>L160-(W160+AVERAGE(V159,V161:V162))</f>
        <v>81</v>
      </c>
      <c r="CA160" s="175"/>
    </row>
    <row r="161" spans="2:79" ht="14.4" x14ac:dyDescent="0.3">
      <c r="B161" s="6" t="s">
        <v>136</v>
      </c>
      <c r="C161" s="3" t="s">
        <v>9</v>
      </c>
      <c r="D161" s="33">
        <v>81</v>
      </c>
      <c r="E161" s="19">
        <v>31</v>
      </c>
      <c r="F161" s="19">
        <v>44</v>
      </c>
      <c r="G161" s="34">
        <f>SUM(D161:F161)</f>
        <v>156</v>
      </c>
      <c r="H161" s="31"/>
      <c r="I161" s="33">
        <v>47</v>
      </c>
      <c r="J161" s="19">
        <v>37</v>
      </c>
      <c r="K161" s="19">
        <v>34</v>
      </c>
      <c r="L161" s="34">
        <f t="shared" ref="L161:L162" si="73">SUM(I161:K161)</f>
        <v>118</v>
      </c>
      <c r="M161"/>
      <c r="N161" s="39">
        <f>49+7</f>
        <v>56</v>
      </c>
      <c r="O161" s="40">
        <f>'SNV LLM Interface'!F71</f>
        <v>1</v>
      </c>
      <c r="P161" s="17">
        <v>0</v>
      </c>
      <c r="Q161" s="17">
        <f>22+6</f>
        <v>28</v>
      </c>
      <c r="R161" s="17">
        <f>34+6+56+8+72+6</f>
        <v>182</v>
      </c>
      <c r="S161" s="34">
        <f t="shared" si="67"/>
        <v>266</v>
      </c>
      <c r="T161"/>
      <c r="U161" s="39"/>
      <c r="V161" s="39">
        <v>2</v>
      </c>
      <c r="W161" s="17">
        <v>25</v>
      </c>
      <c r="X161" s="40">
        <f>'SNV LLM API'!F104</f>
        <v>1</v>
      </c>
      <c r="Y161" s="44">
        <f>SUM(U161:W161)</f>
        <v>27</v>
      </c>
      <c r="Z161"/>
      <c r="AA161" s="39"/>
      <c r="AB161" s="39">
        <v>42</v>
      </c>
      <c r="AC161" s="17">
        <v>23</v>
      </c>
      <c r="AD161" s="44">
        <f>SUM(AA161:AC161)</f>
        <v>65</v>
      </c>
      <c r="AF161" s="12">
        <v>45473</v>
      </c>
      <c r="AG161" s="26">
        <f t="shared" si="68"/>
        <v>91</v>
      </c>
      <c r="AH161" s="26">
        <f t="shared" si="69"/>
        <v>53</v>
      </c>
      <c r="AI161" s="3"/>
      <c r="AJ161" s="3"/>
      <c r="AK161" s="3"/>
      <c r="AL161" s="3"/>
      <c r="AM161" s="3"/>
      <c r="AN161" s="3"/>
      <c r="AO161" s="3"/>
      <c r="AT161" s="28">
        <v>45473</v>
      </c>
      <c r="AU161" s="26">
        <f>L161+L162</f>
        <v>236</v>
      </c>
      <c r="AV161" s="26">
        <f>AD161+AD162</f>
        <v>192</v>
      </c>
      <c r="AW161" s="26"/>
      <c r="AX161" s="30">
        <f>AV161-AU161</f>
        <v>-44</v>
      </c>
      <c r="AY161" s="24">
        <f>(-AX161/AU161)</f>
        <v>0.1864406779661017</v>
      </c>
      <c r="AZ161" s="3"/>
      <c r="BA161" s="3"/>
      <c r="BB161" s="3"/>
      <c r="BC161" s="3"/>
      <c r="BD161" s="3"/>
      <c r="BH161" s="28">
        <v>45473</v>
      </c>
      <c r="BI161" s="26">
        <f t="shared" si="70"/>
        <v>236</v>
      </c>
      <c r="BJ161" s="3">
        <f>Y161+Y162</f>
        <v>55</v>
      </c>
      <c r="BK161" s="3"/>
      <c r="BL161" s="30">
        <f t="shared" si="71"/>
        <v>-181</v>
      </c>
      <c r="BM161" s="24">
        <f>(-BL161/BI161)</f>
        <v>0.76694915254237284</v>
      </c>
      <c r="BU161" s="3" t="str">
        <f t="shared" si="72"/>
        <v>SNV</v>
      </c>
      <c r="BV161" s="28">
        <v>45473</v>
      </c>
      <c r="BW161" s="175">
        <f>L161-AD161</f>
        <v>53</v>
      </c>
      <c r="BX161" s="175"/>
      <c r="BZ161" s="175">
        <f>L161-Y161</f>
        <v>91</v>
      </c>
      <c r="CA161" s="175"/>
    </row>
    <row r="162" spans="2:79" ht="14.4" x14ac:dyDescent="0.3">
      <c r="B162" s="6" t="s">
        <v>136</v>
      </c>
      <c r="C162" s="3" t="s">
        <v>10</v>
      </c>
      <c r="D162" s="35">
        <v>81</v>
      </c>
      <c r="E162" s="46">
        <v>31</v>
      </c>
      <c r="F162" s="46">
        <v>44</v>
      </c>
      <c r="G162" s="36">
        <f>SUM(D162:F162)</f>
        <v>156</v>
      </c>
      <c r="H162" s="31"/>
      <c r="I162" s="35">
        <v>47</v>
      </c>
      <c r="J162" s="46">
        <v>37</v>
      </c>
      <c r="K162" s="46">
        <v>34</v>
      </c>
      <c r="L162" s="36">
        <f t="shared" si="73"/>
        <v>118</v>
      </c>
      <c r="M162"/>
      <c r="N162" s="41">
        <f>49+8</f>
        <v>57</v>
      </c>
      <c r="O162" s="42">
        <f>'SNV LLM Interface'!F98</f>
        <v>1</v>
      </c>
      <c r="P162" s="43">
        <v>0</v>
      </c>
      <c r="Q162" s="43">
        <f>22+7</f>
        <v>29</v>
      </c>
      <c r="R162" s="48">
        <f>34+7+56+6+72+9</f>
        <v>184</v>
      </c>
      <c r="S162" s="36">
        <f t="shared" si="67"/>
        <v>270</v>
      </c>
      <c r="T162"/>
      <c r="U162" s="41"/>
      <c r="V162" s="41">
        <v>2</v>
      </c>
      <c r="W162" s="43">
        <v>26</v>
      </c>
      <c r="X162" s="42">
        <f>'SNV LLM API'!F139</f>
        <v>1</v>
      </c>
      <c r="Y162" s="45">
        <f>SUM(U162:W162)</f>
        <v>28</v>
      </c>
      <c r="Z162"/>
      <c r="AA162" s="41"/>
      <c r="AB162" s="35">
        <f>300/250*60+40</f>
        <v>112</v>
      </c>
      <c r="AC162" s="43">
        <v>15</v>
      </c>
      <c r="AD162" s="45">
        <f>SUM(AA162:AC162)</f>
        <v>127</v>
      </c>
      <c r="AF162" s="12">
        <v>45382</v>
      </c>
      <c r="AG162" s="26">
        <f t="shared" si="68"/>
        <v>90</v>
      </c>
      <c r="AH162" s="26">
        <f t="shared" si="69"/>
        <v>-9</v>
      </c>
      <c r="AI162" s="3"/>
      <c r="AJ162" s="3"/>
      <c r="AK162" s="3"/>
      <c r="AL162" s="3"/>
      <c r="AM162" s="3"/>
      <c r="AN162" s="3"/>
      <c r="AO162" s="3"/>
      <c r="AT162" s="28">
        <v>45382</v>
      </c>
      <c r="AU162" s="26">
        <f>L162</f>
        <v>118</v>
      </c>
      <c r="AV162" s="26">
        <f>AD162</f>
        <v>127</v>
      </c>
      <c r="AW162" s="26"/>
      <c r="AX162" s="30">
        <f>AV162-AU162</f>
        <v>9</v>
      </c>
      <c r="AY162" s="24">
        <f>(-AX162/AU162)</f>
        <v>-7.6271186440677971E-2</v>
      </c>
      <c r="AZ162" s="3"/>
      <c r="BA162" s="3"/>
      <c r="BB162" s="3"/>
      <c r="BC162" s="3"/>
      <c r="BD162" s="3"/>
      <c r="BH162" s="28">
        <v>45382</v>
      </c>
      <c r="BI162" s="26">
        <f t="shared" si="70"/>
        <v>118</v>
      </c>
      <c r="BJ162" s="3">
        <f>Y162</f>
        <v>28</v>
      </c>
      <c r="BK162" s="3"/>
      <c r="BL162" s="30">
        <f t="shared" si="71"/>
        <v>-90</v>
      </c>
      <c r="BM162" s="24">
        <f>(-BL162/BI162)</f>
        <v>0.76271186440677963</v>
      </c>
      <c r="BU162" s="3" t="str">
        <f t="shared" si="72"/>
        <v>SNV</v>
      </c>
      <c r="BV162" s="28">
        <v>45382</v>
      </c>
      <c r="BW162" s="175">
        <f>L162-AD162</f>
        <v>-9</v>
      </c>
      <c r="BX162" s="175"/>
      <c r="BZ162" s="175">
        <f>L162-Y162</f>
        <v>90</v>
      </c>
      <c r="CA162" s="175"/>
    </row>
    <row r="163" spans="2:79" ht="14.4" x14ac:dyDescent="0.3">
      <c r="G163" s="3">
        <f>SUM(G159:G162)</f>
        <v>624</v>
      </c>
      <c r="H163" s="3"/>
      <c r="K163" s="11" t="s">
        <v>324</v>
      </c>
      <c r="L163" s="3">
        <f>SUM(L159:L162)</f>
        <v>472</v>
      </c>
      <c r="M163"/>
      <c r="S163" s="26">
        <f>SUM(S159:S162)</f>
        <v>1084</v>
      </c>
      <c r="T163"/>
      <c r="W163" s="11" t="s">
        <v>324</v>
      </c>
      <c r="Y163" s="26">
        <f>SUM(Y159:Y162)</f>
        <v>118</v>
      </c>
      <c r="Z163" s="31"/>
      <c r="AC163" s="11" t="s">
        <v>324</v>
      </c>
      <c r="AD163" s="26">
        <f>SUM(AD159:AD162)</f>
        <v>477.33333333333331</v>
      </c>
      <c r="AF163" s="12" t="s">
        <v>11</v>
      </c>
      <c r="AG163" s="26">
        <f>SUM(AG159:AG162)</f>
        <v>354</v>
      </c>
      <c r="AH163" s="26">
        <f>SUM(AH159:AH162)</f>
        <v>-5.3333333333333144</v>
      </c>
      <c r="AT163" s="12"/>
      <c r="AU163" s="26"/>
      <c r="AV163" s="26"/>
      <c r="BV163" s="11" t="s">
        <v>36</v>
      </c>
      <c r="BW163" s="176">
        <f>AA160/AVERAGE(BW159:BX162)</f>
        <v>-654.84000000000219</v>
      </c>
      <c r="BX163" s="176"/>
      <c r="BZ163" s="176">
        <f>U160/AVERAGE(BZ159:CA162)</f>
        <v>5.0955932203389827</v>
      </c>
      <c r="CA163" s="176"/>
    </row>
    <row r="164" spans="2:79" ht="14.4" x14ac:dyDescent="0.3">
      <c r="R164" s="11" t="s">
        <v>166</v>
      </c>
      <c r="S164" s="14">
        <f>(($L163-S163)/$L163)*1</f>
        <v>-1.2966101694915255</v>
      </c>
      <c r="T164"/>
      <c r="W164" s="11" t="s">
        <v>166</v>
      </c>
      <c r="Y164" s="172">
        <f>(($L163-Y163)/$L163)*1</f>
        <v>0.75</v>
      </c>
      <c r="AC164" s="11" t="s">
        <v>166</v>
      </c>
      <c r="AD164" s="172">
        <f>(($L163-AD163)/$L163)*1</f>
        <v>-1.1299435028248548E-2</v>
      </c>
    </row>
    <row r="165" spans="2:79" ht="14.4" x14ac:dyDescent="0.3">
      <c r="T165"/>
      <c r="W165" s="11" t="s">
        <v>325</v>
      </c>
      <c r="X165" s="171">
        <f>AVERAGE(X159:X162)</f>
        <v>1</v>
      </c>
    </row>
    <row r="166" spans="2:79" ht="14.4" x14ac:dyDescent="0.3">
      <c r="T166"/>
      <c r="AB166" s="26">
        <f>AVERAGE(AB161:AB162,AB159)</f>
        <v>93.333333333333329</v>
      </c>
      <c r="AC166" s="26">
        <f>AVERAGE(AC159:AC162)</f>
        <v>26</v>
      </c>
    </row>
    <row r="167" spans="2:79" ht="14.4" x14ac:dyDescent="0.3">
      <c r="T167"/>
    </row>
    <row r="168" spans="2:79" ht="14.4" x14ac:dyDescent="0.3">
      <c r="T168"/>
    </row>
    <row r="169" spans="2:79" ht="14.4" x14ac:dyDescent="0.3">
      <c r="T169"/>
    </row>
    <row r="170" spans="2:79" ht="14.4" x14ac:dyDescent="0.3">
      <c r="T170"/>
    </row>
    <row r="171" spans="2:79" ht="14.4" x14ac:dyDescent="0.3">
      <c r="T171"/>
    </row>
    <row r="172" spans="2:79" ht="14.4" x14ac:dyDescent="0.3">
      <c r="T172"/>
    </row>
    <row r="173" spans="2:79" ht="14.4" x14ac:dyDescent="0.3">
      <c r="T173"/>
    </row>
    <row r="174" spans="2:79" ht="14.4" x14ac:dyDescent="0.3">
      <c r="T174"/>
    </row>
    <row r="175" spans="2:79" ht="14.4" x14ac:dyDescent="0.3">
      <c r="T175"/>
    </row>
    <row r="176" spans="2:79" ht="14.4" x14ac:dyDescent="0.3">
      <c r="T176"/>
    </row>
    <row r="177" spans="1:79" ht="14.4" x14ac:dyDescent="0.3">
      <c r="B177" s="6"/>
      <c r="D177" s="174" t="s">
        <v>62</v>
      </c>
      <c r="E177" s="174"/>
      <c r="F177" s="174"/>
      <c r="G177" s="174"/>
      <c r="H177" s="4"/>
      <c r="I177" s="174" t="s">
        <v>323</v>
      </c>
      <c r="J177" s="174"/>
      <c r="K177" s="174"/>
      <c r="L177" s="174"/>
      <c r="M177" s="4"/>
      <c r="N177" s="174" t="s">
        <v>4</v>
      </c>
      <c r="O177" s="174"/>
      <c r="P177" s="174"/>
      <c r="Q177" s="174"/>
      <c r="R177" s="174"/>
      <c r="S177" s="174"/>
      <c r="T177"/>
      <c r="U177" s="174" t="s">
        <v>245</v>
      </c>
      <c r="V177" s="174"/>
      <c r="W177" s="174"/>
      <c r="X177" s="174"/>
      <c r="Y177" s="174"/>
      <c r="Z177" s="4"/>
      <c r="AA177" s="174" t="s">
        <v>318</v>
      </c>
      <c r="AB177" s="174"/>
      <c r="AC177" s="174"/>
      <c r="AD177" s="174"/>
    </row>
    <row r="178" spans="1:79" ht="14.4" x14ac:dyDescent="0.3">
      <c r="B178" s="6"/>
      <c r="I178" s="173" t="s">
        <v>274</v>
      </c>
      <c r="J178" s="173"/>
      <c r="K178" s="173"/>
      <c r="L178" s="173"/>
      <c r="M178" s="6"/>
      <c r="N178" s="9" t="s">
        <v>54</v>
      </c>
      <c r="O178" s="6"/>
      <c r="P178" s="9" t="s">
        <v>53</v>
      </c>
      <c r="Q178" s="9" t="s">
        <v>83</v>
      </c>
      <c r="R178" s="9" t="s">
        <v>57</v>
      </c>
      <c r="S178" s="6"/>
      <c r="T178"/>
      <c r="U178" s="173" t="s">
        <v>274</v>
      </c>
      <c r="V178" s="173"/>
      <c r="W178" s="173"/>
      <c r="X178" s="173"/>
      <c r="Y178" s="173"/>
      <c r="Z178" s="6"/>
      <c r="AA178" s="173" t="s">
        <v>274</v>
      </c>
      <c r="AB178" s="173"/>
      <c r="AC178" s="173"/>
      <c r="AD178" s="173"/>
    </row>
    <row r="179" spans="1:79" ht="14.4" x14ac:dyDescent="0.3">
      <c r="B179" s="6" t="s">
        <v>2</v>
      </c>
      <c r="C179" s="6" t="s">
        <v>6</v>
      </c>
      <c r="D179" s="37" t="s">
        <v>64</v>
      </c>
      <c r="E179" s="38" t="s">
        <v>63</v>
      </c>
      <c r="F179" s="38" t="s">
        <v>319</v>
      </c>
      <c r="G179" s="32" t="s">
        <v>38</v>
      </c>
      <c r="H179" s="6"/>
      <c r="I179" s="37" t="s">
        <v>64</v>
      </c>
      <c r="J179" s="38" t="s">
        <v>63</v>
      </c>
      <c r="K179" s="38" t="s">
        <v>319</v>
      </c>
      <c r="L179" s="32" t="s">
        <v>11</v>
      </c>
      <c r="M179"/>
      <c r="N179" s="37" t="s">
        <v>64</v>
      </c>
      <c r="O179" s="38" t="s">
        <v>5</v>
      </c>
      <c r="P179" s="38" t="s">
        <v>88</v>
      </c>
      <c r="Q179" s="38" t="s">
        <v>63</v>
      </c>
      <c r="R179" s="38" t="s">
        <v>319</v>
      </c>
      <c r="S179" s="32" t="s">
        <v>37</v>
      </c>
      <c r="T179"/>
      <c r="U179" s="37" t="s">
        <v>87</v>
      </c>
      <c r="V179" s="37" t="s">
        <v>85</v>
      </c>
      <c r="W179" s="38" t="s">
        <v>86</v>
      </c>
      <c r="X179" s="38" t="s">
        <v>5</v>
      </c>
      <c r="Y179" s="32" t="s">
        <v>11</v>
      </c>
      <c r="Z179"/>
      <c r="AA179" s="37" t="s">
        <v>87</v>
      </c>
      <c r="AB179" s="37" t="s">
        <v>85</v>
      </c>
      <c r="AC179" s="38" t="s">
        <v>86</v>
      </c>
      <c r="AD179" s="32" t="s">
        <v>11</v>
      </c>
      <c r="AF179" s="6" t="s">
        <v>12</v>
      </c>
      <c r="AG179" s="6" t="s">
        <v>244</v>
      </c>
      <c r="AH179" s="6" t="s">
        <v>320</v>
      </c>
      <c r="AU179" s="6" t="s">
        <v>203</v>
      </c>
      <c r="AV179" s="6" t="s">
        <v>320</v>
      </c>
      <c r="AW179" s="6"/>
      <c r="AX179" s="6" t="s">
        <v>35</v>
      </c>
      <c r="AY179" s="6" t="s">
        <v>251</v>
      </c>
      <c r="AZ179" s="6"/>
      <c r="BI179" s="6" t="s">
        <v>203</v>
      </c>
      <c r="BJ179" s="6" t="s">
        <v>244</v>
      </c>
      <c r="BK179" s="6"/>
      <c r="BL179" s="6" t="s">
        <v>35</v>
      </c>
      <c r="BM179" s="6" t="s">
        <v>251</v>
      </c>
    </row>
    <row r="180" spans="1:79" ht="14.4" x14ac:dyDescent="0.3">
      <c r="B180" s="6" t="s">
        <v>149</v>
      </c>
      <c r="C180" s="3" t="s">
        <v>8</v>
      </c>
      <c r="D180" s="33">
        <v>86</v>
      </c>
      <c r="E180" s="19">
        <v>71</v>
      </c>
      <c r="F180" s="19">
        <v>46</v>
      </c>
      <c r="G180" s="34">
        <f>SUM(D180:F180)</f>
        <v>203</v>
      </c>
      <c r="H180" s="31"/>
      <c r="I180" s="33">
        <v>24</v>
      </c>
      <c r="J180" s="19">
        <v>65</v>
      </c>
      <c r="K180" s="19">
        <v>32</v>
      </c>
      <c r="L180" s="34">
        <f t="shared" ref="L180" si="74">SUM(I180:K180)</f>
        <v>121</v>
      </c>
      <c r="M180"/>
      <c r="N180" s="39">
        <f>41+12</f>
        <v>53</v>
      </c>
      <c r="O180" s="40">
        <f>'RF LLM Interface'!G29</f>
        <v>1</v>
      </c>
      <c r="P180" s="17">
        <v>0</v>
      </c>
      <c r="Q180" s="17">
        <f>39+20+46+16</f>
        <v>121</v>
      </c>
      <c r="R180" s="17">
        <f>44+10+56+11+24+7</f>
        <v>152</v>
      </c>
      <c r="S180" s="34">
        <f>SUM(N180,P180,Q180,R180)</f>
        <v>326</v>
      </c>
      <c r="T180"/>
      <c r="U180" s="39"/>
      <c r="V180" s="39">
        <v>35</v>
      </c>
      <c r="W180" s="17">
        <v>31</v>
      </c>
      <c r="X180" s="40">
        <f>'RF LLM API'!C41</f>
        <v>1</v>
      </c>
      <c r="Y180" s="44">
        <f>SUM(U180:W180)</f>
        <v>66</v>
      </c>
      <c r="Z180"/>
      <c r="AA180" s="39"/>
      <c r="AB180" s="33">
        <f>532/250*60+25</f>
        <v>152.68</v>
      </c>
      <c r="AC180" s="17">
        <v>20</v>
      </c>
      <c r="AD180" s="52">
        <f>SUM(AA180:AC180)</f>
        <v>172.68</v>
      </c>
      <c r="AF180" s="12">
        <v>45657</v>
      </c>
      <c r="AG180" s="26">
        <f>L180-Y180</f>
        <v>55</v>
      </c>
      <c r="AH180" s="26">
        <f>L180-AD180</f>
        <v>-51.680000000000007</v>
      </c>
      <c r="AI180" s="3"/>
      <c r="AJ180" s="3"/>
      <c r="AK180" s="3"/>
      <c r="AL180" s="3"/>
      <c r="AM180" s="3"/>
      <c r="AN180" s="3"/>
      <c r="AO180" s="3"/>
      <c r="AT180" s="28">
        <v>45657</v>
      </c>
      <c r="AU180" s="26">
        <f>L180+L181+L182+L183</f>
        <v>484</v>
      </c>
      <c r="AV180" s="26">
        <f>AD180+AD181+AD182+AD183</f>
        <v>339.90666666666669</v>
      </c>
      <c r="AW180" s="26"/>
      <c r="AX180" s="30">
        <f>AV180-AU180</f>
        <v>-144.09333333333331</v>
      </c>
      <c r="AY180" s="24">
        <f>(-AX180/AU180)</f>
        <v>0.2977134986225895</v>
      </c>
      <c r="AZ180" s="3"/>
      <c r="BA180" s="3"/>
      <c r="BB180" s="3"/>
      <c r="BC180" s="3"/>
      <c r="BD180" s="3"/>
      <c r="BH180" s="28">
        <v>45657</v>
      </c>
      <c r="BI180" s="26">
        <f>AU180</f>
        <v>484</v>
      </c>
      <c r="BJ180" s="26">
        <f>Y181+Y182+Y180+Y183</f>
        <v>263</v>
      </c>
      <c r="BK180" s="26"/>
      <c r="BL180" s="30">
        <f>BJ180-BI180</f>
        <v>-221</v>
      </c>
      <c r="BM180" s="24">
        <f>(-BL180/BI180)</f>
        <v>0.45661157024793386</v>
      </c>
      <c r="BU180" s="3" t="str">
        <f>B180</f>
        <v>RF</v>
      </c>
      <c r="BV180" s="28">
        <v>45657</v>
      </c>
      <c r="BW180" s="175">
        <f>L180-AD180</f>
        <v>-51.680000000000007</v>
      </c>
      <c r="BX180" s="175"/>
      <c r="BZ180" s="175">
        <f>L180-Y180</f>
        <v>55</v>
      </c>
      <c r="CA180" s="175"/>
    </row>
    <row r="181" spans="1:79" ht="14.4" x14ac:dyDescent="0.3">
      <c r="A181" s="47" t="s">
        <v>29</v>
      </c>
      <c r="B181" s="6" t="s">
        <v>149</v>
      </c>
      <c r="C181" s="3" t="s">
        <v>7</v>
      </c>
      <c r="D181" s="33">
        <v>86</v>
      </c>
      <c r="E181" s="19">
        <v>71</v>
      </c>
      <c r="F181" s="19">
        <v>46</v>
      </c>
      <c r="G181" s="51">
        <f>SUM(D181:F181)</f>
        <v>203</v>
      </c>
      <c r="H181" s="74"/>
      <c r="I181" s="33">
        <v>24</v>
      </c>
      <c r="J181" s="19">
        <v>65</v>
      </c>
      <c r="K181" s="19">
        <v>32</v>
      </c>
      <c r="L181" s="51">
        <f>SUM(I181:K181)</f>
        <v>121</v>
      </c>
      <c r="M181"/>
      <c r="N181" s="39">
        <f>42+12</f>
        <v>54</v>
      </c>
      <c r="O181" s="40">
        <f>'RF LLM Interface'!G78</f>
        <v>1</v>
      </c>
      <c r="P181" s="17">
        <v>0</v>
      </c>
      <c r="Q181" s="17">
        <f>39+17+44+21</f>
        <v>121</v>
      </c>
      <c r="R181" s="17">
        <f>44+7+56+10+24+8</f>
        <v>149</v>
      </c>
      <c r="S181" s="51">
        <f t="shared" ref="S181:S183" si="75">SUM(N181,P181,Q181,R181)</f>
        <v>324</v>
      </c>
      <c r="T181"/>
      <c r="U181" s="33">
        <f>4777/250*60</f>
        <v>1146.48</v>
      </c>
      <c r="V181" s="39">
        <v>0</v>
      </c>
      <c r="W181" s="17">
        <v>30</v>
      </c>
      <c r="X181" s="40">
        <f>'RF LLM API'!C80</f>
        <v>0.88888888888888884</v>
      </c>
      <c r="Y181" s="52">
        <f>W181+AVERAGE(V180,V182:V183)</f>
        <v>65</v>
      </c>
      <c r="Z181"/>
      <c r="AA181" s="33">
        <f>2047/250*60</f>
        <v>491.28000000000003</v>
      </c>
      <c r="AB181" s="39">
        <v>0</v>
      </c>
      <c r="AC181" s="17">
        <v>25</v>
      </c>
      <c r="AD181" s="52">
        <f>AC181+AVERAGE(AB180,AB182:AB183)</f>
        <v>89.226666666666674</v>
      </c>
      <c r="AF181" s="12">
        <v>45565</v>
      </c>
      <c r="AG181" s="26">
        <f t="shared" ref="AG181:AG183" si="76">L181-Y181</f>
        <v>56</v>
      </c>
      <c r="AH181" s="26">
        <f t="shared" ref="AH181:AH183" si="77">L181-AD181</f>
        <v>31.773333333333326</v>
      </c>
      <c r="AI181" s="3"/>
      <c r="AJ181" s="3"/>
      <c r="AK181" s="3"/>
      <c r="AL181" s="3"/>
      <c r="AM181" s="3"/>
      <c r="AN181" s="3"/>
      <c r="AO181" s="3"/>
      <c r="AT181" s="28">
        <v>45565</v>
      </c>
      <c r="AU181" s="26">
        <f>L181+L182+L183</f>
        <v>363</v>
      </c>
      <c r="AV181" s="26">
        <f>AD181+AD182+AD183</f>
        <v>167.22666666666669</v>
      </c>
      <c r="AW181" s="26"/>
      <c r="AX181" s="30">
        <f>AV181-AU181</f>
        <v>-195.77333333333331</v>
      </c>
      <c r="AY181" s="24">
        <f>(-AX181/AU181)</f>
        <v>0.53932047750229561</v>
      </c>
      <c r="AZ181" s="3"/>
      <c r="BA181" s="3"/>
      <c r="BB181" s="3"/>
      <c r="BC181" s="3"/>
      <c r="BD181" s="3"/>
      <c r="BH181" s="28">
        <v>45565</v>
      </c>
      <c r="BI181" s="26">
        <f t="shared" ref="BI181:BI183" si="78">AU181</f>
        <v>363</v>
      </c>
      <c r="BJ181" s="26">
        <f>Y182+Y183+Y181</f>
        <v>197</v>
      </c>
      <c r="BK181" s="26"/>
      <c r="BL181" s="30">
        <f t="shared" ref="BL181:BL183" si="79">BJ181-BI181</f>
        <v>-166</v>
      </c>
      <c r="BM181" s="24">
        <f>(-BL181/BI181)</f>
        <v>0.45730027548209368</v>
      </c>
      <c r="BU181" s="3" t="str">
        <f t="shared" ref="BU181:BU183" si="80">B181</f>
        <v>RF</v>
      </c>
      <c r="BV181" s="28">
        <v>45565</v>
      </c>
      <c r="BW181" s="175">
        <f>L181-(AC181+AVERAGE(AB180,AB182:AB183))</f>
        <v>31.773333333333326</v>
      </c>
      <c r="BX181" s="175"/>
      <c r="BZ181" s="175">
        <f>L181-(W181+AVERAGE(V180,V182:V183))</f>
        <v>56</v>
      </c>
      <c r="CA181" s="175"/>
    </row>
    <row r="182" spans="1:79" ht="14.4" x14ac:dyDescent="0.3">
      <c r="B182" s="6" t="s">
        <v>149</v>
      </c>
      <c r="C182" s="3" t="s">
        <v>9</v>
      </c>
      <c r="D182" s="33">
        <v>86</v>
      </c>
      <c r="E182" s="19">
        <v>71</v>
      </c>
      <c r="F182" s="19">
        <v>46</v>
      </c>
      <c r="G182" s="34">
        <f>SUM(D182:F182)</f>
        <v>203</v>
      </c>
      <c r="H182" s="31"/>
      <c r="I182" s="33">
        <v>24</v>
      </c>
      <c r="J182" s="19">
        <v>65</v>
      </c>
      <c r="K182" s="19">
        <v>32</v>
      </c>
      <c r="L182" s="34">
        <f t="shared" ref="L182:L183" si="81">SUM(I182:K182)</f>
        <v>121</v>
      </c>
      <c r="M182"/>
      <c r="N182" s="39">
        <f>41+12</f>
        <v>53</v>
      </c>
      <c r="O182" s="40">
        <f>'RF LLM Interface'!G125</f>
        <v>1</v>
      </c>
      <c r="P182" s="17">
        <v>0</v>
      </c>
      <c r="Q182" s="17">
        <f>39+24+39+20</f>
        <v>122</v>
      </c>
      <c r="R182" s="17">
        <f>44+15+56+13+24+11</f>
        <v>163</v>
      </c>
      <c r="S182" s="34">
        <f t="shared" si="75"/>
        <v>338</v>
      </c>
      <c r="T182"/>
      <c r="U182" s="39"/>
      <c r="V182" s="39">
        <v>38</v>
      </c>
      <c r="W182" s="17">
        <v>32</v>
      </c>
      <c r="X182" s="40">
        <f>'RF LLM API'!C117</f>
        <v>0.77777777777777779</v>
      </c>
      <c r="Y182" s="44">
        <f>SUM(U182:W182)</f>
        <v>70</v>
      </c>
      <c r="Z182"/>
      <c r="AA182" s="39"/>
      <c r="AB182" s="39">
        <v>21</v>
      </c>
      <c r="AC182" s="17">
        <v>18</v>
      </c>
      <c r="AD182" s="44">
        <f>SUM(AA182:AC182)</f>
        <v>39</v>
      </c>
      <c r="AF182" s="12">
        <v>45473</v>
      </c>
      <c r="AG182" s="26">
        <f t="shared" si="76"/>
        <v>51</v>
      </c>
      <c r="AH182" s="26">
        <f t="shared" si="77"/>
        <v>82</v>
      </c>
      <c r="AI182" s="3"/>
      <c r="AJ182" s="3"/>
      <c r="AK182" s="3"/>
      <c r="AL182" s="3"/>
      <c r="AM182" s="3"/>
      <c r="AN182" s="3"/>
      <c r="AO182" s="3"/>
      <c r="AT182" s="28">
        <v>45473</v>
      </c>
      <c r="AU182" s="26">
        <f>L182+L183</f>
        <v>242</v>
      </c>
      <c r="AV182" s="26">
        <f>AD182+AD183</f>
        <v>78</v>
      </c>
      <c r="AW182" s="26"/>
      <c r="AX182" s="30">
        <f>AV182-AU182</f>
        <v>-164</v>
      </c>
      <c r="AY182" s="24">
        <f>(-AX182/AU182)</f>
        <v>0.6776859504132231</v>
      </c>
      <c r="AZ182" s="3"/>
      <c r="BA182" s="3"/>
      <c r="BB182" s="3"/>
      <c r="BC182" s="3"/>
      <c r="BD182" s="3"/>
      <c r="BH182" s="28">
        <v>45473</v>
      </c>
      <c r="BI182" s="26">
        <f t="shared" si="78"/>
        <v>242</v>
      </c>
      <c r="BJ182" s="3">
        <f>Y182+Y183</f>
        <v>132</v>
      </c>
      <c r="BK182" s="3"/>
      <c r="BL182" s="30">
        <f t="shared" si="79"/>
        <v>-110</v>
      </c>
      <c r="BM182" s="24">
        <f>(-BL182/BI182)</f>
        <v>0.45454545454545453</v>
      </c>
      <c r="BU182" s="3" t="str">
        <f t="shared" si="80"/>
        <v>RF</v>
      </c>
      <c r="BV182" s="28">
        <v>45473</v>
      </c>
      <c r="BW182" s="175">
        <f>L182-AD182</f>
        <v>82</v>
      </c>
      <c r="BX182" s="175"/>
      <c r="BZ182" s="175">
        <f t="shared" ref="BZ182:BZ183" si="82">L182-Y182</f>
        <v>51</v>
      </c>
      <c r="CA182" s="175"/>
    </row>
    <row r="183" spans="1:79" ht="14.4" x14ac:dyDescent="0.3">
      <c r="B183" s="6" t="s">
        <v>149</v>
      </c>
      <c r="C183" s="3" t="s">
        <v>10</v>
      </c>
      <c r="D183" s="35">
        <v>86</v>
      </c>
      <c r="E183" s="46">
        <v>71</v>
      </c>
      <c r="F183" s="46">
        <v>46</v>
      </c>
      <c r="G183" s="36">
        <f>SUM(D183:F183)</f>
        <v>203</v>
      </c>
      <c r="H183" s="31"/>
      <c r="I183" s="35">
        <v>24</v>
      </c>
      <c r="J183" s="46">
        <v>65</v>
      </c>
      <c r="K183" s="46">
        <v>32</v>
      </c>
      <c r="L183" s="36">
        <f t="shared" si="81"/>
        <v>121</v>
      </c>
      <c r="M183"/>
      <c r="N183" s="41">
        <f>41+11</f>
        <v>52</v>
      </c>
      <c r="O183" s="42">
        <f>'RF LLM Interface'!G170</f>
        <v>1</v>
      </c>
      <c r="P183" s="43">
        <v>0</v>
      </c>
      <c r="Q183" s="43">
        <f>39+28+39+26</f>
        <v>132</v>
      </c>
      <c r="R183" s="48">
        <f>44+11+56+12+24+10</f>
        <v>157</v>
      </c>
      <c r="S183" s="36">
        <f t="shared" si="75"/>
        <v>341</v>
      </c>
      <c r="T183"/>
      <c r="U183" s="41"/>
      <c r="V183" s="41">
        <v>32</v>
      </c>
      <c r="W183" s="43">
        <v>30</v>
      </c>
      <c r="X183" s="42">
        <f>'RF LLM API'!C153</f>
        <v>0.88888888888888884</v>
      </c>
      <c r="Y183" s="45">
        <f>SUM(U183:W183)</f>
        <v>62</v>
      </c>
      <c r="Z183"/>
      <c r="AA183" s="41"/>
      <c r="AB183" s="41">
        <v>19</v>
      </c>
      <c r="AC183" s="43">
        <v>20</v>
      </c>
      <c r="AD183" s="45">
        <f>SUM(AA183:AC183)</f>
        <v>39</v>
      </c>
      <c r="AF183" s="12">
        <v>45382</v>
      </c>
      <c r="AG183" s="26">
        <f t="shared" si="76"/>
        <v>59</v>
      </c>
      <c r="AH183" s="26">
        <f t="shared" si="77"/>
        <v>82</v>
      </c>
      <c r="AI183" s="3"/>
      <c r="AJ183" s="3"/>
      <c r="AK183" s="3"/>
      <c r="AL183" s="3"/>
      <c r="AM183" s="3"/>
      <c r="AN183" s="3"/>
      <c r="AO183" s="3"/>
      <c r="AT183" s="28">
        <v>45382</v>
      </c>
      <c r="AU183" s="26">
        <f>L183</f>
        <v>121</v>
      </c>
      <c r="AV183" s="26">
        <f>AD183</f>
        <v>39</v>
      </c>
      <c r="AW183" s="26"/>
      <c r="AX183" s="30">
        <f>AV183-AU183</f>
        <v>-82</v>
      </c>
      <c r="AY183" s="24">
        <f>(-AX183/AU183)</f>
        <v>0.6776859504132231</v>
      </c>
      <c r="AZ183" s="3"/>
      <c r="BA183" s="3"/>
      <c r="BB183" s="3"/>
      <c r="BC183" s="3"/>
      <c r="BD183" s="3"/>
      <c r="BH183" s="28">
        <v>45382</v>
      </c>
      <c r="BI183" s="26">
        <f t="shared" si="78"/>
        <v>121</v>
      </c>
      <c r="BJ183" s="3">
        <f>Y183</f>
        <v>62</v>
      </c>
      <c r="BK183" s="3"/>
      <c r="BL183" s="30">
        <f t="shared" si="79"/>
        <v>-59</v>
      </c>
      <c r="BM183" s="24">
        <f>(-BL183/BI183)</f>
        <v>0.48760330578512395</v>
      </c>
      <c r="BU183" s="3" t="str">
        <f t="shared" si="80"/>
        <v>RF</v>
      </c>
      <c r="BV183" s="28">
        <v>45382</v>
      </c>
      <c r="BW183" s="175">
        <f>L183-AD183</f>
        <v>82</v>
      </c>
      <c r="BX183" s="175"/>
      <c r="BZ183" s="175">
        <f t="shared" si="82"/>
        <v>59</v>
      </c>
      <c r="CA183" s="175"/>
    </row>
    <row r="184" spans="1:79" ht="14.4" x14ac:dyDescent="0.3">
      <c r="G184" s="3">
        <f>SUM(G180:G183)</f>
        <v>812</v>
      </c>
      <c r="H184" s="3"/>
      <c r="L184" s="3">
        <f>SUM(L180:L183)</f>
        <v>484</v>
      </c>
      <c r="M184"/>
      <c r="S184" s="26">
        <f>SUM(S180:S183)</f>
        <v>1329</v>
      </c>
      <c r="T184"/>
      <c r="W184" s="11" t="s">
        <v>324</v>
      </c>
      <c r="Y184" s="26">
        <f>SUM(Y180:Y183)</f>
        <v>263</v>
      </c>
      <c r="Z184" s="31"/>
      <c r="AC184" s="11" t="s">
        <v>324</v>
      </c>
      <c r="AD184" s="26">
        <f>SUM(AD180:AD183)</f>
        <v>339.90666666666669</v>
      </c>
      <c r="AF184" s="12" t="s">
        <v>11</v>
      </c>
      <c r="AG184" s="26">
        <f>SUM(AG180:AG183)</f>
        <v>221</v>
      </c>
      <c r="AH184" s="26">
        <f>SUM(AH180:AH183)</f>
        <v>144.09333333333331</v>
      </c>
      <c r="AT184" s="12"/>
      <c r="AU184" s="26"/>
      <c r="AV184" s="26"/>
      <c r="BV184" s="11" t="s">
        <v>36</v>
      </c>
      <c r="BW184" s="176">
        <f>AA181/AVERAGE(BW180:BX183)</f>
        <v>13.637827334135286</v>
      </c>
      <c r="BX184" s="176"/>
      <c r="BZ184" s="176">
        <f>U181/AVERAGE(BZ180:CA183)</f>
        <v>20.75076923076923</v>
      </c>
      <c r="CA184" s="176"/>
    </row>
    <row r="185" spans="1:79" ht="14.4" x14ac:dyDescent="0.3">
      <c r="R185" s="11" t="s">
        <v>166</v>
      </c>
      <c r="S185" s="14">
        <f>(($L184-S184)/$L184)*1</f>
        <v>-1.7458677685950412</v>
      </c>
      <c r="T185"/>
      <c r="W185" s="11" t="s">
        <v>166</v>
      </c>
      <c r="Y185" s="172">
        <f>(($L184-Y184)/$L184)*1</f>
        <v>0.45661157024793386</v>
      </c>
      <c r="AC185" s="11" t="s">
        <v>166</v>
      </c>
      <c r="AD185" s="172">
        <f>(($L184-AD184)/$L184)*1</f>
        <v>0.2977134986225895</v>
      </c>
    </row>
    <row r="186" spans="1:79" ht="14.4" x14ac:dyDescent="0.3">
      <c r="T186"/>
      <c r="W186" s="11" t="s">
        <v>325</v>
      </c>
      <c r="X186" s="171">
        <f>AVERAGE(X180:X183)</f>
        <v>0.88888888888888884</v>
      </c>
    </row>
    <row r="187" spans="1:79" x14ac:dyDescent="0.25">
      <c r="AB187" s="26">
        <f>AVERAGE(AB182:AB183,AB180)</f>
        <v>64.226666666666674</v>
      </c>
      <c r="AC187" s="26">
        <f>AVERAGE(AC180:AC183)</f>
        <v>20.75</v>
      </c>
    </row>
    <row r="190" spans="1:79" x14ac:dyDescent="0.25">
      <c r="L190" s="11"/>
      <c r="M190" s="11" t="s">
        <v>327</v>
      </c>
      <c r="V190" s="26">
        <f>AVERAGE(V180,V182:V183,V159,V161:V162,V139,V141:V142,V123,V125:V126,V105,V107:V108,V87,V89:V90,V71,V73:V74,V54,V56:V57,V39,V41:V42,V26,V28:V29)</f>
        <v>26.933333333333334</v>
      </c>
      <c r="AB190" s="26">
        <f>AVERAGE(AB180,AB182:AB183,AB159,AB161:AB162,AB139,AB141:AB142,AB123,AB125:AB126,AB105,AB107:AB108,AB87,AB89:AB90,AB71,AB73:AB74,AB54,AB56:AB57,AB39,AB41:AB42,AB26,AB28:AB29)</f>
        <v>58.306666666666658</v>
      </c>
    </row>
    <row r="191" spans="1:79" x14ac:dyDescent="0.25">
      <c r="M191" s="11" t="s">
        <v>326</v>
      </c>
      <c r="W191" s="26">
        <f>AVERAGE(W180:W183,W159:W162,W139:W142,W123:W126,W105:W108,W87:W90,W71:W74,W54:W57,W39:W42,W26:W29)</f>
        <v>27.15</v>
      </c>
      <c r="AC191" s="26">
        <f>AVERAGE(AC180:AC183,AC159:AC162,AC139:AC142,AC123:AC126,AC105:AC108,AC87:AC90,AC71:AC74,AC54:AC57,AC39:AC42,AC26:AC29)</f>
        <v>20.574999999999999</v>
      </c>
      <c r="AD191" s="112"/>
    </row>
  </sheetData>
  <mergeCells count="193">
    <mergeCell ref="I4:M4"/>
    <mergeCell ref="B22:C22"/>
    <mergeCell ref="N23:S23"/>
    <mergeCell ref="AA23:AD23"/>
    <mergeCell ref="I23:L23"/>
    <mergeCell ref="D23:G23"/>
    <mergeCell ref="U23:Y23"/>
    <mergeCell ref="AG23:AH23"/>
    <mergeCell ref="AU23:AV23"/>
    <mergeCell ref="AU22:AV22"/>
    <mergeCell ref="BW26:BX26"/>
    <mergeCell ref="BW27:BX27"/>
    <mergeCell ref="BW28:BX28"/>
    <mergeCell ref="BW29:BX29"/>
    <mergeCell ref="BW30:BX30"/>
    <mergeCell ref="BW24:BX24"/>
    <mergeCell ref="BI22:BM22"/>
    <mergeCell ref="BI23:BM23"/>
    <mergeCell ref="BW23:BX23"/>
    <mergeCell ref="BW56:BX56"/>
    <mergeCell ref="BW57:BX57"/>
    <mergeCell ref="BW58:BX58"/>
    <mergeCell ref="N68:S68"/>
    <mergeCell ref="AA68:AD68"/>
    <mergeCell ref="I68:L68"/>
    <mergeCell ref="I84:L84"/>
    <mergeCell ref="AU24:AV24"/>
    <mergeCell ref="N51:S51"/>
    <mergeCell ref="AA51:AD51"/>
    <mergeCell ref="BW54:BX54"/>
    <mergeCell ref="N36:S36"/>
    <mergeCell ref="AA36:AD36"/>
    <mergeCell ref="I51:L51"/>
    <mergeCell ref="I36:L36"/>
    <mergeCell ref="BW55:BX55"/>
    <mergeCell ref="BW42:BX42"/>
    <mergeCell ref="BW43:BX43"/>
    <mergeCell ref="U36:Y36"/>
    <mergeCell ref="U51:Y51"/>
    <mergeCell ref="U68:Y68"/>
    <mergeCell ref="BW39:BX39"/>
    <mergeCell ref="BW40:BX40"/>
    <mergeCell ref="BW41:BX41"/>
    <mergeCell ref="AA102:AD102"/>
    <mergeCell ref="BW71:BX71"/>
    <mergeCell ref="BW72:BX72"/>
    <mergeCell ref="BW73:BX73"/>
    <mergeCell ref="BW74:BX74"/>
    <mergeCell ref="BW75:BX75"/>
    <mergeCell ref="N84:S84"/>
    <mergeCell ref="AA84:AD84"/>
    <mergeCell ref="BW87:BX87"/>
    <mergeCell ref="BW88:BX88"/>
    <mergeCell ref="BW89:BX89"/>
    <mergeCell ref="BW90:BX90"/>
    <mergeCell ref="BW91:BX91"/>
    <mergeCell ref="U84:Y84"/>
    <mergeCell ref="U102:Y102"/>
    <mergeCell ref="BW182:BX182"/>
    <mergeCell ref="BW183:BX183"/>
    <mergeCell ref="BW163:BX163"/>
    <mergeCell ref="BW184:BX184"/>
    <mergeCell ref="N177:S177"/>
    <mergeCell ref="AA177:AD177"/>
    <mergeCell ref="BW160:BX160"/>
    <mergeCell ref="BW161:BX161"/>
    <mergeCell ref="BW162:BX162"/>
    <mergeCell ref="BW159:BX159"/>
    <mergeCell ref="U120:Y120"/>
    <mergeCell ref="BW180:BX180"/>
    <mergeCell ref="BW181:BX181"/>
    <mergeCell ref="AA120:AD120"/>
    <mergeCell ref="BW123:BX123"/>
    <mergeCell ref="BW124:BX124"/>
    <mergeCell ref="BW125:BX125"/>
    <mergeCell ref="BW126:BX126"/>
    <mergeCell ref="BW127:BX127"/>
    <mergeCell ref="AA136:AD136"/>
    <mergeCell ref="U156:Y156"/>
    <mergeCell ref="U177:Y177"/>
    <mergeCell ref="U157:Y157"/>
    <mergeCell ref="AA157:AD157"/>
    <mergeCell ref="I157:L157"/>
    <mergeCell ref="BW105:BX105"/>
    <mergeCell ref="BW106:BX106"/>
    <mergeCell ref="BW107:BX107"/>
    <mergeCell ref="BW108:BX108"/>
    <mergeCell ref="BW109:BX109"/>
    <mergeCell ref="N120:S120"/>
    <mergeCell ref="BW139:BX139"/>
    <mergeCell ref="BW140:BX140"/>
    <mergeCell ref="U136:Y136"/>
    <mergeCell ref="U121:Y121"/>
    <mergeCell ref="AA121:AD121"/>
    <mergeCell ref="U137:Y137"/>
    <mergeCell ref="AA137:AD137"/>
    <mergeCell ref="BW141:BX141"/>
    <mergeCell ref="BW142:BX142"/>
    <mergeCell ref="BW143:BX143"/>
    <mergeCell ref="N156:S156"/>
    <mergeCell ref="AA156:AD156"/>
    <mergeCell ref="D36:G36"/>
    <mergeCell ref="D51:G51"/>
    <mergeCell ref="D68:G68"/>
    <mergeCell ref="D84:G84"/>
    <mergeCell ref="D102:G102"/>
    <mergeCell ref="D120:G120"/>
    <mergeCell ref="D136:G136"/>
    <mergeCell ref="D156:G156"/>
    <mergeCell ref="D177:G177"/>
    <mergeCell ref="BZ23:CA23"/>
    <mergeCell ref="BZ24:CA24"/>
    <mergeCell ref="BZ26:CA26"/>
    <mergeCell ref="BZ27:CA27"/>
    <mergeCell ref="BZ28:CA28"/>
    <mergeCell ref="BZ29:CA29"/>
    <mergeCell ref="BZ30:CA30"/>
    <mergeCell ref="BZ39:CA39"/>
    <mergeCell ref="BZ40:CA40"/>
    <mergeCell ref="BZ89:CA89"/>
    <mergeCell ref="BZ90:CA90"/>
    <mergeCell ref="BZ91:CA91"/>
    <mergeCell ref="BZ41:CA41"/>
    <mergeCell ref="BZ42:CA42"/>
    <mergeCell ref="BZ43:CA43"/>
    <mergeCell ref="BZ54:CA54"/>
    <mergeCell ref="BZ55:CA55"/>
    <mergeCell ref="BZ56:CA56"/>
    <mergeCell ref="BZ57:CA57"/>
    <mergeCell ref="BZ58:CA58"/>
    <mergeCell ref="BZ71:CA71"/>
    <mergeCell ref="BZ180:CA180"/>
    <mergeCell ref="BZ181:CA181"/>
    <mergeCell ref="BZ182:CA182"/>
    <mergeCell ref="BZ183:CA183"/>
    <mergeCell ref="BZ184:CA184"/>
    <mergeCell ref="BZ127:CA127"/>
    <mergeCell ref="BZ139:CA139"/>
    <mergeCell ref="BZ140:CA140"/>
    <mergeCell ref="BZ141:CA141"/>
    <mergeCell ref="BZ142:CA142"/>
    <mergeCell ref="BZ143:CA143"/>
    <mergeCell ref="BZ159:CA159"/>
    <mergeCell ref="BZ160:CA160"/>
    <mergeCell ref="BZ161:CA161"/>
    <mergeCell ref="I24:L24"/>
    <mergeCell ref="U24:Y24"/>
    <mergeCell ref="AA24:AD24"/>
    <mergeCell ref="I5:L5"/>
    <mergeCell ref="I37:L37"/>
    <mergeCell ref="U37:Y37"/>
    <mergeCell ref="AA37:AD37"/>
    <mergeCell ref="BZ162:CA162"/>
    <mergeCell ref="BZ163:CA163"/>
    <mergeCell ref="BZ105:CA105"/>
    <mergeCell ref="BZ106:CA106"/>
    <mergeCell ref="BZ107:CA107"/>
    <mergeCell ref="BZ108:CA108"/>
    <mergeCell ref="BZ109:CA109"/>
    <mergeCell ref="BZ123:CA123"/>
    <mergeCell ref="BZ124:CA124"/>
    <mergeCell ref="BZ125:CA125"/>
    <mergeCell ref="BZ126:CA126"/>
    <mergeCell ref="BZ72:CA72"/>
    <mergeCell ref="BZ73:CA73"/>
    <mergeCell ref="BZ74:CA74"/>
    <mergeCell ref="BZ75:CA75"/>
    <mergeCell ref="BZ87:CA87"/>
    <mergeCell ref="BZ88:CA88"/>
    <mergeCell ref="I178:L178"/>
    <mergeCell ref="U178:Y178"/>
    <mergeCell ref="AA178:AD178"/>
    <mergeCell ref="U52:Y52"/>
    <mergeCell ref="AA52:AD52"/>
    <mergeCell ref="I69:L69"/>
    <mergeCell ref="U69:Y69"/>
    <mergeCell ref="AA69:AD69"/>
    <mergeCell ref="I85:L85"/>
    <mergeCell ref="U85:Y85"/>
    <mergeCell ref="AA85:AD85"/>
    <mergeCell ref="I103:L103"/>
    <mergeCell ref="U103:Y103"/>
    <mergeCell ref="AA103:AD103"/>
    <mergeCell ref="I120:L120"/>
    <mergeCell ref="I136:L136"/>
    <mergeCell ref="I156:L156"/>
    <mergeCell ref="I177:L177"/>
    <mergeCell ref="N136:S136"/>
    <mergeCell ref="N102:S102"/>
    <mergeCell ref="I102:L102"/>
    <mergeCell ref="I52:L52"/>
    <mergeCell ref="I121:L121"/>
    <mergeCell ref="I137:L137"/>
  </mergeCells>
  <pageMargins left="0.7" right="0.7" top="0.75" bottom="0.75" header="0.3" footer="0.3"/>
  <pageSetup orientation="portrait" horizontalDpi="0" verticalDpi="0" r:id="rId1"/>
  <ignoredErrors>
    <ignoredError sqref="AD26 AD28:AD29 AB187"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F548-42AC-47F1-A184-163CD9A19C72}">
  <sheetPr>
    <tabColor rgb="FF00B0F0"/>
  </sheetPr>
  <dimension ref="A1"/>
  <sheetViews>
    <sheetView workbookViewId="0">
      <selection activeCell="E39" sqref="E39"/>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E660-5601-4745-AE03-0B67F0FBFCC2}">
  <dimension ref="A1:AV549"/>
  <sheetViews>
    <sheetView showGridLines="0" topLeftCell="A42" zoomScaleNormal="100" workbookViewId="0">
      <selection activeCell="O53" sqref="O53"/>
    </sheetView>
  </sheetViews>
  <sheetFormatPr defaultRowHeight="13.8" x14ac:dyDescent="0.3"/>
  <cols>
    <col min="1" max="1" width="1.77734375" style="89" bestFit="1" customWidth="1"/>
    <col min="2" max="2" width="11.109375" style="89" bestFit="1" customWidth="1"/>
    <col min="3" max="3" width="4.77734375" style="89" customWidth="1"/>
    <col min="4" max="4" width="25.44140625" style="89" bestFit="1" customWidth="1"/>
    <col min="5" max="5" width="10.21875" style="89" customWidth="1"/>
    <col min="6" max="6" width="15.6640625" style="89" bestFit="1" customWidth="1"/>
    <col min="7" max="7" width="16" style="89" bestFit="1" customWidth="1"/>
    <col min="8" max="8" width="9.77734375" style="89" customWidth="1"/>
    <col min="9" max="9" width="8.88671875" style="89"/>
    <col min="10" max="10" width="5" style="89" bestFit="1" customWidth="1"/>
    <col min="11" max="11" width="5.6640625" style="89" bestFit="1" customWidth="1"/>
    <col min="12" max="16" width="8.88671875" style="89"/>
    <col min="17" max="17" width="6.21875" style="89" bestFit="1" customWidth="1"/>
    <col min="18" max="18" width="10.88671875" style="89" customWidth="1"/>
    <col min="19" max="19" width="7.44140625" style="89" bestFit="1" customWidth="1"/>
    <col min="20" max="20" width="4.6640625" style="89" bestFit="1" customWidth="1"/>
    <col min="21" max="21" width="15.6640625" style="89" customWidth="1"/>
    <col min="22" max="22" width="4.33203125" style="89" customWidth="1"/>
    <col min="23" max="23" width="8.77734375" style="89" bestFit="1" customWidth="1"/>
    <col min="24" max="24" width="12.33203125" style="89" bestFit="1" customWidth="1"/>
    <col min="25" max="25" width="6" style="89" customWidth="1"/>
    <col min="26" max="26" width="7.5546875" style="89" customWidth="1"/>
    <col min="27" max="27" width="8.77734375" style="89" bestFit="1" customWidth="1"/>
    <col min="28" max="28" width="7.88671875" style="89" bestFit="1" customWidth="1"/>
    <col min="29" max="29" width="4.88671875" style="89" bestFit="1" customWidth="1"/>
    <col min="30" max="30" width="8.109375" style="89" bestFit="1" customWidth="1"/>
    <col min="31" max="32" width="8.88671875" style="89"/>
    <col min="33" max="33" width="12.33203125" style="89" bestFit="1" customWidth="1"/>
    <col min="34" max="40" width="8.88671875" style="89"/>
    <col min="41" max="41" width="8.77734375" style="89" bestFit="1" customWidth="1"/>
    <col min="42" max="42" width="12.33203125" style="89" bestFit="1" customWidth="1"/>
    <col min="43" max="16384" width="8.88671875" style="89"/>
  </cols>
  <sheetData>
    <row r="1" spans="1:4" x14ac:dyDescent="0.3">
      <c r="A1" s="126"/>
      <c r="B1" s="114"/>
      <c r="C1" s="114"/>
    </row>
    <row r="2" spans="1:4" x14ac:dyDescent="0.3">
      <c r="A2" s="126"/>
      <c r="B2" s="121" t="s">
        <v>312</v>
      </c>
      <c r="C2" s="114"/>
    </row>
    <row r="3" spans="1:4" x14ac:dyDescent="0.3">
      <c r="A3" s="126"/>
      <c r="B3" s="114"/>
      <c r="C3" s="114"/>
    </row>
    <row r="4" spans="1:4" x14ac:dyDescent="0.3">
      <c r="A4" s="126"/>
      <c r="B4" s="114"/>
      <c r="C4" s="114"/>
    </row>
    <row r="5" spans="1:4" x14ac:dyDescent="0.3">
      <c r="A5" s="126"/>
      <c r="B5" s="114"/>
      <c r="C5" s="114"/>
    </row>
    <row r="6" spans="1:4" x14ac:dyDescent="0.3">
      <c r="A6" s="126"/>
      <c r="B6" s="114"/>
      <c r="C6" s="114"/>
    </row>
    <row r="7" spans="1:4" x14ac:dyDescent="0.3">
      <c r="A7" s="126"/>
      <c r="B7" s="114"/>
      <c r="C7" s="114"/>
    </row>
    <row r="8" spans="1:4" ht="14.4" x14ac:dyDescent="0.3">
      <c r="A8" s="126"/>
      <c r="B8" s="114"/>
      <c r="C8" s="114"/>
      <c r="D8"/>
    </row>
    <row r="9" spans="1:4" x14ac:dyDescent="0.3">
      <c r="A9" s="126"/>
      <c r="B9" s="114"/>
      <c r="C9" s="114"/>
    </row>
    <row r="10" spans="1:4" x14ac:dyDescent="0.3">
      <c r="A10" s="126"/>
      <c r="B10" s="114"/>
      <c r="C10" s="114"/>
    </row>
    <row r="11" spans="1:4" x14ac:dyDescent="0.3">
      <c r="A11" s="126"/>
      <c r="B11" s="114"/>
      <c r="C11" s="114"/>
    </row>
    <row r="12" spans="1:4" x14ac:dyDescent="0.3">
      <c r="A12" s="126"/>
      <c r="B12" s="114"/>
      <c r="C12" s="114"/>
    </row>
    <row r="13" spans="1:4" x14ac:dyDescent="0.3">
      <c r="A13" s="126"/>
      <c r="B13" s="114"/>
      <c r="C13" s="114"/>
    </row>
    <row r="14" spans="1:4" x14ac:dyDescent="0.3">
      <c r="A14" s="126"/>
      <c r="B14" s="114"/>
      <c r="C14" s="114"/>
    </row>
    <row r="15" spans="1:4" x14ac:dyDescent="0.3">
      <c r="A15" s="126"/>
      <c r="B15" s="114"/>
      <c r="C15" s="114"/>
    </row>
    <row r="16" spans="1:4" x14ac:dyDescent="0.3">
      <c r="A16" s="126"/>
      <c r="B16" s="114"/>
      <c r="C16" s="114"/>
    </row>
    <row r="17" spans="1:48" x14ac:dyDescent="0.3">
      <c r="A17" s="126"/>
      <c r="B17" s="114"/>
      <c r="C17" s="114"/>
    </row>
    <row r="18" spans="1:48" x14ac:dyDescent="0.3">
      <c r="A18" s="126"/>
      <c r="B18" s="114"/>
      <c r="C18" s="114"/>
    </row>
    <row r="19" spans="1:48" x14ac:dyDescent="0.3">
      <c r="A19" s="126"/>
      <c r="B19" s="114"/>
      <c r="C19" s="114"/>
    </row>
    <row r="20" spans="1:48" x14ac:dyDescent="0.3">
      <c r="A20" s="126"/>
      <c r="B20" s="114"/>
      <c r="C20" s="114"/>
    </row>
    <row r="21" spans="1:48" x14ac:dyDescent="0.3">
      <c r="A21" s="126"/>
      <c r="B21" s="114"/>
      <c r="C21" s="114"/>
    </row>
    <row r="22" spans="1:48" x14ac:dyDescent="0.3">
      <c r="A22" s="126"/>
      <c r="B22" s="114"/>
      <c r="C22" s="114"/>
    </row>
    <row r="23" spans="1:48" x14ac:dyDescent="0.3">
      <c r="A23" s="126"/>
      <c r="B23" s="114"/>
      <c r="C23" s="114"/>
    </row>
    <row r="24" spans="1:48" x14ac:dyDescent="0.3">
      <c r="A24" s="126"/>
      <c r="B24" s="114"/>
      <c r="C24" s="114"/>
    </row>
    <row r="25" spans="1:48" x14ac:dyDescent="0.3">
      <c r="A25" s="126"/>
      <c r="B25" s="114"/>
      <c r="C25" s="114"/>
    </row>
    <row r="26" spans="1:48" x14ac:dyDescent="0.3">
      <c r="A26" s="126"/>
      <c r="B26" s="114"/>
      <c r="C26" s="114"/>
    </row>
    <row r="27" spans="1:48" x14ac:dyDescent="0.3">
      <c r="A27" s="126"/>
      <c r="B27" s="114"/>
      <c r="C27" s="114"/>
    </row>
    <row r="28" spans="1:48" x14ac:dyDescent="0.3">
      <c r="A28" s="126"/>
      <c r="B28" s="114"/>
      <c r="C28" s="114"/>
    </row>
    <row r="29" spans="1:48" x14ac:dyDescent="0.3">
      <c r="A29" s="126"/>
      <c r="B29" s="121" t="s">
        <v>263</v>
      </c>
      <c r="D29" s="127" t="s">
        <v>264</v>
      </c>
      <c r="E29" s="116">
        <v>9.4</v>
      </c>
      <c r="Q29" s="179" t="s">
        <v>275</v>
      </c>
      <c r="R29" s="179"/>
      <c r="S29" s="179"/>
      <c r="T29" s="179"/>
      <c r="U29" s="179"/>
      <c r="W29" s="114" t="s">
        <v>289</v>
      </c>
      <c r="X29" s="114" t="s">
        <v>291</v>
      </c>
      <c r="Z29" s="179" t="s">
        <v>276</v>
      </c>
      <c r="AA29" s="179"/>
      <c r="AB29" s="179"/>
      <c r="AC29" s="179"/>
      <c r="AD29" s="179"/>
      <c r="AF29" s="114" t="s">
        <v>289</v>
      </c>
      <c r="AG29" s="114" t="s">
        <v>291</v>
      </c>
      <c r="AI29" s="179" t="s">
        <v>303</v>
      </c>
      <c r="AJ29" s="179"/>
      <c r="AK29" s="179"/>
      <c r="AL29" s="179"/>
      <c r="AM29" s="179"/>
      <c r="AO29" s="114" t="s">
        <v>289</v>
      </c>
      <c r="AP29" s="114" t="s">
        <v>291</v>
      </c>
      <c r="AR29" s="179" t="s">
        <v>304</v>
      </c>
      <c r="AS29" s="179"/>
      <c r="AT29" s="179"/>
      <c r="AU29" s="179"/>
      <c r="AV29" s="179"/>
    </row>
    <row r="30" spans="1:48" x14ac:dyDescent="0.3">
      <c r="A30" s="126"/>
      <c r="B30" s="114"/>
      <c r="C30" s="114"/>
      <c r="Q30" s="180" t="s">
        <v>274</v>
      </c>
      <c r="R30" s="180"/>
      <c r="S30" s="180"/>
      <c r="T30" s="180"/>
      <c r="U30" s="180"/>
      <c r="Z30" s="180" t="s">
        <v>274</v>
      </c>
      <c r="AA30" s="180"/>
      <c r="AB30" s="180"/>
      <c r="AC30" s="180"/>
      <c r="AD30" s="180"/>
      <c r="AI30" s="180" t="s">
        <v>274</v>
      </c>
      <c r="AJ30" s="180"/>
      <c r="AK30" s="180"/>
      <c r="AL30" s="180"/>
      <c r="AM30" s="180"/>
      <c r="AR30" s="180" t="s">
        <v>274</v>
      </c>
      <c r="AS30" s="180"/>
      <c r="AT30" s="180"/>
      <c r="AU30" s="180"/>
      <c r="AV30" s="180"/>
    </row>
    <row r="31" spans="1:48" x14ac:dyDescent="0.3">
      <c r="D31" s="101" t="s">
        <v>24</v>
      </c>
      <c r="Q31" s="128" t="s">
        <v>2</v>
      </c>
      <c r="R31" s="129" t="s">
        <v>280</v>
      </c>
      <c r="S31" s="129" t="s">
        <v>281</v>
      </c>
      <c r="T31" s="129" t="s">
        <v>11</v>
      </c>
      <c r="U31" s="130" t="s">
        <v>5</v>
      </c>
      <c r="Z31" s="128" t="s">
        <v>2</v>
      </c>
      <c r="AA31" s="129" t="s">
        <v>280</v>
      </c>
      <c r="AB31" s="129" t="s">
        <v>281</v>
      </c>
      <c r="AC31" s="129" t="s">
        <v>11</v>
      </c>
      <c r="AD31" s="130" t="s">
        <v>5</v>
      </c>
      <c r="AI31" s="128" t="s">
        <v>2</v>
      </c>
      <c r="AJ31" s="129" t="s">
        <v>280</v>
      </c>
      <c r="AK31" s="129" t="s">
        <v>85</v>
      </c>
      <c r="AL31" s="129" t="s">
        <v>11</v>
      </c>
      <c r="AM31" s="130" t="s">
        <v>5</v>
      </c>
      <c r="AR31" s="128" t="s">
        <v>2</v>
      </c>
      <c r="AS31" s="129" t="s">
        <v>280</v>
      </c>
      <c r="AT31" s="129" t="s">
        <v>85</v>
      </c>
      <c r="AU31" s="129" t="s">
        <v>11</v>
      </c>
      <c r="AV31" s="130" t="s">
        <v>5</v>
      </c>
    </row>
    <row r="32" spans="1:48" x14ac:dyDescent="0.3">
      <c r="D32" s="101"/>
      <c r="Q32" s="131" t="s">
        <v>0</v>
      </c>
      <c r="R32" s="132">
        <v>30</v>
      </c>
      <c r="S32" s="132">
        <v>32</v>
      </c>
      <c r="T32" s="114">
        <f t="shared" ref="T32:T41" si="0">SUM(R32:S32)</f>
        <v>62</v>
      </c>
      <c r="U32" s="133">
        <f>H232</f>
        <v>0.55555555555555558</v>
      </c>
      <c r="W32" s="88">
        <f t="shared" ref="W32:W41" si="1">T32-AC32</f>
        <v>6</v>
      </c>
      <c r="X32" s="113">
        <f t="shared" ref="X32:X41" si="2">U32-AD32</f>
        <v>-0.14444444444444438</v>
      </c>
      <c r="Z32" s="131" t="s">
        <v>0</v>
      </c>
      <c r="AA32" s="132">
        <f>Summary!W26</f>
        <v>19</v>
      </c>
      <c r="AB32" s="132">
        <f>Summary!V26</f>
        <v>37</v>
      </c>
      <c r="AC32" s="114">
        <f t="shared" ref="AC32" si="3">SUM(AA32:AB32)</f>
        <v>56</v>
      </c>
      <c r="AD32" s="133">
        <f>Summary!X26</f>
        <v>0.7</v>
      </c>
      <c r="AF32" s="164">
        <f>T32-AL32</f>
        <v>-28</v>
      </c>
      <c r="AG32" s="113">
        <f>U32-AM32</f>
        <v>-0.44444444444444442</v>
      </c>
      <c r="AI32" s="131" t="s">
        <v>0</v>
      </c>
      <c r="AJ32" s="132">
        <f>Summary!AC26</f>
        <v>28</v>
      </c>
      <c r="AK32" s="132">
        <f>Summary!AB26</f>
        <v>62</v>
      </c>
      <c r="AL32" s="114">
        <f t="shared" ref="AL32:AL39" si="4">SUM(AJ32:AK32)</f>
        <v>90</v>
      </c>
      <c r="AM32" s="159">
        <v>1</v>
      </c>
      <c r="AO32" s="88">
        <f>T32-AU32</f>
        <v>-14</v>
      </c>
      <c r="AP32" s="113">
        <f>U32-AV32</f>
        <v>-0.44444444444444442</v>
      </c>
      <c r="AR32" s="131" t="s">
        <v>0</v>
      </c>
      <c r="AS32" s="161">
        <f>Summary!I26</f>
        <v>30</v>
      </c>
      <c r="AT32" s="161">
        <f>SUM(Summary!J26:K26)</f>
        <v>46</v>
      </c>
      <c r="AU32" s="114">
        <f t="shared" ref="AU32:AU39" si="5">SUM(AS32:AT32)</f>
        <v>76</v>
      </c>
      <c r="AV32" s="159">
        <v>1</v>
      </c>
    </row>
    <row r="33" spans="4:48" x14ac:dyDescent="0.3">
      <c r="D33" s="91" t="s">
        <v>268</v>
      </c>
      <c r="E33" s="90" t="s">
        <v>158</v>
      </c>
      <c r="F33" s="90" t="s">
        <v>269</v>
      </c>
      <c r="G33" s="90" t="s">
        <v>270</v>
      </c>
      <c r="Q33" s="131" t="s">
        <v>135</v>
      </c>
      <c r="R33" s="132">
        <v>24</v>
      </c>
      <c r="S33" s="132">
        <v>13</v>
      </c>
      <c r="T33" s="114">
        <f t="shared" si="0"/>
        <v>37</v>
      </c>
      <c r="U33" s="133">
        <f>H261</f>
        <v>0.9285714285714286</v>
      </c>
      <c r="W33" s="88">
        <f t="shared" si="1"/>
        <v>9</v>
      </c>
      <c r="X33" s="113">
        <f t="shared" si="2"/>
        <v>-7.1428571428571397E-2</v>
      </c>
      <c r="Z33" s="134" t="s">
        <v>135</v>
      </c>
      <c r="AA33" s="132">
        <f>Summary!W139</f>
        <v>26</v>
      </c>
      <c r="AB33" s="132">
        <f>Summary!V139</f>
        <v>2</v>
      </c>
      <c r="AC33" s="114">
        <f t="shared" ref="AC33:AC39" si="6">SUM(AA33:AB33)</f>
        <v>28</v>
      </c>
      <c r="AD33" s="133">
        <f>Summary!X139</f>
        <v>1</v>
      </c>
      <c r="AF33" s="164">
        <f t="shared" ref="AF33:AF39" si="7">T33-AL33</f>
        <v>-3</v>
      </c>
      <c r="AG33" s="113">
        <f t="shared" ref="AG33:AG41" si="8">U33-AM33</f>
        <v>-7.1428571428571397E-2</v>
      </c>
      <c r="AI33" s="134" t="s">
        <v>135</v>
      </c>
      <c r="AJ33" s="132">
        <f>Summary!AC139</f>
        <v>16</v>
      </c>
      <c r="AK33" s="132">
        <f>Summary!AB139</f>
        <v>24</v>
      </c>
      <c r="AL33" s="114">
        <f t="shared" si="4"/>
        <v>40</v>
      </c>
      <c r="AM33" s="159">
        <v>1</v>
      </c>
      <c r="AO33" s="88">
        <f t="shared" ref="AO33:AO39" si="9">T33-AU33</f>
        <v>-51</v>
      </c>
      <c r="AP33" s="113">
        <f t="shared" ref="AP33:AP39" si="10">U33-AV33</f>
        <v>-7.1428571428571397E-2</v>
      </c>
      <c r="AR33" s="134" t="s">
        <v>135</v>
      </c>
      <c r="AS33" s="161">
        <f>Summary!I139</f>
        <v>27</v>
      </c>
      <c r="AT33" s="161">
        <f>SUM(Summary!J139:K139)</f>
        <v>61</v>
      </c>
      <c r="AU33" s="114">
        <f t="shared" si="5"/>
        <v>88</v>
      </c>
      <c r="AV33" s="159">
        <v>1</v>
      </c>
    </row>
    <row r="34" spans="4:48" x14ac:dyDescent="0.3">
      <c r="D34" s="89" t="s">
        <v>16</v>
      </c>
      <c r="E34" s="57">
        <v>0.28999999999999998</v>
      </c>
      <c r="F34" s="135">
        <f>$E$29*E34</f>
        <v>2.726</v>
      </c>
      <c r="G34" s="118">
        <f>F34*1000</f>
        <v>2726</v>
      </c>
      <c r="Q34" s="131" t="s">
        <v>129</v>
      </c>
      <c r="R34" s="132">
        <v>21</v>
      </c>
      <c r="S34" s="132">
        <v>19</v>
      </c>
      <c r="T34" s="114">
        <f t="shared" si="0"/>
        <v>40</v>
      </c>
      <c r="U34" s="133">
        <f>H289</f>
        <v>0.8571428571428571</v>
      </c>
      <c r="W34" s="88">
        <f t="shared" si="1"/>
        <v>15</v>
      </c>
      <c r="X34" s="113">
        <f t="shared" si="2"/>
        <v>-0.1428571428571429</v>
      </c>
      <c r="Z34" s="134" t="s">
        <v>129</v>
      </c>
      <c r="AA34" s="132">
        <f>Summary!W123</f>
        <v>23</v>
      </c>
      <c r="AB34" s="132">
        <f>Summary!V123</f>
        <v>2</v>
      </c>
      <c r="AC34" s="114">
        <f t="shared" si="6"/>
        <v>25</v>
      </c>
      <c r="AD34" s="133">
        <f>Summary!X123</f>
        <v>1</v>
      </c>
      <c r="AF34" s="164">
        <f t="shared" si="7"/>
        <v>0</v>
      </c>
      <c r="AG34" s="113">
        <f t="shared" si="8"/>
        <v>-0.1428571428571429</v>
      </c>
      <c r="AI34" s="134" t="s">
        <v>129</v>
      </c>
      <c r="AJ34" s="132">
        <f>Summary!AC123</f>
        <v>18</v>
      </c>
      <c r="AK34" s="132">
        <f>Summary!AB123</f>
        <v>22</v>
      </c>
      <c r="AL34" s="114">
        <f t="shared" si="4"/>
        <v>40</v>
      </c>
      <c r="AM34" s="159">
        <v>1</v>
      </c>
      <c r="AO34" s="88">
        <f t="shared" si="9"/>
        <v>-66</v>
      </c>
      <c r="AP34" s="113">
        <f t="shared" si="10"/>
        <v>-0.1428571428571429</v>
      </c>
      <c r="AR34" s="134" t="s">
        <v>129</v>
      </c>
      <c r="AS34" s="161">
        <f>Summary!I123</f>
        <v>32</v>
      </c>
      <c r="AT34" s="161">
        <f>SUM(Summary!J123:K123)</f>
        <v>74</v>
      </c>
      <c r="AU34" s="114">
        <f t="shared" si="5"/>
        <v>106</v>
      </c>
      <c r="AV34" s="159">
        <v>1</v>
      </c>
    </row>
    <row r="35" spans="4:48" x14ac:dyDescent="0.3">
      <c r="D35" s="89" t="s">
        <v>17</v>
      </c>
      <c r="E35" s="57">
        <v>0.48</v>
      </c>
      <c r="F35" s="135">
        <f t="shared" ref="F35:F42" si="11">$E$29*E35</f>
        <v>4.5119999999999996</v>
      </c>
      <c r="G35" s="118">
        <f t="shared" ref="G35:G42" si="12">F35*1000</f>
        <v>4512</v>
      </c>
      <c r="Q35" s="131" t="s">
        <v>112</v>
      </c>
      <c r="R35" s="132">
        <v>21</v>
      </c>
      <c r="S35" s="132">
        <v>0</v>
      </c>
      <c r="T35" s="114">
        <f t="shared" si="0"/>
        <v>21</v>
      </c>
      <c r="U35" s="133">
        <f>H316</f>
        <v>1</v>
      </c>
      <c r="W35" s="88">
        <f t="shared" si="1"/>
        <v>-3</v>
      </c>
      <c r="X35" s="113">
        <f t="shared" si="2"/>
        <v>0</v>
      </c>
      <c r="Z35" s="131" t="s">
        <v>112</v>
      </c>
      <c r="AA35" s="132">
        <f>Summary!W105</f>
        <v>22</v>
      </c>
      <c r="AB35" s="132">
        <f>Summary!V105</f>
        <v>2</v>
      </c>
      <c r="AC35" s="114">
        <f t="shared" si="6"/>
        <v>24</v>
      </c>
      <c r="AD35" s="133">
        <f>Summary!X105</f>
        <v>1</v>
      </c>
      <c r="AF35" s="164">
        <f t="shared" si="7"/>
        <v>-139</v>
      </c>
      <c r="AG35" s="113">
        <f t="shared" si="8"/>
        <v>0</v>
      </c>
      <c r="AI35" s="131" t="s">
        <v>112</v>
      </c>
      <c r="AJ35" s="132">
        <f>Summary!AC105</f>
        <v>15</v>
      </c>
      <c r="AK35" s="132">
        <f>Summary!AB105</f>
        <v>145</v>
      </c>
      <c r="AL35" s="114">
        <f t="shared" si="4"/>
        <v>160</v>
      </c>
      <c r="AM35" s="159">
        <v>1</v>
      </c>
      <c r="AO35" s="88">
        <f t="shared" si="9"/>
        <v>-35</v>
      </c>
      <c r="AP35" s="113">
        <f t="shared" si="10"/>
        <v>0</v>
      </c>
      <c r="AR35" s="131" t="s">
        <v>112</v>
      </c>
      <c r="AS35" s="161">
        <f>Summary!I105</f>
        <v>24</v>
      </c>
      <c r="AT35" s="161">
        <f>SUM(Summary!J105:K105)</f>
        <v>32</v>
      </c>
      <c r="AU35" s="114">
        <f t="shared" si="5"/>
        <v>56</v>
      </c>
      <c r="AV35" s="159">
        <v>1</v>
      </c>
    </row>
    <row r="36" spans="4:48" x14ac:dyDescent="0.3">
      <c r="D36" s="89" t="s">
        <v>265</v>
      </c>
      <c r="E36" s="57">
        <v>0.05</v>
      </c>
      <c r="F36" s="135">
        <f t="shared" si="11"/>
        <v>0.47000000000000003</v>
      </c>
      <c r="G36" s="118">
        <f t="shared" si="12"/>
        <v>470.00000000000006</v>
      </c>
      <c r="Q36" s="131" t="s">
        <v>149</v>
      </c>
      <c r="R36" s="132">
        <v>21</v>
      </c>
      <c r="S36" s="132">
        <v>20</v>
      </c>
      <c r="T36" s="114">
        <f>SUM(R36:S36)</f>
        <v>41</v>
      </c>
      <c r="U36" s="133">
        <f>H364</f>
        <v>0.8125</v>
      </c>
      <c r="W36" s="88">
        <f t="shared" si="1"/>
        <v>-25</v>
      </c>
      <c r="X36" s="113">
        <f t="shared" si="2"/>
        <v>-0.1875</v>
      </c>
      <c r="Z36" s="131" t="s">
        <v>149</v>
      </c>
      <c r="AA36" s="132">
        <f>Summary!W180</f>
        <v>31</v>
      </c>
      <c r="AB36" s="132">
        <f>Summary!V180</f>
        <v>35</v>
      </c>
      <c r="AC36" s="114">
        <f t="shared" si="6"/>
        <v>66</v>
      </c>
      <c r="AD36" s="133">
        <f>Summary!X180</f>
        <v>1</v>
      </c>
      <c r="AF36" s="164">
        <f t="shared" si="7"/>
        <v>-131.68</v>
      </c>
      <c r="AG36" s="113">
        <f t="shared" si="8"/>
        <v>-0.1875</v>
      </c>
      <c r="AI36" s="131" t="s">
        <v>149</v>
      </c>
      <c r="AJ36" s="132">
        <f>Summary!AC180</f>
        <v>20</v>
      </c>
      <c r="AK36" s="161">
        <f>Summary!AB180</f>
        <v>152.68</v>
      </c>
      <c r="AL36" s="162">
        <f t="shared" si="4"/>
        <v>172.68</v>
      </c>
      <c r="AM36" s="159">
        <v>1</v>
      </c>
      <c r="AO36" s="88">
        <f t="shared" si="9"/>
        <v>-80</v>
      </c>
      <c r="AP36" s="113">
        <f t="shared" si="10"/>
        <v>-0.1875</v>
      </c>
      <c r="AR36" s="131" t="s">
        <v>149</v>
      </c>
      <c r="AS36" s="161">
        <f>Summary!I180</f>
        <v>24</v>
      </c>
      <c r="AT36" s="161">
        <f>SUM(Summary!J180:K180)</f>
        <v>97</v>
      </c>
      <c r="AU36" s="114">
        <f t="shared" si="5"/>
        <v>121</v>
      </c>
      <c r="AV36" s="159">
        <v>1</v>
      </c>
    </row>
    <row r="37" spans="4:48" x14ac:dyDescent="0.3">
      <c r="D37" s="89" t="s">
        <v>18</v>
      </c>
      <c r="E37" s="57">
        <v>0.04</v>
      </c>
      <c r="F37" s="135">
        <f t="shared" si="11"/>
        <v>0.376</v>
      </c>
      <c r="G37" s="118">
        <f t="shared" si="12"/>
        <v>376</v>
      </c>
      <c r="Q37" s="131" t="s">
        <v>100</v>
      </c>
      <c r="R37" s="132">
        <v>27</v>
      </c>
      <c r="S37" s="132">
        <v>0</v>
      </c>
      <c r="T37" s="114">
        <f t="shared" si="0"/>
        <v>27</v>
      </c>
      <c r="U37" s="133">
        <f>H393</f>
        <v>1</v>
      </c>
      <c r="W37" s="88">
        <f t="shared" si="1"/>
        <v>-26</v>
      </c>
      <c r="X37" s="113">
        <f t="shared" si="2"/>
        <v>7.1428571428571397E-2</v>
      </c>
      <c r="Z37" s="131" t="s">
        <v>100</v>
      </c>
      <c r="AA37" s="132">
        <f>Summary!W71</f>
        <v>26</v>
      </c>
      <c r="AB37" s="132">
        <f>Summary!V71</f>
        <v>27</v>
      </c>
      <c r="AC37" s="114">
        <f t="shared" si="6"/>
        <v>53</v>
      </c>
      <c r="AD37" s="133">
        <f>Summary!X71</f>
        <v>0.9285714285714286</v>
      </c>
      <c r="AF37" s="164">
        <f t="shared" si="7"/>
        <v>-18</v>
      </c>
      <c r="AG37" s="113">
        <f t="shared" si="8"/>
        <v>0</v>
      </c>
      <c r="AI37" s="131" t="s">
        <v>100</v>
      </c>
      <c r="AJ37" s="132">
        <f>Summary!AC71</f>
        <v>15</v>
      </c>
      <c r="AK37" s="132">
        <f>Summary!AB71</f>
        <v>30</v>
      </c>
      <c r="AL37" s="162">
        <f t="shared" si="4"/>
        <v>45</v>
      </c>
      <c r="AM37" s="159">
        <v>1</v>
      </c>
      <c r="AO37" s="88">
        <f t="shared" si="9"/>
        <v>-38</v>
      </c>
      <c r="AP37" s="113">
        <f t="shared" si="10"/>
        <v>0</v>
      </c>
      <c r="AR37" s="131" t="s">
        <v>100</v>
      </c>
      <c r="AS37" s="161">
        <f>Summary!I71</f>
        <v>22</v>
      </c>
      <c r="AT37" s="161">
        <f>SUM(Summary!J71:K71)</f>
        <v>43</v>
      </c>
      <c r="AU37" s="114">
        <f t="shared" si="5"/>
        <v>65</v>
      </c>
      <c r="AV37" s="159">
        <v>1</v>
      </c>
    </row>
    <row r="38" spans="4:48" x14ac:dyDescent="0.3">
      <c r="D38" s="89" t="s">
        <v>15</v>
      </c>
      <c r="E38" s="57">
        <v>0.04</v>
      </c>
      <c r="F38" s="135">
        <f t="shared" si="11"/>
        <v>0.376</v>
      </c>
      <c r="G38" s="118">
        <f t="shared" si="12"/>
        <v>376</v>
      </c>
      <c r="Q38" s="131" t="s">
        <v>136</v>
      </c>
      <c r="R38" s="132">
        <v>23</v>
      </c>
      <c r="S38" s="132">
        <v>18</v>
      </c>
      <c r="T38" s="114">
        <f t="shared" si="0"/>
        <v>41</v>
      </c>
      <c r="U38" s="133">
        <f>H420</f>
        <v>0.9375</v>
      </c>
      <c r="W38" s="88">
        <f t="shared" si="1"/>
        <v>15</v>
      </c>
      <c r="X38" s="113">
        <f t="shared" si="2"/>
        <v>-6.25E-2</v>
      </c>
      <c r="Z38" s="134" t="s">
        <v>136</v>
      </c>
      <c r="AA38" s="132">
        <f>Summary!W159</f>
        <v>24</v>
      </c>
      <c r="AB38" s="132">
        <f>Summary!V159</f>
        <v>2</v>
      </c>
      <c r="AC38" s="114">
        <f t="shared" si="6"/>
        <v>26</v>
      </c>
      <c r="AD38" s="133">
        <f>Summary!X159</f>
        <v>1</v>
      </c>
      <c r="AF38" s="164">
        <f t="shared" si="7"/>
        <v>-115</v>
      </c>
      <c r="AG38" s="113">
        <f t="shared" si="8"/>
        <v>-6.25E-2</v>
      </c>
      <c r="AI38" s="134" t="s">
        <v>136</v>
      </c>
      <c r="AJ38" s="132">
        <f>Summary!AC159</f>
        <v>30</v>
      </c>
      <c r="AK38" s="132">
        <f>Summary!AB159</f>
        <v>126</v>
      </c>
      <c r="AL38" s="162">
        <f t="shared" si="4"/>
        <v>156</v>
      </c>
      <c r="AM38" s="159">
        <v>1</v>
      </c>
      <c r="AO38" s="88">
        <f t="shared" si="9"/>
        <v>-77</v>
      </c>
      <c r="AP38" s="113">
        <f t="shared" si="10"/>
        <v>-6.25E-2</v>
      </c>
      <c r="AR38" s="134" t="s">
        <v>136</v>
      </c>
      <c r="AS38" s="161">
        <f>Summary!I159</f>
        <v>47</v>
      </c>
      <c r="AT38" s="161">
        <f>SUM(Summary!J159:K159)</f>
        <v>71</v>
      </c>
      <c r="AU38" s="114">
        <f t="shared" si="5"/>
        <v>118</v>
      </c>
      <c r="AV38" s="159">
        <v>1</v>
      </c>
    </row>
    <row r="39" spans="4:48" x14ac:dyDescent="0.3">
      <c r="D39" s="142" t="s">
        <v>266</v>
      </c>
      <c r="E39" s="143">
        <v>0.03</v>
      </c>
      <c r="F39" s="144">
        <f t="shared" si="11"/>
        <v>0.28199999999999997</v>
      </c>
      <c r="G39" s="145">
        <f t="shared" si="12"/>
        <v>282</v>
      </c>
      <c r="Q39" s="131" t="s">
        <v>111</v>
      </c>
      <c r="R39" s="132">
        <v>22</v>
      </c>
      <c r="S39" s="132">
        <v>14</v>
      </c>
      <c r="T39" s="114">
        <f t="shared" si="0"/>
        <v>36</v>
      </c>
      <c r="U39" s="133">
        <f>H467</f>
        <v>0.8571428571428571</v>
      </c>
      <c r="W39" s="88">
        <f t="shared" si="1"/>
        <v>-23</v>
      </c>
      <c r="X39" s="113">
        <f t="shared" si="2"/>
        <v>-0.1428571428571429</v>
      </c>
      <c r="Z39" s="131" t="s">
        <v>111</v>
      </c>
      <c r="AA39" s="132">
        <f>Summary!W87</f>
        <v>28</v>
      </c>
      <c r="AB39" s="132">
        <f>Summary!V87</f>
        <v>31</v>
      </c>
      <c r="AC39" s="114">
        <f t="shared" si="6"/>
        <v>59</v>
      </c>
      <c r="AD39" s="133">
        <f>Summary!X87</f>
        <v>1</v>
      </c>
      <c r="AF39" s="164">
        <f t="shared" si="7"/>
        <v>-24</v>
      </c>
      <c r="AG39" s="113">
        <f t="shared" si="8"/>
        <v>-0.1428571428571429</v>
      </c>
      <c r="AI39" s="131" t="s">
        <v>111</v>
      </c>
      <c r="AJ39" s="132">
        <f>Summary!AC87</f>
        <v>12</v>
      </c>
      <c r="AK39" s="132">
        <f>Summary!AB87</f>
        <v>48</v>
      </c>
      <c r="AL39" s="162">
        <f t="shared" si="4"/>
        <v>60</v>
      </c>
      <c r="AM39" s="159">
        <v>1</v>
      </c>
      <c r="AO39" s="88">
        <f t="shared" si="9"/>
        <v>-113</v>
      </c>
      <c r="AP39" s="113">
        <f t="shared" si="10"/>
        <v>-0.1428571428571429</v>
      </c>
      <c r="AR39" s="131" t="s">
        <v>111</v>
      </c>
      <c r="AS39" s="161">
        <f>Summary!I87</f>
        <v>47</v>
      </c>
      <c r="AT39" s="161">
        <f>SUM(Summary!J87:K87)</f>
        <v>102</v>
      </c>
      <c r="AU39" s="114">
        <f t="shared" si="5"/>
        <v>149</v>
      </c>
      <c r="AV39" s="159">
        <v>1</v>
      </c>
    </row>
    <row r="40" spans="4:48" x14ac:dyDescent="0.3">
      <c r="D40" s="89" t="s">
        <v>267</v>
      </c>
      <c r="E40" s="57">
        <v>0.03</v>
      </c>
      <c r="F40" s="135">
        <f t="shared" si="11"/>
        <v>0.28199999999999997</v>
      </c>
      <c r="G40" s="118">
        <f t="shared" si="12"/>
        <v>282</v>
      </c>
      <c r="Q40" s="131" t="s">
        <v>3</v>
      </c>
      <c r="R40" s="132">
        <v>24</v>
      </c>
      <c r="S40" s="132">
        <v>29</v>
      </c>
      <c r="T40" s="114">
        <f t="shared" si="0"/>
        <v>53</v>
      </c>
      <c r="U40" s="133">
        <f>H509</f>
        <v>0.75</v>
      </c>
      <c r="W40" s="88">
        <f t="shared" si="1"/>
        <v>-56</v>
      </c>
      <c r="X40" s="113">
        <f t="shared" si="2"/>
        <v>-8.333333333333337E-2</v>
      </c>
      <c r="Z40" s="131" t="s">
        <v>3</v>
      </c>
      <c r="AA40" s="132">
        <f>Summary!W39</f>
        <v>24</v>
      </c>
      <c r="AB40" s="132">
        <f>Summary!V39</f>
        <v>85</v>
      </c>
      <c r="AC40" s="114">
        <f>SUM(AA40:AB40)</f>
        <v>109</v>
      </c>
      <c r="AD40" s="133">
        <f>Summary!X39</f>
        <v>0.83333333333333337</v>
      </c>
      <c r="AF40" s="164">
        <f t="shared" ref="AF40:AF41" si="13">T40-AL40</f>
        <v>-171.84</v>
      </c>
      <c r="AG40" s="113">
        <f t="shared" si="8"/>
        <v>-0.25</v>
      </c>
      <c r="AI40" s="131" t="s">
        <v>3</v>
      </c>
      <c r="AJ40" s="132">
        <f>Summary!AC39</f>
        <v>25</v>
      </c>
      <c r="AK40" s="161">
        <f>Summary!AB39</f>
        <v>199.84</v>
      </c>
      <c r="AL40" s="162">
        <f>SUM(AJ40:AK40)</f>
        <v>224.84</v>
      </c>
      <c r="AM40" s="159">
        <v>1</v>
      </c>
      <c r="AO40" s="88">
        <f t="shared" ref="AO40:AO41" si="14">T40-AU40</f>
        <v>-83</v>
      </c>
      <c r="AP40" s="113">
        <f t="shared" ref="AP40:AP41" si="15">U40-AV40</f>
        <v>-0.25</v>
      </c>
      <c r="AR40" s="131" t="s">
        <v>3</v>
      </c>
      <c r="AS40" s="161">
        <f>Summary!I39</f>
        <v>52</v>
      </c>
      <c r="AT40" s="161">
        <f>SUM(Summary!J39:K39)</f>
        <v>84</v>
      </c>
      <c r="AU40" s="114">
        <f>SUM(AS40:AT40)</f>
        <v>136</v>
      </c>
      <c r="AV40" s="159">
        <v>1</v>
      </c>
    </row>
    <row r="41" spans="4:48" x14ac:dyDescent="0.3">
      <c r="D41" s="89" t="s">
        <v>20</v>
      </c>
      <c r="E41" s="57">
        <v>0.02</v>
      </c>
      <c r="F41" s="135">
        <f t="shared" si="11"/>
        <v>0.188</v>
      </c>
      <c r="G41" s="118">
        <f t="shared" si="12"/>
        <v>188</v>
      </c>
      <c r="Q41" s="136" t="s">
        <v>94</v>
      </c>
      <c r="R41" s="137">
        <v>25</v>
      </c>
      <c r="S41" s="137">
        <v>15</v>
      </c>
      <c r="T41" s="138">
        <f t="shared" si="0"/>
        <v>40</v>
      </c>
      <c r="U41" s="139">
        <f>H549</f>
        <v>0.7857142857142857</v>
      </c>
      <c r="W41" s="88">
        <f t="shared" si="1"/>
        <v>-59</v>
      </c>
      <c r="X41" s="113">
        <f t="shared" si="2"/>
        <v>-2.6785714285714302E-2</v>
      </c>
      <c r="Z41" s="136" t="s">
        <v>94</v>
      </c>
      <c r="AA41" s="137">
        <f>Summary!W54</f>
        <v>34</v>
      </c>
      <c r="AB41" s="137">
        <f>Summary!V54</f>
        <v>65</v>
      </c>
      <c r="AC41" s="138">
        <f>SUM(AA41:AB41)</f>
        <v>99</v>
      </c>
      <c r="AD41" s="139">
        <f>Summary!X54</f>
        <v>0.8125</v>
      </c>
      <c r="AF41" s="164">
        <f t="shared" si="13"/>
        <v>2</v>
      </c>
      <c r="AG41" s="113">
        <f t="shared" si="8"/>
        <v>-0.2142857142857143</v>
      </c>
      <c r="AI41" s="136" t="s">
        <v>94</v>
      </c>
      <c r="AJ41" s="137">
        <f>Summary!AC54</f>
        <v>18</v>
      </c>
      <c r="AK41" s="137">
        <f>Summary!AB54</f>
        <v>20</v>
      </c>
      <c r="AL41" s="163">
        <f>SUM(AJ41:AK41)</f>
        <v>38</v>
      </c>
      <c r="AM41" s="160">
        <v>1</v>
      </c>
      <c r="AO41" s="88">
        <f t="shared" si="14"/>
        <v>-83</v>
      </c>
      <c r="AP41" s="113">
        <f t="shared" si="15"/>
        <v>-0.2142857142857143</v>
      </c>
      <c r="AR41" s="136" t="s">
        <v>94</v>
      </c>
      <c r="AS41" s="165">
        <f>Summary!I54</f>
        <v>49</v>
      </c>
      <c r="AT41" s="165">
        <f>SUM(Summary!J54:K54)</f>
        <v>74</v>
      </c>
      <c r="AU41" s="138">
        <f>SUM(AS41:AT41)</f>
        <v>123</v>
      </c>
      <c r="AV41" s="160">
        <v>1</v>
      </c>
    </row>
    <row r="42" spans="4:48" x14ac:dyDescent="0.3">
      <c r="D42" s="89" t="s">
        <v>22</v>
      </c>
      <c r="E42" s="57">
        <v>0.02</v>
      </c>
      <c r="F42" s="135">
        <f t="shared" si="11"/>
        <v>0.188</v>
      </c>
      <c r="G42" s="118">
        <f t="shared" si="12"/>
        <v>188</v>
      </c>
      <c r="Q42" s="136" t="s">
        <v>11</v>
      </c>
      <c r="R42" s="138">
        <f>SUM(R32:R41)</f>
        <v>238</v>
      </c>
      <c r="S42" s="138">
        <f t="shared" ref="S42:T42" si="16">SUM(S32:S41)</f>
        <v>160</v>
      </c>
      <c r="T42" s="138">
        <f t="shared" si="16"/>
        <v>398</v>
      </c>
      <c r="U42" s="155">
        <f>AVERAGE(U32:U41)</f>
        <v>0.8484126984126984</v>
      </c>
      <c r="W42" s="88">
        <f t="shared" ref="W42" si="17">T42-AC42</f>
        <v>-147</v>
      </c>
      <c r="X42" s="113">
        <f t="shared" ref="X42" si="18">U42-AD42</f>
        <v>-7.9027777777777808E-2</v>
      </c>
      <c r="Z42" s="136" t="s">
        <v>11</v>
      </c>
      <c r="AA42" s="138">
        <f>SUM(AA32:AA41)</f>
        <v>257</v>
      </c>
      <c r="AB42" s="138">
        <f>SUM(AB32:AB41)</f>
        <v>288</v>
      </c>
      <c r="AC42" s="138">
        <f>SUM(AC32:AC41)</f>
        <v>545</v>
      </c>
      <c r="AD42" s="156">
        <f>AVERAGE(AD32:AD41)</f>
        <v>0.9274404761904762</v>
      </c>
      <c r="AF42" s="164">
        <f t="shared" ref="AF42" si="19">T42-AL42</f>
        <v>-628.52</v>
      </c>
      <c r="AG42" s="113">
        <f t="shared" ref="AG42" si="20">U42-AM42</f>
        <v>-0.1515873015873016</v>
      </c>
      <c r="AI42" s="136" t="s">
        <v>11</v>
      </c>
      <c r="AJ42" s="138">
        <f>SUM(AJ32:AJ41)</f>
        <v>197</v>
      </c>
      <c r="AK42" s="163">
        <f>SUM(AK32:AK41)</f>
        <v>829.5200000000001</v>
      </c>
      <c r="AL42" s="163">
        <f>SUM(AL32:AL41)</f>
        <v>1026.52</v>
      </c>
      <c r="AM42" s="156">
        <f>AVERAGE(AM32:AM41)</f>
        <v>1</v>
      </c>
      <c r="AO42" s="88">
        <f>T42-AU42</f>
        <v>-640</v>
      </c>
      <c r="AP42" s="113">
        <f t="shared" ref="AP42" si="21">U42-AV42</f>
        <v>-0.1515873015873016</v>
      </c>
      <c r="AR42" s="136" t="s">
        <v>11</v>
      </c>
      <c r="AS42" s="163">
        <f>SUM(AS32:AS41)</f>
        <v>354</v>
      </c>
      <c r="AT42" s="163">
        <f>SUM(AT32:AT41)</f>
        <v>684</v>
      </c>
      <c r="AU42" s="138">
        <f>SUM(AU32:AU41)</f>
        <v>1038</v>
      </c>
      <c r="AV42" s="156">
        <f>AVERAGE(AV32:AV41)</f>
        <v>1</v>
      </c>
    </row>
    <row r="43" spans="4:48" x14ac:dyDescent="0.3">
      <c r="E43" s="146">
        <f>SUM(E34:E42)</f>
        <v>1.0000000000000002</v>
      </c>
      <c r="F43" s="147">
        <f>SUM(F34:F42)</f>
        <v>9.4</v>
      </c>
      <c r="G43" s="120">
        <f>SUM(G34:G42)</f>
        <v>9400</v>
      </c>
      <c r="T43" s="170">
        <f>T42/AC42-1</f>
        <v>-0.26972477064220179</v>
      </c>
      <c r="W43" s="88"/>
      <c r="X43" s="88"/>
    </row>
    <row r="44" spans="4:48" x14ac:dyDescent="0.3">
      <c r="Q44" s="128" t="s">
        <v>262</v>
      </c>
      <c r="R44" s="140">
        <v>35</v>
      </c>
      <c r="S44" s="140">
        <v>0</v>
      </c>
      <c r="T44" s="129">
        <f>SUM(R44:S44)</f>
        <v>35</v>
      </c>
      <c r="U44" s="141">
        <f>H57</f>
        <v>1</v>
      </c>
      <c r="W44" s="88"/>
      <c r="X44" s="88"/>
    </row>
    <row r="45" spans="4:48" x14ac:dyDescent="0.3">
      <c r="D45" s="101" t="s">
        <v>271</v>
      </c>
      <c r="G45" s="101" t="s">
        <v>1</v>
      </c>
      <c r="Q45" s="131" t="s">
        <v>294</v>
      </c>
      <c r="R45" s="132">
        <v>22</v>
      </c>
      <c r="S45" s="132">
        <v>20</v>
      </c>
      <c r="T45" s="114">
        <f t="shared" ref="T45:T48" si="22">SUM(R45:S45)</f>
        <v>42</v>
      </c>
      <c r="U45" s="133">
        <f>H100</f>
        <v>0.9285714285714286</v>
      </c>
      <c r="W45" s="88"/>
      <c r="X45" s="88"/>
    </row>
    <row r="46" spans="4:48" x14ac:dyDescent="0.3">
      <c r="Q46" s="131" t="s">
        <v>295</v>
      </c>
      <c r="R46" s="132">
        <v>21</v>
      </c>
      <c r="S46" s="132">
        <v>0</v>
      </c>
      <c r="T46" s="114">
        <f t="shared" si="22"/>
        <v>21</v>
      </c>
      <c r="U46" s="133">
        <f>H127</f>
        <v>1</v>
      </c>
    </row>
    <row r="47" spans="4:48" x14ac:dyDescent="0.3">
      <c r="D47" s="91" t="s">
        <v>14</v>
      </c>
      <c r="E47" s="90" t="s">
        <v>283</v>
      </c>
      <c r="G47" s="91" t="s">
        <v>14</v>
      </c>
      <c r="H47" s="90" t="s">
        <v>283</v>
      </c>
      <c r="Q47" s="131" t="s">
        <v>296</v>
      </c>
      <c r="R47" s="132">
        <v>23</v>
      </c>
      <c r="S47" s="132">
        <v>22</v>
      </c>
      <c r="T47" s="114">
        <f t="shared" si="22"/>
        <v>45</v>
      </c>
      <c r="U47" s="133">
        <f>H197</f>
        <v>0.9375</v>
      </c>
    </row>
    <row r="48" spans="4:48" x14ac:dyDescent="0.3">
      <c r="D48" s="89" t="s">
        <v>16</v>
      </c>
      <c r="E48" s="118">
        <f>G34</f>
        <v>2726</v>
      </c>
      <c r="G48" s="89" t="s">
        <v>16</v>
      </c>
      <c r="H48" s="118">
        <v>2726</v>
      </c>
      <c r="J48" s="89" t="b">
        <f t="shared" ref="J48:J55" si="23">D48=G48</f>
        <v>1</v>
      </c>
      <c r="K48" s="89" t="b">
        <f t="shared" ref="K48:K53" si="24">E48=H48</f>
        <v>1</v>
      </c>
      <c r="Q48" s="136" t="s">
        <v>297</v>
      </c>
      <c r="R48" s="137">
        <v>28</v>
      </c>
      <c r="S48" s="137">
        <v>0</v>
      </c>
      <c r="T48" s="138">
        <f t="shared" si="22"/>
        <v>28</v>
      </c>
      <c r="U48" s="139">
        <f>H154</f>
        <v>1</v>
      </c>
    </row>
    <row r="49" spans="4:21" x14ac:dyDescent="0.3">
      <c r="D49" s="89" t="s">
        <v>17</v>
      </c>
      <c r="E49" s="118">
        <f>G35</f>
        <v>4512</v>
      </c>
      <c r="G49" s="89" t="s">
        <v>17</v>
      </c>
      <c r="H49" s="118">
        <v>4512</v>
      </c>
      <c r="J49" s="89" t="b">
        <f t="shared" si="23"/>
        <v>1</v>
      </c>
      <c r="K49" s="89" t="b">
        <f t="shared" si="24"/>
        <v>1</v>
      </c>
      <c r="Q49" s="136" t="s">
        <v>11</v>
      </c>
      <c r="R49" s="138">
        <f>SUM(R44:R48)</f>
        <v>129</v>
      </c>
      <c r="S49" s="138">
        <f t="shared" ref="S49" si="25">SUM(S44:S48)</f>
        <v>42</v>
      </c>
      <c r="T49" s="138">
        <f>SUM(T44:T48)</f>
        <v>171</v>
      </c>
      <c r="U49" s="156">
        <f>AVERAGE(U44:U48)</f>
        <v>0.97321428571428581</v>
      </c>
    </row>
    <row r="50" spans="4:21" x14ac:dyDescent="0.3">
      <c r="D50" s="89" t="s">
        <v>18</v>
      </c>
      <c r="E50" s="118">
        <f>G37</f>
        <v>376</v>
      </c>
      <c r="G50" s="89" t="s">
        <v>18</v>
      </c>
      <c r="H50" s="118">
        <v>376</v>
      </c>
      <c r="J50" s="89" t="b">
        <f t="shared" si="23"/>
        <v>1</v>
      </c>
      <c r="K50" s="89" t="b">
        <f t="shared" si="24"/>
        <v>1</v>
      </c>
      <c r="Q50" s="88"/>
    </row>
    <row r="51" spans="4:21" x14ac:dyDescent="0.3">
      <c r="D51" s="89" t="s">
        <v>15</v>
      </c>
      <c r="E51" s="118">
        <f>G38</f>
        <v>376</v>
      </c>
      <c r="G51" s="89" t="s">
        <v>15</v>
      </c>
      <c r="H51" s="118">
        <v>376</v>
      </c>
      <c r="J51" s="89" t="b">
        <f t="shared" si="23"/>
        <v>1</v>
      </c>
      <c r="K51" s="89" t="b">
        <f t="shared" si="24"/>
        <v>1</v>
      </c>
      <c r="Q51" s="88"/>
    </row>
    <row r="52" spans="4:21" ht="14.4" x14ac:dyDescent="0.3">
      <c r="D52" s="89" t="s">
        <v>21</v>
      </c>
      <c r="E52" s="118">
        <f>G39</f>
        <v>282</v>
      </c>
      <c r="G52" s="89" t="s">
        <v>21</v>
      </c>
      <c r="H52" s="118">
        <v>282</v>
      </c>
      <c r="J52" s="89" t="b">
        <f t="shared" si="23"/>
        <v>1</v>
      </c>
      <c r="K52" s="89" t="b">
        <f t="shared" si="24"/>
        <v>1</v>
      </c>
      <c r="N52"/>
      <c r="O52"/>
      <c r="Q52" s="88"/>
    </row>
    <row r="53" spans="4:21" ht="14.4" x14ac:dyDescent="0.3">
      <c r="D53" s="89" t="s">
        <v>51</v>
      </c>
      <c r="E53" s="118">
        <f>G41</f>
        <v>188</v>
      </c>
      <c r="G53" s="89" t="s">
        <v>51</v>
      </c>
      <c r="H53" s="118">
        <v>188</v>
      </c>
      <c r="J53" s="89" t="b">
        <f t="shared" si="23"/>
        <v>1</v>
      </c>
      <c r="K53" s="89" t="b">
        <f t="shared" si="24"/>
        <v>1</v>
      </c>
      <c r="N53"/>
      <c r="O53"/>
      <c r="Q53" s="88"/>
    </row>
    <row r="54" spans="4:21" x14ac:dyDescent="0.3">
      <c r="D54" s="89" t="s">
        <v>22</v>
      </c>
      <c r="E54" s="118">
        <f>G42+G36+G40</f>
        <v>940</v>
      </c>
      <c r="G54" s="89" t="s">
        <v>22</v>
      </c>
      <c r="H54" s="118">
        <v>941</v>
      </c>
      <c r="J54" s="89" t="b">
        <f t="shared" si="23"/>
        <v>1</v>
      </c>
      <c r="K54" s="99" t="b">
        <v>1</v>
      </c>
      <c r="Q54" s="88"/>
    </row>
    <row r="55" spans="4:21" x14ac:dyDescent="0.3">
      <c r="D55" s="93" t="s">
        <v>77</v>
      </c>
      <c r="E55" s="120">
        <f>SUM(E48:E54)</f>
        <v>9400</v>
      </c>
      <c r="G55" s="93" t="s">
        <v>77</v>
      </c>
      <c r="H55" s="120">
        <f>SUM(H48:H54)</f>
        <v>9401</v>
      </c>
      <c r="J55" s="89" t="b">
        <f t="shared" si="23"/>
        <v>1</v>
      </c>
      <c r="K55" s="99" t="b">
        <v>1</v>
      </c>
      <c r="Q55" s="88"/>
    </row>
    <row r="57" spans="4:21" x14ac:dyDescent="0.3">
      <c r="G57" s="101" t="s">
        <v>5</v>
      </c>
      <c r="H57" s="109">
        <f>16/16</f>
        <v>1</v>
      </c>
    </row>
    <row r="74" spans="2:7" x14ac:dyDescent="0.3">
      <c r="B74" s="121" t="s">
        <v>298</v>
      </c>
      <c r="D74" s="127" t="s">
        <v>264</v>
      </c>
      <c r="E74" s="116">
        <v>26.5</v>
      </c>
    </row>
    <row r="76" spans="2:7" x14ac:dyDescent="0.3">
      <c r="D76" s="101" t="s">
        <v>24</v>
      </c>
    </row>
    <row r="77" spans="2:7" x14ac:dyDescent="0.3">
      <c r="D77" s="101"/>
    </row>
    <row r="78" spans="2:7" x14ac:dyDescent="0.3">
      <c r="D78" s="91" t="s">
        <v>268</v>
      </c>
      <c r="E78" s="90" t="s">
        <v>158</v>
      </c>
      <c r="F78" s="90" t="s">
        <v>269</v>
      </c>
      <c r="G78" s="90" t="s">
        <v>270</v>
      </c>
    </row>
    <row r="79" spans="2:7" x14ac:dyDescent="0.3">
      <c r="D79" s="89" t="s">
        <v>18</v>
      </c>
      <c r="E79" s="57">
        <v>0.17</v>
      </c>
      <c r="F79" s="135">
        <f>$E$74*E79</f>
        <v>4.5049999999999999</v>
      </c>
      <c r="G79" s="118">
        <f>F79*1000</f>
        <v>4505</v>
      </c>
    </row>
    <row r="80" spans="2:7" x14ac:dyDescent="0.3">
      <c r="D80" s="89" t="s">
        <v>299</v>
      </c>
      <c r="E80" s="57">
        <v>0.1</v>
      </c>
      <c r="F80" s="135">
        <f t="shared" ref="F80:F86" si="26">$E$74*E80</f>
        <v>2.6500000000000004</v>
      </c>
      <c r="G80" s="118">
        <f t="shared" ref="G80:G86" si="27">F80*1000</f>
        <v>2650.0000000000005</v>
      </c>
    </row>
    <row r="81" spans="4:11" ht="14.4" x14ac:dyDescent="0.3">
      <c r="D81" s="89" t="s">
        <v>15</v>
      </c>
      <c r="E81" s="57">
        <v>0.1</v>
      </c>
      <c r="F81" s="135">
        <f t="shared" si="26"/>
        <v>2.6500000000000004</v>
      </c>
      <c r="G81" s="118">
        <f t="shared" si="27"/>
        <v>2650.0000000000005</v>
      </c>
      <c r="H81"/>
    </row>
    <row r="82" spans="4:11" x14ac:dyDescent="0.3">
      <c r="D82" s="89" t="s">
        <v>300</v>
      </c>
      <c r="E82" s="57">
        <v>0.02</v>
      </c>
      <c r="F82" s="135">
        <f t="shared" si="26"/>
        <v>0.53</v>
      </c>
      <c r="G82" s="118">
        <f t="shared" si="27"/>
        <v>530</v>
      </c>
    </row>
    <row r="83" spans="4:11" x14ac:dyDescent="0.3">
      <c r="D83" s="89" t="s">
        <v>16</v>
      </c>
      <c r="E83" s="57">
        <v>0.11</v>
      </c>
      <c r="F83" s="135">
        <f t="shared" si="26"/>
        <v>2.915</v>
      </c>
      <c r="G83" s="118">
        <f t="shared" si="27"/>
        <v>2915</v>
      </c>
    </row>
    <row r="84" spans="4:11" x14ac:dyDescent="0.3">
      <c r="D84" s="142" t="s">
        <v>153</v>
      </c>
      <c r="E84" s="143">
        <v>0.09</v>
      </c>
      <c r="F84" s="144">
        <f t="shared" si="26"/>
        <v>2.3849999999999998</v>
      </c>
      <c r="G84" s="145">
        <f t="shared" si="27"/>
        <v>2385</v>
      </c>
    </row>
    <row r="85" spans="4:11" x14ac:dyDescent="0.3">
      <c r="D85" s="89" t="s">
        <v>301</v>
      </c>
      <c r="E85" s="57">
        <v>0.11</v>
      </c>
      <c r="F85" s="135">
        <f t="shared" si="26"/>
        <v>2.915</v>
      </c>
      <c r="G85" s="118">
        <f t="shared" si="27"/>
        <v>2915</v>
      </c>
    </row>
    <row r="86" spans="4:11" x14ac:dyDescent="0.3">
      <c r="D86" s="89" t="s">
        <v>302</v>
      </c>
      <c r="E86" s="57">
        <v>0.3</v>
      </c>
      <c r="F86" s="135">
        <f t="shared" si="26"/>
        <v>7.9499999999999993</v>
      </c>
      <c r="G86" s="118">
        <f t="shared" si="27"/>
        <v>7949.9999999999991</v>
      </c>
    </row>
    <row r="87" spans="4:11" x14ac:dyDescent="0.3">
      <c r="E87" s="146">
        <f>SUM(E79:E86)</f>
        <v>1</v>
      </c>
      <c r="F87" s="147">
        <f>SUM(F79:F86)</f>
        <v>26.5</v>
      </c>
      <c r="G87" s="120">
        <f>SUM(G79:G86)</f>
        <v>26500</v>
      </c>
    </row>
    <row r="89" spans="4:11" x14ac:dyDescent="0.3">
      <c r="D89" s="101" t="s">
        <v>271</v>
      </c>
      <c r="G89" s="101" t="s">
        <v>1</v>
      </c>
    </row>
    <row r="91" spans="4:11" x14ac:dyDescent="0.3">
      <c r="D91" s="91" t="s">
        <v>14</v>
      </c>
      <c r="E91" s="90" t="s">
        <v>283</v>
      </c>
      <c r="G91" s="91" t="s">
        <v>14</v>
      </c>
      <c r="H91" s="90" t="s">
        <v>283</v>
      </c>
    </row>
    <row r="92" spans="4:11" x14ac:dyDescent="0.3">
      <c r="D92" s="89" t="s">
        <v>16</v>
      </c>
      <c r="E92" s="118">
        <f>G83</f>
        <v>2915</v>
      </c>
      <c r="G92" s="89" t="s">
        <v>16</v>
      </c>
      <c r="H92" s="118">
        <v>2915</v>
      </c>
      <c r="J92" s="89" t="b">
        <f t="shared" ref="J92" si="28">D92=G92</f>
        <v>1</v>
      </c>
      <c r="K92" s="89" t="b">
        <f t="shared" ref="K92" si="29">E92=H92</f>
        <v>1</v>
      </c>
    </row>
    <row r="93" spans="4:11" x14ac:dyDescent="0.3">
      <c r="D93" s="89" t="s">
        <v>17</v>
      </c>
      <c r="E93" s="118">
        <f>G86</f>
        <v>7949.9999999999991</v>
      </c>
      <c r="G93" s="89" t="s">
        <v>17</v>
      </c>
      <c r="H93" s="118">
        <v>7950</v>
      </c>
      <c r="J93" s="89" t="b">
        <f t="shared" ref="J93:J98" si="30">D93=G93</f>
        <v>1</v>
      </c>
      <c r="K93" s="89" t="b">
        <f t="shared" ref="K93:K98" si="31">E93=H93</f>
        <v>1</v>
      </c>
    </row>
    <row r="94" spans="4:11" x14ac:dyDescent="0.3">
      <c r="D94" s="89" t="s">
        <v>18</v>
      </c>
      <c r="E94" s="118">
        <f>G79</f>
        <v>4505</v>
      </c>
      <c r="G94" s="89" t="s">
        <v>18</v>
      </c>
      <c r="H94" s="118">
        <v>4505</v>
      </c>
      <c r="J94" s="89" t="b">
        <f t="shared" si="30"/>
        <v>1</v>
      </c>
      <c r="K94" s="89" t="b">
        <f t="shared" si="31"/>
        <v>1</v>
      </c>
    </row>
    <row r="95" spans="4:11" x14ac:dyDescent="0.3">
      <c r="D95" s="89" t="s">
        <v>15</v>
      </c>
      <c r="E95" s="118">
        <f>G81+G82</f>
        <v>3180.0000000000005</v>
      </c>
      <c r="G95" s="89" t="s">
        <v>15</v>
      </c>
      <c r="H95" s="118">
        <v>3180</v>
      </c>
      <c r="J95" s="89" t="b">
        <f t="shared" si="30"/>
        <v>1</v>
      </c>
      <c r="K95" s="89" t="b">
        <f t="shared" si="31"/>
        <v>1</v>
      </c>
    </row>
    <row r="96" spans="4:11" x14ac:dyDescent="0.3">
      <c r="D96" s="89" t="s">
        <v>51</v>
      </c>
      <c r="E96" s="118">
        <f>G80</f>
        <v>2650.0000000000005</v>
      </c>
      <c r="G96" s="89" t="s">
        <v>51</v>
      </c>
      <c r="H96" s="118">
        <v>2650</v>
      </c>
      <c r="J96" s="89" t="b">
        <f t="shared" si="30"/>
        <v>1</v>
      </c>
      <c r="K96" s="89" t="b">
        <f t="shared" si="31"/>
        <v>1</v>
      </c>
    </row>
    <row r="97" spans="4:11" x14ac:dyDescent="0.3">
      <c r="D97" s="89" t="s">
        <v>22</v>
      </c>
      <c r="E97" s="118">
        <f>G85+G84</f>
        <v>5300</v>
      </c>
      <c r="G97" s="89" t="s">
        <v>22</v>
      </c>
      <c r="H97" s="118">
        <v>4805</v>
      </c>
      <c r="J97" s="89" t="b">
        <f t="shared" si="30"/>
        <v>1</v>
      </c>
      <c r="K97" s="98" t="b">
        <f t="shared" si="31"/>
        <v>0</v>
      </c>
    </row>
    <row r="98" spans="4:11" x14ac:dyDescent="0.3">
      <c r="D98" s="93" t="s">
        <v>77</v>
      </c>
      <c r="E98" s="120">
        <f>SUM(E92:E97)</f>
        <v>26500</v>
      </c>
      <c r="G98" s="93" t="s">
        <v>77</v>
      </c>
      <c r="H98" s="120">
        <v>26500</v>
      </c>
      <c r="J98" s="89" t="b">
        <f t="shared" si="30"/>
        <v>1</v>
      </c>
      <c r="K98" s="89" t="b">
        <f t="shared" si="31"/>
        <v>1</v>
      </c>
    </row>
    <row r="100" spans="4:11" x14ac:dyDescent="0.3">
      <c r="G100" s="101" t="s">
        <v>5</v>
      </c>
      <c r="H100" s="109">
        <f>13/14</f>
        <v>0.9285714285714286</v>
      </c>
    </row>
    <row r="115" spans="2:14" x14ac:dyDescent="0.3">
      <c r="B115" s="121" t="s">
        <v>305</v>
      </c>
      <c r="D115" s="108" t="s">
        <v>24</v>
      </c>
      <c r="G115" s="108" t="s">
        <v>1</v>
      </c>
    </row>
    <row r="116" spans="2:14" ht="14.4" x14ac:dyDescent="0.3">
      <c r="D116" s="148"/>
      <c r="G116" s="108"/>
      <c r="N116"/>
    </row>
    <row r="117" spans="2:14" x14ac:dyDescent="0.3">
      <c r="D117" s="91" t="s">
        <v>14</v>
      </c>
      <c r="E117" s="90" t="s">
        <v>283</v>
      </c>
      <c r="G117" s="91" t="s">
        <v>14</v>
      </c>
      <c r="H117" s="90" t="s">
        <v>283</v>
      </c>
    </row>
    <row r="118" spans="2:14" x14ac:dyDescent="0.3">
      <c r="D118" s="102" t="s">
        <v>15</v>
      </c>
      <c r="E118" s="149">
        <v>4100</v>
      </c>
      <c r="G118" s="102" t="s">
        <v>15</v>
      </c>
      <c r="H118" s="149">
        <v>4100</v>
      </c>
      <c r="J118" s="89" t="b">
        <f t="shared" ref="J118" si="32">D118=G118</f>
        <v>1</v>
      </c>
      <c r="K118" s="89" t="b">
        <f t="shared" ref="K118" si="33">E118=H118</f>
        <v>1</v>
      </c>
    </row>
    <row r="119" spans="2:14" x14ac:dyDescent="0.3">
      <c r="D119" s="102" t="s">
        <v>18</v>
      </c>
      <c r="E119" s="149">
        <v>5800</v>
      </c>
      <c r="G119" s="102" t="s">
        <v>18</v>
      </c>
      <c r="H119" s="149">
        <v>5800</v>
      </c>
      <c r="J119" s="89" t="b">
        <f t="shared" ref="J119:J125" si="34">D119=G119</f>
        <v>1</v>
      </c>
      <c r="K119" s="89" t="b">
        <f t="shared" ref="K119:K125" si="35">E119=H119</f>
        <v>1</v>
      </c>
    </row>
    <row r="120" spans="2:14" x14ac:dyDescent="0.3">
      <c r="D120" s="102" t="s">
        <v>116</v>
      </c>
      <c r="E120" s="149">
        <v>8900</v>
      </c>
      <c r="G120" s="102" t="s">
        <v>116</v>
      </c>
      <c r="H120" s="150">
        <v>8900</v>
      </c>
      <c r="J120" s="89" t="b">
        <f t="shared" si="34"/>
        <v>1</v>
      </c>
      <c r="K120" s="89" t="b">
        <f t="shared" si="35"/>
        <v>1</v>
      </c>
    </row>
    <row r="121" spans="2:14" x14ac:dyDescent="0.3">
      <c r="D121" s="102" t="s">
        <v>21</v>
      </c>
      <c r="E121" s="149">
        <v>100</v>
      </c>
      <c r="G121" s="102" t="s">
        <v>21</v>
      </c>
      <c r="H121" s="151">
        <v>100</v>
      </c>
      <c r="J121" s="89" t="b">
        <f t="shared" si="34"/>
        <v>1</v>
      </c>
      <c r="K121" s="89" t="b">
        <f t="shared" si="35"/>
        <v>1</v>
      </c>
    </row>
    <row r="122" spans="2:14" x14ac:dyDescent="0.3">
      <c r="D122" s="102" t="s">
        <v>16</v>
      </c>
      <c r="E122" s="149">
        <v>2400</v>
      </c>
      <c r="G122" s="102" t="s">
        <v>16</v>
      </c>
      <c r="H122" s="149">
        <v>2400</v>
      </c>
      <c r="J122" s="89" t="b">
        <f t="shared" si="34"/>
        <v>1</v>
      </c>
      <c r="K122" s="89" t="b">
        <f t="shared" si="35"/>
        <v>1</v>
      </c>
    </row>
    <row r="123" spans="2:14" x14ac:dyDescent="0.3">
      <c r="D123" s="102" t="s">
        <v>154</v>
      </c>
      <c r="E123" s="149">
        <v>500</v>
      </c>
      <c r="G123" s="102" t="s">
        <v>154</v>
      </c>
      <c r="H123" s="149">
        <v>500</v>
      </c>
      <c r="J123" s="89" t="b">
        <f t="shared" si="34"/>
        <v>1</v>
      </c>
      <c r="K123" s="89" t="b">
        <f t="shared" si="35"/>
        <v>1</v>
      </c>
    </row>
    <row r="124" spans="2:14" x14ac:dyDescent="0.3">
      <c r="D124" s="102" t="s">
        <v>22</v>
      </c>
      <c r="E124" s="149">
        <f>7100+100</f>
        <v>7200</v>
      </c>
      <c r="G124" s="102" t="s">
        <v>22</v>
      </c>
      <c r="H124" s="149">
        <v>7200</v>
      </c>
      <c r="J124" s="89" t="b">
        <f t="shared" si="34"/>
        <v>1</v>
      </c>
      <c r="K124" s="89" t="b">
        <f t="shared" si="35"/>
        <v>1</v>
      </c>
    </row>
    <row r="125" spans="2:14" x14ac:dyDescent="0.3">
      <c r="D125" s="127" t="s">
        <v>77</v>
      </c>
      <c r="E125" s="152">
        <f>SUM(E118:E124)</f>
        <v>29000</v>
      </c>
      <c r="G125" s="127" t="s">
        <v>77</v>
      </c>
      <c r="H125" s="153">
        <v>29000</v>
      </c>
      <c r="J125" s="89" t="b">
        <f t="shared" si="34"/>
        <v>1</v>
      </c>
      <c r="K125" s="89" t="b">
        <f t="shared" si="35"/>
        <v>1</v>
      </c>
    </row>
    <row r="127" spans="2:14" x14ac:dyDescent="0.3">
      <c r="G127" s="108" t="s">
        <v>5</v>
      </c>
      <c r="H127" s="109">
        <f>16/16</f>
        <v>1</v>
      </c>
    </row>
    <row r="143" spans="2:7" x14ac:dyDescent="0.3">
      <c r="B143" s="121" t="s">
        <v>306</v>
      </c>
      <c r="D143" s="108" t="s">
        <v>24</v>
      </c>
      <c r="G143" s="108" t="s">
        <v>1</v>
      </c>
    </row>
    <row r="144" spans="2:7" x14ac:dyDescent="0.3">
      <c r="D144" s="148"/>
      <c r="G144" s="108"/>
    </row>
    <row r="145" spans="4:21" x14ac:dyDescent="0.3">
      <c r="D145" s="91" t="s">
        <v>14</v>
      </c>
      <c r="E145" s="90" t="s">
        <v>283</v>
      </c>
      <c r="G145" s="91" t="s">
        <v>14</v>
      </c>
      <c r="H145" s="90" t="s">
        <v>283</v>
      </c>
    </row>
    <row r="146" spans="4:21" x14ac:dyDescent="0.3">
      <c r="D146" s="102" t="s">
        <v>15</v>
      </c>
      <c r="E146" s="149">
        <v>1769</v>
      </c>
      <c r="G146" s="102" t="s">
        <v>15</v>
      </c>
      <c r="H146" s="149">
        <v>1769</v>
      </c>
      <c r="J146" s="89" t="b">
        <f t="shared" ref="J146:J152" si="36">D146=G146</f>
        <v>1</v>
      </c>
      <c r="K146" s="89" t="b">
        <f t="shared" ref="K146:K152" si="37">E146=H146</f>
        <v>1</v>
      </c>
    </row>
    <row r="147" spans="4:21" x14ac:dyDescent="0.3">
      <c r="D147" s="102" t="s">
        <v>18</v>
      </c>
      <c r="E147" s="149">
        <v>1098</v>
      </c>
      <c r="G147" s="102" t="s">
        <v>18</v>
      </c>
      <c r="H147" s="149">
        <v>1098</v>
      </c>
      <c r="J147" s="89" t="b">
        <f t="shared" si="36"/>
        <v>1</v>
      </c>
      <c r="K147" s="89" t="b">
        <f t="shared" si="37"/>
        <v>1</v>
      </c>
    </row>
    <row r="148" spans="4:21" x14ac:dyDescent="0.3">
      <c r="D148" s="102" t="s">
        <v>116</v>
      </c>
      <c r="E148" s="149">
        <v>838</v>
      </c>
      <c r="G148" s="102" t="s">
        <v>116</v>
      </c>
      <c r="H148" s="150">
        <v>838</v>
      </c>
      <c r="J148" s="89" t="b">
        <f t="shared" si="36"/>
        <v>1</v>
      </c>
      <c r="K148" s="89" t="b">
        <f t="shared" si="37"/>
        <v>1</v>
      </c>
    </row>
    <row r="149" spans="4:21" x14ac:dyDescent="0.3">
      <c r="D149" s="102" t="s">
        <v>16</v>
      </c>
      <c r="E149" s="149">
        <v>1375</v>
      </c>
      <c r="G149" s="102" t="s">
        <v>16</v>
      </c>
      <c r="H149" s="149">
        <v>1375</v>
      </c>
      <c r="J149" s="89" t="b">
        <f t="shared" si="36"/>
        <v>1</v>
      </c>
      <c r="K149" s="89" t="b">
        <f t="shared" si="37"/>
        <v>1</v>
      </c>
    </row>
    <row r="150" spans="4:21" x14ac:dyDescent="0.3">
      <c r="D150" s="102" t="s">
        <v>154</v>
      </c>
      <c r="E150" s="149">
        <v>483</v>
      </c>
      <c r="G150" s="102" t="s">
        <v>154</v>
      </c>
      <c r="H150" s="149">
        <v>483</v>
      </c>
      <c r="J150" s="89" t="b">
        <f t="shared" si="36"/>
        <v>1</v>
      </c>
      <c r="K150" s="89" t="b">
        <f t="shared" si="37"/>
        <v>1</v>
      </c>
    </row>
    <row r="151" spans="4:21" x14ac:dyDescent="0.3">
      <c r="D151" s="102" t="s">
        <v>22</v>
      </c>
      <c r="E151" s="149">
        <f>89+562</f>
        <v>651</v>
      </c>
      <c r="G151" s="102" t="s">
        <v>22</v>
      </c>
      <c r="H151" s="149">
        <v>651</v>
      </c>
      <c r="J151" s="89" t="b">
        <f t="shared" si="36"/>
        <v>1</v>
      </c>
      <c r="K151" s="89" t="b">
        <f t="shared" si="37"/>
        <v>1</v>
      </c>
    </row>
    <row r="152" spans="4:21" x14ac:dyDescent="0.3">
      <c r="D152" s="127" t="s">
        <v>77</v>
      </c>
      <c r="E152" s="152">
        <f>SUM(E146:E151)</f>
        <v>6214</v>
      </c>
      <c r="G152" s="127" t="s">
        <v>77</v>
      </c>
      <c r="H152" s="153">
        <v>6214</v>
      </c>
      <c r="J152" s="89" t="b">
        <f t="shared" si="36"/>
        <v>1</v>
      </c>
      <c r="K152" s="89" t="b">
        <f t="shared" si="37"/>
        <v>1</v>
      </c>
    </row>
    <row r="154" spans="4:21" x14ac:dyDescent="0.3">
      <c r="G154" s="108" t="s">
        <v>5</v>
      </c>
      <c r="H154" s="109">
        <f>14/14</f>
        <v>1</v>
      </c>
    </row>
    <row r="155" spans="4:21" ht="14.4" x14ac:dyDescent="0.3">
      <c r="U155"/>
    </row>
    <row r="170" spans="2:7" x14ac:dyDescent="0.3">
      <c r="B170" s="121" t="s">
        <v>307</v>
      </c>
      <c r="D170" s="127" t="s">
        <v>264</v>
      </c>
      <c r="E170" s="116">
        <v>17.8</v>
      </c>
    </row>
    <row r="172" spans="2:7" x14ac:dyDescent="0.3">
      <c r="D172" s="101" t="s">
        <v>24</v>
      </c>
    </row>
    <row r="173" spans="2:7" x14ac:dyDescent="0.3">
      <c r="D173" s="101"/>
    </row>
    <row r="174" spans="2:7" x14ac:dyDescent="0.3">
      <c r="D174" s="91" t="s">
        <v>268</v>
      </c>
      <c r="E174" s="90" t="s">
        <v>158</v>
      </c>
      <c r="F174" s="90" t="s">
        <v>269</v>
      </c>
      <c r="G174" s="90" t="s">
        <v>270</v>
      </c>
    </row>
    <row r="175" spans="2:7" x14ac:dyDescent="0.3">
      <c r="D175" s="89" t="s">
        <v>17</v>
      </c>
      <c r="E175" s="57">
        <v>0.3</v>
      </c>
      <c r="F175" s="135">
        <f>$E$170*E175</f>
        <v>5.34</v>
      </c>
      <c r="G175" s="118">
        <f>F175*1000</f>
        <v>5340</v>
      </c>
    </row>
    <row r="176" spans="2:7" x14ac:dyDescent="0.3">
      <c r="D176" s="89" t="s">
        <v>18</v>
      </c>
      <c r="E176" s="57">
        <v>0.08</v>
      </c>
      <c r="F176" s="135">
        <f t="shared" ref="F176:F182" si="38">$E$170*E176</f>
        <v>1.4240000000000002</v>
      </c>
      <c r="G176" s="118">
        <f t="shared" ref="G176:G182" si="39">F176*1000</f>
        <v>1424.0000000000002</v>
      </c>
    </row>
    <row r="177" spans="4:22" ht="14.4" x14ac:dyDescent="0.3">
      <c r="D177" s="89" t="s">
        <v>153</v>
      </c>
      <c r="E177" s="57">
        <v>0.04</v>
      </c>
      <c r="F177" s="135">
        <f t="shared" si="38"/>
        <v>0.71200000000000008</v>
      </c>
      <c r="G177" s="118">
        <f t="shared" si="39"/>
        <v>712.00000000000011</v>
      </c>
      <c r="H177"/>
    </row>
    <row r="178" spans="4:22" x14ac:dyDescent="0.3">
      <c r="D178" s="89" t="s">
        <v>154</v>
      </c>
      <c r="E178" s="57">
        <v>0.02</v>
      </c>
      <c r="F178" s="135">
        <f t="shared" si="38"/>
        <v>0.35600000000000004</v>
      </c>
      <c r="G178" s="118">
        <f t="shared" si="39"/>
        <v>356.00000000000006</v>
      </c>
    </row>
    <row r="179" spans="4:22" ht="14.4" x14ac:dyDescent="0.3">
      <c r="D179" s="89" t="s">
        <v>16</v>
      </c>
      <c r="E179" s="57">
        <v>0.22</v>
      </c>
      <c r="F179" s="135">
        <f t="shared" si="38"/>
        <v>3.9160000000000004</v>
      </c>
      <c r="G179" s="118">
        <f t="shared" si="39"/>
        <v>3916.0000000000005</v>
      </c>
      <c r="V179"/>
    </row>
    <row r="180" spans="4:22" x14ac:dyDescent="0.3">
      <c r="D180" s="142" t="s">
        <v>15</v>
      </c>
      <c r="E180" s="143">
        <v>0.16</v>
      </c>
      <c r="F180" s="144">
        <f t="shared" si="38"/>
        <v>2.8480000000000003</v>
      </c>
      <c r="G180" s="145">
        <f t="shared" si="39"/>
        <v>2848.0000000000005</v>
      </c>
    </row>
    <row r="181" spans="4:22" x14ac:dyDescent="0.3">
      <c r="D181" s="89" t="s">
        <v>22</v>
      </c>
      <c r="E181" s="57">
        <v>0.17</v>
      </c>
      <c r="F181" s="135">
        <f t="shared" si="38"/>
        <v>3.0260000000000002</v>
      </c>
      <c r="G181" s="118">
        <f t="shared" si="39"/>
        <v>3026.0000000000005</v>
      </c>
    </row>
    <row r="182" spans="4:22" x14ac:dyDescent="0.3">
      <c r="D182" s="89" t="s">
        <v>21</v>
      </c>
      <c r="E182" s="57">
        <v>0.01</v>
      </c>
      <c r="F182" s="135">
        <f t="shared" si="38"/>
        <v>0.17800000000000002</v>
      </c>
      <c r="G182" s="118">
        <f t="shared" si="39"/>
        <v>178.00000000000003</v>
      </c>
    </row>
    <row r="183" spans="4:22" x14ac:dyDescent="0.3">
      <c r="E183" s="146">
        <f>SUM(E175:E182)</f>
        <v>1</v>
      </c>
      <c r="F183" s="147">
        <f>SUM(F175:F182)</f>
        <v>17.800000000000004</v>
      </c>
      <c r="G183" s="120">
        <f>SUM(G175:G182)</f>
        <v>17800</v>
      </c>
    </row>
    <row r="184" spans="4:22" x14ac:dyDescent="0.3">
      <c r="E184" s="168">
        <f>G183*E181</f>
        <v>3026</v>
      </c>
    </row>
    <row r="185" spans="4:22" x14ac:dyDescent="0.3">
      <c r="D185" s="101" t="s">
        <v>271</v>
      </c>
      <c r="G185" s="101" t="s">
        <v>1</v>
      </c>
    </row>
    <row r="187" spans="4:22" x14ac:dyDescent="0.3">
      <c r="D187" s="91" t="s">
        <v>14</v>
      </c>
      <c r="E187" s="90" t="s">
        <v>283</v>
      </c>
      <c r="G187" s="91" t="s">
        <v>14</v>
      </c>
      <c r="H187" s="90" t="s">
        <v>283</v>
      </c>
    </row>
    <row r="188" spans="4:22" x14ac:dyDescent="0.3">
      <c r="D188" s="89" t="s">
        <v>16</v>
      </c>
      <c r="E188" s="118">
        <f>G179</f>
        <v>3916.0000000000005</v>
      </c>
      <c r="G188" s="89" t="s">
        <v>16</v>
      </c>
      <c r="H188" s="118">
        <v>3916</v>
      </c>
      <c r="J188" s="89" t="b">
        <f t="shared" ref="J188" si="40">D188=G188</f>
        <v>1</v>
      </c>
      <c r="K188" s="89" t="b">
        <f t="shared" ref="K188" si="41">E188=H188</f>
        <v>1</v>
      </c>
    </row>
    <row r="189" spans="4:22" x14ac:dyDescent="0.3">
      <c r="D189" s="89" t="s">
        <v>17</v>
      </c>
      <c r="E189" s="118">
        <f>G175</f>
        <v>5340</v>
      </c>
      <c r="G189" s="89" t="s">
        <v>17</v>
      </c>
      <c r="H189" s="118">
        <v>5340</v>
      </c>
      <c r="J189" s="89" t="b">
        <f t="shared" ref="J189:J195" si="42">D189=G189</f>
        <v>1</v>
      </c>
      <c r="K189" s="89" t="b">
        <f t="shared" ref="K189:K195" si="43">E189=H189</f>
        <v>1</v>
      </c>
    </row>
    <row r="190" spans="4:22" x14ac:dyDescent="0.3">
      <c r="D190" s="89" t="s">
        <v>18</v>
      </c>
      <c r="E190" s="118">
        <f>G176</f>
        <v>1424.0000000000002</v>
      </c>
      <c r="G190" s="89" t="s">
        <v>18</v>
      </c>
      <c r="H190" s="118">
        <v>1424</v>
      </c>
      <c r="J190" s="89" t="b">
        <f t="shared" si="42"/>
        <v>1</v>
      </c>
      <c r="K190" s="89" t="b">
        <f t="shared" si="43"/>
        <v>1</v>
      </c>
    </row>
    <row r="191" spans="4:22" x14ac:dyDescent="0.3">
      <c r="D191" s="89" t="s">
        <v>15</v>
      </c>
      <c r="E191" s="118">
        <f>G180</f>
        <v>2848.0000000000005</v>
      </c>
      <c r="G191" s="89" t="s">
        <v>15</v>
      </c>
      <c r="H191" s="118">
        <v>2848</v>
      </c>
      <c r="J191" s="89" t="b">
        <f t="shared" si="42"/>
        <v>1</v>
      </c>
      <c r="K191" s="89" t="b">
        <f t="shared" si="43"/>
        <v>1</v>
      </c>
    </row>
    <row r="192" spans="4:22" x14ac:dyDescent="0.3">
      <c r="D192" s="89" t="s">
        <v>154</v>
      </c>
      <c r="E192" s="118">
        <f>G178</f>
        <v>356.00000000000006</v>
      </c>
      <c r="G192" s="89" t="s">
        <v>154</v>
      </c>
      <c r="H192" s="118">
        <v>356</v>
      </c>
      <c r="J192" s="89" t="b">
        <f t="shared" si="42"/>
        <v>1</v>
      </c>
      <c r="K192" s="89" t="b">
        <f t="shared" si="43"/>
        <v>1</v>
      </c>
    </row>
    <row r="193" spans="4:11" x14ac:dyDescent="0.3">
      <c r="D193" s="89" t="s">
        <v>21</v>
      </c>
      <c r="E193" s="118">
        <f>G182</f>
        <v>178.00000000000003</v>
      </c>
      <c r="G193" s="89" t="s">
        <v>21</v>
      </c>
      <c r="H193" s="118">
        <v>178</v>
      </c>
      <c r="J193" s="89" t="b">
        <f t="shared" si="42"/>
        <v>1</v>
      </c>
      <c r="K193" s="89" t="b">
        <f t="shared" si="43"/>
        <v>1</v>
      </c>
    </row>
    <row r="194" spans="4:11" x14ac:dyDescent="0.3">
      <c r="D194" s="89" t="s">
        <v>22</v>
      </c>
      <c r="E194" s="118">
        <f>G181+G177</f>
        <v>3738.0000000000005</v>
      </c>
      <c r="G194" s="89" t="s">
        <v>22</v>
      </c>
      <c r="H194" s="118">
        <v>3026</v>
      </c>
      <c r="J194" s="89" t="b">
        <f t="shared" si="42"/>
        <v>1</v>
      </c>
      <c r="K194" s="98" t="b">
        <f t="shared" si="43"/>
        <v>0</v>
      </c>
    </row>
    <row r="195" spans="4:11" x14ac:dyDescent="0.3">
      <c r="D195" s="93" t="s">
        <v>77</v>
      </c>
      <c r="E195" s="120">
        <f>SUM(E188:E194)</f>
        <v>17800</v>
      </c>
      <c r="G195" s="93" t="s">
        <v>77</v>
      </c>
      <c r="H195" s="120">
        <v>17800</v>
      </c>
      <c r="J195" s="89" t="b">
        <f t="shared" si="42"/>
        <v>1</v>
      </c>
      <c r="K195" s="89" t="b">
        <f t="shared" si="43"/>
        <v>1</v>
      </c>
    </row>
    <row r="197" spans="4:11" x14ac:dyDescent="0.3">
      <c r="G197" s="101" t="s">
        <v>5</v>
      </c>
      <c r="H197" s="109">
        <f>15/16</f>
        <v>0.9375</v>
      </c>
    </row>
    <row r="215" spans="2:18" x14ac:dyDescent="0.3">
      <c r="D215" s="178" t="s">
        <v>279</v>
      </c>
      <c r="E215" s="178"/>
      <c r="F215" s="178"/>
      <c r="G215" s="178"/>
      <c r="H215" s="178"/>
      <c r="I215" s="178"/>
      <c r="J215" s="178"/>
      <c r="K215" s="178"/>
      <c r="L215" s="178"/>
      <c r="M215" s="178"/>
      <c r="N215" s="178"/>
      <c r="O215" s="178"/>
      <c r="P215" s="178"/>
      <c r="Q215" s="178"/>
      <c r="R215" s="178"/>
    </row>
    <row r="219" spans="2:18" x14ac:dyDescent="0.3">
      <c r="B219" s="121" t="s">
        <v>272</v>
      </c>
      <c r="D219" s="108" t="s">
        <v>24</v>
      </c>
      <c r="G219" s="108" t="s">
        <v>1</v>
      </c>
    </row>
    <row r="220" spans="2:18" x14ac:dyDescent="0.3">
      <c r="D220" s="148"/>
      <c r="G220" s="108"/>
    </row>
    <row r="221" spans="2:18" x14ac:dyDescent="0.3">
      <c r="D221" s="91" t="s">
        <v>14</v>
      </c>
      <c r="E221" s="90" t="s">
        <v>283</v>
      </c>
      <c r="G221" s="91" t="s">
        <v>14</v>
      </c>
      <c r="H221" s="90" t="s">
        <v>283</v>
      </c>
    </row>
    <row r="222" spans="2:18" x14ac:dyDescent="0.3">
      <c r="D222" s="102" t="s">
        <v>15</v>
      </c>
      <c r="E222" s="149">
        <v>15100</v>
      </c>
      <c r="G222" s="102" t="s">
        <v>15</v>
      </c>
      <c r="H222" s="149">
        <v>15100</v>
      </c>
      <c r="J222" s="89" t="b">
        <f t="shared" ref="J222:J230" si="44">D222=G222</f>
        <v>1</v>
      </c>
      <c r="K222" s="89" t="b">
        <f t="shared" ref="K222:K230" si="45">E222=H222</f>
        <v>1</v>
      </c>
    </row>
    <row r="223" spans="2:18" x14ac:dyDescent="0.3">
      <c r="D223" s="102" t="s">
        <v>16</v>
      </c>
      <c r="E223" s="149">
        <v>13200</v>
      </c>
      <c r="G223" s="102" t="s">
        <v>16</v>
      </c>
      <c r="H223" s="149">
        <v>11000</v>
      </c>
      <c r="J223" s="89" t="b">
        <f t="shared" si="44"/>
        <v>1</v>
      </c>
      <c r="K223" s="98" t="b">
        <f t="shared" si="45"/>
        <v>0</v>
      </c>
    </row>
    <row r="224" spans="2:18" x14ac:dyDescent="0.3">
      <c r="D224" s="102" t="s">
        <v>17</v>
      </c>
      <c r="E224" s="149">
        <v>11000</v>
      </c>
      <c r="G224" s="102" t="s">
        <v>17</v>
      </c>
      <c r="H224" s="150">
        <v>6600</v>
      </c>
      <c r="J224" s="89" t="b">
        <f t="shared" si="44"/>
        <v>1</v>
      </c>
      <c r="K224" s="98" t="b">
        <f t="shared" si="45"/>
        <v>0</v>
      </c>
    </row>
    <row r="225" spans="4:11" x14ac:dyDescent="0.3">
      <c r="D225" s="102" t="s">
        <v>18</v>
      </c>
      <c r="E225" s="149">
        <v>5600</v>
      </c>
      <c r="G225" s="102" t="s">
        <v>18</v>
      </c>
      <c r="H225" s="151">
        <v>13200</v>
      </c>
      <c r="J225" s="89" t="b">
        <f t="shared" si="44"/>
        <v>1</v>
      </c>
      <c r="K225" s="98" t="b">
        <f t="shared" si="45"/>
        <v>0</v>
      </c>
    </row>
    <row r="226" spans="4:11" x14ac:dyDescent="0.3">
      <c r="D226" s="102" t="s">
        <v>19</v>
      </c>
      <c r="E226" s="149">
        <v>4700</v>
      </c>
      <c r="G226" s="102" t="s">
        <v>19</v>
      </c>
      <c r="H226" s="149">
        <v>2200</v>
      </c>
      <c r="J226" s="89" t="b">
        <f t="shared" si="44"/>
        <v>1</v>
      </c>
      <c r="K226" s="98" t="b">
        <f t="shared" si="45"/>
        <v>0</v>
      </c>
    </row>
    <row r="227" spans="4:11" x14ac:dyDescent="0.3">
      <c r="D227" s="102" t="s">
        <v>51</v>
      </c>
      <c r="E227" s="149">
        <v>2200</v>
      </c>
      <c r="G227" s="102" t="s">
        <v>51</v>
      </c>
      <c r="H227" s="149">
        <v>4700</v>
      </c>
      <c r="J227" s="89" t="b">
        <f t="shared" si="44"/>
        <v>1</v>
      </c>
      <c r="K227" s="98" t="b">
        <f t="shared" si="45"/>
        <v>0</v>
      </c>
    </row>
    <row r="228" spans="4:11" x14ac:dyDescent="0.3">
      <c r="D228" s="102" t="s">
        <v>21</v>
      </c>
      <c r="E228" s="149">
        <v>900</v>
      </c>
      <c r="G228" s="102" t="s">
        <v>21</v>
      </c>
      <c r="H228" s="149">
        <v>5600</v>
      </c>
      <c r="J228" s="89" t="b">
        <f t="shared" si="44"/>
        <v>1</v>
      </c>
      <c r="K228" s="98" t="b">
        <f t="shared" si="45"/>
        <v>0</v>
      </c>
    </row>
    <row r="229" spans="4:11" x14ac:dyDescent="0.3">
      <c r="D229" s="102" t="s">
        <v>22</v>
      </c>
      <c r="E229" s="149">
        <v>13200</v>
      </c>
      <c r="G229" s="102" t="s">
        <v>22</v>
      </c>
      <c r="H229" s="149">
        <v>900</v>
      </c>
      <c r="J229" s="89" t="b">
        <f t="shared" si="44"/>
        <v>1</v>
      </c>
      <c r="K229" s="98" t="b">
        <f t="shared" si="45"/>
        <v>0</v>
      </c>
    </row>
    <row r="230" spans="4:11" x14ac:dyDescent="0.3">
      <c r="D230" s="127" t="s">
        <v>77</v>
      </c>
      <c r="E230" s="152">
        <f>SUM(E222:E229)</f>
        <v>65900</v>
      </c>
      <c r="G230" s="127" t="s">
        <v>77</v>
      </c>
      <c r="H230" s="153">
        <v>66000</v>
      </c>
      <c r="J230" s="89" t="b">
        <f t="shared" si="44"/>
        <v>1</v>
      </c>
      <c r="K230" s="98" t="b">
        <f t="shared" si="45"/>
        <v>0</v>
      </c>
    </row>
    <row r="232" spans="4:11" x14ac:dyDescent="0.3">
      <c r="G232" s="108" t="s">
        <v>5</v>
      </c>
      <c r="H232" s="109">
        <f>10/18</f>
        <v>0.55555555555555558</v>
      </c>
    </row>
    <row r="250" spans="2:11" x14ac:dyDescent="0.3">
      <c r="B250" s="121" t="s">
        <v>277</v>
      </c>
      <c r="D250" s="108" t="s">
        <v>24</v>
      </c>
      <c r="G250" s="108" t="s">
        <v>1</v>
      </c>
    </row>
    <row r="251" spans="2:11" x14ac:dyDescent="0.3">
      <c r="D251" s="148"/>
      <c r="G251" s="108"/>
    </row>
    <row r="252" spans="2:11" x14ac:dyDescent="0.3">
      <c r="D252" s="91" t="s">
        <v>14</v>
      </c>
      <c r="E252" s="90" t="s">
        <v>283</v>
      </c>
      <c r="G252" s="91" t="s">
        <v>14</v>
      </c>
      <c r="H252" s="90" t="s">
        <v>283</v>
      </c>
    </row>
    <row r="253" spans="2:11" x14ac:dyDescent="0.3">
      <c r="D253" s="102" t="s">
        <v>15</v>
      </c>
      <c r="E253" s="149">
        <f>(2.5+3.7)*1000</f>
        <v>6200</v>
      </c>
      <c r="G253" s="102" t="s">
        <v>15</v>
      </c>
      <c r="H253" s="149">
        <v>6100</v>
      </c>
      <c r="J253" s="89" t="b">
        <f t="shared" ref="J253:K259" si="46">D253=G253</f>
        <v>1</v>
      </c>
      <c r="K253" s="98" t="b">
        <f t="shared" si="46"/>
        <v>0</v>
      </c>
    </row>
    <row r="254" spans="2:11" x14ac:dyDescent="0.3">
      <c r="D254" s="102" t="s">
        <v>16</v>
      </c>
      <c r="E254" s="149">
        <f>3.6*1000</f>
        <v>3600</v>
      </c>
      <c r="G254" s="102" t="s">
        <v>16</v>
      </c>
      <c r="H254" s="149">
        <v>3600</v>
      </c>
      <c r="J254" s="89" t="b">
        <f t="shared" si="46"/>
        <v>1</v>
      </c>
      <c r="K254" s="89" t="b">
        <f t="shared" si="46"/>
        <v>1</v>
      </c>
    </row>
    <row r="255" spans="2:11" x14ac:dyDescent="0.3">
      <c r="D255" s="102" t="s">
        <v>17</v>
      </c>
      <c r="E255" s="149">
        <f>5.7*1000</f>
        <v>5700</v>
      </c>
      <c r="G255" s="102" t="s">
        <v>17</v>
      </c>
      <c r="H255" s="149">
        <v>5700</v>
      </c>
      <c r="J255" s="89" t="b">
        <f t="shared" si="46"/>
        <v>1</v>
      </c>
      <c r="K255" s="89" t="b">
        <f t="shared" si="46"/>
        <v>1</v>
      </c>
    </row>
    <row r="256" spans="2:11" x14ac:dyDescent="0.3">
      <c r="D256" s="102" t="s">
        <v>18</v>
      </c>
      <c r="E256" s="149">
        <f>2*1000</f>
        <v>2000</v>
      </c>
      <c r="G256" s="102" t="s">
        <v>18</v>
      </c>
      <c r="H256" s="149">
        <v>2000</v>
      </c>
      <c r="J256" s="89" t="b">
        <f t="shared" si="46"/>
        <v>1</v>
      </c>
      <c r="K256" s="89" t="b">
        <f t="shared" si="46"/>
        <v>1</v>
      </c>
    </row>
    <row r="257" spans="4:11" x14ac:dyDescent="0.3">
      <c r="D257" s="102" t="s">
        <v>19</v>
      </c>
      <c r="E257" s="149">
        <v>900</v>
      </c>
      <c r="G257" s="102" t="s">
        <v>19</v>
      </c>
      <c r="H257" s="149">
        <v>900</v>
      </c>
      <c r="J257" s="89" t="b">
        <f t="shared" si="46"/>
        <v>1</v>
      </c>
      <c r="K257" s="89" t="b">
        <f t="shared" si="46"/>
        <v>1</v>
      </c>
    </row>
    <row r="258" spans="4:11" x14ac:dyDescent="0.3">
      <c r="D258" s="102" t="s">
        <v>22</v>
      </c>
      <c r="E258" s="149">
        <f>4.5*1000</f>
        <v>4500</v>
      </c>
      <c r="G258" s="102" t="s">
        <v>22</v>
      </c>
      <c r="H258" s="149">
        <v>4500</v>
      </c>
      <c r="J258" s="89" t="b">
        <f t="shared" si="46"/>
        <v>1</v>
      </c>
      <c r="K258" s="89" t="b">
        <f t="shared" si="46"/>
        <v>1</v>
      </c>
    </row>
    <row r="259" spans="4:11" x14ac:dyDescent="0.3">
      <c r="D259" s="127" t="s">
        <v>77</v>
      </c>
      <c r="E259" s="152">
        <f>SUM(E253:E258)</f>
        <v>22900</v>
      </c>
      <c r="G259" s="127" t="s">
        <v>77</v>
      </c>
      <c r="H259" s="153">
        <v>22900</v>
      </c>
      <c r="J259" s="89" t="b">
        <f t="shared" si="46"/>
        <v>1</v>
      </c>
      <c r="K259" s="89" t="b">
        <f t="shared" si="46"/>
        <v>1</v>
      </c>
    </row>
    <row r="261" spans="4:11" x14ac:dyDescent="0.3">
      <c r="G261" s="108" t="s">
        <v>5</v>
      </c>
      <c r="H261" s="109">
        <f>13/14</f>
        <v>0.9285714285714286</v>
      </c>
    </row>
    <row r="278" spans="2:11" x14ac:dyDescent="0.3">
      <c r="B278" s="121" t="s">
        <v>278</v>
      </c>
      <c r="D278" s="108" t="s">
        <v>24</v>
      </c>
      <c r="G278" s="108" t="s">
        <v>1</v>
      </c>
    </row>
    <row r="279" spans="2:11" x14ac:dyDescent="0.3">
      <c r="D279" s="148"/>
      <c r="G279" s="108"/>
    </row>
    <row r="280" spans="2:11" x14ac:dyDescent="0.3">
      <c r="D280" s="91" t="s">
        <v>14</v>
      </c>
      <c r="E280" s="90" t="s">
        <v>283</v>
      </c>
      <c r="G280" s="91" t="s">
        <v>14</v>
      </c>
      <c r="H280" s="90" t="s">
        <v>283</v>
      </c>
    </row>
    <row r="281" spans="2:11" x14ac:dyDescent="0.3">
      <c r="D281" s="102" t="s">
        <v>17</v>
      </c>
      <c r="E281" s="149">
        <v>9800</v>
      </c>
      <c r="G281" s="102" t="str">
        <f>D281</f>
        <v>Multi-family</v>
      </c>
      <c r="H281" s="149">
        <v>9800</v>
      </c>
      <c r="J281" s="89" t="b">
        <f t="shared" ref="J281:J287" si="47">D281=G281</f>
        <v>1</v>
      </c>
      <c r="K281" s="89" t="b">
        <f t="shared" ref="K281:K287" si="48">E281=H281</f>
        <v>1</v>
      </c>
    </row>
    <row r="282" spans="2:11" x14ac:dyDescent="0.3">
      <c r="D282" s="102" t="s">
        <v>15</v>
      </c>
      <c r="E282" s="149">
        <v>5100</v>
      </c>
      <c r="G282" s="102" t="str">
        <f t="shared" ref="G282:G286" si="49">D282</f>
        <v>Office</v>
      </c>
      <c r="H282" s="149">
        <v>5100</v>
      </c>
      <c r="J282" s="89" t="b">
        <f t="shared" si="47"/>
        <v>1</v>
      </c>
      <c r="K282" s="89" t="b">
        <f t="shared" si="48"/>
        <v>1</v>
      </c>
    </row>
    <row r="283" spans="2:11" x14ac:dyDescent="0.3">
      <c r="D283" s="102" t="s">
        <v>18</v>
      </c>
      <c r="E283" s="149">
        <v>2900</v>
      </c>
      <c r="G283" s="102" t="str">
        <f t="shared" si="49"/>
        <v>Retail</v>
      </c>
      <c r="H283" s="149">
        <v>2900</v>
      </c>
      <c r="J283" s="89" t="b">
        <f t="shared" si="47"/>
        <v>1</v>
      </c>
      <c r="K283" s="89" t="b">
        <f t="shared" si="48"/>
        <v>1</v>
      </c>
    </row>
    <row r="284" spans="2:11" x14ac:dyDescent="0.3">
      <c r="D284" s="102" t="s">
        <v>16</v>
      </c>
      <c r="E284" s="149">
        <v>3600</v>
      </c>
      <c r="G284" s="102" t="str">
        <f t="shared" si="49"/>
        <v>Industrial</v>
      </c>
      <c r="H284" s="149">
        <v>3600</v>
      </c>
      <c r="J284" s="89" t="b">
        <f t="shared" si="47"/>
        <v>1</v>
      </c>
      <c r="K284" s="89" t="b">
        <f t="shared" si="48"/>
        <v>1</v>
      </c>
    </row>
    <row r="285" spans="2:11" x14ac:dyDescent="0.3">
      <c r="D285" s="102" t="s">
        <v>19</v>
      </c>
      <c r="E285" s="149">
        <v>400</v>
      </c>
      <c r="G285" s="102" t="str">
        <f t="shared" si="49"/>
        <v>Lodging</v>
      </c>
      <c r="H285" s="149"/>
      <c r="J285" s="89" t="b">
        <f t="shared" si="47"/>
        <v>1</v>
      </c>
      <c r="K285" s="98" t="b">
        <f t="shared" si="48"/>
        <v>0</v>
      </c>
    </row>
    <row r="286" spans="2:11" x14ac:dyDescent="0.3">
      <c r="D286" s="102" t="s">
        <v>22</v>
      </c>
      <c r="E286" s="149">
        <f>(2.6+1+1.8)*1000</f>
        <v>5400</v>
      </c>
      <c r="G286" s="102" t="str">
        <f t="shared" si="49"/>
        <v>Other</v>
      </c>
      <c r="H286" s="149">
        <v>4000</v>
      </c>
      <c r="J286" s="89" t="b">
        <f t="shared" si="47"/>
        <v>1</v>
      </c>
      <c r="K286" s="98" t="b">
        <f t="shared" si="48"/>
        <v>0</v>
      </c>
    </row>
    <row r="287" spans="2:11" x14ac:dyDescent="0.3">
      <c r="D287" s="127" t="s">
        <v>77</v>
      </c>
      <c r="E287" s="152">
        <f>SUM(E281:E286)</f>
        <v>27200</v>
      </c>
      <c r="G287" s="127" t="s">
        <v>77</v>
      </c>
      <c r="H287" s="153">
        <v>27200</v>
      </c>
      <c r="J287" s="89" t="b">
        <f t="shared" si="47"/>
        <v>1</v>
      </c>
      <c r="K287" s="89" t="b">
        <f t="shared" si="48"/>
        <v>1</v>
      </c>
    </row>
    <row r="289" spans="7:8" x14ac:dyDescent="0.3">
      <c r="G289" s="108" t="s">
        <v>5</v>
      </c>
      <c r="H289" s="109">
        <f>12/14</f>
        <v>0.8571428571428571</v>
      </c>
    </row>
    <row r="305" spans="2:11" x14ac:dyDescent="0.3">
      <c r="B305" s="121" t="s">
        <v>282</v>
      </c>
      <c r="D305" s="108" t="s">
        <v>24</v>
      </c>
      <c r="G305" s="108" t="s">
        <v>1</v>
      </c>
    </row>
    <row r="306" spans="2:11" x14ac:dyDescent="0.3">
      <c r="D306" s="148"/>
      <c r="G306" s="108"/>
    </row>
    <row r="307" spans="2:11" x14ac:dyDescent="0.3">
      <c r="D307" s="91" t="s">
        <v>14</v>
      </c>
      <c r="E307" s="90" t="s">
        <v>283</v>
      </c>
      <c r="G307" s="91" t="s">
        <v>14</v>
      </c>
      <c r="H307" s="90" t="s">
        <v>283</v>
      </c>
    </row>
    <row r="308" spans="2:11" x14ac:dyDescent="0.3">
      <c r="D308" s="102" t="s">
        <v>17</v>
      </c>
      <c r="E308" s="149">
        <v>4400</v>
      </c>
      <c r="G308" s="102" t="str">
        <f>D308</f>
        <v>Multi-family</v>
      </c>
      <c r="H308" s="149">
        <v>4400</v>
      </c>
      <c r="J308" s="89" t="b">
        <f t="shared" ref="J308:J314" si="50">D308=G308</f>
        <v>1</v>
      </c>
      <c r="K308" s="89" t="b">
        <f t="shared" ref="K308:K314" si="51">E308=H308</f>
        <v>1</v>
      </c>
    </row>
    <row r="309" spans="2:11" x14ac:dyDescent="0.3">
      <c r="D309" s="102" t="s">
        <v>15</v>
      </c>
      <c r="E309" s="149">
        <v>1600</v>
      </c>
      <c r="G309" s="102" t="str">
        <f t="shared" ref="G309:G313" si="52">D309</f>
        <v>Office</v>
      </c>
      <c r="H309" s="149">
        <v>1600</v>
      </c>
      <c r="J309" s="89" t="b">
        <f t="shared" si="50"/>
        <v>1</v>
      </c>
      <c r="K309" s="89" t="b">
        <f t="shared" si="51"/>
        <v>1</v>
      </c>
    </row>
    <row r="310" spans="2:11" x14ac:dyDescent="0.3">
      <c r="D310" s="102" t="s">
        <v>18</v>
      </c>
      <c r="E310" s="149">
        <v>1500</v>
      </c>
      <c r="G310" s="102" t="str">
        <f t="shared" si="52"/>
        <v>Retail</v>
      </c>
      <c r="H310" s="149">
        <v>1500</v>
      </c>
      <c r="J310" s="89" t="b">
        <f t="shared" si="50"/>
        <v>1</v>
      </c>
      <c r="K310" s="89" t="b">
        <f t="shared" si="51"/>
        <v>1</v>
      </c>
    </row>
    <row r="311" spans="2:11" x14ac:dyDescent="0.3">
      <c r="D311" s="102" t="s">
        <v>16</v>
      </c>
      <c r="E311" s="149">
        <v>1600</v>
      </c>
      <c r="G311" s="102" t="str">
        <f t="shared" si="52"/>
        <v>Industrial</v>
      </c>
      <c r="H311" s="149">
        <v>1600</v>
      </c>
      <c r="J311" s="89" t="b">
        <f t="shared" si="50"/>
        <v>1</v>
      </c>
      <c r="K311" s="89" t="b">
        <f t="shared" si="51"/>
        <v>1</v>
      </c>
    </row>
    <row r="312" spans="2:11" x14ac:dyDescent="0.3">
      <c r="D312" s="102" t="s">
        <v>19</v>
      </c>
      <c r="E312" s="149">
        <v>800</v>
      </c>
      <c r="G312" s="102" t="str">
        <f t="shared" si="52"/>
        <v>Lodging</v>
      </c>
      <c r="H312" s="149">
        <v>800</v>
      </c>
      <c r="J312" s="89" t="b">
        <f t="shared" si="50"/>
        <v>1</v>
      </c>
      <c r="K312" s="89" t="b">
        <f t="shared" si="51"/>
        <v>1</v>
      </c>
    </row>
    <row r="313" spans="2:11" x14ac:dyDescent="0.3">
      <c r="D313" s="102" t="s">
        <v>22</v>
      </c>
      <c r="E313" s="149">
        <v>1200</v>
      </c>
      <c r="G313" s="102" t="str">
        <f t="shared" si="52"/>
        <v>Other</v>
      </c>
      <c r="H313" s="149">
        <v>1200</v>
      </c>
      <c r="J313" s="89" t="b">
        <f t="shared" si="50"/>
        <v>1</v>
      </c>
      <c r="K313" s="89" t="b">
        <f t="shared" si="51"/>
        <v>1</v>
      </c>
    </row>
    <row r="314" spans="2:11" x14ac:dyDescent="0.3">
      <c r="D314" s="127" t="s">
        <v>77</v>
      </c>
      <c r="E314" s="152">
        <f>SUM(E308:E313)</f>
        <v>11100</v>
      </c>
      <c r="G314" s="127" t="s">
        <v>77</v>
      </c>
      <c r="H314" s="153">
        <v>11100</v>
      </c>
      <c r="J314" s="89" t="b">
        <f t="shared" si="50"/>
        <v>1</v>
      </c>
      <c r="K314" s="89" t="b">
        <f t="shared" si="51"/>
        <v>1</v>
      </c>
    </row>
    <row r="316" spans="2:11" x14ac:dyDescent="0.3">
      <c r="G316" s="108" t="s">
        <v>5</v>
      </c>
      <c r="H316" s="109">
        <f>14/14</f>
        <v>1</v>
      </c>
    </row>
    <row r="334" spans="2:7" x14ac:dyDescent="0.3">
      <c r="B334" s="121" t="s">
        <v>284</v>
      </c>
      <c r="D334" s="108" t="s">
        <v>24</v>
      </c>
      <c r="E334" s="116">
        <v>15.3</v>
      </c>
    </row>
    <row r="335" spans="2:7" x14ac:dyDescent="0.3">
      <c r="D335" s="148"/>
    </row>
    <row r="336" spans="2:7" x14ac:dyDescent="0.3">
      <c r="D336" s="91" t="s">
        <v>14</v>
      </c>
      <c r="E336" s="90" t="s">
        <v>158</v>
      </c>
      <c r="F336" s="90" t="s">
        <v>269</v>
      </c>
      <c r="G336" s="90" t="s">
        <v>270</v>
      </c>
    </row>
    <row r="337" spans="3:7" x14ac:dyDescent="0.3">
      <c r="C337" s="126"/>
      <c r="D337" s="102" t="s">
        <v>285</v>
      </c>
      <c r="E337" s="122">
        <v>7.0999999999999994E-2</v>
      </c>
      <c r="F337" s="154">
        <f>E337*$E$334</f>
        <v>1.0863</v>
      </c>
      <c r="G337" s="103">
        <f>F337*1000</f>
        <v>1086.3</v>
      </c>
    </row>
    <row r="338" spans="3:7" x14ac:dyDescent="0.3">
      <c r="C338" s="126"/>
      <c r="D338" s="102" t="s">
        <v>65</v>
      </c>
      <c r="E338" s="122">
        <v>0.28599999999999998</v>
      </c>
      <c r="F338" s="154">
        <f t="shared" ref="F338:F349" si="53">E338*$E$334</f>
        <v>4.3757999999999999</v>
      </c>
      <c r="G338" s="103">
        <f t="shared" ref="G338:G349" si="54">F338*1000</f>
        <v>4375.8</v>
      </c>
    </row>
    <row r="339" spans="3:7" x14ac:dyDescent="0.3">
      <c r="C339" s="126"/>
      <c r="D339" s="102" t="s">
        <v>117</v>
      </c>
      <c r="E339" s="122">
        <v>1.9E-2</v>
      </c>
      <c r="F339" s="154">
        <f t="shared" si="53"/>
        <v>0.29070000000000001</v>
      </c>
      <c r="G339" s="103">
        <f t="shared" si="54"/>
        <v>290.7</v>
      </c>
    </row>
    <row r="340" spans="3:7" x14ac:dyDescent="0.3">
      <c r="C340" s="126"/>
      <c r="D340" s="102" t="s">
        <v>286</v>
      </c>
      <c r="E340" s="122">
        <v>1E-3</v>
      </c>
      <c r="F340" s="154">
        <f t="shared" si="53"/>
        <v>1.5300000000000001E-2</v>
      </c>
      <c r="G340" s="103">
        <f t="shared" si="54"/>
        <v>15.3</v>
      </c>
    </row>
    <row r="341" spans="3:7" x14ac:dyDescent="0.3">
      <c r="C341" s="126"/>
      <c r="D341" s="102" t="s">
        <v>16</v>
      </c>
      <c r="E341" s="122">
        <v>0.15</v>
      </c>
      <c r="F341" s="154">
        <f t="shared" si="53"/>
        <v>2.2949999999999999</v>
      </c>
      <c r="G341" s="103">
        <f t="shared" si="54"/>
        <v>2295</v>
      </c>
    </row>
    <row r="342" spans="3:7" x14ac:dyDescent="0.3">
      <c r="C342" s="126"/>
      <c r="D342" s="102" t="s">
        <v>113</v>
      </c>
      <c r="E342" s="122">
        <v>0.114</v>
      </c>
      <c r="F342" s="154">
        <f t="shared" si="53"/>
        <v>1.7442000000000002</v>
      </c>
      <c r="G342" s="103">
        <f t="shared" si="54"/>
        <v>1744.2000000000003</v>
      </c>
    </row>
    <row r="343" spans="3:7" x14ac:dyDescent="0.3">
      <c r="C343" s="126"/>
      <c r="D343" s="102" t="s">
        <v>130</v>
      </c>
      <c r="E343" s="122">
        <v>2.1999999999999999E-2</v>
      </c>
      <c r="F343" s="154">
        <f t="shared" si="53"/>
        <v>0.33660000000000001</v>
      </c>
      <c r="G343" s="103">
        <f t="shared" si="54"/>
        <v>336.6</v>
      </c>
    </row>
    <row r="344" spans="3:7" x14ac:dyDescent="0.3">
      <c r="C344" s="126"/>
      <c r="D344" s="102" t="s">
        <v>15</v>
      </c>
      <c r="E344" s="122">
        <v>9.6000000000000002E-2</v>
      </c>
      <c r="F344" s="154">
        <f t="shared" si="53"/>
        <v>1.4688000000000001</v>
      </c>
      <c r="G344" s="103">
        <f t="shared" si="54"/>
        <v>1468.8000000000002</v>
      </c>
    </row>
    <row r="345" spans="3:7" x14ac:dyDescent="0.3">
      <c r="C345" s="126"/>
      <c r="D345" s="102" t="s">
        <v>287</v>
      </c>
      <c r="E345" s="122">
        <v>4.0000000000000001E-3</v>
      </c>
      <c r="F345" s="154">
        <f t="shared" si="53"/>
        <v>6.1200000000000004E-2</v>
      </c>
      <c r="G345" s="103">
        <f t="shared" si="54"/>
        <v>61.2</v>
      </c>
    </row>
    <row r="346" spans="3:7" x14ac:dyDescent="0.3">
      <c r="C346" s="126"/>
      <c r="D346" s="102" t="s">
        <v>18</v>
      </c>
      <c r="E346" s="122">
        <v>9.5000000000000001E-2</v>
      </c>
      <c r="F346" s="154">
        <f t="shared" si="53"/>
        <v>1.4535</v>
      </c>
      <c r="G346" s="103">
        <f t="shared" si="54"/>
        <v>1453.5</v>
      </c>
    </row>
    <row r="347" spans="3:7" x14ac:dyDescent="0.3">
      <c r="C347" s="126"/>
      <c r="D347" s="102" t="s">
        <v>153</v>
      </c>
      <c r="E347" s="122">
        <v>7.3999999999999996E-2</v>
      </c>
      <c r="F347" s="154">
        <f t="shared" si="53"/>
        <v>1.1322000000000001</v>
      </c>
      <c r="G347" s="103">
        <f t="shared" si="54"/>
        <v>1132.2</v>
      </c>
    </row>
    <row r="348" spans="3:7" x14ac:dyDescent="0.3">
      <c r="C348" s="126"/>
      <c r="D348" s="102" t="s">
        <v>154</v>
      </c>
      <c r="E348" s="122">
        <v>5.0999999999999997E-2</v>
      </c>
      <c r="F348" s="154">
        <f t="shared" si="53"/>
        <v>0.78029999999999999</v>
      </c>
      <c r="G348" s="103">
        <f t="shared" si="54"/>
        <v>780.3</v>
      </c>
    </row>
    <row r="349" spans="3:7" x14ac:dyDescent="0.3">
      <c r="C349" s="126"/>
      <c r="D349" s="102" t="s">
        <v>22</v>
      </c>
      <c r="E349" s="122">
        <v>1.7000000000000001E-2</v>
      </c>
      <c r="F349" s="154">
        <f t="shared" si="53"/>
        <v>0.26010000000000005</v>
      </c>
      <c r="G349" s="103">
        <f t="shared" si="54"/>
        <v>260.10000000000008</v>
      </c>
    </row>
    <row r="350" spans="3:7" x14ac:dyDescent="0.3">
      <c r="C350" s="126"/>
      <c r="D350" s="127" t="s">
        <v>77</v>
      </c>
      <c r="E350" s="146">
        <f>SUM(E337:E349)</f>
        <v>1</v>
      </c>
      <c r="F350" s="154">
        <f>SUM(F337:F349)</f>
        <v>15.299999999999999</v>
      </c>
      <c r="G350" s="103">
        <f>SUM(G337:G349)</f>
        <v>15300.000000000002</v>
      </c>
    </row>
    <row r="352" spans="3:7" x14ac:dyDescent="0.3">
      <c r="D352" s="101" t="s">
        <v>271</v>
      </c>
      <c r="G352" s="101" t="s">
        <v>1</v>
      </c>
    </row>
    <row r="354" spans="4:11" x14ac:dyDescent="0.3">
      <c r="D354" s="91" t="s">
        <v>14</v>
      </c>
      <c r="E354" s="90" t="s">
        <v>283</v>
      </c>
      <c r="G354" s="91" t="s">
        <v>14</v>
      </c>
      <c r="H354" s="90" t="s">
        <v>283</v>
      </c>
    </row>
    <row r="355" spans="4:11" x14ac:dyDescent="0.3">
      <c r="D355" s="89" t="s">
        <v>16</v>
      </c>
      <c r="E355" s="118">
        <f>G341</f>
        <v>2295</v>
      </c>
      <c r="G355" s="89" t="s">
        <v>16</v>
      </c>
      <c r="H355" s="118">
        <v>2295</v>
      </c>
      <c r="J355" s="89" t="b">
        <f t="shared" ref="J355:J362" si="55">D355=G355</f>
        <v>1</v>
      </c>
      <c r="K355" s="89" t="b">
        <f t="shared" ref="K355:K362" si="56">E355=H355</f>
        <v>1</v>
      </c>
    </row>
    <row r="356" spans="4:11" x14ac:dyDescent="0.3">
      <c r="D356" s="89" t="s">
        <v>17</v>
      </c>
      <c r="E356" s="118">
        <f>G338</f>
        <v>4375.8</v>
      </c>
      <c r="G356" s="89" t="s">
        <v>17</v>
      </c>
      <c r="H356" s="118">
        <v>4375</v>
      </c>
      <c r="J356" s="89" t="b">
        <f t="shared" si="55"/>
        <v>1</v>
      </c>
      <c r="K356" s="99" t="b">
        <v>1</v>
      </c>
    </row>
    <row r="357" spans="4:11" x14ac:dyDescent="0.3">
      <c r="D357" s="89" t="s">
        <v>18</v>
      </c>
      <c r="E357" s="118">
        <f>G346</f>
        <v>1453.5</v>
      </c>
      <c r="G357" s="89" t="s">
        <v>18</v>
      </c>
      <c r="H357" s="118">
        <v>1454</v>
      </c>
      <c r="J357" s="89" t="b">
        <f t="shared" si="55"/>
        <v>1</v>
      </c>
      <c r="K357" s="99" t="b">
        <v>1</v>
      </c>
    </row>
    <row r="358" spans="4:11" x14ac:dyDescent="0.3">
      <c r="D358" s="89" t="s">
        <v>15</v>
      </c>
      <c r="E358" s="118">
        <f>G344</f>
        <v>1468.8000000000002</v>
      </c>
      <c r="G358" s="89" t="s">
        <v>15</v>
      </c>
      <c r="H358" s="118">
        <v>1471</v>
      </c>
      <c r="J358" s="89" t="b">
        <f t="shared" si="55"/>
        <v>1</v>
      </c>
      <c r="K358" s="98" t="b">
        <f t="shared" si="56"/>
        <v>0</v>
      </c>
    </row>
    <row r="359" spans="4:11" x14ac:dyDescent="0.3">
      <c r="D359" s="89" t="s">
        <v>19</v>
      </c>
      <c r="E359" s="118">
        <f>G348</f>
        <v>780.3</v>
      </c>
      <c r="G359" s="89" t="s">
        <v>19</v>
      </c>
      <c r="H359" s="118">
        <v>781</v>
      </c>
      <c r="J359" s="89" t="b">
        <f t="shared" si="55"/>
        <v>1</v>
      </c>
      <c r="K359" s="99" t="b">
        <v>1</v>
      </c>
    </row>
    <row r="360" spans="4:11" x14ac:dyDescent="0.3">
      <c r="D360" s="89" t="s">
        <v>21</v>
      </c>
      <c r="E360" s="118">
        <f>G345+G337</f>
        <v>1147.5</v>
      </c>
      <c r="G360" s="89" t="s">
        <v>21</v>
      </c>
      <c r="H360" s="118">
        <v>1094</v>
      </c>
      <c r="J360" s="89" t="b">
        <f t="shared" si="55"/>
        <v>1</v>
      </c>
      <c r="K360" s="98" t="b">
        <f t="shared" si="56"/>
        <v>0</v>
      </c>
    </row>
    <row r="361" spans="4:11" x14ac:dyDescent="0.3">
      <c r="D361" s="89" t="s">
        <v>22</v>
      </c>
      <c r="E361" s="118">
        <f>G349+G347+G343+G342+G340+G339</f>
        <v>3779.1000000000004</v>
      </c>
      <c r="G361" s="89" t="s">
        <v>22</v>
      </c>
      <c r="H361" s="118">
        <v>3830</v>
      </c>
      <c r="J361" s="89" t="b">
        <f t="shared" si="55"/>
        <v>1</v>
      </c>
      <c r="K361" s="98" t="b">
        <f t="shared" si="56"/>
        <v>0</v>
      </c>
    </row>
    <row r="362" spans="4:11" x14ac:dyDescent="0.3">
      <c r="D362" s="93" t="s">
        <v>77</v>
      </c>
      <c r="E362" s="120">
        <f>SUM(E355:E361)</f>
        <v>15300</v>
      </c>
      <c r="G362" s="93" t="s">
        <v>77</v>
      </c>
      <c r="H362" s="120">
        <v>15300</v>
      </c>
      <c r="J362" s="89" t="b">
        <f t="shared" si="55"/>
        <v>1</v>
      </c>
      <c r="K362" s="89" t="b">
        <f t="shared" si="56"/>
        <v>1</v>
      </c>
    </row>
    <row r="364" spans="4:11" x14ac:dyDescent="0.3">
      <c r="G364" s="101" t="s">
        <v>5</v>
      </c>
      <c r="H364" s="109">
        <f>13/16</f>
        <v>0.8125</v>
      </c>
    </row>
    <row r="381" spans="2:11" x14ac:dyDescent="0.3">
      <c r="B381" s="121" t="s">
        <v>288</v>
      </c>
      <c r="D381" s="108" t="s">
        <v>24</v>
      </c>
      <c r="G381" s="108" t="s">
        <v>1</v>
      </c>
    </row>
    <row r="382" spans="2:11" x14ac:dyDescent="0.3">
      <c r="D382" s="148"/>
      <c r="G382" s="108"/>
    </row>
    <row r="383" spans="2:11" x14ac:dyDescent="0.3">
      <c r="D383" s="91" t="s">
        <v>14</v>
      </c>
      <c r="E383" s="90" t="s">
        <v>283</v>
      </c>
      <c r="G383" s="91" t="s">
        <v>14</v>
      </c>
      <c r="H383" s="90" t="s">
        <v>283</v>
      </c>
    </row>
    <row r="384" spans="2:11" x14ac:dyDescent="0.3">
      <c r="D384" s="102" t="s">
        <v>17</v>
      </c>
      <c r="E384" s="149">
        <v>16100.000000000002</v>
      </c>
      <c r="G384" s="102" t="str">
        <f>D384</f>
        <v>Multi-family</v>
      </c>
      <c r="H384" s="149">
        <v>16100</v>
      </c>
      <c r="J384" s="89" t="b">
        <f t="shared" ref="J384:J391" si="57">D384=G384</f>
        <v>1</v>
      </c>
      <c r="K384" s="89" t="b">
        <f t="shared" ref="K384:K391" si="58">E384=H384</f>
        <v>1</v>
      </c>
    </row>
    <row r="385" spans="4:11" x14ac:dyDescent="0.3">
      <c r="D385" s="102" t="s">
        <v>15</v>
      </c>
      <c r="E385" s="149">
        <v>6700</v>
      </c>
      <c r="G385" s="102" t="str">
        <f t="shared" ref="G385:G390" si="59">D385</f>
        <v>Office</v>
      </c>
      <c r="H385" s="149">
        <v>6700</v>
      </c>
      <c r="J385" s="89" t="b">
        <f t="shared" si="57"/>
        <v>1</v>
      </c>
      <c r="K385" s="89" t="b">
        <f t="shared" si="58"/>
        <v>1</v>
      </c>
    </row>
    <row r="386" spans="4:11" x14ac:dyDescent="0.3">
      <c r="D386" s="102" t="s">
        <v>18</v>
      </c>
      <c r="E386" s="149">
        <v>2100</v>
      </c>
      <c r="G386" s="102" t="str">
        <f t="shared" si="59"/>
        <v>Retail</v>
      </c>
      <c r="H386" s="149">
        <v>2100</v>
      </c>
      <c r="J386" s="89" t="b">
        <f t="shared" si="57"/>
        <v>1</v>
      </c>
      <c r="K386" s="89" t="b">
        <f t="shared" si="58"/>
        <v>1</v>
      </c>
    </row>
    <row r="387" spans="4:11" x14ac:dyDescent="0.3">
      <c r="D387" s="102" t="s">
        <v>16</v>
      </c>
      <c r="E387" s="149">
        <v>3900</v>
      </c>
      <c r="G387" s="102" t="str">
        <f t="shared" si="59"/>
        <v>Industrial</v>
      </c>
      <c r="H387" s="149">
        <v>3900</v>
      </c>
      <c r="J387" s="89" t="b">
        <f t="shared" si="57"/>
        <v>1</v>
      </c>
      <c r="K387" s="89" t="b">
        <f t="shared" si="58"/>
        <v>1</v>
      </c>
    </row>
    <row r="388" spans="4:11" x14ac:dyDescent="0.3">
      <c r="D388" s="102" t="s">
        <v>19</v>
      </c>
      <c r="E388" s="149">
        <v>1600</v>
      </c>
      <c r="G388" s="102" t="str">
        <f t="shared" si="59"/>
        <v>Lodging</v>
      </c>
      <c r="H388" s="149">
        <v>1600</v>
      </c>
      <c r="J388" s="89" t="b">
        <f t="shared" si="57"/>
        <v>1</v>
      </c>
      <c r="K388" s="89" t="b">
        <f t="shared" si="58"/>
        <v>1</v>
      </c>
    </row>
    <row r="389" spans="4:11" x14ac:dyDescent="0.3">
      <c r="D389" s="102" t="s">
        <v>51</v>
      </c>
      <c r="E389" s="149">
        <v>300</v>
      </c>
      <c r="G389" s="102" t="str">
        <f t="shared" si="59"/>
        <v>Mixed-use</v>
      </c>
      <c r="H389" s="149">
        <v>300</v>
      </c>
      <c r="J389" s="89" t="b">
        <f t="shared" si="57"/>
        <v>1</v>
      </c>
      <c r="K389" s="89" t="b">
        <f t="shared" si="58"/>
        <v>1</v>
      </c>
    </row>
    <row r="390" spans="4:11" x14ac:dyDescent="0.3">
      <c r="D390" s="102" t="s">
        <v>22</v>
      </c>
      <c r="E390" s="149">
        <f>1200+1700</f>
        <v>2900</v>
      </c>
      <c r="G390" s="102" t="str">
        <f t="shared" si="59"/>
        <v>Other</v>
      </c>
      <c r="H390" s="149">
        <v>2900</v>
      </c>
      <c r="J390" s="89" t="b">
        <f t="shared" si="57"/>
        <v>1</v>
      </c>
      <c r="K390" s="89" t="b">
        <f t="shared" si="58"/>
        <v>1</v>
      </c>
    </row>
    <row r="391" spans="4:11" x14ac:dyDescent="0.3">
      <c r="D391" s="127" t="s">
        <v>77</v>
      </c>
      <c r="E391" s="152">
        <f>SUM(E384:E390)</f>
        <v>33600</v>
      </c>
      <c r="G391" s="127" t="s">
        <v>77</v>
      </c>
      <c r="H391" s="153">
        <v>33600</v>
      </c>
      <c r="J391" s="89" t="b">
        <f t="shared" si="57"/>
        <v>1</v>
      </c>
      <c r="K391" s="89" t="b">
        <f t="shared" si="58"/>
        <v>1</v>
      </c>
    </row>
    <row r="393" spans="4:11" x14ac:dyDescent="0.3">
      <c r="G393" s="108" t="s">
        <v>5</v>
      </c>
      <c r="H393" s="109">
        <v>1</v>
      </c>
    </row>
    <row r="408" spans="2:11" x14ac:dyDescent="0.3">
      <c r="B408" s="121" t="s">
        <v>290</v>
      </c>
      <c r="D408" s="108" t="s">
        <v>24</v>
      </c>
      <c r="G408" s="108" t="s">
        <v>1</v>
      </c>
    </row>
    <row r="409" spans="2:11" x14ac:dyDescent="0.3">
      <c r="D409" s="148"/>
      <c r="G409" s="108"/>
    </row>
    <row r="410" spans="2:11" x14ac:dyDescent="0.3">
      <c r="D410" s="91" t="s">
        <v>14</v>
      </c>
      <c r="E410" s="90" t="s">
        <v>283</v>
      </c>
      <c r="G410" s="91" t="s">
        <v>14</v>
      </c>
      <c r="H410" s="90" t="s">
        <v>283</v>
      </c>
    </row>
    <row r="411" spans="2:11" x14ac:dyDescent="0.3">
      <c r="D411" s="102" t="s">
        <v>17</v>
      </c>
      <c r="E411" s="149">
        <v>4186</v>
      </c>
      <c r="G411" s="102" t="str">
        <f>D411</f>
        <v>Multi-family</v>
      </c>
      <c r="H411" s="149">
        <v>4186</v>
      </c>
      <c r="J411" s="89" t="b">
        <f t="shared" ref="J411:J418" si="60">D411=G411</f>
        <v>1</v>
      </c>
      <c r="K411" s="89" t="b">
        <f t="shared" ref="K411:K418" si="61">E411=H411</f>
        <v>1</v>
      </c>
    </row>
    <row r="412" spans="2:11" x14ac:dyDescent="0.3">
      <c r="D412" s="102" t="s">
        <v>15</v>
      </c>
      <c r="E412" s="149">
        <v>1743</v>
      </c>
      <c r="G412" s="102" t="str">
        <f t="shared" ref="G412:G417" si="62">D412</f>
        <v>Office</v>
      </c>
      <c r="H412" s="149">
        <v>1743</v>
      </c>
      <c r="J412" s="89" t="b">
        <f t="shared" si="60"/>
        <v>1</v>
      </c>
      <c r="K412" s="89" t="b">
        <f t="shared" si="61"/>
        <v>1</v>
      </c>
    </row>
    <row r="413" spans="2:11" x14ac:dyDescent="0.3">
      <c r="D413" s="102" t="s">
        <v>18</v>
      </c>
      <c r="E413" s="149">
        <v>1273</v>
      </c>
      <c r="G413" s="102" t="str">
        <f t="shared" si="62"/>
        <v>Retail</v>
      </c>
      <c r="H413" s="149">
        <v>1273</v>
      </c>
      <c r="J413" s="89" t="b">
        <f t="shared" si="60"/>
        <v>1</v>
      </c>
      <c r="K413" s="89" t="b">
        <f t="shared" si="61"/>
        <v>1</v>
      </c>
    </row>
    <row r="414" spans="2:11" x14ac:dyDescent="0.3">
      <c r="D414" s="102" t="s">
        <v>16</v>
      </c>
      <c r="E414" s="149">
        <v>846</v>
      </c>
      <c r="G414" s="102" t="str">
        <f t="shared" si="62"/>
        <v>Industrial</v>
      </c>
      <c r="H414" s="149">
        <v>846</v>
      </c>
      <c r="J414" s="89" t="b">
        <f t="shared" si="60"/>
        <v>1</v>
      </c>
      <c r="K414" s="89" t="b">
        <f t="shared" si="61"/>
        <v>1</v>
      </c>
    </row>
    <row r="415" spans="2:11" x14ac:dyDescent="0.3">
      <c r="D415" s="102" t="s">
        <v>19</v>
      </c>
      <c r="E415" s="149">
        <v>1769</v>
      </c>
      <c r="G415" s="102" t="str">
        <f t="shared" si="62"/>
        <v>Lodging</v>
      </c>
      <c r="H415" s="149">
        <v>1769</v>
      </c>
      <c r="J415" s="89" t="b">
        <f t="shared" si="60"/>
        <v>1</v>
      </c>
      <c r="K415" s="89" t="b">
        <f t="shared" si="61"/>
        <v>1</v>
      </c>
    </row>
    <row r="416" spans="2:11" x14ac:dyDescent="0.3">
      <c r="D416" s="102" t="s">
        <v>21</v>
      </c>
      <c r="E416" s="149">
        <v>546</v>
      </c>
      <c r="G416" s="102" t="str">
        <f t="shared" si="62"/>
        <v>Residential</v>
      </c>
      <c r="H416" s="149">
        <v>546</v>
      </c>
      <c r="J416" s="89" t="b">
        <f t="shared" si="60"/>
        <v>1</v>
      </c>
      <c r="K416" s="89" t="b">
        <f t="shared" si="61"/>
        <v>1</v>
      </c>
    </row>
    <row r="417" spans="4:11" x14ac:dyDescent="0.3">
      <c r="D417" s="102" t="s">
        <v>22</v>
      </c>
      <c r="E417" s="149">
        <f>287+1363</f>
        <v>1650</v>
      </c>
      <c r="G417" s="102" t="str">
        <f t="shared" si="62"/>
        <v>Other</v>
      </c>
      <c r="H417" s="149">
        <v>287</v>
      </c>
      <c r="J417" s="89" t="b">
        <f t="shared" si="60"/>
        <v>1</v>
      </c>
      <c r="K417" s="98" t="b">
        <f t="shared" si="61"/>
        <v>0</v>
      </c>
    </row>
    <row r="418" spans="4:11" x14ac:dyDescent="0.3">
      <c r="D418" s="127" t="s">
        <v>77</v>
      </c>
      <c r="E418" s="152">
        <f>SUM(E411:E417)</f>
        <v>12013</v>
      </c>
      <c r="G418" s="127" t="s">
        <v>77</v>
      </c>
      <c r="H418" s="153">
        <v>12013</v>
      </c>
      <c r="J418" s="89" t="b">
        <f t="shared" si="60"/>
        <v>1</v>
      </c>
      <c r="K418" s="89" t="b">
        <f t="shared" si="61"/>
        <v>1</v>
      </c>
    </row>
    <row r="420" spans="4:11" x14ac:dyDescent="0.3">
      <c r="G420" s="108" t="s">
        <v>5</v>
      </c>
      <c r="H420" s="109">
        <f>15/16</f>
        <v>0.9375</v>
      </c>
    </row>
    <row r="437" spans="2:7" x14ac:dyDescent="0.3">
      <c r="B437" s="121" t="s">
        <v>292</v>
      </c>
      <c r="D437" s="108" t="s">
        <v>24</v>
      </c>
      <c r="E437" s="116"/>
    </row>
    <row r="438" spans="2:7" x14ac:dyDescent="0.3">
      <c r="D438" s="148"/>
    </row>
    <row r="439" spans="2:7" x14ac:dyDescent="0.3">
      <c r="D439" s="91" t="s">
        <v>14</v>
      </c>
      <c r="E439" s="90" t="s">
        <v>293</v>
      </c>
      <c r="F439" s="90"/>
    </row>
    <row r="440" spans="2:7" x14ac:dyDescent="0.3">
      <c r="D440" s="102" t="s">
        <v>130</v>
      </c>
      <c r="E440" s="157">
        <v>152</v>
      </c>
      <c r="G440" s="103"/>
    </row>
    <row r="441" spans="2:7" x14ac:dyDescent="0.3">
      <c r="D441" s="102" t="s">
        <v>113</v>
      </c>
      <c r="E441" s="157">
        <v>135</v>
      </c>
      <c r="G441" s="103"/>
    </row>
    <row r="442" spans="2:7" x14ac:dyDescent="0.3">
      <c r="D442" s="102" t="s">
        <v>16</v>
      </c>
      <c r="E442" s="157">
        <v>733</v>
      </c>
      <c r="G442" s="103"/>
    </row>
    <row r="443" spans="2:7" x14ac:dyDescent="0.3">
      <c r="D443" s="102" t="s">
        <v>114</v>
      </c>
      <c r="E443" s="157">
        <v>48</v>
      </c>
      <c r="G443" s="103"/>
    </row>
    <row r="444" spans="2:7" x14ac:dyDescent="0.3">
      <c r="D444" s="102" t="s">
        <v>19</v>
      </c>
      <c r="E444" s="157">
        <v>234</v>
      </c>
      <c r="G444" s="103"/>
    </row>
    <row r="445" spans="2:7" x14ac:dyDescent="0.3">
      <c r="D445" s="102" t="s">
        <v>115</v>
      </c>
      <c r="E445" s="157">
        <v>271</v>
      </c>
      <c r="G445" s="103"/>
    </row>
    <row r="446" spans="2:7" x14ac:dyDescent="0.3">
      <c r="D446" s="102" t="s">
        <v>116</v>
      </c>
      <c r="E446" s="157">
        <v>8010</v>
      </c>
      <c r="G446" s="103"/>
    </row>
    <row r="447" spans="2:7" x14ac:dyDescent="0.3">
      <c r="D447" s="102" t="s">
        <v>15</v>
      </c>
      <c r="E447" s="157">
        <v>738</v>
      </c>
      <c r="G447" s="103"/>
    </row>
    <row r="448" spans="2:7" x14ac:dyDescent="0.3">
      <c r="D448" s="102" t="s">
        <v>18</v>
      </c>
      <c r="E448" s="157">
        <v>880</v>
      </c>
      <c r="G448" s="103"/>
    </row>
    <row r="449" spans="4:11" x14ac:dyDescent="0.3">
      <c r="D449" s="102" t="s">
        <v>117</v>
      </c>
      <c r="E449" s="157">
        <v>360</v>
      </c>
      <c r="G449" s="103"/>
    </row>
    <row r="450" spans="4:11" x14ac:dyDescent="0.3">
      <c r="D450" s="102" t="s">
        <v>101</v>
      </c>
      <c r="E450" s="157">
        <v>593</v>
      </c>
      <c r="G450" s="103"/>
    </row>
    <row r="451" spans="4:11" x14ac:dyDescent="0.3">
      <c r="D451" s="102" t="s">
        <v>118</v>
      </c>
      <c r="E451" s="157">
        <v>392</v>
      </c>
      <c r="G451" s="103"/>
    </row>
    <row r="452" spans="4:11" x14ac:dyDescent="0.3">
      <c r="D452" s="102" t="s">
        <v>119</v>
      </c>
      <c r="E452" s="157">
        <v>240</v>
      </c>
      <c r="G452" s="103"/>
    </row>
    <row r="453" spans="4:11" x14ac:dyDescent="0.3">
      <c r="D453" s="102" t="s">
        <v>22</v>
      </c>
      <c r="E453" s="157">
        <v>218</v>
      </c>
      <c r="G453" s="103"/>
    </row>
    <row r="454" spans="4:11" x14ac:dyDescent="0.3">
      <c r="D454" s="127" t="s">
        <v>77</v>
      </c>
      <c r="E454" s="158">
        <f>SUM(E440:E453)</f>
        <v>13004</v>
      </c>
      <c r="G454" s="103"/>
    </row>
    <row r="456" spans="4:11" x14ac:dyDescent="0.3">
      <c r="D456" s="101" t="s">
        <v>271</v>
      </c>
      <c r="G456" s="101" t="s">
        <v>1</v>
      </c>
    </row>
    <row r="458" spans="4:11" x14ac:dyDescent="0.3">
      <c r="D458" s="91" t="s">
        <v>14</v>
      </c>
      <c r="E458" s="90" t="s">
        <v>283</v>
      </c>
      <c r="G458" s="91" t="s">
        <v>14</v>
      </c>
      <c r="H458" s="90" t="s">
        <v>283</v>
      </c>
    </row>
    <row r="459" spans="4:11" x14ac:dyDescent="0.3">
      <c r="D459" s="89" t="s">
        <v>16</v>
      </c>
      <c r="E459" s="118">
        <f>E442</f>
        <v>733</v>
      </c>
      <c r="G459" s="89" t="s">
        <v>16</v>
      </c>
      <c r="H459" s="118">
        <v>733</v>
      </c>
      <c r="J459" s="89" t="b">
        <f t="shared" ref="J459" si="63">D459=G459</f>
        <v>1</v>
      </c>
      <c r="K459" s="89" t="b">
        <f t="shared" ref="K459" si="64">E459=H459</f>
        <v>1</v>
      </c>
    </row>
    <row r="460" spans="4:11" x14ac:dyDescent="0.3">
      <c r="D460" s="89" t="s">
        <v>17</v>
      </c>
      <c r="E460" s="118">
        <f>E446</f>
        <v>8010</v>
      </c>
      <c r="G460" s="89" t="s">
        <v>17</v>
      </c>
      <c r="H460" s="118">
        <v>8010</v>
      </c>
      <c r="J460" s="89" t="b">
        <f t="shared" ref="J460:J465" si="65">D460=G460</f>
        <v>1</v>
      </c>
      <c r="K460" s="89" t="b">
        <f t="shared" ref="K460:K465" si="66">E460=H460</f>
        <v>1</v>
      </c>
    </row>
    <row r="461" spans="4:11" x14ac:dyDescent="0.3">
      <c r="D461" s="89" t="s">
        <v>18</v>
      </c>
      <c r="E461" s="118">
        <f>E448</f>
        <v>880</v>
      </c>
      <c r="G461" s="89" t="s">
        <v>18</v>
      </c>
      <c r="H461" s="118">
        <v>880</v>
      </c>
      <c r="J461" s="89" t="b">
        <f t="shared" si="65"/>
        <v>1</v>
      </c>
      <c r="K461" s="89" t="b">
        <f t="shared" si="66"/>
        <v>1</v>
      </c>
    </row>
    <row r="462" spans="4:11" x14ac:dyDescent="0.3">
      <c r="D462" s="89" t="s">
        <v>15</v>
      </c>
      <c r="E462" s="118">
        <f>E445+E447</f>
        <v>1009</v>
      </c>
      <c r="G462" s="89" t="s">
        <v>15</v>
      </c>
      <c r="H462" s="118">
        <v>738</v>
      </c>
      <c r="J462" s="89" t="b">
        <f t="shared" si="65"/>
        <v>1</v>
      </c>
      <c r="K462" s="98" t="b">
        <f t="shared" si="66"/>
        <v>0</v>
      </c>
    </row>
    <row r="463" spans="4:11" x14ac:dyDescent="0.3">
      <c r="D463" s="89" t="s">
        <v>19</v>
      </c>
      <c r="E463" s="118">
        <f>E444</f>
        <v>234</v>
      </c>
      <c r="G463" s="89" t="s">
        <v>19</v>
      </c>
      <c r="H463" s="118">
        <v>234</v>
      </c>
      <c r="J463" s="89" t="b">
        <f t="shared" si="65"/>
        <v>1</v>
      </c>
      <c r="K463" s="89" t="b">
        <f t="shared" si="66"/>
        <v>1</v>
      </c>
    </row>
    <row r="464" spans="4:11" x14ac:dyDescent="0.3">
      <c r="D464" s="89" t="s">
        <v>22</v>
      </c>
      <c r="E464" s="118">
        <f>SUM(E449:E453,E443,E440:E441)</f>
        <v>2138</v>
      </c>
      <c r="G464" s="89" t="s">
        <v>22</v>
      </c>
      <c r="H464" s="118">
        <v>2409</v>
      </c>
      <c r="J464" s="89" t="b">
        <f t="shared" si="65"/>
        <v>1</v>
      </c>
      <c r="K464" s="98" t="b">
        <f t="shared" si="66"/>
        <v>0</v>
      </c>
    </row>
    <row r="465" spans="4:11" x14ac:dyDescent="0.3">
      <c r="D465" s="93" t="s">
        <v>77</v>
      </c>
      <c r="E465" s="120">
        <f>SUM(E459:E464)</f>
        <v>13004</v>
      </c>
      <c r="G465" s="93" t="s">
        <v>77</v>
      </c>
      <c r="H465" s="120">
        <v>13004</v>
      </c>
      <c r="J465" s="89" t="b">
        <f t="shared" si="65"/>
        <v>1</v>
      </c>
      <c r="K465" s="89" t="b">
        <f t="shared" si="66"/>
        <v>1</v>
      </c>
    </row>
    <row r="467" spans="4:11" x14ac:dyDescent="0.3">
      <c r="G467" s="101" t="s">
        <v>5</v>
      </c>
      <c r="H467" s="109">
        <f>12/14</f>
        <v>0.8571428571428571</v>
      </c>
    </row>
    <row r="481" spans="2:12" ht="14.4" x14ac:dyDescent="0.3">
      <c r="B481" s="121" t="s">
        <v>308</v>
      </c>
      <c r="D481" s="108" t="s">
        <v>24</v>
      </c>
      <c r="E481" s="116"/>
      <c r="L481"/>
    </row>
    <row r="482" spans="2:12" x14ac:dyDescent="0.3">
      <c r="D482" s="148"/>
    </row>
    <row r="483" spans="2:12" x14ac:dyDescent="0.3">
      <c r="D483" s="91" t="s">
        <v>14</v>
      </c>
      <c r="E483" s="90" t="s">
        <v>293</v>
      </c>
    </row>
    <row r="484" spans="2:12" x14ac:dyDescent="0.3">
      <c r="D484" s="102" t="s">
        <v>65</v>
      </c>
      <c r="E484" s="157">
        <v>39758</v>
      </c>
      <c r="H484" s="118"/>
    </row>
    <row r="485" spans="2:12" x14ac:dyDescent="0.3">
      <c r="D485" s="102" t="s">
        <v>15</v>
      </c>
      <c r="E485" s="157">
        <v>27380</v>
      </c>
      <c r="H485" s="118"/>
    </row>
    <row r="486" spans="2:12" x14ac:dyDescent="0.3">
      <c r="D486" s="102" t="s">
        <v>231</v>
      </c>
      <c r="E486" s="157">
        <v>24038</v>
      </c>
      <c r="H486" s="118"/>
    </row>
    <row r="487" spans="2:12" x14ac:dyDescent="0.3">
      <c r="D487" s="102" t="s">
        <v>69</v>
      </c>
      <c r="E487" s="157">
        <v>11506</v>
      </c>
      <c r="H487" s="118"/>
    </row>
    <row r="488" spans="2:12" x14ac:dyDescent="0.3">
      <c r="D488" s="102" t="s">
        <v>309</v>
      </c>
      <c r="E488" s="157">
        <v>11345</v>
      </c>
      <c r="H488" s="118"/>
    </row>
    <row r="489" spans="2:12" x14ac:dyDescent="0.3">
      <c r="D489" s="102" t="s">
        <v>70</v>
      </c>
      <c r="E489" s="157">
        <v>8113</v>
      </c>
      <c r="H489" s="118"/>
    </row>
    <row r="490" spans="2:12" x14ac:dyDescent="0.3">
      <c r="D490" s="102" t="s">
        <v>71</v>
      </c>
      <c r="E490" s="157">
        <v>5186</v>
      </c>
      <c r="H490" s="118"/>
    </row>
    <row r="491" spans="2:12" x14ac:dyDescent="0.3">
      <c r="D491" s="102" t="s">
        <v>72</v>
      </c>
      <c r="E491" s="157">
        <v>2316</v>
      </c>
      <c r="H491" s="118"/>
    </row>
    <row r="492" spans="2:12" x14ac:dyDescent="0.3">
      <c r="D492" s="102" t="s">
        <v>175</v>
      </c>
      <c r="E492" s="157">
        <v>2273</v>
      </c>
    </row>
    <row r="493" spans="2:12" x14ac:dyDescent="0.3">
      <c r="D493" s="102" t="s">
        <v>74</v>
      </c>
      <c r="E493" s="157">
        <v>2088</v>
      </c>
    </row>
    <row r="494" spans="2:12" x14ac:dyDescent="0.3">
      <c r="D494" s="102" t="s">
        <v>22</v>
      </c>
      <c r="E494" s="157">
        <v>2502</v>
      </c>
    </row>
    <row r="495" spans="2:12" x14ac:dyDescent="0.3">
      <c r="D495" s="127" t="s">
        <v>77</v>
      </c>
      <c r="E495" s="158">
        <f>SUM(E484:E494)</f>
        <v>136505</v>
      </c>
    </row>
    <row r="497" spans="4:11" x14ac:dyDescent="0.3">
      <c r="D497" s="101" t="s">
        <v>271</v>
      </c>
      <c r="G497" s="101" t="s">
        <v>1</v>
      </c>
    </row>
    <row r="499" spans="4:11" x14ac:dyDescent="0.3">
      <c r="D499" s="91" t="s">
        <v>14</v>
      </c>
      <c r="E499" s="90" t="s">
        <v>283</v>
      </c>
      <c r="G499" s="91" t="s">
        <v>14</v>
      </c>
      <c r="H499" s="90" t="s">
        <v>283</v>
      </c>
    </row>
    <row r="500" spans="4:11" x14ac:dyDescent="0.3">
      <c r="D500" s="89" t="s">
        <v>16</v>
      </c>
      <c r="E500" s="118">
        <f>E486</f>
        <v>24038</v>
      </c>
      <c r="G500" s="89" t="s">
        <v>16</v>
      </c>
      <c r="H500" s="118">
        <v>24308</v>
      </c>
      <c r="J500" s="89" t="b">
        <f t="shared" ref="J500" si="67">D500=G500</f>
        <v>1</v>
      </c>
      <c r="K500" s="98" t="b">
        <f t="shared" ref="K500" si="68">E500=H500</f>
        <v>0</v>
      </c>
    </row>
    <row r="501" spans="4:11" x14ac:dyDescent="0.3">
      <c r="D501" s="89" t="s">
        <v>17</v>
      </c>
      <c r="E501" s="118">
        <f>E484</f>
        <v>39758</v>
      </c>
      <c r="G501" s="89" t="s">
        <v>17</v>
      </c>
      <c r="H501" s="118">
        <v>39758</v>
      </c>
      <c r="J501" s="89" t="b">
        <f t="shared" ref="J501:J507" si="69">D501=G501</f>
        <v>1</v>
      </c>
      <c r="K501" s="89" t="b">
        <f t="shared" ref="K501:K507" si="70">E501=H501</f>
        <v>1</v>
      </c>
    </row>
    <row r="502" spans="4:11" x14ac:dyDescent="0.3">
      <c r="D502" s="89" t="s">
        <v>18</v>
      </c>
      <c r="E502" s="118">
        <f>E488+E489</f>
        <v>19458</v>
      </c>
      <c r="G502" s="89" t="s">
        <v>18</v>
      </c>
      <c r="H502" s="118">
        <v>11203</v>
      </c>
      <c r="J502" s="89" t="b">
        <f t="shared" si="69"/>
        <v>1</v>
      </c>
      <c r="K502" s="98" t="b">
        <f t="shared" si="70"/>
        <v>0</v>
      </c>
    </row>
    <row r="503" spans="4:11" x14ac:dyDescent="0.3">
      <c r="D503" s="89" t="s">
        <v>15</v>
      </c>
      <c r="E503" s="118">
        <f>E485</f>
        <v>27380</v>
      </c>
      <c r="G503" s="89" t="s">
        <v>15</v>
      </c>
      <c r="H503" s="118">
        <v>27380</v>
      </c>
      <c r="J503" s="89" t="b">
        <f t="shared" si="69"/>
        <v>1</v>
      </c>
      <c r="K503" s="89" t="b">
        <f t="shared" si="70"/>
        <v>1</v>
      </c>
    </row>
    <row r="504" spans="4:11" x14ac:dyDescent="0.3">
      <c r="D504" s="89" t="s">
        <v>19</v>
      </c>
      <c r="E504" s="118">
        <f>E487</f>
        <v>11506</v>
      </c>
      <c r="G504" s="89" t="s">
        <v>19</v>
      </c>
      <c r="H504" s="118">
        <v>11506</v>
      </c>
      <c r="J504" s="89" t="b">
        <f t="shared" si="69"/>
        <v>1</v>
      </c>
      <c r="K504" s="89" t="b">
        <f t="shared" si="70"/>
        <v>1</v>
      </c>
    </row>
    <row r="505" spans="4:11" x14ac:dyDescent="0.3">
      <c r="D505" s="89" t="s">
        <v>51</v>
      </c>
      <c r="E505" s="118">
        <f>E491</f>
        <v>2316</v>
      </c>
      <c r="G505" s="89" t="s">
        <v>51</v>
      </c>
      <c r="H505" s="118">
        <v>2303</v>
      </c>
      <c r="J505" s="89" t="b">
        <f t="shared" ref="J505:J506" si="71">D505=G505</f>
        <v>1</v>
      </c>
      <c r="K505" s="98" t="b">
        <f t="shared" ref="K505:K506" si="72">E505=H505</f>
        <v>0</v>
      </c>
    </row>
    <row r="506" spans="4:11" x14ac:dyDescent="0.3">
      <c r="D506" s="89" t="s">
        <v>22</v>
      </c>
      <c r="E506" s="118">
        <f>SUM(E492:E494,E490)</f>
        <v>12049</v>
      </c>
      <c r="G506" s="89" t="s">
        <v>22</v>
      </c>
      <c r="H506" s="118">
        <v>6750</v>
      </c>
      <c r="J506" s="89" t="b">
        <f t="shared" si="71"/>
        <v>1</v>
      </c>
      <c r="K506" s="98" t="b">
        <f t="shared" si="72"/>
        <v>0</v>
      </c>
    </row>
    <row r="507" spans="4:11" x14ac:dyDescent="0.3">
      <c r="D507" s="93" t="s">
        <v>77</v>
      </c>
      <c r="E507" s="120">
        <f>SUM(E500:E506)</f>
        <v>136505</v>
      </c>
      <c r="G507" s="93" t="s">
        <v>77</v>
      </c>
      <c r="H507" s="120">
        <v>136505</v>
      </c>
      <c r="J507" s="89" t="b">
        <f t="shared" si="69"/>
        <v>1</v>
      </c>
      <c r="K507" s="89" t="b">
        <f t="shared" si="70"/>
        <v>1</v>
      </c>
    </row>
    <row r="509" spans="4:11" x14ac:dyDescent="0.3">
      <c r="G509" s="101" t="s">
        <v>5</v>
      </c>
      <c r="H509" s="109">
        <f>12/16</f>
        <v>0.75</v>
      </c>
    </row>
    <row r="526" spans="2:7" x14ac:dyDescent="0.3">
      <c r="B526" s="121" t="s">
        <v>310</v>
      </c>
      <c r="D526" s="108" t="s">
        <v>24</v>
      </c>
    </row>
    <row r="528" spans="2:7" x14ac:dyDescent="0.3">
      <c r="D528" s="101" t="s">
        <v>66</v>
      </c>
      <c r="E528" s="90" t="s">
        <v>311</v>
      </c>
      <c r="F528" s="90" t="s">
        <v>96</v>
      </c>
      <c r="G528" s="90" t="s">
        <v>97</v>
      </c>
    </row>
    <row r="529" spans="4:11" x14ac:dyDescent="0.3">
      <c r="D529" s="89" t="s">
        <v>116</v>
      </c>
      <c r="E529" s="103">
        <v>124081</v>
      </c>
      <c r="F529" s="57">
        <v>0.92</v>
      </c>
      <c r="G529" s="103">
        <f t="shared" ref="G529:G535" si="73">F529*E529</f>
        <v>114154.52</v>
      </c>
    </row>
    <row r="530" spans="4:11" x14ac:dyDescent="0.3">
      <c r="D530" s="89" t="s">
        <v>16</v>
      </c>
      <c r="E530" s="103">
        <v>19109</v>
      </c>
      <c r="F530" s="57">
        <v>0.72</v>
      </c>
      <c r="G530" s="103">
        <f t="shared" si="73"/>
        <v>13758.48</v>
      </c>
    </row>
    <row r="531" spans="4:11" x14ac:dyDescent="0.3">
      <c r="D531" s="89" t="s">
        <v>95</v>
      </c>
      <c r="E531" s="103">
        <v>16569</v>
      </c>
      <c r="F531" s="57">
        <v>0.63</v>
      </c>
      <c r="G531" s="103">
        <f t="shared" si="73"/>
        <v>10438.469999999999</v>
      </c>
    </row>
    <row r="532" spans="4:11" x14ac:dyDescent="0.3">
      <c r="D532" s="89" t="s">
        <v>15</v>
      </c>
      <c r="E532" s="103">
        <v>16360</v>
      </c>
      <c r="F532" s="57">
        <v>0.81</v>
      </c>
      <c r="G532" s="103">
        <f t="shared" si="73"/>
        <v>13251.6</v>
      </c>
    </row>
    <row r="533" spans="4:11" x14ac:dyDescent="0.3">
      <c r="D533" s="89" t="s">
        <v>98</v>
      </c>
      <c r="E533" s="103">
        <v>14104</v>
      </c>
      <c r="F533" s="57">
        <v>0.46</v>
      </c>
      <c r="G533" s="103">
        <f t="shared" si="73"/>
        <v>6487.84</v>
      </c>
    </row>
    <row r="534" spans="4:11" x14ac:dyDescent="0.3">
      <c r="D534" s="89" t="s">
        <v>18</v>
      </c>
      <c r="E534" s="103">
        <v>12253</v>
      </c>
      <c r="F534" s="57">
        <v>0.75</v>
      </c>
      <c r="G534" s="103">
        <f t="shared" si="73"/>
        <v>9189.75</v>
      </c>
    </row>
    <row r="535" spans="4:11" x14ac:dyDescent="0.3">
      <c r="D535" s="89" t="s">
        <v>19</v>
      </c>
      <c r="E535" s="103">
        <v>4574</v>
      </c>
      <c r="F535" s="57">
        <v>0.53</v>
      </c>
      <c r="G535" s="103">
        <f t="shared" si="73"/>
        <v>2424.2200000000003</v>
      </c>
    </row>
    <row r="536" spans="4:11" x14ac:dyDescent="0.3">
      <c r="D536" s="93" t="s">
        <v>77</v>
      </c>
      <c r="E536" s="166">
        <f>SUM(E529:E535)</f>
        <v>207050</v>
      </c>
      <c r="F536" s="146">
        <f>G536/E536</f>
        <v>0.81963235933349432</v>
      </c>
      <c r="G536" s="166">
        <f>SUM(G529:G535)</f>
        <v>169704.88</v>
      </c>
    </row>
    <row r="538" spans="4:11" x14ac:dyDescent="0.3">
      <c r="D538" s="101" t="s">
        <v>271</v>
      </c>
      <c r="G538" s="101" t="s">
        <v>1</v>
      </c>
    </row>
    <row r="539" spans="4:11" x14ac:dyDescent="0.3">
      <c r="D539" s="108"/>
      <c r="G539" s="108"/>
    </row>
    <row r="540" spans="4:11" x14ac:dyDescent="0.3">
      <c r="D540" s="91" t="s">
        <v>66</v>
      </c>
      <c r="E540" s="90" t="s">
        <v>97</v>
      </c>
      <c r="G540" s="91" t="s">
        <v>66</v>
      </c>
      <c r="H540" s="90" t="s">
        <v>97</v>
      </c>
    </row>
    <row r="541" spans="4:11" x14ac:dyDescent="0.3">
      <c r="D541" s="102" t="s">
        <v>17</v>
      </c>
      <c r="E541" s="103">
        <f>G529</f>
        <v>114154.52</v>
      </c>
      <c r="G541" s="102" t="s">
        <v>17</v>
      </c>
      <c r="H541" s="103">
        <v>114156</v>
      </c>
      <c r="J541" s="89" t="b">
        <f>D541=G541</f>
        <v>1</v>
      </c>
      <c r="K541" s="99" t="b">
        <v>1</v>
      </c>
    </row>
    <row r="542" spans="4:11" x14ac:dyDescent="0.3">
      <c r="D542" s="102" t="s">
        <v>16</v>
      </c>
      <c r="E542" s="103">
        <f>G530</f>
        <v>13758.48</v>
      </c>
      <c r="G542" s="102" t="s">
        <v>16</v>
      </c>
      <c r="H542" s="103">
        <v>13759</v>
      </c>
      <c r="J542" s="89" t="b">
        <f t="shared" ref="J542:J547" si="74">D542=G542</f>
        <v>1</v>
      </c>
      <c r="K542" s="99" t="b">
        <v>1</v>
      </c>
    </row>
    <row r="543" spans="4:11" x14ac:dyDescent="0.3">
      <c r="D543" s="102" t="s">
        <v>15</v>
      </c>
      <c r="E543" s="103">
        <f>G532</f>
        <v>13251.6</v>
      </c>
      <c r="G543" s="102" t="s">
        <v>15</v>
      </c>
      <c r="H543" s="103">
        <v>13246</v>
      </c>
      <c r="J543" s="89" t="b">
        <f t="shared" si="74"/>
        <v>1</v>
      </c>
      <c r="K543" s="98" t="b">
        <f t="shared" ref="K543:K547" si="75">E543=H543</f>
        <v>0</v>
      </c>
    </row>
    <row r="544" spans="4:11" x14ac:dyDescent="0.3">
      <c r="D544" s="102" t="s">
        <v>18</v>
      </c>
      <c r="E544" s="103">
        <f>G534</f>
        <v>9189.75</v>
      </c>
      <c r="G544" s="102" t="s">
        <v>18</v>
      </c>
      <c r="H544" s="103">
        <v>9190</v>
      </c>
      <c r="J544" s="89" t="b">
        <f t="shared" si="74"/>
        <v>1</v>
      </c>
      <c r="K544" s="99" t="b">
        <v>1</v>
      </c>
    </row>
    <row r="545" spans="4:11" x14ac:dyDescent="0.3">
      <c r="D545" s="102" t="s">
        <v>19</v>
      </c>
      <c r="E545" s="103">
        <f>G535</f>
        <v>2424.2200000000003</v>
      </c>
      <c r="G545" s="102" t="s">
        <v>19</v>
      </c>
      <c r="H545" s="103">
        <v>2424</v>
      </c>
      <c r="J545" s="89" t="b">
        <f t="shared" si="74"/>
        <v>1</v>
      </c>
      <c r="K545" s="99" t="b">
        <v>1</v>
      </c>
    </row>
    <row r="546" spans="4:11" x14ac:dyDescent="0.3">
      <c r="D546" s="102" t="s">
        <v>22</v>
      </c>
      <c r="E546" s="103">
        <f>SUM(G531,G533)</f>
        <v>16926.309999999998</v>
      </c>
      <c r="G546" s="102" t="s">
        <v>22</v>
      </c>
      <c r="H546" s="103">
        <v>10432</v>
      </c>
      <c r="J546" s="89" t="b">
        <f t="shared" si="74"/>
        <v>1</v>
      </c>
      <c r="K546" s="98" t="b">
        <f t="shared" si="75"/>
        <v>0</v>
      </c>
    </row>
    <row r="547" spans="4:11" x14ac:dyDescent="0.3">
      <c r="D547" s="127" t="s">
        <v>77</v>
      </c>
      <c r="E547" s="166">
        <f>SUM(E541:E546)</f>
        <v>169704.88</v>
      </c>
      <c r="G547" s="127" t="s">
        <v>77</v>
      </c>
      <c r="H547" s="166">
        <v>163207</v>
      </c>
      <c r="J547" s="89" t="b">
        <f t="shared" si="74"/>
        <v>1</v>
      </c>
      <c r="K547" s="98" t="b">
        <f t="shared" si="75"/>
        <v>0</v>
      </c>
    </row>
    <row r="548" spans="4:11" ht="14.4" x14ac:dyDescent="0.3">
      <c r="D548" s="2"/>
    </row>
    <row r="549" spans="4:11" ht="14.4" x14ac:dyDescent="0.3">
      <c r="D549" s="2"/>
      <c r="G549" s="101" t="s">
        <v>5</v>
      </c>
      <c r="H549" s="109">
        <f>11/14</f>
        <v>0.7857142857142857</v>
      </c>
    </row>
  </sheetData>
  <mergeCells count="9">
    <mergeCell ref="D215:R215"/>
    <mergeCell ref="AI29:AM29"/>
    <mergeCell ref="AI30:AM30"/>
    <mergeCell ref="AR29:AV29"/>
    <mergeCell ref="AR30:AV30"/>
    <mergeCell ref="Q29:U29"/>
    <mergeCell ref="Z29:AD29"/>
    <mergeCell ref="Q30:U30"/>
    <mergeCell ref="Z30:AD30"/>
  </mergeCells>
  <pageMargins left="0.7" right="0.7" top="0.75" bottom="0.75" header="0.3" footer="0.3"/>
  <ignoredErrors>
    <ignoredError sqref="E358" formula="1"/>
    <ignoredError sqref="AT32 AT33:AT41" formulaRange="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34DA-381E-4603-A508-906DE137DD4E}">
  <dimension ref="A1:AX550"/>
  <sheetViews>
    <sheetView showGridLines="0" tabSelected="1" topLeftCell="A322" zoomScaleNormal="120" workbookViewId="0">
      <selection activeCell="U341" sqref="U341"/>
    </sheetView>
  </sheetViews>
  <sheetFormatPr defaultRowHeight="13.8" x14ac:dyDescent="0.3"/>
  <cols>
    <col min="1" max="1" width="1.77734375" style="89" bestFit="1" customWidth="1"/>
    <col min="2" max="2" width="11.109375" style="89" bestFit="1" customWidth="1"/>
    <col min="3" max="3" width="4.77734375" style="89" customWidth="1"/>
    <col min="4" max="4" width="25.44140625" style="89" bestFit="1" customWidth="1"/>
    <col min="5" max="5" width="10.21875" style="89" customWidth="1"/>
    <col min="6" max="6" width="15.6640625" style="89" bestFit="1" customWidth="1"/>
    <col min="7" max="7" width="16" style="89" bestFit="1" customWidth="1"/>
    <col min="8" max="8" width="9.77734375" style="89" customWidth="1"/>
    <col min="9" max="9" width="8.88671875" style="89"/>
    <col min="10" max="10" width="5" style="89" bestFit="1" customWidth="1"/>
    <col min="11" max="11" width="5.6640625" style="89" bestFit="1" customWidth="1"/>
    <col min="12" max="16" width="8.88671875" style="89"/>
    <col min="17" max="17" width="6.21875" style="89" bestFit="1" customWidth="1"/>
    <col min="18" max="18" width="10.88671875" style="89" customWidth="1"/>
    <col min="19" max="19" width="7.44140625" style="89" bestFit="1" customWidth="1"/>
    <col min="20" max="20" width="4.6640625" style="89" bestFit="1" customWidth="1"/>
    <col min="21" max="21" width="15.6640625" style="89" customWidth="1"/>
    <col min="22" max="22" width="4.33203125" style="89" customWidth="1"/>
    <col min="23" max="23" width="13.44140625" style="89" bestFit="1" customWidth="1"/>
    <col min="24" max="24" width="13.44140625" style="89" customWidth="1"/>
    <col min="25" max="25" width="8.77734375" style="89" bestFit="1" customWidth="1"/>
    <col min="26" max="26" width="12.33203125" style="89" bestFit="1" customWidth="1"/>
    <col min="27" max="27" width="6" style="89" customWidth="1"/>
    <col min="28" max="28" width="7.5546875" style="89" customWidth="1"/>
    <col min="29" max="29" width="8.77734375" style="89" bestFit="1" customWidth="1"/>
    <col min="30" max="30" width="7.88671875" style="89" bestFit="1" customWidth="1"/>
    <col min="31" max="31" width="4.88671875" style="89" bestFit="1" customWidth="1"/>
    <col min="32" max="32" width="8.109375" style="89" bestFit="1" customWidth="1"/>
    <col min="33" max="34" width="8.88671875" style="89"/>
    <col min="35" max="35" width="12.33203125" style="89" bestFit="1" customWidth="1"/>
    <col min="36" max="42" width="8.88671875" style="89"/>
    <col min="43" max="43" width="8.77734375" style="89" bestFit="1" customWidth="1"/>
    <col min="44" max="44" width="12.33203125" style="89" bestFit="1" customWidth="1"/>
    <col min="45" max="16384" width="8.88671875" style="89"/>
  </cols>
  <sheetData>
    <row r="1" spans="1:12" x14ac:dyDescent="0.3">
      <c r="A1" s="126"/>
      <c r="B1" s="114"/>
      <c r="C1" s="114"/>
    </row>
    <row r="2" spans="1:12" x14ac:dyDescent="0.3">
      <c r="A2" s="126"/>
      <c r="B2" s="114"/>
      <c r="C2" s="114"/>
      <c r="D2" s="101" t="s">
        <v>315</v>
      </c>
      <c r="L2" s="101" t="s">
        <v>316</v>
      </c>
    </row>
    <row r="3" spans="1:12" x14ac:dyDescent="0.3">
      <c r="A3" s="126"/>
      <c r="B3" s="121" t="s">
        <v>313</v>
      </c>
      <c r="C3" s="114"/>
    </row>
    <row r="4" spans="1:12" x14ac:dyDescent="0.3">
      <c r="A4" s="126"/>
      <c r="B4" s="114"/>
      <c r="C4" s="114"/>
    </row>
    <row r="5" spans="1:12" x14ac:dyDescent="0.3">
      <c r="A5" s="126"/>
      <c r="B5" s="114"/>
      <c r="C5" s="114"/>
    </row>
    <row r="6" spans="1:12" x14ac:dyDescent="0.3">
      <c r="A6" s="126"/>
      <c r="B6" s="114"/>
      <c r="C6" s="114"/>
    </row>
    <row r="7" spans="1:12" x14ac:dyDescent="0.3">
      <c r="A7" s="126"/>
      <c r="B7" s="114"/>
      <c r="C7" s="114"/>
    </row>
    <row r="8" spans="1:12" x14ac:dyDescent="0.3">
      <c r="A8" s="126"/>
      <c r="B8" s="114"/>
      <c r="C8" s="114"/>
    </row>
    <row r="9" spans="1:12" ht="14.4" x14ac:dyDescent="0.3">
      <c r="A9" s="126"/>
      <c r="B9" s="114"/>
      <c r="C9" s="114"/>
      <c r="D9"/>
    </row>
    <row r="10" spans="1:12" x14ac:dyDescent="0.3">
      <c r="A10" s="126"/>
      <c r="B10" s="114"/>
      <c r="C10" s="114"/>
    </row>
    <row r="11" spans="1:12" x14ac:dyDescent="0.3">
      <c r="A11" s="126"/>
      <c r="B11" s="114"/>
      <c r="C11" s="114"/>
    </row>
    <row r="12" spans="1:12" x14ac:dyDescent="0.3">
      <c r="A12" s="126"/>
      <c r="B12" s="114"/>
      <c r="C12" s="114"/>
    </row>
    <row r="13" spans="1:12" x14ac:dyDescent="0.3">
      <c r="A13" s="126"/>
      <c r="B13" s="114"/>
      <c r="C13" s="114"/>
    </row>
    <row r="14" spans="1:12" x14ac:dyDescent="0.3">
      <c r="A14" s="126"/>
      <c r="B14" s="114"/>
      <c r="C14" s="114"/>
    </row>
    <row r="15" spans="1:12" x14ac:dyDescent="0.3">
      <c r="A15" s="126"/>
      <c r="B15" s="114"/>
      <c r="C15" s="114"/>
    </row>
    <row r="16" spans="1:12" x14ac:dyDescent="0.3">
      <c r="A16" s="126"/>
      <c r="B16" s="114"/>
      <c r="C16" s="114"/>
    </row>
    <row r="17" spans="1:50" x14ac:dyDescent="0.3">
      <c r="A17" s="126"/>
      <c r="B17" s="114"/>
      <c r="C17" s="114"/>
    </row>
    <row r="18" spans="1:50" x14ac:dyDescent="0.3">
      <c r="A18" s="126"/>
      <c r="B18" s="114"/>
      <c r="C18" s="114"/>
    </row>
    <row r="19" spans="1:50" x14ac:dyDescent="0.3">
      <c r="A19" s="126"/>
      <c r="B19" s="114"/>
      <c r="C19" s="114"/>
    </row>
    <row r="20" spans="1:50" x14ac:dyDescent="0.3">
      <c r="A20" s="126"/>
      <c r="B20" s="114"/>
      <c r="C20" s="114"/>
    </row>
    <row r="21" spans="1:50" x14ac:dyDescent="0.3">
      <c r="A21" s="126"/>
      <c r="B21" s="114"/>
      <c r="C21" s="114"/>
    </row>
    <row r="22" spans="1:50" x14ac:dyDescent="0.3">
      <c r="A22" s="126"/>
      <c r="B22" s="114"/>
      <c r="C22" s="114"/>
    </row>
    <row r="23" spans="1:50" x14ac:dyDescent="0.3">
      <c r="A23" s="126"/>
      <c r="B23" s="114"/>
      <c r="C23" s="114"/>
    </row>
    <row r="24" spans="1:50" x14ac:dyDescent="0.3">
      <c r="A24" s="126"/>
      <c r="B24" s="114"/>
      <c r="C24" s="114"/>
    </row>
    <row r="25" spans="1:50" x14ac:dyDescent="0.3">
      <c r="A25" s="126"/>
      <c r="B25" s="114"/>
      <c r="C25" s="114"/>
    </row>
    <row r="26" spans="1:50" x14ac:dyDescent="0.3">
      <c r="A26" s="126"/>
      <c r="B26" s="114"/>
      <c r="C26" s="114"/>
    </row>
    <row r="27" spans="1:50" x14ac:dyDescent="0.3">
      <c r="A27" s="126"/>
      <c r="B27" s="114"/>
      <c r="C27" s="114"/>
    </row>
    <row r="28" spans="1:50" x14ac:dyDescent="0.3">
      <c r="A28" s="126"/>
      <c r="B28" s="114"/>
      <c r="C28" s="114"/>
    </row>
    <row r="29" spans="1:50" x14ac:dyDescent="0.3">
      <c r="A29" s="126"/>
      <c r="B29" s="121" t="s">
        <v>263</v>
      </c>
      <c r="D29" s="127" t="s">
        <v>264</v>
      </c>
      <c r="E29" s="116">
        <v>9.4</v>
      </c>
      <c r="Q29" s="179" t="s">
        <v>275</v>
      </c>
      <c r="R29" s="179"/>
      <c r="S29" s="179"/>
      <c r="T29" s="179"/>
      <c r="U29" s="179"/>
      <c r="W29" s="114" t="s">
        <v>314</v>
      </c>
      <c r="X29" s="114" t="s">
        <v>291</v>
      </c>
      <c r="Y29" s="114" t="s">
        <v>289</v>
      </c>
      <c r="Z29" s="114" t="s">
        <v>291</v>
      </c>
      <c r="AB29" s="179" t="s">
        <v>276</v>
      </c>
      <c r="AC29" s="179"/>
      <c r="AD29" s="179"/>
      <c r="AE29" s="179"/>
      <c r="AF29" s="179"/>
      <c r="AH29" s="114" t="s">
        <v>289</v>
      </c>
      <c r="AI29" s="114" t="s">
        <v>291</v>
      </c>
      <c r="AK29" s="179" t="s">
        <v>303</v>
      </c>
      <c r="AL29" s="179"/>
      <c r="AM29" s="179"/>
      <c r="AN29" s="179"/>
      <c r="AO29" s="179"/>
      <c r="AQ29" s="114" t="s">
        <v>289</v>
      </c>
      <c r="AR29" s="114" t="s">
        <v>291</v>
      </c>
      <c r="AT29" s="179" t="s">
        <v>304</v>
      </c>
      <c r="AU29" s="179"/>
      <c r="AV29" s="179"/>
      <c r="AW29" s="179"/>
      <c r="AX29" s="179"/>
    </row>
    <row r="30" spans="1:50" x14ac:dyDescent="0.3">
      <c r="A30" s="126"/>
      <c r="B30" s="114"/>
      <c r="C30" s="114"/>
      <c r="Q30" s="180" t="s">
        <v>274</v>
      </c>
      <c r="R30" s="180"/>
      <c r="S30" s="180"/>
      <c r="T30" s="180"/>
      <c r="U30" s="180"/>
      <c r="AB30" s="180" t="s">
        <v>274</v>
      </c>
      <c r="AC30" s="180"/>
      <c r="AD30" s="180"/>
      <c r="AE30" s="180"/>
      <c r="AF30" s="180"/>
      <c r="AK30" s="180" t="s">
        <v>274</v>
      </c>
      <c r="AL30" s="180"/>
      <c r="AM30" s="180"/>
      <c r="AN30" s="180"/>
      <c r="AO30" s="180"/>
      <c r="AT30" s="180" t="s">
        <v>274</v>
      </c>
      <c r="AU30" s="180"/>
      <c r="AV30" s="180"/>
      <c r="AW30" s="180"/>
      <c r="AX30" s="180"/>
    </row>
    <row r="31" spans="1:50" x14ac:dyDescent="0.3">
      <c r="D31" s="101" t="s">
        <v>24</v>
      </c>
      <c r="Q31" s="128" t="s">
        <v>2</v>
      </c>
      <c r="R31" s="129" t="s">
        <v>280</v>
      </c>
      <c r="S31" s="129" t="s">
        <v>281</v>
      </c>
      <c r="T31" s="129" t="s">
        <v>11</v>
      </c>
      <c r="U31" s="130" t="s">
        <v>5</v>
      </c>
      <c r="AB31" s="128" t="s">
        <v>2</v>
      </c>
      <c r="AC31" s="129" t="s">
        <v>280</v>
      </c>
      <c r="AD31" s="129" t="s">
        <v>281</v>
      </c>
      <c r="AE31" s="129" t="s">
        <v>11</v>
      </c>
      <c r="AF31" s="130" t="s">
        <v>5</v>
      </c>
      <c r="AK31" s="128" t="s">
        <v>2</v>
      </c>
      <c r="AL31" s="129" t="s">
        <v>280</v>
      </c>
      <c r="AM31" s="129" t="s">
        <v>85</v>
      </c>
      <c r="AN31" s="129" t="s">
        <v>11</v>
      </c>
      <c r="AO31" s="130" t="s">
        <v>5</v>
      </c>
      <c r="AT31" s="128" t="s">
        <v>2</v>
      </c>
      <c r="AU31" s="129" t="s">
        <v>280</v>
      </c>
      <c r="AV31" s="129" t="s">
        <v>85</v>
      </c>
      <c r="AW31" s="129" t="s">
        <v>11</v>
      </c>
      <c r="AX31" s="130" t="s">
        <v>5</v>
      </c>
    </row>
    <row r="32" spans="1:50" x14ac:dyDescent="0.3">
      <c r="D32" s="101"/>
      <c r="Q32" s="131" t="s">
        <v>0</v>
      </c>
      <c r="R32" s="132">
        <v>35</v>
      </c>
      <c r="S32" s="132">
        <v>33</v>
      </c>
      <c r="T32" s="114">
        <f t="shared" ref="T32:T41" si="0">SUM(R32:S32)</f>
        <v>68</v>
      </c>
      <c r="U32" s="133">
        <f>H232</f>
        <v>0.55555555555555558</v>
      </c>
      <c r="W32" s="88">
        <f>T32-'Single Generic Prompt'!T32</f>
        <v>6</v>
      </c>
      <c r="X32" s="169">
        <f>U32-'Single Generic Prompt'!U32</f>
        <v>0</v>
      </c>
      <c r="Y32" s="88">
        <f t="shared" ref="Y32:Y42" si="1">T32-AE32</f>
        <v>12</v>
      </c>
      <c r="Z32" s="113">
        <f t="shared" ref="Z32:Z41" si="2">U32-AF32</f>
        <v>-0.14444444444444438</v>
      </c>
      <c r="AB32" s="131" t="s">
        <v>0</v>
      </c>
      <c r="AC32" s="132">
        <f>Summary!W26</f>
        <v>19</v>
      </c>
      <c r="AD32" s="132">
        <f>Summary!V26</f>
        <v>37</v>
      </c>
      <c r="AE32" s="114">
        <f t="shared" ref="AE32" si="3">SUM(AC32:AD32)</f>
        <v>56</v>
      </c>
      <c r="AF32" s="133">
        <f>Summary!X26</f>
        <v>0.7</v>
      </c>
      <c r="AH32" s="164">
        <f t="shared" ref="AH32:AH42" si="4">T32-AN32</f>
        <v>-22</v>
      </c>
      <c r="AI32" s="113">
        <f t="shared" ref="AI32:AI42" si="5">U32-AO32</f>
        <v>-0.44444444444444442</v>
      </c>
      <c r="AK32" s="131" t="s">
        <v>0</v>
      </c>
      <c r="AL32" s="132">
        <f>Summary!AC26</f>
        <v>28</v>
      </c>
      <c r="AM32" s="132">
        <f>Summary!AB26</f>
        <v>62</v>
      </c>
      <c r="AN32" s="114">
        <f t="shared" ref="AN32:AN39" si="6">SUM(AL32:AM32)</f>
        <v>90</v>
      </c>
      <c r="AO32" s="159">
        <v>1</v>
      </c>
      <c r="AQ32" s="88">
        <f t="shared" ref="AQ32:AQ42" si="7">T32-AW32</f>
        <v>-8</v>
      </c>
      <c r="AR32" s="113">
        <f t="shared" ref="AR32:AR42" si="8">U32-AX32</f>
        <v>-0.44444444444444442</v>
      </c>
      <c r="AT32" s="131" t="s">
        <v>0</v>
      </c>
      <c r="AU32" s="161">
        <f>Summary!I26</f>
        <v>30</v>
      </c>
      <c r="AV32" s="161">
        <f>SUM(Summary!J26:K26)</f>
        <v>46</v>
      </c>
      <c r="AW32" s="114">
        <f t="shared" ref="AW32:AW39" si="9">SUM(AU32:AV32)</f>
        <v>76</v>
      </c>
      <c r="AX32" s="159">
        <v>1</v>
      </c>
    </row>
    <row r="33" spans="4:50" x14ac:dyDescent="0.3">
      <c r="D33" s="91" t="s">
        <v>268</v>
      </c>
      <c r="E33" s="90" t="s">
        <v>158</v>
      </c>
      <c r="F33" s="90" t="s">
        <v>269</v>
      </c>
      <c r="G33" s="90" t="s">
        <v>270</v>
      </c>
      <c r="Q33" s="131" t="s">
        <v>135</v>
      </c>
      <c r="R33" s="132">
        <v>32</v>
      </c>
      <c r="S33" s="132">
        <v>0</v>
      </c>
      <c r="T33" s="114">
        <f t="shared" si="0"/>
        <v>32</v>
      </c>
      <c r="U33" s="133">
        <f>H261</f>
        <v>1</v>
      </c>
      <c r="W33" s="88">
        <f>T33-'Single Generic Prompt'!T33</f>
        <v>-5</v>
      </c>
      <c r="X33" s="169">
        <f>U33-'Single Generic Prompt'!U33</f>
        <v>7.1428571428571397E-2</v>
      </c>
      <c r="Y33" s="88">
        <f t="shared" si="1"/>
        <v>4</v>
      </c>
      <c r="Z33" s="113">
        <f t="shared" si="2"/>
        <v>0</v>
      </c>
      <c r="AB33" s="134" t="s">
        <v>135</v>
      </c>
      <c r="AC33" s="132">
        <f>Summary!W139</f>
        <v>26</v>
      </c>
      <c r="AD33" s="132">
        <f>Summary!V139</f>
        <v>2</v>
      </c>
      <c r="AE33" s="114">
        <f t="shared" ref="AE33:AE39" si="10">SUM(AC33:AD33)</f>
        <v>28</v>
      </c>
      <c r="AF33" s="133">
        <f>Summary!X139</f>
        <v>1</v>
      </c>
      <c r="AH33" s="164">
        <f t="shared" si="4"/>
        <v>-8</v>
      </c>
      <c r="AI33" s="113">
        <f t="shared" si="5"/>
        <v>0</v>
      </c>
      <c r="AK33" s="134" t="s">
        <v>135</v>
      </c>
      <c r="AL33" s="132">
        <f>Summary!AC139</f>
        <v>16</v>
      </c>
      <c r="AM33" s="132">
        <f>Summary!AB139</f>
        <v>24</v>
      </c>
      <c r="AN33" s="114">
        <f t="shared" si="6"/>
        <v>40</v>
      </c>
      <c r="AO33" s="159">
        <v>1</v>
      </c>
      <c r="AQ33" s="88">
        <f t="shared" si="7"/>
        <v>-56</v>
      </c>
      <c r="AR33" s="113">
        <f t="shared" si="8"/>
        <v>0</v>
      </c>
      <c r="AT33" s="134" t="s">
        <v>135</v>
      </c>
      <c r="AU33" s="161">
        <f>Summary!I139</f>
        <v>27</v>
      </c>
      <c r="AV33" s="161">
        <f>SUM(Summary!J139:K139)</f>
        <v>61</v>
      </c>
      <c r="AW33" s="114">
        <f t="shared" si="9"/>
        <v>88</v>
      </c>
      <c r="AX33" s="159">
        <v>1</v>
      </c>
    </row>
    <row r="34" spans="4:50" x14ac:dyDescent="0.3">
      <c r="D34" s="89" t="s">
        <v>16</v>
      </c>
      <c r="E34" s="57">
        <v>0.28999999999999998</v>
      </c>
      <c r="F34" s="135">
        <f>$E$29*E34</f>
        <v>2.726</v>
      </c>
      <c r="G34" s="118">
        <f>F34*1000</f>
        <v>2726</v>
      </c>
      <c r="Q34" s="131" t="s">
        <v>129</v>
      </c>
      <c r="R34" s="132">
        <v>29</v>
      </c>
      <c r="S34" s="132">
        <v>0</v>
      </c>
      <c r="T34" s="114">
        <f t="shared" si="0"/>
        <v>29</v>
      </c>
      <c r="U34" s="133">
        <f>H289</f>
        <v>1</v>
      </c>
      <c r="W34" s="88">
        <f>T34-'Single Generic Prompt'!T34</f>
        <v>-11</v>
      </c>
      <c r="X34" s="169">
        <f>U34-'Single Generic Prompt'!U34</f>
        <v>0.1428571428571429</v>
      </c>
      <c r="Y34" s="88">
        <f t="shared" si="1"/>
        <v>4</v>
      </c>
      <c r="Z34" s="113">
        <f t="shared" si="2"/>
        <v>0</v>
      </c>
      <c r="AB34" s="134" t="s">
        <v>129</v>
      </c>
      <c r="AC34" s="132">
        <f>Summary!W123</f>
        <v>23</v>
      </c>
      <c r="AD34" s="132">
        <f>Summary!V123</f>
        <v>2</v>
      </c>
      <c r="AE34" s="114">
        <f t="shared" si="10"/>
        <v>25</v>
      </c>
      <c r="AF34" s="133">
        <f>Summary!X123</f>
        <v>1</v>
      </c>
      <c r="AH34" s="164">
        <f t="shared" si="4"/>
        <v>-11</v>
      </c>
      <c r="AI34" s="113">
        <f t="shared" si="5"/>
        <v>0</v>
      </c>
      <c r="AK34" s="134" t="s">
        <v>129</v>
      </c>
      <c r="AL34" s="132">
        <f>Summary!AC123</f>
        <v>18</v>
      </c>
      <c r="AM34" s="132">
        <f>Summary!AB123</f>
        <v>22</v>
      </c>
      <c r="AN34" s="114">
        <f t="shared" si="6"/>
        <v>40</v>
      </c>
      <c r="AO34" s="159">
        <v>1</v>
      </c>
      <c r="AQ34" s="88">
        <f t="shared" si="7"/>
        <v>-77</v>
      </c>
      <c r="AR34" s="113">
        <f t="shared" si="8"/>
        <v>0</v>
      </c>
      <c r="AT34" s="134" t="s">
        <v>129</v>
      </c>
      <c r="AU34" s="161">
        <f>Summary!I123</f>
        <v>32</v>
      </c>
      <c r="AV34" s="161">
        <f>SUM(Summary!J123:K123)</f>
        <v>74</v>
      </c>
      <c r="AW34" s="114">
        <f t="shared" si="9"/>
        <v>106</v>
      </c>
      <c r="AX34" s="159">
        <v>1</v>
      </c>
    </row>
    <row r="35" spans="4:50" x14ac:dyDescent="0.3">
      <c r="D35" s="89" t="s">
        <v>17</v>
      </c>
      <c r="E35" s="57">
        <v>0.48</v>
      </c>
      <c r="F35" s="135">
        <f t="shared" ref="F35:F42" si="11">$E$29*E35</f>
        <v>4.5119999999999996</v>
      </c>
      <c r="G35" s="118">
        <f t="shared" ref="G35:G42" si="12">F35*1000</f>
        <v>4512</v>
      </c>
      <c r="Q35" s="131" t="s">
        <v>112</v>
      </c>
      <c r="R35" s="132">
        <v>33</v>
      </c>
      <c r="S35" s="132">
        <v>0</v>
      </c>
      <c r="T35" s="114">
        <f t="shared" si="0"/>
        <v>33</v>
      </c>
      <c r="U35" s="133">
        <f>H316</f>
        <v>1</v>
      </c>
      <c r="W35" s="88">
        <f>T35-'Single Generic Prompt'!T35</f>
        <v>12</v>
      </c>
      <c r="X35" s="169">
        <f>U35-'Single Generic Prompt'!U35</f>
        <v>0</v>
      </c>
      <c r="Y35" s="88">
        <f t="shared" si="1"/>
        <v>9</v>
      </c>
      <c r="Z35" s="113">
        <f t="shared" si="2"/>
        <v>0</v>
      </c>
      <c r="AB35" s="131" t="s">
        <v>112</v>
      </c>
      <c r="AC35" s="132">
        <f>Summary!W105</f>
        <v>22</v>
      </c>
      <c r="AD35" s="132">
        <f>Summary!V105</f>
        <v>2</v>
      </c>
      <c r="AE35" s="114">
        <f t="shared" si="10"/>
        <v>24</v>
      </c>
      <c r="AF35" s="133">
        <f>Summary!X105</f>
        <v>1</v>
      </c>
      <c r="AH35" s="164">
        <f t="shared" si="4"/>
        <v>-127</v>
      </c>
      <c r="AI35" s="113">
        <f t="shared" si="5"/>
        <v>0</v>
      </c>
      <c r="AK35" s="131" t="s">
        <v>112</v>
      </c>
      <c r="AL35" s="132">
        <f>Summary!AC105</f>
        <v>15</v>
      </c>
      <c r="AM35" s="132">
        <f>Summary!AB105</f>
        <v>145</v>
      </c>
      <c r="AN35" s="114">
        <f t="shared" si="6"/>
        <v>160</v>
      </c>
      <c r="AO35" s="159">
        <v>1</v>
      </c>
      <c r="AQ35" s="88">
        <f t="shared" si="7"/>
        <v>-23</v>
      </c>
      <c r="AR35" s="113">
        <f t="shared" si="8"/>
        <v>0</v>
      </c>
      <c r="AT35" s="131" t="s">
        <v>112</v>
      </c>
      <c r="AU35" s="161">
        <f>Summary!I105</f>
        <v>24</v>
      </c>
      <c r="AV35" s="161">
        <f>SUM(Summary!J105:K105)</f>
        <v>32</v>
      </c>
      <c r="AW35" s="114">
        <f t="shared" si="9"/>
        <v>56</v>
      </c>
      <c r="AX35" s="159">
        <v>1</v>
      </c>
    </row>
    <row r="36" spans="4:50" x14ac:dyDescent="0.3">
      <c r="D36" s="89" t="s">
        <v>265</v>
      </c>
      <c r="E36" s="57">
        <v>0.05</v>
      </c>
      <c r="F36" s="135">
        <f t="shared" si="11"/>
        <v>0.47000000000000003</v>
      </c>
      <c r="G36" s="118">
        <f t="shared" si="12"/>
        <v>470.00000000000006</v>
      </c>
      <c r="Q36" s="131" t="s">
        <v>149</v>
      </c>
      <c r="R36" s="132">
        <v>43</v>
      </c>
      <c r="S36" s="132">
        <v>6</v>
      </c>
      <c r="T36" s="114">
        <f t="shared" si="0"/>
        <v>49</v>
      </c>
      <c r="U36" s="133">
        <f>H364</f>
        <v>0.875</v>
      </c>
      <c r="W36" s="88">
        <f>T36-'Single Generic Prompt'!T36</f>
        <v>8</v>
      </c>
      <c r="X36" s="169">
        <f>U36-'Single Generic Prompt'!U36</f>
        <v>6.25E-2</v>
      </c>
      <c r="Y36" s="88">
        <f t="shared" si="1"/>
        <v>-17</v>
      </c>
      <c r="Z36" s="113">
        <f t="shared" si="2"/>
        <v>-0.125</v>
      </c>
      <c r="AB36" s="131" t="s">
        <v>149</v>
      </c>
      <c r="AC36" s="132">
        <f>Summary!W180</f>
        <v>31</v>
      </c>
      <c r="AD36" s="132">
        <f>Summary!V180</f>
        <v>35</v>
      </c>
      <c r="AE36" s="114">
        <f t="shared" si="10"/>
        <v>66</v>
      </c>
      <c r="AF36" s="133">
        <f>Summary!X180</f>
        <v>1</v>
      </c>
      <c r="AH36" s="164">
        <f t="shared" si="4"/>
        <v>-123.68</v>
      </c>
      <c r="AI36" s="113">
        <f t="shared" si="5"/>
        <v>-0.125</v>
      </c>
      <c r="AK36" s="131" t="s">
        <v>149</v>
      </c>
      <c r="AL36" s="132">
        <f>Summary!AC180</f>
        <v>20</v>
      </c>
      <c r="AM36" s="161">
        <f>Summary!AB180</f>
        <v>152.68</v>
      </c>
      <c r="AN36" s="162">
        <f t="shared" si="6"/>
        <v>172.68</v>
      </c>
      <c r="AO36" s="159">
        <v>1</v>
      </c>
      <c r="AQ36" s="88">
        <f t="shared" si="7"/>
        <v>-72</v>
      </c>
      <c r="AR36" s="113">
        <f t="shared" si="8"/>
        <v>-0.125</v>
      </c>
      <c r="AT36" s="131" t="s">
        <v>149</v>
      </c>
      <c r="AU36" s="161">
        <f>Summary!I180</f>
        <v>24</v>
      </c>
      <c r="AV36" s="161">
        <f>SUM(Summary!J180:K180)</f>
        <v>97</v>
      </c>
      <c r="AW36" s="114">
        <f t="shared" si="9"/>
        <v>121</v>
      </c>
      <c r="AX36" s="159">
        <v>1</v>
      </c>
    </row>
    <row r="37" spans="4:50" x14ac:dyDescent="0.3">
      <c r="D37" s="89" t="s">
        <v>18</v>
      </c>
      <c r="E37" s="57">
        <v>0.04</v>
      </c>
      <c r="F37" s="135">
        <f t="shared" si="11"/>
        <v>0.376</v>
      </c>
      <c r="G37" s="118">
        <f t="shared" si="12"/>
        <v>376</v>
      </c>
      <c r="Q37" s="131" t="s">
        <v>100</v>
      </c>
      <c r="R37" s="132">
        <v>28</v>
      </c>
      <c r="S37" s="132">
        <v>0</v>
      </c>
      <c r="T37" s="114">
        <f t="shared" si="0"/>
        <v>28</v>
      </c>
      <c r="U37" s="133">
        <f>H393</f>
        <v>1</v>
      </c>
      <c r="W37" s="88">
        <f>T37-'Single Generic Prompt'!T37</f>
        <v>1</v>
      </c>
      <c r="X37" s="169">
        <f>U37-'Single Generic Prompt'!U37</f>
        <v>0</v>
      </c>
      <c r="Y37" s="88">
        <f t="shared" si="1"/>
        <v>-25</v>
      </c>
      <c r="Z37" s="113">
        <f t="shared" si="2"/>
        <v>7.1428571428571397E-2</v>
      </c>
      <c r="AB37" s="131" t="s">
        <v>100</v>
      </c>
      <c r="AC37" s="132">
        <f>Summary!W71</f>
        <v>26</v>
      </c>
      <c r="AD37" s="132">
        <f>Summary!V71</f>
        <v>27</v>
      </c>
      <c r="AE37" s="114">
        <f t="shared" si="10"/>
        <v>53</v>
      </c>
      <c r="AF37" s="133">
        <f>Summary!X71</f>
        <v>0.9285714285714286</v>
      </c>
      <c r="AH37" s="164">
        <f t="shared" si="4"/>
        <v>-17</v>
      </c>
      <c r="AI37" s="113">
        <f t="shared" si="5"/>
        <v>0</v>
      </c>
      <c r="AK37" s="131" t="s">
        <v>100</v>
      </c>
      <c r="AL37" s="132">
        <f>Summary!AC71</f>
        <v>15</v>
      </c>
      <c r="AM37" s="132">
        <f>Summary!AB71</f>
        <v>30</v>
      </c>
      <c r="AN37" s="162">
        <f t="shared" si="6"/>
        <v>45</v>
      </c>
      <c r="AO37" s="159">
        <v>1</v>
      </c>
      <c r="AQ37" s="88">
        <f t="shared" si="7"/>
        <v>-37</v>
      </c>
      <c r="AR37" s="113">
        <f t="shared" si="8"/>
        <v>0</v>
      </c>
      <c r="AT37" s="131" t="s">
        <v>100</v>
      </c>
      <c r="AU37" s="161">
        <f>Summary!I71</f>
        <v>22</v>
      </c>
      <c r="AV37" s="161">
        <f>SUM(Summary!J71:K71)</f>
        <v>43</v>
      </c>
      <c r="AW37" s="114">
        <f t="shared" si="9"/>
        <v>65</v>
      </c>
      <c r="AX37" s="159">
        <v>1</v>
      </c>
    </row>
    <row r="38" spans="4:50" x14ac:dyDescent="0.3">
      <c r="D38" s="89" t="s">
        <v>15</v>
      </c>
      <c r="E38" s="57">
        <v>0.04</v>
      </c>
      <c r="F38" s="135">
        <f t="shared" si="11"/>
        <v>0.376</v>
      </c>
      <c r="G38" s="118">
        <f t="shared" si="12"/>
        <v>376</v>
      </c>
      <c r="Q38" s="131" t="s">
        <v>136</v>
      </c>
      <c r="R38" s="132">
        <v>32</v>
      </c>
      <c r="S38" s="132">
        <v>0</v>
      </c>
      <c r="T38" s="114">
        <f t="shared" si="0"/>
        <v>32</v>
      </c>
      <c r="U38" s="133">
        <f>H420</f>
        <v>1</v>
      </c>
      <c r="W38" s="88">
        <f>T38-'Single Generic Prompt'!T38</f>
        <v>-9</v>
      </c>
      <c r="X38" s="169">
        <f>U38-'Single Generic Prompt'!U38</f>
        <v>6.25E-2</v>
      </c>
      <c r="Y38" s="88">
        <f t="shared" si="1"/>
        <v>6</v>
      </c>
      <c r="Z38" s="113">
        <f t="shared" si="2"/>
        <v>0</v>
      </c>
      <c r="AB38" s="134" t="s">
        <v>136</v>
      </c>
      <c r="AC38" s="132">
        <f>Summary!W159</f>
        <v>24</v>
      </c>
      <c r="AD38" s="132">
        <f>Summary!V159</f>
        <v>2</v>
      </c>
      <c r="AE38" s="114">
        <f t="shared" si="10"/>
        <v>26</v>
      </c>
      <c r="AF38" s="133">
        <f>Summary!X159</f>
        <v>1</v>
      </c>
      <c r="AH38" s="164">
        <f t="shared" si="4"/>
        <v>-124</v>
      </c>
      <c r="AI38" s="113">
        <f t="shared" si="5"/>
        <v>0</v>
      </c>
      <c r="AK38" s="134" t="s">
        <v>136</v>
      </c>
      <c r="AL38" s="132">
        <f>Summary!AC159</f>
        <v>30</v>
      </c>
      <c r="AM38" s="132">
        <f>Summary!AB159</f>
        <v>126</v>
      </c>
      <c r="AN38" s="162">
        <f t="shared" si="6"/>
        <v>156</v>
      </c>
      <c r="AO38" s="159">
        <v>1</v>
      </c>
      <c r="AQ38" s="88">
        <f t="shared" si="7"/>
        <v>-86</v>
      </c>
      <c r="AR38" s="113">
        <f t="shared" si="8"/>
        <v>0</v>
      </c>
      <c r="AT38" s="134" t="s">
        <v>136</v>
      </c>
      <c r="AU38" s="161">
        <f>Summary!I159</f>
        <v>47</v>
      </c>
      <c r="AV38" s="161">
        <f>SUM(Summary!J159:K159)</f>
        <v>71</v>
      </c>
      <c r="AW38" s="114">
        <f t="shared" si="9"/>
        <v>118</v>
      </c>
      <c r="AX38" s="159">
        <v>1</v>
      </c>
    </row>
    <row r="39" spans="4:50" x14ac:dyDescent="0.3">
      <c r="D39" s="142" t="s">
        <v>266</v>
      </c>
      <c r="E39" s="143">
        <v>0.03</v>
      </c>
      <c r="F39" s="144">
        <f t="shared" si="11"/>
        <v>0.28199999999999997</v>
      </c>
      <c r="G39" s="145">
        <f t="shared" si="12"/>
        <v>282</v>
      </c>
      <c r="Q39" s="131" t="s">
        <v>111</v>
      </c>
      <c r="R39" s="132">
        <v>37</v>
      </c>
      <c r="S39" s="132">
        <v>0</v>
      </c>
      <c r="T39" s="114">
        <f t="shared" si="0"/>
        <v>37</v>
      </c>
      <c r="U39" s="133">
        <f>H468</f>
        <v>1</v>
      </c>
      <c r="W39" s="88">
        <f>T39-'Single Generic Prompt'!T39</f>
        <v>1</v>
      </c>
      <c r="X39" s="169">
        <f>U39-'Single Generic Prompt'!U39</f>
        <v>0.1428571428571429</v>
      </c>
      <c r="Y39" s="88">
        <f t="shared" si="1"/>
        <v>-22</v>
      </c>
      <c r="Z39" s="113">
        <f t="shared" si="2"/>
        <v>0</v>
      </c>
      <c r="AB39" s="131" t="s">
        <v>111</v>
      </c>
      <c r="AC39" s="132">
        <f>Summary!W87</f>
        <v>28</v>
      </c>
      <c r="AD39" s="132">
        <f>Summary!V87</f>
        <v>31</v>
      </c>
      <c r="AE39" s="114">
        <f t="shared" si="10"/>
        <v>59</v>
      </c>
      <c r="AF39" s="133">
        <f>Summary!X87</f>
        <v>1</v>
      </c>
      <c r="AH39" s="164">
        <f t="shared" si="4"/>
        <v>-23</v>
      </c>
      <c r="AI39" s="113">
        <f t="shared" si="5"/>
        <v>0</v>
      </c>
      <c r="AK39" s="131" t="s">
        <v>111</v>
      </c>
      <c r="AL39" s="132">
        <f>Summary!AC87</f>
        <v>12</v>
      </c>
      <c r="AM39" s="132">
        <f>Summary!AB87</f>
        <v>48</v>
      </c>
      <c r="AN39" s="162">
        <f t="shared" si="6"/>
        <v>60</v>
      </c>
      <c r="AO39" s="159">
        <v>1</v>
      </c>
      <c r="AQ39" s="88">
        <f t="shared" si="7"/>
        <v>-112</v>
      </c>
      <c r="AR39" s="113">
        <f t="shared" si="8"/>
        <v>0</v>
      </c>
      <c r="AT39" s="131" t="s">
        <v>111</v>
      </c>
      <c r="AU39" s="161">
        <f>Summary!I87</f>
        <v>47</v>
      </c>
      <c r="AV39" s="161">
        <f>SUM(Summary!J87:K87)</f>
        <v>102</v>
      </c>
      <c r="AW39" s="114">
        <f t="shared" si="9"/>
        <v>149</v>
      </c>
      <c r="AX39" s="159">
        <v>1</v>
      </c>
    </row>
    <row r="40" spans="4:50" x14ac:dyDescent="0.3">
      <c r="D40" s="89" t="s">
        <v>267</v>
      </c>
      <c r="E40" s="57">
        <v>0.03</v>
      </c>
      <c r="F40" s="135">
        <f t="shared" si="11"/>
        <v>0.28199999999999997</v>
      </c>
      <c r="G40" s="118">
        <f t="shared" si="12"/>
        <v>282</v>
      </c>
      <c r="Q40" s="131" t="s">
        <v>3</v>
      </c>
      <c r="R40" s="132">
        <v>33</v>
      </c>
      <c r="S40" s="132">
        <v>8</v>
      </c>
      <c r="T40" s="114">
        <f t="shared" si="0"/>
        <v>41</v>
      </c>
      <c r="U40" s="133">
        <f>H510</f>
        <v>0.875</v>
      </c>
      <c r="W40" s="88">
        <f>T40-'Single Generic Prompt'!T40</f>
        <v>-12</v>
      </c>
      <c r="X40" s="169">
        <f>U40-'Single Generic Prompt'!U40</f>
        <v>0.125</v>
      </c>
      <c r="Y40" s="88">
        <f t="shared" si="1"/>
        <v>-68</v>
      </c>
      <c r="Z40" s="113">
        <f t="shared" si="2"/>
        <v>4.166666666666663E-2</v>
      </c>
      <c r="AB40" s="131" t="s">
        <v>3</v>
      </c>
      <c r="AC40" s="132">
        <f>Summary!W39</f>
        <v>24</v>
      </c>
      <c r="AD40" s="132">
        <f>Summary!V39</f>
        <v>85</v>
      </c>
      <c r="AE40" s="114">
        <f>SUM(AC40:AD40)</f>
        <v>109</v>
      </c>
      <c r="AF40" s="133">
        <f>Summary!X39</f>
        <v>0.83333333333333337</v>
      </c>
      <c r="AH40" s="164">
        <f t="shared" si="4"/>
        <v>-183.84</v>
      </c>
      <c r="AI40" s="113">
        <f t="shared" si="5"/>
        <v>-0.125</v>
      </c>
      <c r="AK40" s="131" t="s">
        <v>3</v>
      </c>
      <c r="AL40" s="132">
        <f>Summary!AC39</f>
        <v>25</v>
      </c>
      <c r="AM40" s="161">
        <f>Summary!AB39</f>
        <v>199.84</v>
      </c>
      <c r="AN40" s="162">
        <f>SUM(AL40:AM40)</f>
        <v>224.84</v>
      </c>
      <c r="AO40" s="159">
        <v>1</v>
      </c>
      <c r="AQ40" s="88">
        <f t="shared" si="7"/>
        <v>-95</v>
      </c>
      <c r="AR40" s="113">
        <f t="shared" si="8"/>
        <v>-0.125</v>
      </c>
      <c r="AT40" s="131" t="s">
        <v>3</v>
      </c>
      <c r="AU40" s="161">
        <f>Summary!I39</f>
        <v>52</v>
      </c>
      <c r="AV40" s="161">
        <f>SUM(Summary!J39:K39)</f>
        <v>84</v>
      </c>
      <c r="AW40" s="114">
        <f>SUM(AU40:AV40)</f>
        <v>136</v>
      </c>
      <c r="AX40" s="159">
        <v>1</v>
      </c>
    </row>
    <row r="41" spans="4:50" x14ac:dyDescent="0.3">
      <c r="D41" s="89" t="s">
        <v>20</v>
      </c>
      <c r="E41" s="57">
        <v>0.02</v>
      </c>
      <c r="F41" s="135">
        <f t="shared" si="11"/>
        <v>0.188</v>
      </c>
      <c r="G41" s="118">
        <f t="shared" si="12"/>
        <v>188</v>
      </c>
      <c r="Q41" s="136" t="s">
        <v>94</v>
      </c>
      <c r="R41" s="137">
        <v>30</v>
      </c>
      <c r="S41" s="137">
        <v>8</v>
      </c>
      <c r="T41" s="138">
        <f t="shared" si="0"/>
        <v>38</v>
      </c>
      <c r="U41" s="139">
        <f>H550</f>
        <v>0.8571428571428571</v>
      </c>
      <c r="W41" s="88">
        <f>T41-'Single Generic Prompt'!T41</f>
        <v>-2</v>
      </c>
      <c r="X41" s="169">
        <f>U41-'Single Generic Prompt'!U41</f>
        <v>7.1428571428571397E-2</v>
      </c>
      <c r="Y41" s="88">
        <f t="shared" si="1"/>
        <v>-61</v>
      </c>
      <c r="Z41" s="113">
        <f t="shared" si="2"/>
        <v>4.4642857142857095E-2</v>
      </c>
      <c r="AB41" s="136" t="s">
        <v>94</v>
      </c>
      <c r="AC41" s="137">
        <f>Summary!W54</f>
        <v>34</v>
      </c>
      <c r="AD41" s="137">
        <f>Summary!V54</f>
        <v>65</v>
      </c>
      <c r="AE41" s="138">
        <f>SUM(AC41:AD41)</f>
        <v>99</v>
      </c>
      <c r="AF41" s="139">
        <f>Summary!X54</f>
        <v>0.8125</v>
      </c>
      <c r="AH41" s="164">
        <f t="shared" si="4"/>
        <v>0</v>
      </c>
      <c r="AI41" s="113">
        <f t="shared" si="5"/>
        <v>-0.1428571428571429</v>
      </c>
      <c r="AK41" s="136" t="s">
        <v>94</v>
      </c>
      <c r="AL41" s="137">
        <f>Summary!AC54</f>
        <v>18</v>
      </c>
      <c r="AM41" s="137">
        <f>Summary!AB54</f>
        <v>20</v>
      </c>
      <c r="AN41" s="163">
        <f>SUM(AL41:AM41)</f>
        <v>38</v>
      </c>
      <c r="AO41" s="160">
        <v>1</v>
      </c>
      <c r="AQ41" s="88">
        <f t="shared" si="7"/>
        <v>-85</v>
      </c>
      <c r="AR41" s="113">
        <f t="shared" si="8"/>
        <v>-0.1428571428571429</v>
      </c>
      <c r="AT41" s="136" t="s">
        <v>94</v>
      </c>
      <c r="AU41" s="165">
        <f>Summary!I54</f>
        <v>49</v>
      </c>
      <c r="AV41" s="165">
        <f>SUM(Summary!J54:K54)</f>
        <v>74</v>
      </c>
      <c r="AW41" s="138">
        <f>SUM(AU41:AV41)</f>
        <v>123</v>
      </c>
      <c r="AX41" s="160">
        <v>1</v>
      </c>
    </row>
    <row r="42" spans="4:50" x14ac:dyDescent="0.3">
      <c r="D42" s="89" t="s">
        <v>22</v>
      </c>
      <c r="E42" s="57">
        <v>0.02</v>
      </c>
      <c r="F42" s="135">
        <f t="shared" si="11"/>
        <v>0.188</v>
      </c>
      <c r="G42" s="118">
        <f t="shared" si="12"/>
        <v>188</v>
      </c>
      <c r="Q42" s="136" t="s">
        <v>11</v>
      </c>
      <c r="R42" s="138">
        <f>SUM(R32:R41)</f>
        <v>332</v>
      </c>
      <c r="S42" s="138">
        <f t="shared" ref="S42:T42" si="13">SUM(S32:S41)</f>
        <v>55</v>
      </c>
      <c r="T42" s="138">
        <f t="shared" si="13"/>
        <v>387</v>
      </c>
      <c r="U42" s="155">
        <f>AVERAGE(U32:U41)</f>
        <v>0.91626984126984135</v>
      </c>
      <c r="W42" s="88">
        <f>T42-'Single Generic Prompt'!T42</f>
        <v>-11</v>
      </c>
      <c r="X42" s="169">
        <f>U42-'Single Generic Prompt'!U42</f>
        <v>6.7857142857142949E-2</v>
      </c>
      <c r="Y42" s="88">
        <f t="shared" si="1"/>
        <v>-158</v>
      </c>
      <c r="Z42" s="113">
        <f>U42-AF42</f>
        <v>-1.1170634920634859E-2</v>
      </c>
      <c r="AB42" s="136" t="s">
        <v>11</v>
      </c>
      <c r="AC42" s="138">
        <f>SUM(AC32:AC41)</f>
        <v>257</v>
      </c>
      <c r="AD42" s="138">
        <f>SUM(AD32:AD41)</f>
        <v>288</v>
      </c>
      <c r="AE42" s="138">
        <f>SUM(AE32:AE41)</f>
        <v>545</v>
      </c>
      <c r="AF42" s="156">
        <f>AVERAGE(AF32:AF41)</f>
        <v>0.9274404761904762</v>
      </c>
      <c r="AH42" s="164">
        <f t="shared" si="4"/>
        <v>-639.52</v>
      </c>
      <c r="AI42" s="113">
        <f t="shared" si="5"/>
        <v>-8.3730158730158655E-2</v>
      </c>
      <c r="AK42" s="136" t="s">
        <v>11</v>
      </c>
      <c r="AL42" s="138">
        <f>SUM(AL32:AL41)</f>
        <v>197</v>
      </c>
      <c r="AM42" s="163">
        <f>SUM(AM32:AM41)</f>
        <v>829.5200000000001</v>
      </c>
      <c r="AN42" s="163">
        <f>SUM(AN32:AN41)</f>
        <v>1026.52</v>
      </c>
      <c r="AO42" s="156">
        <f>AVERAGE(AO32:AO41)</f>
        <v>1</v>
      </c>
      <c r="AQ42" s="88">
        <f t="shared" si="7"/>
        <v>-651</v>
      </c>
      <c r="AR42" s="113">
        <f t="shared" si="8"/>
        <v>-8.3730158730158655E-2</v>
      </c>
      <c r="AT42" s="136" t="s">
        <v>11</v>
      </c>
      <c r="AU42" s="163">
        <f>SUM(AU32:AU41)</f>
        <v>354</v>
      </c>
      <c r="AV42" s="163">
        <f>SUM(AV32:AV41)</f>
        <v>684</v>
      </c>
      <c r="AW42" s="138">
        <f>SUM(AW32:AW41)</f>
        <v>1038</v>
      </c>
      <c r="AX42" s="156">
        <f>AVERAGE(AX32:AX41)</f>
        <v>1</v>
      </c>
    </row>
    <row r="43" spans="4:50" x14ac:dyDescent="0.3">
      <c r="E43" s="146">
        <f>SUM(E34:E42)</f>
        <v>1.0000000000000002</v>
      </c>
      <c r="F43" s="147">
        <f>SUM(F34:F42)</f>
        <v>9.4</v>
      </c>
      <c r="G43" s="120">
        <f>SUM(G34:G42)</f>
        <v>9400</v>
      </c>
      <c r="R43" s="57">
        <f>R42/'Single Generic Prompt'!R42-1</f>
        <v>0.39495798319327724</v>
      </c>
      <c r="S43" s="57">
        <f>S42/'Single Generic Prompt'!S42-1</f>
        <v>-0.65625</v>
      </c>
      <c r="T43" s="57">
        <f>T42/'Single Generic Prompt'!T42-1</f>
        <v>-2.7638190954773822E-2</v>
      </c>
      <c r="U43" s="57">
        <f>T42/AE42-1</f>
        <v>-0.28990825688073396</v>
      </c>
      <c r="Y43" s="88"/>
      <c r="Z43" s="88"/>
    </row>
    <row r="44" spans="4:50" ht="14.4" x14ac:dyDescent="0.3">
      <c r="Q44" s="128" t="s">
        <v>262</v>
      </c>
      <c r="R44" s="140">
        <v>36</v>
      </c>
      <c r="S44" s="140">
        <v>0</v>
      </c>
      <c r="T44" s="129">
        <f>SUM(R44:S44)</f>
        <v>36</v>
      </c>
      <c r="U44" s="141">
        <f>H57</f>
        <v>1</v>
      </c>
      <c r="W44" s="88">
        <f>T44-'Single Generic Prompt'!T44</f>
        <v>1</v>
      </c>
      <c r="X44" s="169">
        <f>U44-'Single Generic Prompt'!U44</f>
        <v>0</v>
      </c>
      <c r="Y44" s="88"/>
      <c r="Z44" s="88"/>
      <c r="AB44"/>
      <c r="AC44"/>
      <c r="AD44"/>
      <c r="AE44"/>
      <c r="AF44"/>
    </row>
    <row r="45" spans="4:50" ht="14.4" x14ac:dyDescent="0.3">
      <c r="D45" s="101" t="s">
        <v>271</v>
      </c>
      <c r="G45" s="101" t="s">
        <v>1</v>
      </c>
      <c r="Q45" s="131" t="s">
        <v>294</v>
      </c>
      <c r="R45" s="132">
        <v>36</v>
      </c>
      <c r="S45" s="132">
        <v>0</v>
      </c>
      <c r="T45" s="114">
        <f t="shared" ref="T45:T48" si="14">SUM(R45:S45)</f>
        <v>36</v>
      </c>
      <c r="U45" s="133">
        <f>H100</f>
        <v>1</v>
      </c>
      <c r="W45" s="88">
        <f>T45-'Single Generic Prompt'!T45</f>
        <v>-6</v>
      </c>
      <c r="X45" s="169">
        <f>U45-'Single Generic Prompt'!U45</f>
        <v>7.1428571428571397E-2</v>
      </c>
      <c r="Y45" s="88"/>
      <c r="Z45" s="88"/>
      <c r="AB45"/>
      <c r="AC45"/>
      <c r="AD45"/>
      <c r="AE45"/>
      <c r="AF45"/>
    </row>
    <row r="46" spans="4:50" ht="14.4" x14ac:dyDescent="0.3">
      <c r="Q46" s="131" t="s">
        <v>295</v>
      </c>
      <c r="R46" s="132">
        <v>29</v>
      </c>
      <c r="S46" s="132">
        <v>0</v>
      </c>
      <c r="T46" s="114">
        <f t="shared" si="14"/>
        <v>29</v>
      </c>
      <c r="U46" s="133">
        <f>H127</f>
        <v>1</v>
      </c>
      <c r="W46" s="88">
        <f>T46-'Single Generic Prompt'!T46</f>
        <v>8</v>
      </c>
      <c r="X46" s="169">
        <f>U46-'Single Generic Prompt'!U46</f>
        <v>0</v>
      </c>
      <c r="AB46"/>
      <c r="AC46"/>
      <c r="AD46"/>
      <c r="AE46"/>
      <c r="AF46"/>
    </row>
    <row r="47" spans="4:50" ht="14.4" x14ac:dyDescent="0.3">
      <c r="D47" s="91" t="s">
        <v>14</v>
      </c>
      <c r="E47" s="90" t="s">
        <v>283</v>
      </c>
      <c r="G47" s="91" t="s">
        <v>14</v>
      </c>
      <c r="H47" s="90" t="s">
        <v>283</v>
      </c>
      <c r="Q47" s="131" t="s">
        <v>296</v>
      </c>
      <c r="R47" s="132">
        <v>38</v>
      </c>
      <c r="S47" s="132">
        <v>0</v>
      </c>
      <c r="T47" s="114">
        <f t="shared" si="14"/>
        <v>38</v>
      </c>
      <c r="U47" s="133">
        <f>H197</f>
        <v>1</v>
      </c>
      <c r="W47" s="88">
        <f>T47-'Single Generic Prompt'!T47</f>
        <v>-7</v>
      </c>
      <c r="X47" s="169">
        <f>U47-'Single Generic Prompt'!U47</f>
        <v>6.25E-2</v>
      </c>
      <c r="AB47"/>
      <c r="AC47"/>
      <c r="AD47"/>
      <c r="AE47"/>
      <c r="AF47"/>
    </row>
    <row r="48" spans="4:50" ht="14.4" x14ac:dyDescent="0.3">
      <c r="D48" s="89" t="s">
        <v>16</v>
      </c>
      <c r="E48" s="118">
        <f>G34</f>
        <v>2726</v>
      </c>
      <c r="G48" s="89" t="s">
        <v>16</v>
      </c>
      <c r="H48" s="118">
        <v>2726</v>
      </c>
      <c r="J48" s="89" t="b">
        <f t="shared" ref="J48:K55" si="15">D48=G48</f>
        <v>1</v>
      </c>
      <c r="K48" s="89" t="b">
        <f t="shared" si="15"/>
        <v>1</v>
      </c>
      <c r="Q48" s="136" t="s">
        <v>297</v>
      </c>
      <c r="R48" s="137">
        <v>25</v>
      </c>
      <c r="S48" s="137">
        <v>0</v>
      </c>
      <c r="T48" s="138">
        <f t="shared" si="14"/>
        <v>25</v>
      </c>
      <c r="U48" s="139">
        <f>H154</f>
        <v>1</v>
      </c>
      <c r="W48" s="88">
        <f>T48-'Single Generic Prompt'!T48</f>
        <v>-3</v>
      </c>
      <c r="X48" s="169">
        <f>U48-'Single Generic Prompt'!U48</f>
        <v>0</v>
      </c>
      <c r="AB48"/>
      <c r="AC48"/>
      <c r="AD48"/>
      <c r="AE48"/>
      <c r="AF48"/>
    </row>
    <row r="49" spans="4:32" ht="14.4" x14ac:dyDescent="0.3">
      <c r="D49" s="89" t="s">
        <v>17</v>
      </c>
      <c r="E49" s="118">
        <f>G35</f>
        <v>4512</v>
      </c>
      <c r="G49" s="89" t="s">
        <v>17</v>
      </c>
      <c r="H49" s="118">
        <v>4512</v>
      </c>
      <c r="J49" s="89" t="b">
        <f t="shared" si="15"/>
        <v>1</v>
      </c>
      <c r="K49" s="89" t="b">
        <f t="shared" si="15"/>
        <v>1</v>
      </c>
      <c r="Q49" s="136" t="s">
        <v>11</v>
      </c>
      <c r="R49" s="138">
        <f>SUM(R44:R48)</f>
        <v>164</v>
      </c>
      <c r="S49" s="138">
        <f t="shared" ref="S49:T49" si="16">SUM(S44:S48)</f>
        <v>0</v>
      </c>
      <c r="T49" s="138">
        <f t="shared" si="16"/>
        <v>164</v>
      </c>
      <c r="U49" s="156">
        <f>AVERAGE(U44:U48)</f>
        <v>1</v>
      </c>
      <c r="W49" s="88">
        <f>T49-'Single Generic Prompt'!T49</f>
        <v>-7</v>
      </c>
      <c r="X49" s="169">
        <f>U49-'Single Generic Prompt'!U49</f>
        <v>2.6785714285714191E-2</v>
      </c>
      <c r="AB49"/>
      <c r="AC49"/>
      <c r="AD49"/>
      <c r="AE49"/>
      <c r="AF49"/>
    </row>
    <row r="50" spans="4:32" x14ac:dyDescent="0.3">
      <c r="D50" s="89" t="s">
        <v>18</v>
      </c>
      <c r="E50" s="118">
        <f>G37</f>
        <v>376</v>
      </c>
      <c r="G50" s="89" t="s">
        <v>18</v>
      </c>
      <c r="H50" s="118">
        <v>376</v>
      </c>
      <c r="J50" s="89" t="b">
        <f t="shared" si="15"/>
        <v>1</v>
      </c>
      <c r="K50" s="89" t="b">
        <f t="shared" si="15"/>
        <v>1</v>
      </c>
      <c r="Q50" s="88"/>
      <c r="R50" s="57">
        <f>R49/'Single Generic Prompt'!R49-1</f>
        <v>0.27131782945736438</v>
      </c>
      <c r="S50" s="57">
        <f>S49/'Single Generic Prompt'!S49-1</f>
        <v>-1</v>
      </c>
      <c r="T50" s="57">
        <f>T49/'Single Generic Prompt'!T49-1</f>
        <v>-4.0935672514619936E-2</v>
      </c>
    </row>
    <row r="51" spans="4:32" x14ac:dyDescent="0.3">
      <c r="D51" s="89" t="s">
        <v>15</v>
      </c>
      <c r="E51" s="118">
        <f>G38</f>
        <v>376</v>
      </c>
      <c r="G51" s="89" t="s">
        <v>15</v>
      </c>
      <c r="H51" s="118">
        <v>376</v>
      </c>
      <c r="J51" s="89" t="b">
        <f t="shared" si="15"/>
        <v>1</v>
      </c>
      <c r="K51" s="89" t="b">
        <f t="shared" si="15"/>
        <v>1</v>
      </c>
      <c r="Q51" s="88"/>
    </row>
    <row r="52" spans="4:32" ht="14.4" x14ac:dyDescent="0.3">
      <c r="D52" s="89" t="s">
        <v>21</v>
      </c>
      <c r="E52" s="118">
        <f>G39</f>
        <v>282</v>
      </c>
      <c r="G52" s="89" t="s">
        <v>21</v>
      </c>
      <c r="H52" s="118">
        <v>282</v>
      </c>
      <c r="J52" s="89" t="b">
        <f t="shared" si="15"/>
        <v>1</v>
      </c>
      <c r="K52" s="89" t="b">
        <f t="shared" si="15"/>
        <v>1</v>
      </c>
      <c r="N52"/>
      <c r="O52"/>
      <c r="Q52" s="88"/>
    </row>
    <row r="53" spans="4:32" ht="14.4" x14ac:dyDescent="0.3">
      <c r="D53" s="89" t="s">
        <v>51</v>
      </c>
      <c r="E53" s="118">
        <f>G41</f>
        <v>188</v>
      </c>
      <c r="G53" s="89" t="s">
        <v>51</v>
      </c>
      <c r="H53" s="118">
        <v>188</v>
      </c>
      <c r="J53" s="89" t="b">
        <f t="shared" si="15"/>
        <v>1</v>
      </c>
      <c r="K53" s="89" t="b">
        <f t="shared" si="15"/>
        <v>1</v>
      </c>
      <c r="N53"/>
      <c r="O53"/>
      <c r="Q53" s="88"/>
    </row>
    <row r="54" spans="4:32" x14ac:dyDescent="0.3">
      <c r="D54" s="89" t="s">
        <v>22</v>
      </c>
      <c r="E54" s="118">
        <f>G42+G36+G40</f>
        <v>940</v>
      </c>
      <c r="G54" s="89" t="s">
        <v>22</v>
      </c>
      <c r="H54" s="118">
        <v>940</v>
      </c>
      <c r="J54" s="89" t="b">
        <f t="shared" si="15"/>
        <v>1</v>
      </c>
      <c r="K54" s="89" t="b">
        <f t="shared" si="15"/>
        <v>1</v>
      </c>
      <c r="Q54" s="88"/>
    </row>
    <row r="55" spans="4:32" x14ac:dyDescent="0.3">
      <c r="D55" s="93" t="s">
        <v>77</v>
      </c>
      <c r="E55" s="120">
        <f>SUM(E48:E54)</f>
        <v>9400</v>
      </c>
      <c r="G55" s="93" t="s">
        <v>77</v>
      </c>
      <c r="H55" s="120">
        <v>9400</v>
      </c>
      <c r="J55" s="89" t="b">
        <f t="shared" si="15"/>
        <v>1</v>
      </c>
      <c r="K55" s="89" t="b">
        <f t="shared" si="15"/>
        <v>1</v>
      </c>
      <c r="Q55" s="88"/>
    </row>
    <row r="57" spans="4:32" x14ac:dyDescent="0.3">
      <c r="G57" s="101" t="s">
        <v>5</v>
      </c>
      <c r="H57" s="109">
        <v>1</v>
      </c>
    </row>
    <row r="74" spans="2:7" x14ac:dyDescent="0.3">
      <c r="B74" s="121" t="s">
        <v>298</v>
      </c>
      <c r="D74" s="127" t="s">
        <v>264</v>
      </c>
      <c r="E74" s="116">
        <v>26.5</v>
      </c>
    </row>
    <row r="76" spans="2:7" x14ac:dyDescent="0.3">
      <c r="D76" s="101" t="s">
        <v>24</v>
      </c>
    </row>
    <row r="77" spans="2:7" x14ac:dyDescent="0.3">
      <c r="D77" s="101"/>
    </row>
    <row r="78" spans="2:7" x14ac:dyDescent="0.3">
      <c r="D78" s="91" t="s">
        <v>268</v>
      </c>
      <c r="E78" s="90" t="s">
        <v>158</v>
      </c>
      <c r="F78" s="90" t="s">
        <v>269</v>
      </c>
      <c r="G78" s="90" t="s">
        <v>270</v>
      </c>
    </row>
    <row r="79" spans="2:7" x14ac:dyDescent="0.3">
      <c r="D79" s="89" t="s">
        <v>18</v>
      </c>
      <c r="E79" s="57">
        <v>0.17</v>
      </c>
      <c r="F79" s="135">
        <f>$E$74*E79</f>
        <v>4.5049999999999999</v>
      </c>
      <c r="G79" s="118">
        <f>F79*1000</f>
        <v>4505</v>
      </c>
    </row>
    <row r="80" spans="2:7" x14ac:dyDescent="0.3">
      <c r="D80" s="89" t="s">
        <v>299</v>
      </c>
      <c r="E80" s="57">
        <v>0.1</v>
      </c>
      <c r="F80" s="135">
        <f t="shared" ref="F80:F86" si="17">$E$74*E80</f>
        <v>2.6500000000000004</v>
      </c>
      <c r="G80" s="118">
        <f t="shared" ref="G80:G86" si="18">F80*1000</f>
        <v>2650.0000000000005</v>
      </c>
    </row>
    <row r="81" spans="4:11" ht="14.4" x14ac:dyDescent="0.3">
      <c r="D81" s="89" t="s">
        <v>15</v>
      </c>
      <c r="E81" s="57">
        <v>0.1</v>
      </c>
      <c r="F81" s="135">
        <f t="shared" si="17"/>
        <v>2.6500000000000004</v>
      </c>
      <c r="G81" s="118">
        <f t="shared" si="18"/>
        <v>2650.0000000000005</v>
      </c>
      <c r="H81"/>
    </row>
    <row r="82" spans="4:11" x14ac:dyDescent="0.3">
      <c r="D82" s="89" t="s">
        <v>300</v>
      </c>
      <c r="E82" s="57">
        <v>0.02</v>
      </c>
      <c r="F82" s="135">
        <f t="shared" si="17"/>
        <v>0.53</v>
      </c>
      <c r="G82" s="118">
        <f t="shared" si="18"/>
        <v>530</v>
      </c>
    </row>
    <row r="83" spans="4:11" x14ac:dyDescent="0.3">
      <c r="D83" s="89" t="s">
        <v>16</v>
      </c>
      <c r="E83" s="57">
        <v>0.11</v>
      </c>
      <c r="F83" s="135">
        <f t="shared" si="17"/>
        <v>2.915</v>
      </c>
      <c r="G83" s="118">
        <f t="shared" si="18"/>
        <v>2915</v>
      </c>
    </row>
    <row r="84" spans="4:11" x14ac:dyDescent="0.3">
      <c r="D84" s="142" t="s">
        <v>153</v>
      </c>
      <c r="E84" s="143">
        <v>0.09</v>
      </c>
      <c r="F84" s="144">
        <f t="shared" si="17"/>
        <v>2.3849999999999998</v>
      </c>
      <c r="G84" s="145">
        <f t="shared" si="18"/>
        <v>2385</v>
      </c>
    </row>
    <row r="85" spans="4:11" x14ac:dyDescent="0.3">
      <c r="D85" s="89" t="s">
        <v>301</v>
      </c>
      <c r="E85" s="57">
        <v>0.11</v>
      </c>
      <c r="F85" s="135">
        <f t="shared" si="17"/>
        <v>2.915</v>
      </c>
      <c r="G85" s="118">
        <f t="shared" si="18"/>
        <v>2915</v>
      </c>
    </row>
    <row r="86" spans="4:11" x14ac:dyDescent="0.3">
      <c r="D86" s="89" t="s">
        <v>302</v>
      </c>
      <c r="E86" s="57">
        <v>0.3</v>
      </c>
      <c r="F86" s="135">
        <f t="shared" si="17"/>
        <v>7.9499999999999993</v>
      </c>
      <c r="G86" s="118">
        <f t="shared" si="18"/>
        <v>7949.9999999999991</v>
      </c>
    </row>
    <row r="87" spans="4:11" x14ac:dyDescent="0.3">
      <c r="E87" s="146">
        <f>SUM(E79:E86)</f>
        <v>1</v>
      </c>
      <c r="F87" s="147">
        <f>SUM(F79:F86)</f>
        <v>26.5</v>
      </c>
      <c r="G87" s="120">
        <f>SUM(G79:G86)</f>
        <v>26500</v>
      </c>
    </row>
    <row r="89" spans="4:11" x14ac:dyDescent="0.3">
      <c r="D89" s="101" t="s">
        <v>271</v>
      </c>
      <c r="G89" s="101" t="s">
        <v>1</v>
      </c>
    </row>
    <row r="91" spans="4:11" x14ac:dyDescent="0.3">
      <c r="D91" s="91" t="s">
        <v>14</v>
      </c>
      <c r="E91" s="90" t="s">
        <v>283</v>
      </c>
      <c r="G91" s="91" t="s">
        <v>14</v>
      </c>
      <c r="H91" s="90" t="s">
        <v>283</v>
      </c>
    </row>
    <row r="92" spans="4:11" x14ac:dyDescent="0.3">
      <c r="D92" s="89" t="s">
        <v>16</v>
      </c>
      <c r="E92" s="118">
        <f>G83</f>
        <v>2915</v>
      </c>
      <c r="G92" s="89" t="s">
        <v>16</v>
      </c>
      <c r="H92" s="118">
        <v>2915</v>
      </c>
      <c r="J92" s="89" t="b">
        <f t="shared" ref="J92:K92" si="19">D92=G92</f>
        <v>1</v>
      </c>
      <c r="K92" s="89" t="b">
        <f t="shared" si="19"/>
        <v>1</v>
      </c>
    </row>
    <row r="93" spans="4:11" x14ac:dyDescent="0.3">
      <c r="D93" s="89" t="s">
        <v>17</v>
      </c>
      <c r="E93" s="118">
        <f>G86</f>
        <v>7949.9999999999991</v>
      </c>
      <c r="G93" s="89" t="s">
        <v>17</v>
      </c>
      <c r="H93" s="118">
        <v>7950</v>
      </c>
      <c r="J93" s="89" t="b">
        <f t="shared" ref="J93:J98" si="20">D93=G93</f>
        <v>1</v>
      </c>
      <c r="K93" s="89" t="b">
        <f t="shared" ref="K93:K98" si="21">E93=H93</f>
        <v>1</v>
      </c>
    </row>
    <row r="94" spans="4:11" x14ac:dyDescent="0.3">
      <c r="D94" s="89" t="s">
        <v>18</v>
      </c>
      <c r="E94" s="118">
        <f>G79</f>
        <v>4505</v>
      </c>
      <c r="G94" s="89" t="s">
        <v>18</v>
      </c>
      <c r="H94" s="118">
        <v>4505</v>
      </c>
      <c r="J94" s="89" t="b">
        <f t="shared" si="20"/>
        <v>1</v>
      </c>
      <c r="K94" s="89" t="b">
        <f t="shared" si="21"/>
        <v>1</v>
      </c>
    </row>
    <row r="95" spans="4:11" x14ac:dyDescent="0.3">
      <c r="D95" s="89" t="s">
        <v>15</v>
      </c>
      <c r="E95" s="118">
        <f>G81+G82</f>
        <v>3180.0000000000005</v>
      </c>
      <c r="G95" s="89" t="s">
        <v>15</v>
      </c>
      <c r="H95" s="118">
        <v>3180</v>
      </c>
      <c r="J95" s="89" t="b">
        <f t="shared" si="20"/>
        <v>1</v>
      </c>
      <c r="K95" s="89" t="b">
        <f t="shared" si="21"/>
        <v>1</v>
      </c>
    </row>
    <row r="96" spans="4:11" x14ac:dyDescent="0.3">
      <c r="D96" s="89" t="s">
        <v>51</v>
      </c>
      <c r="E96" s="118">
        <f>G80</f>
        <v>2650.0000000000005</v>
      </c>
      <c r="G96" s="89" t="s">
        <v>51</v>
      </c>
      <c r="H96" s="118">
        <v>2650</v>
      </c>
      <c r="J96" s="89" t="b">
        <f t="shared" si="20"/>
        <v>1</v>
      </c>
      <c r="K96" s="89" t="b">
        <f t="shared" si="21"/>
        <v>1</v>
      </c>
    </row>
    <row r="97" spans="4:11" x14ac:dyDescent="0.3">
      <c r="D97" s="89" t="s">
        <v>22</v>
      </c>
      <c r="E97" s="118">
        <f>G85+G84</f>
        <v>5300</v>
      </c>
      <c r="G97" s="89" t="s">
        <v>22</v>
      </c>
      <c r="H97" s="118">
        <v>5300</v>
      </c>
      <c r="J97" s="89" t="b">
        <f t="shared" si="20"/>
        <v>1</v>
      </c>
      <c r="K97" s="89" t="b">
        <f t="shared" si="21"/>
        <v>1</v>
      </c>
    </row>
    <row r="98" spans="4:11" x14ac:dyDescent="0.3">
      <c r="D98" s="93" t="s">
        <v>77</v>
      </c>
      <c r="E98" s="120">
        <f>SUM(E92:E97)</f>
        <v>26500</v>
      </c>
      <c r="G98" s="93" t="s">
        <v>77</v>
      </c>
      <c r="H98" s="120">
        <v>26500</v>
      </c>
      <c r="J98" s="89" t="b">
        <f t="shared" si="20"/>
        <v>1</v>
      </c>
      <c r="K98" s="89" t="b">
        <f t="shared" si="21"/>
        <v>1</v>
      </c>
    </row>
    <row r="100" spans="4:11" x14ac:dyDescent="0.3">
      <c r="G100" s="101" t="s">
        <v>5</v>
      </c>
      <c r="H100" s="109">
        <v>1</v>
      </c>
    </row>
    <row r="115" spans="2:14" x14ac:dyDescent="0.3">
      <c r="B115" s="121" t="s">
        <v>305</v>
      </c>
      <c r="D115" s="108" t="s">
        <v>24</v>
      </c>
      <c r="G115" s="108" t="s">
        <v>1</v>
      </c>
    </row>
    <row r="116" spans="2:14" ht="14.4" x14ac:dyDescent="0.3">
      <c r="D116" s="148"/>
      <c r="G116" s="108"/>
      <c r="N116"/>
    </row>
    <row r="117" spans="2:14" x14ac:dyDescent="0.3">
      <c r="D117" s="91" t="s">
        <v>14</v>
      </c>
      <c r="E117" s="90" t="s">
        <v>283</v>
      </c>
      <c r="G117" s="91" t="s">
        <v>14</v>
      </c>
      <c r="H117" s="90" t="s">
        <v>283</v>
      </c>
    </row>
    <row r="118" spans="2:14" x14ac:dyDescent="0.3">
      <c r="D118" s="102" t="s">
        <v>15</v>
      </c>
      <c r="E118" s="149">
        <v>4100</v>
      </c>
      <c r="G118" s="102" t="s">
        <v>15</v>
      </c>
      <c r="H118" s="149">
        <v>4100</v>
      </c>
      <c r="J118" s="89" t="b">
        <f t="shared" ref="J118:K125" si="22">D118=G118</f>
        <v>1</v>
      </c>
      <c r="K118" s="89" t="b">
        <f t="shared" si="22"/>
        <v>1</v>
      </c>
    </row>
    <row r="119" spans="2:14" x14ac:dyDescent="0.3">
      <c r="D119" s="102" t="s">
        <v>18</v>
      </c>
      <c r="E119" s="149">
        <v>5800</v>
      </c>
      <c r="G119" s="102" t="s">
        <v>18</v>
      </c>
      <c r="H119" s="149">
        <v>5800</v>
      </c>
      <c r="J119" s="89" t="b">
        <f t="shared" si="22"/>
        <v>1</v>
      </c>
      <c r="K119" s="89" t="b">
        <f t="shared" si="22"/>
        <v>1</v>
      </c>
    </row>
    <row r="120" spans="2:14" x14ac:dyDescent="0.3">
      <c r="D120" s="102" t="s">
        <v>116</v>
      </c>
      <c r="E120" s="149">
        <v>8900</v>
      </c>
      <c r="G120" s="102" t="s">
        <v>116</v>
      </c>
      <c r="H120" s="150">
        <v>8900</v>
      </c>
      <c r="J120" s="89" t="b">
        <f t="shared" si="22"/>
        <v>1</v>
      </c>
      <c r="K120" s="89" t="b">
        <f t="shared" si="22"/>
        <v>1</v>
      </c>
    </row>
    <row r="121" spans="2:14" x14ac:dyDescent="0.3">
      <c r="D121" s="102" t="s">
        <v>21</v>
      </c>
      <c r="E121" s="149">
        <v>100</v>
      </c>
      <c r="G121" s="102" t="s">
        <v>21</v>
      </c>
      <c r="H121" s="151">
        <v>100</v>
      </c>
      <c r="J121" s="89" t="b">
        <f t="shared" si="22"/>
        <v>1</v>
      </c>
      <c r="K121" s="89" t="b">
        <f t="shared" si="22"/>
        <v>1</v>
      </c>
    </row>
    <row r="122" spans="2:14" x14ac:dyDescent="0.3">
      <c r="D122" s="102" t="s">
        <v>16</v>
      </c>
      <c r="E122" s="149">
        <v>2400</v>
      </c>
      <c r="G122" s="102" t="s">
        <v>16</v>
      </c>
      <c r="H122" s="149">
        <v>2400</v>
      </c>
      <c r="J122" s="89" t="b">
        <f t="shared" si="22"/>
        <v>1</v>
      </c>
      <c r="K122" s="89" t="b">
        <f t="shared" si="22"/>
        <v>1</v>
      </c>
    </row>
    <row r="123" spans="2:14" x14ac:dyDescent="0.3">
      <c r="D123" s="102" t="s">
        <v>19</v>
      </c>
      <c r="E123" s="149">
        <v>500</v>
      </c>
      <c r="G123" s="102" t="s">
        <v>19</v>
      </c>
      <c r="H123" s="149">
        <v>500</v>
      </c>
      <c r="J123" s="89" t="b">
        <f t="shared" si="22"/>
        <v>1</v>
      </c>
      <c r="K123" s="89" t="b">
        <f t="shared" si="22"/>
        <v>1</v>
      </c>
    </row>
    <row r="124" spans="2:14" x14ac:dyDescent="0.3">
      <c r="D124" s="102" t="s">
        <v>22</v>
      </c>
      <c r="E124" s="149">
        <f>7100+100</f>
        <v>7200</v>
      </c>
      <c r="G124" s="102" t="s">
        <v>22</v>
      </c>
      <c r="H124" s="149">
        <v>7200</v>
      </c>
      <c r="J124" s="89" t="b">
        <f t="shared" si="22"/>
        <v>1</v>
      </c>
      <c r="K124" s="89" t="b">
        <f t="shared" si="22"/>
        <v>1</v>
      </c>
    </row>
    <row r="125" spans="2:14" x14ac:dyDescent="0.3">
      <c r="D125" s="127" t="s">
        <v>77</v>
      </c>
      <c r="E125" s="152">
        <f>SUM(E118:E124)</f>
        <v>29000</v>
      </c>
      <c r="G125" s="127" t="s">
        <v>77</v>
      </c>
      <c r="H125" s="153">
        <v>29000</v>
      </c>
      <c r="J125" s="89" t="b">
        <f t="shared" si="22"/>
        <v>1</v>
      </c>
      <c r="K125" s="89" t="b">
        <f t="shared" si="22"/>
        <v>1</v>
      </c>
    </row>
    <row r="127" spans="2:14" x14ac:dyDescent="0.3">
      <c r="G127" s="108" t="s">
        <v>5</v>
      </c>
      <c r="H127" s="109">
        <v>1</v>
      </c>
    </row>
    <row r="143" spans="2:7" x14ac:dyDescent="0.3">
      <c r="B143" s="121" t="s">
        <v>306</v>
      </c>
      <c r="D143" s="108" t="s">
        <v>24</v>
      </c>
      <c r="G143" s="108" t="s">
        <v>1</v>
      </c>
    </row>
    <row r="144" spans="2:7" x14ac:dyDescent="0.3">
      <c r="D144" s="148"/>
      <c r="G144" s="108"/>
    </row>
    <row r="145" spans="4:21" x14ac:dyDescent="0.3">
      <c r="D145" s="91" t="s">
        <v>14</v>
      </c>
      <c r="E145" s="90" t="s">
        <v>283</v>
      </c>
      <c r="G145" s="91" t="s">
        <v>14</v>
      </c>
      <c r="H145" s="90" t="s">
        <v>283</v>
      </c>
    </row>
    <row r="146" spans="4:21" x14ac:dyDescent="0.3">
      <c r="D146" s="102" t="s">
        <v>15</v>
      </c>
      <c r="E146" s="149">
        <v>1769</v>
      </c>
      <c r="G146" s="102" t="s">
        <v>15</v>
      </c>
      <c r="H146" s="149">
        <v>1769</v>
      </c>
      <c r="J146" s="89" t="b">
        <f t="shared" ref="J146:K152" si="23">D146=G146</f>
        <v>1</v>
      </c>
      <c r="K146" s="89" t="b">
        <f t="shared" si="23"/>
        <v>1</v>
      </c>
    </row>
    <row r="147" spans="4:21" x14ac:dyDescent="0.3">
      <c r="D147" s="102" t="s">
        <v>18</v>
      </c>
      <c r="E147" s="149">
        <v>1098</v>
      </c>
      <c r="G147" s="102" t="s">
        <v>18</v>
      </c>
      <c r="H147" s="149">
        <v>1098</v>
      </c>
      <c r="J147" s="89" t="b">
        <f t="shared" si="23"/>
        <v>1</v>
      </c>
      <c r="K147" s="89" t="b">
        <f t="shared" si="23"/>
        <v>1</v>
      </c>
    </row>
    <row r="148" spans="4:21" x14ac:dyDescent="0.3">
      <c r="D148" s="102" t="s">
        <v>116</v>
      </c>
      <c r="E148" s="149">
        <v>838</v>
      </c>
      <c r="G148" s="102" t="s">
        <v>116</v>
      </c>
      <c r="H148" s="150">
        <v>838</v>
      </c>
      <c r="J148" s="89" t="b">
        <f t="shared" si="23"/>
        <v>1</v>
      </c>
      <c r="K148" s="89" t="b">
        <f t="shared" si="23"/>
        <v>1</v>
      </c>
    </row>
    <row r="149" spans="4:21" x14ac:dyDescent="0.3">
      <c r="D149" s="102" t="s">
        <v>16</v>
      </c>
      <c r="E149" s="149">
        <v>1375</v>
      </c>
      <c r="G149" s="102" t="s">
        <v>16</v>
      </c>
      <c r="H149" s="149">
        <v>1375</v>
      </c>
      <c r="J149" s="89" t="b">
        <f t="shared" si="23"/>
        <v>1</v>
      </c>
      <c r="K149" s="89" t="b">
        <f t="shared" si="23"/>
        <v>1</v>
      </c>
    </row>
    <row r="150" spans="4:21" x14ac:dyDescent="0.3">
      <c r="D150" s="102" t="s">
        <v>19</v>
      </c>
      <c r="E150" s="149">
        <v>483</v>
      </c>
      <c r="G150" s="102" t="s">
        <v>19</v>
      </c>
      <c r="H150" s="149">
        <v>483</v>
      </c>
      <c r="J150" s="89" t="b">
        <f t="shared" si="23"/>
        <v>1</v>
      </c>
      <c r="K150" s="89" t="b">
        <f t="shared" si="23"/>
        <v>1</v>
      </c>
    </row>
    <row r="151" spans="4:21" x14ac:dyDescent="0.3">
      <c r="D151" s="102" t="s">
        <v>22</v>
      </c>
      <c r="E151" s="149">
        <f>89+562</f>
        <v>651</v>
      </c>
      <c r="G151" s="102" t="s">
        <v>22</v>
      </c>
      <c r="H151" s="149">
        <v>651</v>
      </c>
      <c r="J151" s="89" t="b">
        <f t="shared" si="23"/>
        <v>1</v>
      </c>
      <c r="K151" s="89" t="b">
        <f t="shared" si="23"/>
        <v>1</v>
      </c>
    </row>
    <row r="152" spans="4:21" x14ac:dyDescent="0.3">
      <c r="D152" s="127" t="s">
        <v>77</v>
      </c>
      <c r="E152" s="152">
        <f>SUM(E146:E151)</f>
        <v>6214</v>
      </c>
      <c r="G152" s="127" t="s">
        <v>77</v>
      </c>
      <c r="H152" s="153">
        <v>6214</v>
      </c>
      <c r="J152" s="89" t="b">
        <f t="shared" si="23"/>
        <v>1</v>
      </c>
      <c r="K152" s="89" t="b">
        <f t="shared" si="23"/>
        <v>1</v>
      </c>
    </row>
    <row r="154" spans="4:21" x14ac:dyDescent="0.3">
      <c r="G154" s="108" t="s">
        <v>5</v>
      </c>
      <c r="H154" s="109">
        <v>1</v>
      </c>
    </row>
    <row r="155" spans="4:21" ht="14.4" x14ac:dyDescent="0.3">
      <c r="U155"/>
    </row>
    <row r="170" spans="2:7" x14ac:dyDescent="0.3">
      <c r="B170" s="121" t="s">
        <v>307</v>
      </c>
      <c r="D170" s="127" t="s">
        <v>264</v>
      </c>
      <c r="E170" s="116">
        <v>17.8</v>
      </c>
    </row>
    <row r="172" spans="2:7" x14ac:dyDescent="0.3">
      <c r="D172" s="101" t="s">
        <v>24</v>
      </c>
    </row>
    <row r="173" spans="2:7" x14ac:dyDescent="0.3">
      <c r="D173" s="101"/>
    </row>
    <row r="174" spans="2:7" x14ac:dyDescent="0.3">
      <c r="D174" s="91" t="s">
        <v>268</v>
      </c>
      <c r="E174" s="90" t="s">
        <v>158</v>
      </c>
      <c r="F174" s="90" t="s">
        <v>269</v>
      </c>
      <c r="G174" s="90" t="s">
        <v>270</v>
      </c>
    </row>
    <row r="175" spans="2:7" x14ac:dyDescent="0.3">
      <c r="D175" s="89" t="s">
        <v>17</v>
      </c>
      <c r="E175" s="57">
        <v>0.3</v>
      </c>
      <c r="F175" s="135">
        <f>$E$170*E175</f>
        <v>5.34</v>
      </c>
      <c r="G175" s="118">
        <f>F175*1000</f>
        <v>5340</v>
      </c>
    </row>
    <row r="176" spans="2:7" x14ac:dyDescent="0.3">
      <c r="D176" s="89" t="s">
        <v>18</v>
      </c>
      <c r="E176" s="57">
        <v>0.08</v>
      </c>
      <c r="F176" s="135">
        <f t="shared" ref="F176:F182" si="24">$E$170*E176</f>
        <v>1.4240000000000002</v>
      </c>
      <c r="G176" s="118">
        <f t="shared" ref="G176:G182" si="25">F176*1000</f>
        <v>1424.0000000000002</v>
      </c>
    </row>
    <row r="177" spans="4:24" ht="14.4" x14ac:dyDescent="0.3">
      <c r="D177" s="89" t="s">
        <v>153</v>
      </c>
      <c r="E177" s="57">
        <v>0.04</v>
      </c>
      <c r="F177" s="135">
        <f t="shared" si="24"/>
        <v>0.71200000000000008</v>
      </c>
      <c r="G177" s="118">
        <f t="shared" si="25"/>
        <v>712.00000000000011</v>
      </c>
      <c r="H177"/>
    </row>
    <row r="178" spans="4:24" x14ac:dyDescent="0.3">
      <c r="D178" s="89" t="s">
        <v>154</v>
      </c>
      <c r="E178" s="57">
        <v>0.02</v>
      </c>
      <c r="F178" s="135">
        <f t="shared" si="24"/>
        <v>0.35600000000000004</v>
      </c>
      <c r="G178" s="118">
        <f t="shared" si="25"/>
        <v>356.00000000000006</v>
      </c>
    </row>
    <row r="179" spans="4:24" ht="14.4" x14ac:dyDescent="0.3">
      <c r="D179" s="89" t="s">
        <v>16</v>
      </c>
      <c r="E179" s="57">
        <v>0.22</v>
      </c>
      <c r="F179" s="135">
        <f t="shared" si="24"/>
        <v>3.9160000000000004</v>
      </c>
      <c r="G179" s="118">
        <f t="shared" si="25"/>
        <v>3916.0000000000005</v>
      </c>
      <c r="V179"/>
      <c r="W179"/>
      <c r="X179"/>
    </row>
    <row r="180" spans="4:24" x14ac:dyDescent="0.3">
      <c r="D180" s="142" t="s">
        <v>15</v>
      </c>
      <c r="E180" s="143">
        <v>0.16</v>
      </c>
      <c r="F180" s="144">
        <f t="shared" si="24"/>
        <v>2.8480000000000003</v>
      </c>
      <c r="G180" s="145">
        <f t="shared" si="25"/>
        <v>2848.0000000000005</v>
      </c>
    </row>
    <row r="181" spans="4:24" x14ac:dyDescent="0.3">
      <c r="D181" s="89" t="s">
        <v>22</v>
      </c>
      <c r="E181" s="57">
        <v>0.17</v>
      </c>
      <c r="F181" s="135">
        <f t="shared" si="24"/>
        <v>3.0260000000000002</v>
      </c>
      <c r="G181" s="118">
        <f t="shared" si="25"/>
        <v>3026.0000000000005</v>
      </c>
    </row>
    <row r="182" spans="4:24" x14ac:dyDescent="0.3">
      <c r="D182" s="89" t="s">
        <v>21</v>
      </c>
      <c r="E182" s="57">
        <v>0.01</v>
      </c>
      <c r="F182" s="135">
        <f t="shared" si="24"/>
        <v>0.17800000000000002</v>
      </c>
      <c r="G182" s="118">
        <f t="shared" si="25"/>
        <v>178.00000000000003</v>
      </c>
    </row>
    <row r="183" spans="4:24" x14ac:dyDescent="0.3">
      <c r="E183" s="146">
        <f>SUM(E175:E182)</f>
        <v>1</v>
      </c>
      <c r="F183" s="147">
        <f>SUM(F175:F182)</f>
        <v>17.800000000000004</v>
      </c>
      <c r="G183" s="120">
        <f>SUM(G175:G182)</f>
        <v>17800</v>
      </c>
    </row>
    <row r="184" spans="4:24" x14ac:dyDescent="0.3">
      <c r="E184" s="168">
        <f>G183*E181</f>
        <v>3026</v>
      </c>
    </row>
    <row r="185" spans="4:24" x14ac:dyDescent="0.3">
      <c r="D185" s="101" t="s">
        <v>271</v>
      </c>
      <c r="G185" s="101" t="s">
        <v>1</v>
      </c>
    </row>
    <row r="187" spans="4:24" x14ac:dyDescent="0.3">
      <c r="D187" s="91" t="s">
        <v>14</v>
      </c>
      <c r="E187" s="90" t="s">
        <v>283</v>
      </c>
      <c r="G187" s="91" t="s">
        <v>14</v>
      </c>
      <c r="H187" s="90" t="s">
        <v>283</v>
      </c>
    </row>
    <row r="188" spans="4:24" x14ac:dyDescent="0.3">
      <c r="D188" s="89" t="s">
        <v>16</v>
      </c>
      <c r="E188" s="118">
        <f>G179</f>
        <v>3916.0000000000005</v>
      </c>
      <c r="G188" s="89" t="s">
        <v>16</v>
      </c>
      <c r="H188" s="118">
        <v>3916</v>
      </c>
      <c r="J188" s="89" t="b">
        <f t="shared" ref="J188:K188" si="26">D188=G188</f>
        <v>1</v>
      </c>
      <c r="K188" s="89" t="b">
        <f t="shared" si="26"/>
        <v>1</v>
      </c>
    </row>
    <row r="189" spans="4:24" x14ac:dyDescent="0.3">
      <c r="D189" s="89" t="s">
        <v>17</v>
      </c>
      <c r="E189" s="118">
        <f>G175</f>
        <v>5340</v>
      </c>
      <c r="G189" s="89" t="s">
        <v>17</v>
      </c>
      <c r="H189" s="118">
        <v>5340</v>
      </c>
      <c r="J189" s="89" t="b">
        <f t="shared" ref="J189:J195" si="27">D189=G189</f>
        <v>1</v>
      </c>
      <c r="K189" s="89" t="b">
        <f t="shared" ref="K189:K195" si="28">E189=H189</f>
        <v>1</v>
      </c>
    </row>
    <row r="190" spans="4:24" x14ac:dyDescent="0.3">
      <c r="D190" s="89" t="s">
        <v>18</v>
      </c>
      <c r="E190" s="118">
        <f>G176</f>
        <v>1424.0000000000002</v>
      </c>
      <c r="G190" s="89" t="s">
        <v>18</v>
      </c>
      <c r="H190" s="118">
        <v>1424</v>
      </c>
      <c r="J190" s="89" t="b">
        <f t="shared" si="27"/>
        <v>1</v>
      </c>
      <c r="K190" s="89" t="b">
        <f t="shared" si="28"/>
        <v>1</v>
      </c>
    </row>
    <row r="191" spans="4:24" x14ac:dyDescent="0.3">
      <c r="D191" s="89" t="s">
        <v>15</v>
      </c>
      <c r="E191" s="118">
        <f>G180</f>
        <v>2848.0000000000005</v>
      </c>
      <c r="G191" s="89" t="s">
        <v>15</v>
      </c>
      <c r="H191" s="118">
        <v>2848</v>
      </c>
      <c r="J191" s="89" t="b">
        <f t="shared" si="27"/>
        <v>1</v>
      </c>
      <c r="K191" s="89" t="b">
        <f t="shared" si="28"/>
        <v>1</v>
      </c>
    </row>
    <row r="192" spans="4:24" x14ac:dyDescent="0.3">
      <c r="D192" s="89" t="s">
        <v>154</v>
      </c>
      <c r="E192" s="118">
        <f>G178</f>
        <v>356.00000000000006</v>
      </c>
      <c r="G192" s="89" t="s">
        <v>154</v>
      </c>
      <c r="H192" s="118">
        <v>356</v>
      </c>
      <c r="J192" s="89" t="b">
        <f t="shared" si="27"/>
        <v>1</v>
      </c>
      <c r="K192" s="89" t="b">
        <f t="shared" si="28"/>
        <v>1</v>
      </c>
    </row>
    <row r="193" spans="4:11" x14ac:dyDescent="0.3">
      <c r="D193" s="89" t="s">
        <v>21</v>
      </c>
      <c r="E193" s="118">
        <f>G182</f>
        <v>178.00000000000003</v>
      </c>
      <c r="G193" s="89" t="s">
        <v>21</v>
      </c>
      <c r="H193" s="118">
        <v>178</v>
      </c>
      <c r="J193" s="89" t="b">
        <f t="shared" si="27"/>
        <v>1</v>
      </c>
      <c r="K193" s="89" t="b">
        <f t="shared" si="28"/>
        <v>1</v>
      </c>
    </row>
    <row r="194" spans="4:11" x14ac:dyDescent="0.3">
      <c r="D194" s="89" t="s">
        <v>22</v>
      </c>
      <c r="E194" s="118">
        <f>G181+G177</f>
        <v>3738.0000000000005</v>
      </c>
      <c r="G194" s="89" t="s">
        <v>22</v>
      </c>
      <c r="H194" s="118">
        <v>3738</v>
      </c>
      <c r="J194" s="89" t="b">
        <f t="shared" si="27"/>
        <v>1</v>
      </c>
      <c r="K194" s="89" t="b">
        <f t="shared" si="28"/>
        <v>1</v>
      </c>
    </row>
    <row r="195" spans="4:11" x14ac:dyDescent="0.3">
      <c r="D195" s="93" t="s">
        <v>77</v>
      </c>
      <c r="E195" s="120">
        <f>SUM(E188:E194)</f>
        <v>17800</v>
      </c>
      <c r="G195" s="93" t="s">
        <v>77</v>
      </c>
      <c r="H195" s="120">
        <v>17800</v>
      </c>
      <c r="J195" s="89" t="b">
        <f t="shared" si="27"/>
        <v>1</v>
      </c>
      <c r="K195" s="89" t="b">
        <f t="shared" si="28"/>
        <v>1</v>
      </c>
    </row>
    <row r="197" spans="4:11" x14ac:dyDescent="0.3">
      <c r="G197" s="101" t="s">
        <v>5</v>
      </c>
      <c r="H197" s="109">
        <v>1</v>
      </c>
    </row>
    <row r="215" spans="2:18" x14ac:dyDescent="0.3">
      <c r="D215" s="178" t="s">
        <v>279</v>
      </c>
      <c r="E215" s="178"/>
      <c r="F215" s="178"/>
      <c r="G215" s="178"/>
      <c r="H215" s="178"/>
      <c r="I215" s="178"/>
      <c r="J215" s="178"/>
      <c r="K215" s="178"/>
      <c r="L215" s="178"/>
      <c r="M215" s="178"/>
      <c r="N215" s="178"/>
      <c r="O215" s="178"/>
      <c r="P215" s="178"/>
      <c r="Q215" s="178"/>
      <c r="R215" s="178"/>
    </row>
    <row r="219" spans="2:18" x14ac:dyDescent="0.3">
      <c r="B219" s="121" t="s">
        <v>272</v>
      </c>
      <c r="D219" s="108" t="s">
        <v>24</v>
      </c>
      <c r="G219" s="108" t="s">
        <v>1</v>
      </c>
    </row>
    <row r="220" spans="2:18" x14ac:dyDescent="0.3">
      <c r="D220" s="148"/>
      <c r="G220" s="108"/>
    </row>
    <row r="221" spans="2:18" x14ac:dyDescent="0.3">
      <c r="D221" s="91" t="s">
        <v>14</v>
      </c>
      <c r="E221" s="90" t="s">
        <v>283</v>
      </c>
      <c r="G221" s="91" t="s">
        <v>14</v>
      </c>
      <c r="H221" s="90" t="s">
        <v>283</v>
      </c>
    </row>
    <row r="222" spans="2:18" x14ac:dyDescent="0.3">
      <c r="D222" s="102" t="s">
        <v>15</v>
      </c>
      <c r="E222" s="149">
        <v>15100</v>
      </c>
      <c r="G222" s="102" t="s">
        <v>15</v>
      </c>
      <c r="H222" s="149">
        <v>15180</v>
      </c>
      <c r="J222" s="89" t="b">
        <f t="shared" ref="J222:K222" si="29">D222=G222</f>
        <v>1</v>
      </c>
      <c r="K222" s="98" t="b">
        <f t="shared" si="29"/>
        <v>0</v>
      </c>
    </row>
    <row r="223" spans="2:18" x14ac:dyDescent="0.3">
      <c r="D223" s="102" t="s">
        <v>16</v>
      </c>
      <c r="E223" s="149">
        <v>13200</v>
      </c>
      <c r="G223" s="102" t="s">
        <v>16</v>
      </c>
      <c r="H223" s="149">
        <v>13200</v>
      </c>
      <c r="J223" s="89" t="b">
        <f t="shared" ref="J223:J230" si="30">D223=G223</f>
        <v>1</v>
      </c>
      <c r="K223" s="89" t="b">
        <f t="shared" ref="K223:K230" si="31">E223=H223</f>
        <v>1</v>
      </c>
    </row>
    <row r="224" spans="2:18" x14ac:dyDescent="0.3">
      <c r="D224" s="102" t="s">
        <v>17</v>
      </c>
      <c r="E224" s="149">
        <v>11000</v>
      </c>
      <c r="G224" s="102" t="s">
        <v>17</v>
      </c>
      <c r="H224" s="150">
        <v>11220</v>
      </c>
      <c r="J224" s="89" t="b">
        <f t="shared" si="30"/>
        <v>1</v>
      </c>
      <c r="K224" s="98" t="b">
        <f t="shared" si="31"/>
        <v>0</v>
      </c>
    </row>
    <row r="225" spans="4:11" x14ac:dyDescent="0.3">
      <c r="D225" s="102" t="s">
        <v>18</v>
      </c>
      <c r="E225" s="149">
        <v>5600</v>
      </c>
      <c r="G225" s="102" t="s">
        <v>18</v>
      </c>
      <c r="H225" s="151" t="s">
        <v>317</v>
      </c>
      <c r="J225" s="89" t="b">
        <f t="shared" si="30"/>
        <v>1</v>
      </c>
      <c r="K225" s="98" t="b">
        <f t="shared" si="31"/>
        <v>0</v>
      </c>
    </row>
    <row r="226" spans="4:11" x14ac:dyDescent="0.3">
      <c r="D226" s="102" t="s">
        <v>19</v>
      </c>
      <c r="E226" s="149">
        <v>4700</v>
      </c>
      <c r="G226" s="102" t="s">
        <v>19</v>
      </c>
      <c r="H226" s="151" t="s">
        <v>317</v>
      </c>
      <c r="J226" s="89" t="b">
        <f t="shared" si="30"/>
        <v>1</v>
      </c>
      <c r="K226" s="98" t="b">
        <f t="shared" si="31"/>
        <v>0</v>
      </c>
    </row>
    <row r="227" spans="4:11" x14ac:dyDescent="0.3">
      <c r="D227" s="102" t="s">
        <v>51</v>
      </c>
      <c r="E227" s="149">
        <v>2200</v>
      </c>
      <c r="G227" s="102" t="s">
        <v>51</v>
      </c>
      <c r="H227" s="151" t="s">
        <v>317</v>
      </c>
      <c r="J227" s="89" t="b">
        <f t="shared" si="30"/>
        <v>1</v>
      </c>
      <c r="K227" s="98" t="b">
        <f t="shared" si="31"/>
        <v>0</v>
      </c>
    </row>
    <row r="228" spans="4:11" x14ac:dyDescent="0.3">
      <c r="D228" s="102" t="s">
        <v>21</v>
      </c>
      <c r="E228" s="149">
        <v>900</v>
      </c>
      <c r="G228" s="102" t="s">
        <v>21</v>
      </c>
      <c r="H228" s="149">
        <v>5940</v>
      </c>
      <c r="J228" s="89" t="b">
        <f t="shared" si="30"/>
        <v>1</v>
      </c>
      <c r="K228" s="98" t="b">
        <f t="shared" si="31"/>
        <v>0</v>
      </c>
    </row>
    <row r="229" spans="4:11" x14ac:dyDescent="0.3">
      <c r="D229" s="102" t="s">
        <v>22</v>
      </c>
      <c r="E229" s="149">
        <v>13200</v>
      </c>
      <c r="G229" s="102" t="s">
        <v>22</v>
      </c>
      <c r="H229" s="149">
        <v>660</v>
      </c>
      <c r="J229" s="89" t="b">
        <f t="shared" si="30"/>
        <v>1</v>
      </c>
      <c r="K229" s="98" t="b">
        <f t="shared" si="31"/>
        <v>0</v>
      </c>
    </row>
    <row r="230" spans="4:11" x14ac:dyDescent="0.3">
      <c r="D230" s="127" t="s">
        <v>77</v>
      </c>
      <c r="E230" s="152">
        <f>SUM(E222:E229)</f>
        <v>65900</v>
      </c>
      <c r="G230" s="127" t="s">
        <v>77</v>
      </c>
      <c r="H230" s="153">
        <v>46200</v>
      </c>
      <c r="J230" s="89" t="b">
        <f t="shared" si="30"/>
        <v>1</v>
      </c>
      <c r="K230" s="98" t="b">
        <f t="shared" si="31"/>
        <v>0</v>
      </c>
    </row>
    <row r="232" spans="4:11" x14ac:dyDescent="0.3">
      <c r="G232" s="108" t="s">
        <v>5</v>
      </c>
      <c r="H232" s="109">
        <f>10/18</f>
        <v>0.55555555555555558</v>
      </c>
    </row>
    <row r="250" spans="2:11" x14ac:dyDescent="0.3">
      <c r="B250" s="121" t="s">
        <v>277</v>
      </c>
      <c r="D250" s="108" t="s">
        <v>24</v>
      </c>
      <c r="G250" s="108" t="s">
        <v>1</v>
      </c>
    </row>
    <row r="251" spans="2:11" x14ac:dyDescent="0.3">
      <c r="D251" s="148"/>
      <c r="G251" s="108"/>
    </row>
    <row r="252" spans="2:11" x14ac:dyDescent="0.3">
      <c r="D252" s="91" t="s">
        <v>14</v>
      </c>
      <c r="E252" s="90" t="s">
        <v>283</v>
      </c>
      <c r="G252" s="91" t="s">
        <v>14</v>
      </c>
      <c r="H252" s="90" t="s">
        <v>283</v>
      </c>
    </row>
    <row r="253" spans="2:11" x14ac:dyDescent="0.3">
      <c r="D253" s="102" t="s">
        <v>15</v>
      </c>
      <c r="E253" s="149">
        <f>(2.5+3.7)*1000</f>
        <v>6200</v>
      </c>
      <c r="G253" s="102" t="s">
        <v>15</v>
      </c>
      <c r="H253" s="149">
        <v>6200</v>
      </c>
      <c r="J253" s="89" t="b">
        <f t="shared" ref="J253:K259" si="32">D253=G253</f>
        <v>1</v>
      </c>
      <c r="K253" s="89" t="b">
        <f t="shared" si="32"/>
        <v>1</v>
      </c>
    </row>
    <row r="254" spans="2:11" x14ac:dyDescent="0.3">
      <c r="D254" s="102" t="s">
        <v>16</v>
      </c>
      <c r="E254" s="149">
        <f>3.6*1000</f>
        <v>3600</v>
      </c>
      <c r="G254" s="102" t="s">
        <v>16</v>
      </c>
      <c r="H254" s="149">
        <v>3600</v>
      </c>
      <c r="J254" s="89" t="b">
        <f t="shared" si="32"/>
        <v>1</v>
      </c>
      <c r="K254" s="89" t="b">
        <f t="shared" si="32"/>
        <v>1</v>
      </c>
    </row>
    <row r="255" spans="2:11" x14ac:dyDescent="0.3">
      <c r="D255" s="102" t="s">
        <v>17</v>
      </c>
      <c r="E255" s="149">
        <f>5.7*1000</f>
        <v>5700</v>
      </c>
      <c r="G255" s="102" t="s">
        <v>17</v>
      </c>
      <c r="H255" s="149">
        <v>5700</v>
      </c>
      <c r="J255" s="89" t="b">
        <f t="shared" si="32"/>
        <v>1</v>
      </c>
      <c r="K255" s="89" t="b">
        <f t="shared" si="32"/>
        <v>1</v>
      </c>
    </row>
    <row r="256" spans="2:11" x14ac:dyDescent="0.3">
      <c r="D256" s="102" t="s">
        <v>18</v>
      </c>
      <c r="E256" s="149">
        <f>2*1000</f>
        <v>2000</v>
      </c>
      <c r="G256" s="102" t="s">
        <v>18</v>
      </c>
      <c r="H256" s="149">
        <v>2000</v>
      </c>
      <c r="J256" s="89" t="b">
        <f t="shared" si="32"/>
        <v>1</v>
      </c>
      <c r="K256" s="89" t="b">
        <f t="shared" si="32"/>
        <v>1</v>
      </c>
    </row>
    <row r="257" spans="4:11" x14ac:dyDescent="0.3">
      <c r="D257" s="102" t="s">
        <v>19</v>
      </c>
      <c r="E257" s="149">
        <v>900</v>
      </c>
      <c r="G257" s="102" t="s">
        <v>19</v>
      </c>
      <c r="H257" s="149">
        <v>900</v>
      </c>
      <c r="J257" s="89" t="b">
        <f t="shared" si="32"/>
        <v>1</v>
      </c>
      <c r="K257" s="89" t="b">
        <f t="shared" si="32"/>
        <v>1</v>
      </c>
    </row>
    <row r="258" spans="4:11" x14ac:dyDescent="0.3">
      <c r="D258" s="102" t="s">
        <v>22</v>
      </c>
      <c r="E258" s="149">
        <f>4.5*1000</f>
        <v>4500</v>
      </c>
      <c r="G258" s="102" t="s">
        <v>22</v>
      </c>
      <c r="H258" s="149">
        <v>4500</v>
      </c>
      <c r="J258" s="89" t="b">
        <f t="shared" si="32"/>
        <v>1</v>
      </c>
      <c r="K258" s="89" t="b">
        <f t="shared" si="32"/>
        <v>1</v>
      </c>
    </row>
    <row r="259" spans="4:11" x14ac:dyDescent="0.3">
      <c r="D259" s="127" t="s">
        <v>77</v>
      </c>
      <c r="E259" s="152">
        <f>SUM(E253:E258)</f>
        <v>22900</v>
      </c>
      <c r="G259" s="127" t="s">
        <v>77</v>
      </c>
      <c r="H259" s="153">
        <v>22900</v>
      </c>
      <c r="J259" s="89" t="b">
        <f t="shared" si="32"/>
        <v>1</v>
      </c>
      <c r="K259" s="89" t="b">
        <f t="shared" si="32"/>
        <v>1</v>
      </c>
    </row>
    <row r="261" spans="4:11" x14ac:dyDescent="0.3">
      <c r="G261" s="108" t="s">
        <v>5</v>
      </c>
      <c r="H261" s="109">
        <v>1</v>
      </c>
    </row>
    <row r="278" spans="2:11" x14ac:dyDescent="0.3">
      <c r="B278" s="121" t="s">
        <v>278</v>
      </c>
      <c r="D278" s="108" t="s">
        <v>24</v>
      </c>
      <c r="G278" s="108" t="s">
        <v>1</v>
      </c>
    </row>
    <row r="279" spans="2:11" x14ac:dyDescent="0.3">
      <c r="D279" s="148"/>
      <c r="G279" s="108"/>
    </row>
    <row r="280" spans="2:11" x14ac:dyDescent="0.3">
      <c r="D280" s="91" t="s">
        <v>14</v>
      </c>
      <c r="E280" s="90" t="s">
        <v>283</v>
      </c>
      <c r="G280" s="91" t="s">
        <v>14</v>
      </c>
      <c r="H280" s="90" t="s">
        <v>283</v>
      </c>
    </row>
    <row r="281" spans="2:11" x14ac:dyDescent="0.3">
      <c r="D281" s="102" t="s">
        <v>17</v>
      </c>
      <c r="E281" s="149">
        <v>9800</v>
      </c>
      <c r="G281" s="102" t="str">
        <f>D281</f>
        <v>Multi-family</v>
      </c>
      <c r="H281" s="149">
        <v>9800</v>
      </c>
      <c r="J281" s="89" t="b">
        <f t="shared" ref="J281:K281" si="33">D281=G281</f>
        <v>1</v>
      </c>
      <c r="K281" s="89" t="b">
        <f t="shared" si="33"/>
        <v>1</v>
      </c>
    </row>
    <row r="282" spans="2:11" x14ac:dyDescent="0.3">
      <c r="D282" s="102" t="s">
        <v>15</v>
      </c>
      <c r="E282" s="149">
        <v>5100</v>
      </c>
      <c r="G282" s="102" t="str">
        <f t="shared" ref="G282:G286" si="34">D282</f>
        <v>Office</v>
      </c>
      <c r="H282" s="149">
        <v>5100</v>
      </c>
      <c r="J282" s="89" t="b">
        <f t="shared" ref="J282:J287" si="35">D282=G282</f>
        <v>1</v>
      </c>
      <c r="K282" s="89" t="b">
        <f t="shared" ref="K282:K287" si="36">E282=H282</f>
        <v>1</v>
      </c>
    </row>
    <row r="283" spans="2:11" x14ac:dyDescent="0.3">
      <c r="D283" s="102" t="s">
        <v>18</v>
      </c>
      <c r="E283" s="149">
        <v>2900</v>
      </c>
      <c r="G283" s="102" t="str">
        <f t="shared" si="34"/>
        <v>Retail</v>
      </c>
      <c r="H283" s="149">
        <v>2900</v>
      </c>
      <c r="J283" s="89" t="b">
        <f t="shared" si="35"/>
        <v>1</v>
      </c>
      <c r="K283" s="89" t="b">
        <f t="shared" si="36"/>
        <v>1</v>
      </c>
    </row>
    <row r="284" spans="2:11" x14ac:dyDescent="0.3">
      <c r="D284" s="102" t="s">
        <v>16</v>
      </c>
      <c r="E284" s="149">
        <v>3600</v>
      </c>
      <c r="G284" s="102" t="str">
        <f t="shared" si="34"/>
        <v>Industrial</v>
      </c>
      <c r="H284" s="149">
        <v>3600</v>
      </c>
      <c r="J284" s="89" t="b">
        <f t="shared" si="35"/>
        <v>1</v>
      </c>
      <c r="K284" s="89" t="b">
        <f t="shared" si="36"/>
        <v>1</v>
      </c>
    </row>
    <row r="285" spans="2:11" x14ac:dyDescent="0.3">
      <c r="D285" s="102" t="s">
        <v>19</v>
      </c>
      <c r="E285" s="149">
        <v>400</v>
      </c>
      <c r="G285" s="102" t="str">
        <f t="shared" si="34"/>
        <v>Lodging</v>
      </c>
      <c r="H285" s="149">
        <v>400</v>
      </c>
      <c r="J285" s="89" t="b">
        <f t="shared" si="35"/>
        <v>1</v>
      </c>
      <c r="K285" s="89" t="b">
        <f t="shared" si="36"/>
        <v>1</v>
      </c>
    </row>
    <row r="286" spans="2:11" x14ac:dyDescent="0.3">
      <c r="D286" s="102" t="s">
        <v>22</v>
      </c>
      <c r="E286" s="149">
        <f>(2.6+1+1.8)*1000</f>
        <v>5400</v>
      </c>
      <c r="G286" s="102" t="str">
        <f t="shared" si="34"/>
        <v>Other</v>
      </c>
      <c r="H286" s="149">
        <v>5400</v>
      </c>
      <c r="J286" s="89" t="b">
        <f t="shared" si="35"/>
        <v>1</v>
      </c>
      <c r="K286" s="89" t="b">
        <f t="shared" si="36"/>
        <v>1</v>
      </c>
    </row>
    <row r="287" spans="2:11" x14ac:dyDescent="0.3">
      <c r="D287" s="127" t="s">
        <v>77</v>
      </c>
      <c r="E287" s="152">
        <f>SUM(E281:E286)</f>
        <v>27200</v>
      </c>
      <c r="G287" s="127" t="s">
        <v>77</v>
      </c>
      <c r="H287" s="153">
        <v>27200</v>
      </c>
      <c r="J287" s="89" t="b">
        <f t="shared" si="35"/>
        <v>1</v>
      </c>
      <c r="K287" s="89" t="b">
        <f t="shared" si="36"/>
        <v>1</v>
      </c>
    </row>
    <row r="289" spans="7:8" x14ac:dyDescent="0.3">
      <c r="G289" s="108" t="s">
        <v>5</v>
      </c>
      <c r="H289" s="109">
        <v>1</v>
      </c>
    </row>
    <row r="305" spans="2:11" x14ac:dyDescent="0.3">
      <c r="B305" s="121" t="s">
        <v>282</v>
      </c>
      <c r="D305" s="108" t="s">
        <v>24</v>
      </c>
      <c r="G305" s="108" t="s">
        <v>1</v>
      </c>
    </row>
    <row r="306" spans="2:11" x14ac:dyDescent="0.3">
      <c r="D306" s="148"/>
      <c r="G306" s="108"/>
    </row>
    <row r="307" spans="2:11" x14ac:dyDescent="0.3">
      <c r="D307" s="91" t="s">
        <v>14</v>
      </c>
      <c r="E307" s="90" t="s">
        <v>283</v>
      </c>
      <c r="G307" s="91" t="s">
        <v>14</v>
      </c>
      <c r="H307" s="90" t="s">
        <v>283</v>
      </c>
    </row>
    <row r="308" spans="2:11" x14ac:dyDescent="0.3">
      <c r="D308" s="102" t="s">
        <v>17</v>
      </c>
      <c r="E308" s="149">
        <v>4400</v>
      </c>
      <c r="G308" s="102" t="str">
        <f>D308</f>
        <v>Multi-family</v>
      </c>
      <c r="H308" s="149">
        <v>4400</v>
      </c>
      <c r="J308" s="89" t="b">
        <f t="shared" ref="J308:K308" si="37">D308=G308</f>
        <v>1</v>
      </c>
      <c r="K308" s="89" t="b">
        <f t="shared" si="37"/>
        <v>1</v>
      </c>
    </row>
    <row r="309" spans="2:11" x14ac:dyDescent="0.3">
      <c r="D309" s="102" t="s">
        <v>15</v>
      </c>
      <c r="E309" s="149">
        <v>1600</v>
      </c>
      <c r="G309" s="102" t="str">
        <f t="shared" ref="G309:G313" si="38">D309</f>
        <v>Office</v>
      </c>
      <c r="H309" s="149">
        <v>1600</v>
      </c>
      <c r="J309" s="89" t="b">
        <f t="shared" ref="J309:J314" si="39">D309=G309</f>
        <v>1</v>
      </c>
      <c r="K309" s="89" t="b">
        <f t="shared" ref="K309:K314" si="40">E309=H309</f>
        <v>1</v>
      </c>
    </row>
    <row r="310" spans="2:11" x14ac:dyDescent="0.3">
      <c r="D310" s="102" t="s">
        <v>18</v>
      </c>
      <c r="E310" s="149">
        <v>1500</v>
      </c>
      <c r="G310" s="102" t="str">
        <f t="shared" si="38"/>
        <v>Retail</v>
      </c>
      <c r="H310" s="149">
        <v>1500</v>
      </c>
      <c r="J310" s="89" t="b">
        <f t="shared" si="39"/>
        <v>1</v>
      </c>
      <c r="K310" s="89" t="b">
        <f t="shared" si="40"/>
        <v>1</v>
      </c>
    </row>
    <row r="311" spans="2:11" x14ac:dyDescent="0.3">
      <c r="D311" s="102" t="s">
        <v>16</v>
      </c>
      <c r="E311" s="149">
        <v>1600</v>
      </c>
      <c r="G311" s="102" t="str">
        <f t="shared" si="38"/>
        <v>Industrial</v>
      </c>
      <c r="H311" s="149">
        <v>1600</v>
      </c>
      <c r="J311" s="89" t="b">
        <f t="shared" si="39"/>
        <v>1</v>
      </c>
      <c r="K311" s="89" t="b">
        <f t="shared" si="40"/>
        <v>1</v>
      </c>
    </row>
    <row r="312" spans="2:11" x14ac:dyDescent="0.3">
      <c r="D312" s="102" t="s">
        <v>19</v>
      </c>
      <c r="E312" s="149">
        <v>800</v>
      </c>
      <c r="G312" s="102" t="str">
        <f t="shared" si="38"/>
        <v>Lodging</v>
      </c>
      <c r="H312" s="149">
        <v>800</v>
      </c>
      <c r="J312" s="89" t="b">
        <f t="shared" si="39"/>
        <v>1</v>
      </c>
      <c r="K312" s="89" t="b">
        <f t="shared" si="40"/>
        <v>1</v>
      </c>
    </row>
    <row r="313" spans="2:11" x14ac:dyDescent="0.3">
      <c r="D313" s="102" t="s">
        <v>22</v>
      </c>
      <c r="E313" s="149">
        <v>1200</v>
      </c>
      <c r="G313" s="102" t="str">
        <f t="shared" si="38"/>
        <v>Other</v>
      </c>
      <c r="H313" s="149">
        <v>1200</v>
      </c>
      <c r="J313" s="89" t="b">
        <f t="shared" si="39"/>
        <v>1</v>
      </c>
      <c r="K313" s="89" t="b">
        <f t="shared" si="40"/>
        <v>1</v>
      </c>
    </row>
    <row r="314" spans="2:11" x14ac:dyDescent="0.3">
      <c r="D314" s="127" t="s">
        <v>77</v>
      </c>
      <c r="E314" s="152">
        <f>SUM(E308:E313)</f>
        <v>11100</v>
      </c>
      <c r="G314" s="127" t="s">
        <v>77</v>
      </c>
      <c r="H314" s="153">
        <v>11100</v>
      </c>
      <c r="J314" s="89" t="b">
        <f t="shared" si="39"/>
        <v>1</v>
      </c>
      <c r="K314" s="89" t="b">
        <f t="shared" si="40"/>
        <v>1</v>
      </c>
    </row>
    <row r="316" spans="2:11" x14ac:dyDescent="0.3">
      <c r="G316" s="108" t="s">
        <v>5</v>
      </c>
      <c r="H316" s="109">
        <v>1</v>
      </c>
    </row>
    <row r="334" spans="2:7" x14ac:dyDescent="0.3">
      <c r="B334" s="121" t="s">
        <v>284</v>
      </c>
      <c r="D334" s="108" t="s">
        <v>24</v>
      </c>
      <c r="E334" s="116">
        <v>15.3</v>
      </c>
    </row>
    <row r="335" spans="2:7" x14ac:dyDescent="0.3">
      <c r="D335" s="148"/>
    </row>
    <row r="336" spans="2:7" x14ac:dyDescent="0.3">
      <c r="D336" s="91" t="s">
        <v>14</v>
      </c>
      <c r="E336" s="90" t="s">
        <v>158</v>
      </c>
      <c r="F336" s="90" t="s">
        <v>269</v>
      </c>
      <c r="G336" s="90" t="s">
        <v>270</v>
      </c>
    </row>
    <row r="337" spans="3:7" x14ac:dyDescent="0.3">
      <c r="C337" s="126"/>
      <c r="D337" s="102" t="s">
        <v>285</v>
      </c>
      <c r="E337" s="122">
        <v>7.0999999999999994E-2</v>
      </c>
      <c r="F337" s="154">
        <f>E337*$E$334</f>
        <v>1.0863</v>
      </c>
      <c r="G337" s="103">
        <f>F337*1000</f>
        <v>1086.3</v>
      </c>
    </row>
    <row r="338" spans="3:7" x14ac:dyDescent="0.3">
      <c r="C338" s="126"/>
      <c r="D338" s="102" t="s">
        <v>65</v>
      </c>
      <c r="E338" s="122">
        <v>0.28599999999999998</v>
      </c>
      <c r="F338" s="154">
        <f t="shared" ref="F338:F349" si="41">E338*$E$334</f>
        <v>4.3757999999999999</v>
      </c>
      <c r="G338" s="103">
        <f t="shared" ref="G338:G349" si="42">F338*1000</f>
        <v>4375.8</v>
      </c>
    </row>
    <row r="339" spans="3:7" x14ac:dyDescent="0.3">
      <c r="C339" s="126"/>
      <c r="D339" s="102" t="s">
        <v>117</v>
      </c>
      <c r="E339" s="122">
        <v>1.9E-2</v>
      </c>
      <c r="F339" s="154">
        <f t="shared" si="41"/>
        <v>0.29070000000000001</v>
      </c>
      <c r="G339" s="103">
        <f t="shared" si="42"/>
        <v>290.7</v>
      </c>
    </row>
    <row r="340" spans="3:7" x14ac:dyDescent="0.3">
      <c r="C340" s="126"/>
      <c r="D340" s="102" t="s">
        <v>286</v>
      </c>
      <c r="E340" s="122">
        <v>1E-3</v>
      </c>
      <c r="F340" s="154">
        <f t="shared" si="41"/>
        <v>1.5300000000000001E-2</v>
      </c>
      <c r="G340" s="103">
        <f t="shared" si="42"/>
        <v>15.3</v>
      </c>
    </row>
    <row r="341" spans="3:7" x14ac:dyDescent="0.3">
      <c r="C341" s="126"/>
      <c r="D341" s="102" t="s">
        <v>16</v>
      </c>
      <c r="E341" s="122">
        <v>0.15</v>
      </c>
      <c r="F341" s="154">
        <f t="shared" si="41"/>
        <v>2.2949999999999999</v>
      </c>
      <c r="G341" s="103">
        <f t="shared" si="42"/>
        <v>2295</v>
      </c>
    </row>
    <row r="342" spans="3:7" x14ac:dyDescent="0.3">
      <c r="C342" s="126"/>
      <c r="D342" s="102" t="s">
        <v>113</v>
      </c>
      <c r="E342" s="122">
        <v>0.114</v>
      </c>
      <c r="F342" s="154">
        <f t="shared" si="41"/>
        <v>1.7442000000000002</v>
      </c>
      <c r="G342" s="103">
        <f t="shared" si="42"/>
        <v>1744.2000000000003</v>
      </c>
    </row>
    <row r="343" spans="3:7" x14ac:dyDescent="0.3">
      <c r="C343" s="126"/>
      <c r="D343" s="102" t="s">
        <v>130</v>
      </c>
      <c r="E343" s="122">
        <v>2.1999999999999999E-2</v>
      </c>
      <c r="F343" s="154">
        <f t="shared" si="41"/>
        <v>0.33660000000000001</v>
      </c>
      <c r="G343" s="103">
        <f t="shared" si="42"/>
        <v>336.6</v>
      </c>
    </row>
    <row r="344" spans="3:7" x14ac:dyDescent="0.3">
      <c r="C344" s="126"/>
      <c r="D344" s="102" t="s">
        <v>15</v>
      </c>
      <c r="E344" s="122">
        <v>9.6000000000000002E-2</v>
      </c>
      <c r="F344" s="154">
        <f t="shared" si="41"/>
        <v>1.4688000000000001</v>
      </c>
      <c r="G344" s="103">
        <f t="shared" si="42"/>
        <v>1468.8000000000002</v>
      </c>
    </row>
    <row r="345" spans="3:7" x14ac:dyDescent="0.3">
      <c r="C345" s="126"/>
      <c r="D345" s="102" t="s">
        <v>287</v>
      </c>
      <c r="E345" s="122">
        <v>4.0000000000000001E-3</v>
      </c>
      <c r="F345" s="154">
        <f t="shared" si="41"/>
        <v>6.1200000000000004E-2</v>
      </c>
      <c r="G345" s="103">
        <f t="shared" si="42"/>
        <v>61.2</v>
      </c>
    </row>
    <row r="346" spans="3:7" x14ac:dyDescent="0.3">
      <c r="C346" s="126"/>
      <c r="D346" s="102" t="s">
        <v>18</v>
      </c>
      <c r="E346" s="122">
        <v>9.5000000000000001E-2</v>
      </c>
      <c r="F346" s="154">
        <f t="shared" si="41"/>
        <v>1.4535</v>
      </c>
      <c r="G346" s="103">
        <f t="shared" si="42"/>
        <v>1453.5</v>
      </c>
    </row>
    <row r="347" spans="3:7" x14ac:dyDescent="0.3">
      <c r="C347" s="126"/>
      <c r="D347" s="102" t="s">
        <v>153</v>
      </c>
      <c r="E347" s="122">
        <v>7.3999999999999996E-2</v>
      </c>
      <c r="F347" s="154">
        <f t="shared" si="41"/>
        <v>1.1322000000000001</v>
      </c>
      <c r="G347" s="103">
        <f t="shared" si="42"/>
        <v>1132.2</v>
      </c>
    </row>
    <row r="348" spans="3:7" x14ac:dyDescent="0.3">
      <c r="C348" s="126"/>
      <c r="D348" s="102" t="s">
        <v>154</v>
      </c>
      <c r="E348" s="122">
        <v>5.0999999999999997E-2</v>
      </c>
      <c r="F348" s="154">
        <f t="shared" si="41"/>
        <v>0.78029999999999999</v>
      </c>
      <c r="G348" s="103">
        <f t="shared" si="42"/>
        <v>780.3</v>
      </c>
    </row>
    <row r="349" spans="3:7" x14ac:dyDescent="0.3">
      <c r="C349" s="126"/>
      <c r="D349" s="102" t="s">
        <v>22</v>
      </c>
      <c r="E349" s="122">
        <v>1.7000000000000001E-2</v>
      </c>
      <c r="F349" s="154">
        <f t="shared" si="41"/>
        <v>0.26010000000000005</v>
      </c>
      <c r="G349" s="103">
        <f t="shared" si="42"/>
        <v>260.10000000000008</v>
      </c>
    </row>
    <row r="350" spans="3:7" x14ac:dyDescent="0.3">
      <c r="C350" s="126"/>
      <c r="D350" s="127" t="s">
        <v>77</v>
      </c>
      <c r="E350" s="146">
        <f>SUM(E337:E349)</f>
        <v>1</v>
      </c>
      <c r="F350" s="154">
        <f>SUM(F337:F349)</f>
        <v>15.299999999999999</v>
      </c>
      <c r="G350" s="103">
        <f>SUM(G337:G349)</f>
        <v>15300.000000000002</v>
      </c>
    </row>
    <row r="352" spans="3:7" x14ac:dyDescent="0.3">
      <c r="D352" s="101" t="s">
        <v>271</v>
      </c>
      <c r="G352" s="101" t="s">
        <v>1</v>
      </c>
    </row>
    <row r="354" spans="4:11" x14ac:dyDescent="0.3">
      <c r="D354" s="91" t="s">
        <v>14</v>
      </c>
      <c r="E354" s="90" t="s">
        <v>283</v>
      </c>
      <c r="G354" s="91" t="s">
        <v>14</v>
      </c>
      <c r="H354" s="90" t="s">
        <v>283</v>
      </c>
    </row>
    <row r="355" spans="4:11" x14ac:dyDescent="0.3">
      <c r="D355" s="89" t="s">
        <v>16</v>
      </c>
      <c r="E355" s="118">
        <f>G341</f>
        <v>2295</v>
      </c>
      <c r="G355" s="89" t="s">
        <v>16</v>
      </c>
      <c r="H355" s="118">
        <v>2295</v>
      </c>
      <c r="J355" s="89" t="b">
        <f t="shared" ref="J355:K355" si="43">D355=G355</f>
        <v>1</v>
      </c>
      <c r="K355" s="89" t="b">
        <f t="shared" si="43"/>
        <v>1</v>
      </c>
    </row>
    <row r="356" spans="4:11" x14ac:dyDescent="0.3">
      <c r="D356" s="89" t="s">
        <v>17</v>
      </c>
      <c r="E356" s="118">
        <f>G338</f>
        <v>4375.8</v>
      </c>
      <c r="G356" s="89" t="s">
        <v>17</v>
      </c>
      <c r="H356" s="118">
        <v>4375</v>
      </c>
      <c r="J356" s="89" t="b">
        <f t="shared" ref="J356:J362" si="44">D356=G356</f>
        <v>1</v>
      </c>
      <c r="K356" s="99" t="b">
        <v>1</v>
      </c>
    </row>
    <row r="357" spans="4:11" x14ac:dyDescent="0.3">
      <c r="D357" s="89" t="s">
        <v>18</v>
      </c>
      <c r="E357" s="118">
        <f>G346</f>
        <v>1453.5</v>
      </c>
      <c r="G357" s="89" t="s">
        <v>18</v>
      </c>
      <c r="H357" s="118">
        <v>1453</v>
      </c>
      <c r="J357" s="89" t="b">
        <f t="shared" si="44"/>
        <v>1</v>
      </c>
      <c r="K357" s="99" t="b">
        <v>1</v>
      </c>
    </row>
    <row r="358" spans="4:11" x14ac:dyDescent="0.3">
      <c r="D358" s="89" t="s">
        <v>15</v>
      </c>
      <c r="E358" s="118">
        <f>G344</f>
        <v>1468.8000000000002</v>
      </c>
      <c r="G358" s="89" t="s">
        <v>15</v>
      </c>
      <c r="H358" s="118">
        <v>1468</v>
      </c>
      <c r="J358" s="89" t="b">
        <f t="shared" si="44"/>
        <v>1</v>
      </c>
      <c r="K358" s="99" t="b">
        <v>1</v>
      </c>
    </row>
    <row r="359" spans="4:11" x14ac:dyDescent="0.3">
      <c r="D359" s="89" t="s">
        <v>19</v>
      </c>
      <c r="E359" s="118">
        <f>G348</f>
        <v>780.3</v>
      </c>
      <c r="G359" s="89" t="s">
        <v>19</v>
      </c>
      <c r="H359" s="118">
        <v>780</v>
      </c>
      <c r="J359" s="89" t="b">
        <f t="shared" si="44"/>
        <v>1</v>
      </c>
      <c r="K359" s="99" t="b">
        <v>1</v>
      </c>
    </row>
    <row r="360" spans="4:11" x14ac:dyDescent="0.3">
      <c r="D360" s="89" t="s">
        <v>21</v>
      </c>
      <c r="E360" s="118">
        <f>G345+G337</f>
        <v>1147.5</v>
      </c>
      <c r="G360" s="89" t="s">
        <v>21</v>
      </c>
      <c r="H360" s="118">
        <v>1147</v>
      </c>
      <c r="J360" s="89" t="b">
        <f t="shared" si="44"/>
        <v>1</v>
      </c>
      <c r="K360" s="99" t="b">
        <v>1</v>
      </c>
    </row>
    <row r="361" spans="4:11" x14ac:dyDescent="0.3">
      <c r="D361" s="89" t="s">
        <v>22</v>
      </c>
      <c r="E361" s="118">
        <f>G349+G347+G343+G342+G340+G339</f>
        <v>3779.1000000000004</v>
      </c>
      <c r="G361" s="89" t="s">
        <v>22</v>
      </c>
      <c r="H361" s="118">
        <v>3777</v>
      </c>
      <c r="J361" s="89" t="b">
        <f t="shared" si="44"/>
        <v>1</v>
      </c>
      <c r="K361" s="98" t="b">
        <f>E361=H361</f>
        <v>0</v>
      </c>
    </row>
    <row r="362" spans="4:11" x14ac:dyDescent="0.3">
      <c r="D362" s="93" t="s">
        <v>77</v>
      </c>
      <c r="E362" s="120">
        <f>SUM(E355:E361)</f>
        <v>15300</v>
      </c>
      <c r="G362" s="93" t="s">
        <v>77</v>
      </c>
      <c r="H362" s="120">
        <v>15295</v>
      </c>
      <c r="J362" s="89" t="b">
        <f t="shared" si="44"/>
        <v>1</v>
      </c>
      <c r="K362" s="98" t="b">
        <f>E362=H362</f>
        <v>0</v>
      </c>
    </row>
    <row r="364" spans="4:11" x14ac:dyDescent="0.3">
      <c r="G364" s="101" t="s">
        <v>5</v>
      </c>
      <c r="H364" s="109">
        <f>14/16</f>
        <v>0.875</v>
      </c>
    </row>
    <row r="381" spans="2:11" x14ac:dyDescent="0.3">
      <c r="B381" s="121" t="s">
        <v>288</v>
      </c>
      <c r="D381" s="108" t="s">
        <v>24</v>
      </c>
      <c r="G381" s="108" t="s">
        <v>1</v>
      </c>
    </row>
    <row r="382" spans="2:11" x14ac:dyDescent="0.3">
      <c r="D382" s="148"/>
      <c r="G382" s="108"/>
    </row>
    <row r="383" spans="2:11" x14ac:dyDescent="0.3">
      <c r="D383" s="91" t="s">
        <v>14</v>
      </c>
      <c r="E383" s="90" t="s">
        <v>283</v>
      </c>
      <c r="G383" s="91" t="s">
        <v>14</v>
      </c>
      <c r="H383" s="90" t="s">
        <v>283</v>
      </c>
    </row>
    <row r="384" spans="2:11" x14ac:dyDescent="0.3">
      <c r="D384" s="102" t="s">
        <v>17</v>
      </c>
      <c r="E384" s="149">
        <v>16100.000000000002</v>
      </c>
      <c r="G384" s="102" t="str">
        <f>D384</f>
        <v>Multi-family</v>
      </c>
      <c r="H384" s="149">
        <v>16100</v>
      </c>
      <c r="J384" s="89" t="b">
        <f t="shared" ref="J384:K384" si="45">D384=G384</f>
        <v>1</v>
      </c>
      <c r="K384" s="89" t="b">
        <f t="shared" si="45"/>
        <v>1</v>
      </c>
    </row>
    <row r="385" spans="4:11" x14ac:dyDescent="0.3">
      <c r="D385" s="102" t="s">
        <v>15</v>
      </c>
      <c r="E385" s="149">
        <v>6700</v>
      </c>
      <c r="G385" s="102" t="str">
        <f t="shared" ref="G385:G390" si="46">D385</f>
        <v>Office</v>
      </c>
      <c r="H385" s="149">
        <v>6700</v>
      </c>
      <c r="J385" s="89" t="b">
        <f t="shared" ref="J385:J391" si="47">D385=G385</f>
        <v>1</v>
      </c>
      <c r="K385" s="89" t="b">
        <f t="shared" ref="K385:K391" si="48">E385=H385</f>
        <v>1</v>
      </c>
    </row>
    <row r="386" spans="4:11" x14ac:dyDescent="0.3">
      <c r="D386" s="102" t="s">
        <v>18</v>
      </c>
      <c r="E386" s="149">
        <v>2100</v>
      </c>
      <c r="G386" s="102" t="str">
        <f t="shared" si="46"/>
        <v>Retail</v>
      </c>
      <c r="H386" s="149">
        <v>2100</v>
      </c>
      <c r="J386" s="89" t="b">
        <f t="shared" si="47"/>
        <v>1</v>
      </c>
      <c r="K386" s="89" t="b">
        <f t="shared" si="48"/>
        <v>1</v>
      </c>
    </row>
    <row r="387" spans="4:11" x14ac:dyDescent="0.3">
      <c r="D387" s="102" t="s">
        <v>16</v>
      </c>
      <c r="E387" s="149">
        <v>3900</v>
      </c>
      <c r="G387" s="102" t="str">
        <f t="shared" si="46"/>
        <v>Industrial</v>
      </c>
      <c r="H387" s="149">
        <v>3900</v>
      </c>
      <c r="J387" s="89" t="b">
        <f t="shared" si="47"/>
        <v>1</v>
      </c>
      <c r="K387" s="89" t="b">
        <f t="shared" si="48"/>
        <v>1</v>
      </c>
    </row>
    <row r="388" spans="4:11" x14ac:dyDescent="0.3">
      <c r="D388" s="102" t="s">
        <v>19</v>
      </c>
      <c r="E388" s="149">
        <v>1600</v>
      </c>
      <c r="G388" s="102" t="str">
        <f t="shared" si="46"/>
        <v>Lodging</v>
      </c>
      <c r="H388" s="149">
        <v>1600</v>
      </c>
      <c r="J388" s="89" t="b">
        <f t="shared" si="47"/>
        <v>1</v>
      </c>
      <c r="K388" s="89" t="b">
        <f t="shared" si="48"/>
        <v>1</v>
      </c>
    </row>
    <row r="389" spans="4:11" x14ac:dyDescent="0.3">
      <c r="D389" s="102" t="s">
        <v>51</v>
      </c>
      <c r="E389" s="149">
        <v>300</v>
      </c>
      <c r="G389" s="102" t="str">
        <f t="shared" si="46"/>
        <v>Mixed-use</v>
      </c>
      <c r="H389" s="149">
        <v>300</v>
      </c>
      <c r="J389" s="89" t="b">
        <f t="shared" si="47"/>
        <v>1</v>
      </c>
      <c r="K389" s="89" t="b">
        <f t="shared" si="48"/>
        <v>1</v>
      </c>
    </row>
    <row r="390" spans="4:11" x14ac:dyDescent="0.3">
      <c r="D390" s="102" t="s">
        <v>22</v>
      </c>
      <c r="E390" s="149">
        <f>1200+1700</f>
        <v>2900</v>
      </c>
      <c r="G390" s="102" t="str">
        <f t="shared" si="46"/>
        <v>Other</v>
      </c>
      <c r="H390" s="149">
        <v>2900</v>
      </c>
      <c r="J390" s="89" t="b">
        <f t="shared" si="47"/>
        <v>1</v>
      </c>
      <c r="K390" s="89" t="b">
        <f t="shared" si="48"/>
        <v>1</v>
      </c>
    </row>
    <row r="391" spans="4:11" x14ac:dyDescent="0.3">
      <c r="D391" s="127" t="s">
        <v>77</v>
      </c>
      <c r="E391" s="152">
        <f>SUM(E384:E390)</f>
        <v>33600</v>
      </c>
      <c r="G391" s="127" t="s">
        <v>77</v>
      </c>
      <c r="H391" s="153">
        <v>33600</v>
      </c>
      <c r="J391" s="89" t="b">
        <f t="shared" si="47"/>
        <v>1</v>
      </c>
      <c r="K391" s="89" t="b">
        <f t="shared" si="48"/>
        <v>1</v>
      </c>
    </row>
    <row r="393" spans="4:11" x14ac:dyDescent="0.3">
      <c r="G393" s="108" t="s">
        <v>5</v>
      </c>
      <c r="H393" s="109">
        <v>1</v>
      </c>
    </row>
    <row r="408" spans="2:11" x14ac:dyDescent="0.3">
      <c r="B408" s="121" t="s">
        <v>290</v>
      </c>
      <c r="D408" s="108" t="s">
        <v>24</v>
      </c>
      <c r="G408" s="108" t="s">
        <v>1</v>
      </c>
    </row>
    <row r="409" spans="2:11" x14ac:dyDescent="0.3">
      <c r="D409" s="148"/>
      <c r="G409" s="108"/>
    </row>
    <row r="410" spans="2:11" x14ac:dyDescent="0.3">
      <c r="D410" s="91" t="s">
        <v>14</v>
      </c>
      <c r="E410" s="90" t="s">
        <v>283</v>
      </c>
      <c r="G410" s="91" t="s">
        <v>14</v>
      </c>
      <c r="H410" s="90" t="s">
        <v>283</v>
      </c>
    </row>
    <row r="411" spans="2:11" x14ac:dyDescent="0.3">
      <c r="D411" s="102" t="s">
        <v>17</v>
      </c>
      <c r="E411" s="149">
        <v>4186</v>
      </c>
      <c r="G411" s="102" t="str">
        <f>D411</f>
        <v>Multi-family</v>
      </c>
      <c r="H411" s="149">
        <v>4186</v>
      </c>
      <c r="J411" s="89" t="b">
        <f t="shared" ref="J411:K411" si="49">D411=G411</f>
        <v>1</v>
      </c>
      <c r="K411" s="89" t="b">
        <f t="shared" si="49"/>
        <v>1</v>
      </c>
    </row>
    <row r="412" spans="2:11" x14ac:dyDescent="0.3">
      <c r="D412" s="102" t="s">
        <v>15</v>
      </c>
      <c r="E412" s="149">
        <v>1743</v>
      </c>
      <c r="G412" s="102" t="str">
        <f t="shared" ref="G412:G417" si="50">D412</f>
        <v>Office</v>
      </c>
      <c r="H412" s="149">
        <v>1743</v>
      </c>
      <c r="J412" s="89" t="b">
        <f t="shared" ref="J412:J418" si="51">D412=G412</f>
        <v>1</v>
      </c>
      <c r="K412" s="89" t="b">
        <f t="shared" ref="K412:K418" si="52">E412=H412</f>
        <v>1</v>
      </c>
    </row>
    <row r="413" spans="2:11" x14ac:dyDescent="0.3">
      <c r="D413" s="102" t="s">
        <v>18</v>
      </c>
      <c r="E413" s="149">
        <v>1273</v>
      </c>
      <c r="G413" s="102" t="str">
        <f t="shared" si="50"/>
        <v>Retail</v>
      </c>
      <c r="H413" s="149">
        <v>1273</v>
      </c>
      <c r="J413" s="89" t="b">
        <f t="shared" si="51"/>
        <v>1</v>
      </c>
      <c r="K413" s="89" t="b">
        <f t="shared" si="52"/>
        <v>1</v>
      </c>
    </row>
    <row r="414" spans="2:11" x14ac:dyDescent="0.3">
      <c r="D414" s="102" t="s">
        <v>16</v>
      </c>
      <c r="E414" s="149">
        <v>846</v>
      </c>
      <c r="G414" s="102" t="str">
        <f t="shared" si="50"/>
        <v>Industrial</v>
      </c>
      <c r="H414" s="149">
        <v>846</v>
      </c>
      <c r="J414" s="89" t="b">
        <f t="shared" si="51"/>
        <v>1</v>
      </c>
      <c r="K414" s="89" t="b">
        <f t="shared" si="52"/>
        <v>1</v>
      </c>
    </row>
    <row r="415" spans="2:11" x14ac:dyDescent="0.3">
      <c r="D415" s="102" t="s">
        <v>19</v>
      </c>
      <c r="E415" s="149">
        <v>1769</v>
      </c>
      <c r="G415" s="102" t="str">
        <f t="shared" si="50"/>
        <v>Lodging</v>
      </c>
      <c r="H415" s="149">
        <v>1769</v>
      </c>
      <c r="J415" s="89" t="b">
        <f t="shared" si="51"/>
        <v>1</v>
      </c>
      <c r="K415" s="89" t="b">
        <f t="shared" si="52"/>
        <v>1</v>
      </c>
    </row>
    <row r="416" spans="2:11" x14ac:dyDescent="0.3">
      <c r="D416" s="102" t="s">
        <v>21</v>
      </c>
      <c r="E416" s="149">
        <v>546</v>
      </c>
      <c r="G416" s="102" t="str">
        <f t="shared" si="50"/>
        <v>Residential</v>
      </c>
      <c r="H416" s="149">
        <v>546</v>
      </c>
      <c r="J416" s="89" t="b">
        <f t="shared" si="51"/>
        <v>1</v>
      </c>
      <c r="K416" s="89" t="b">
        <f t="shared" si="52"/>
        <v>1</v>
      </c>
    </row>
    <row r="417" spans="4:11" x14ac:dyDescent="0.3">
      <c r="D417" s="102" t="s">
        <v>22</v>
      </c>
      <c r="E417" s="149">
        <f>287+1363</f>
        <v>1650</v>
      </c>
      <c r="G417" s="102" t="str">
        <f t="shared" si="50"/>
        <v>Other</v>
      </c>
      <c r="H417" s="149">
        <v>1650</v>
      </c>
      <c r="J417" s="89" t="b">
        <f t="shared" si="51"/>
        <v>1</v>
      </c>
      <c r="K417" s="89" t="b">
        <f t="shared" si="52"/>
        <v>1</v>
      </c>
    </row>
    <row r="418" spans="4:11" x14ac:dyDescent="0.3">
      <c r="D418" s="127" t="s">
        <v>77</v>
      </c>
      <c r="E418" s="152">
        <f>SUM(E411:E417)</f>
        <v>12013</v>
      </c>
      <c r="G418" s="127" t="s">
        <v>77</v>
      </c>
      <c r="H418" s="153">
        <v>12013</v>
      </c>
      <c r="J418" s="89" t="b">
        <f t="shared" si="51"/>
        <v>1</v>
      </c>
      <c r="K418" s="89" t="b">
        <f t="shared" si="52"/>
        <v>1</v>
      </c>
    </row>
    <row r="420" spans="4:11" x14ac:dyDescent="0.3">
      <c r="G420" s="108" t="s">
        <v>5</v>
      </c>
      <c r="H420" s="109">
        <v>1</v>
      </c>
    </row>
    <row r="438" spans="2:7" x14ac:dyDescent="0.3">
      <c r="B438" s="121" t="s">
        <v>292</v>
      </c>
      <c r="D438" s="108" t="s">
        <v>24</v>
      </c>
      <c r="E438" s="116"/>
    </row>
    <row r="439" spans="2:7" x14ac:dyDescent="0.3">
      <c r="D439" s="148"/>
    </row>
    <row r="440" spans="2:7" x14ac:dyDescent="0.3">
      <c r="D440" s="91" t="s">
        <v>14</v>
      </c>
      <c r="E440" s="90" t="s">
        <v>293</v>
      </c>
      <c r="F440" s="90"/>
    </row>
    <row r="441" spans="2:7" x14ac:dyDescent="0.3">
      <c r="D441" s="102" t="s">
        <v>130</v>
      </c>
      <c r="E441" s="157">
        <v>152</v>
      </c>
      <c r="G441" s="103"/>
    </row>
    <row r="442" spans="2:7" x14ac:dyDescent="0.3">
      <c r="D442" s="102" t="s">
        <v>113</v>
      </c>
      <c r="E442" s="157">
        <v>135</v>
      </c>
      <c r="G442" s="103"/>
    </row>
    <row r="443" spans="2:7" x14ac:dyDescent="0.3">
      <c r="D443" s="102" t="s">
        <v>16</v>
      </c>
      <c r="E443" s="157">
        <v>733</v>
      </c>
      <c r="G443" s="103"/>
    </row>
    <row r="444" spans="2:7" x14ac:dyDescent="0.3">
      <c r="D444" s="102" t="s">
        <v>114</v>
      </c>
      <c r="E444" s="157">
        <v>48</v>
      </c>
      <c r="G444" s="103"/>
    </row>
    <row r="445" spans="2:7" x14ac:dyDescent="0.3">
      <c r="D445" s="102" t="s">
        <v>19</v>
      </c>
      <c r="E445" s="157">
        <v>234</v>
      </c>
      <c r="G445" s="103"/>
    </row>
    <row r="446" spans="2:7" x14ac:dyDescent="0.3">
      <c r="D446" s="102" t="s">
        <v>115</v>
      </c>
      <c r="E446" s="157">
        <v>271</v>
      </c>
      <c r="G446" s="103"/>
    </row>
    <row r="447" spans="2:7" x14ac:dyDescent="0.3">
      <c r="D447" s="102" t="s">
        <v>116</v>
      </c>
      <c r="E447" s="157">
        <v>8010</v>
      </c>
      <c r="G447" s="103"/>
    </row>
    <row r="448" spans="2:7" x14ac:dyDescent="0.3">
      <c r="D448" s="102" t="s">
        <v>15</v>
      </c>
      <c r="E448" s="157">
        <v>738</v>
      </c>
      <c r="G448" s="103"/>
    </row>
    <row r="449" spans="4:11" x14ac:dyDescent="0.3">
      <c r="D449" s="102" t="s">
        <v>18</v>
      </c>
      <c r="E449" s="157">
        <v>880</v>
      </c>
      <c r="G449" s="103"/>
    </row>
    <row r="450" spans="4:11" x14ac:dyDescent="0.3">
      <c r="D450" s="102" t="s">
        <v>117</v>
      </c>
      <c r="E450" s="157">
        <v>360</v>
      </c>
      <c r="G450" s="103"/>
    </row>
    <row r="451" spans="4:11" x14ac:dyDescent="0.3">
      <c r="D451" s="102" t="s">
        <v>101</v>
      </c>
      <c r="E451" s="157">
        <v>593</v>
      </c>
      <c r="G451" s="103"/>
    </row>
    <row r="452" spans="4:11" x14ac:dyDescent="0.3">
      <c r="D452" s="102" t="s">
        <v>118</v>
      </c>
      <c r="E452" s="157">
        <v>392</v>
      </c>
      <c r="G452" s="103"/>
    </row>
    <row r="453" spans="4:11" x14ac:dyDescent="0.3">
      <c r="D453" s="102" t="s">
        <v>119</v>
      </c>
      <c r="E453" s="157">
        <v>240</v>
      </c>
      <c r="G453" s="103"/>
    </row>
    <row r="454" spans="4:11" x14ac:dyDescent="0.3">
      <c r="D454" s="102" t="s">
        <v>22</v>
      </c>
      <c r="E454" s="157">
        <v>218</v>
      </c>
      <c r="G454" s="103"/>
    </row>
    <row r="455" spans="4:11" x14ac:dyDescent="0.3">
      <c r="D455" s="127" t="s">
        <v>77</v>
      </c>
      <c r="E455" s="158">
        <f>SUM(E441:E454)</f>
        <v>13004</v>
      </c>
      <c r="G455" s="103"/>
    </row>
    <row r="457" spans="4:11" x14ac:dyDescent="0.3">
      <c r="D457" s="101" t="s">
        <v>271</v>
      </c>
      <c r="G457" s="101" t="s">
        <v>1</v>
      </c>
    </row>
    <row r="459" spans="4:11" x14ac:dyDescent="0.3">
      <c r="D459" s="91" t="s">
        <v>14</v>
      </c>
      <c r="E459" s="90" t="s">
        <v>283</v>
      </c>
      <c r="G459" s="91" t="s">
        <v>14</v>
      </c>
      <c r="H459" s="90" t="s">
        <v>283</v>
      </c>
    </row>
    <row r="460" spans="4:11" x14ac:dyDescent="0.3">
      <c r="D460" s="89" t="s">
        <v>16</v>
      </c>
      <c r="E460" s="118">
        <f>E443</f>
        <v>733</v>
      </c>
      <c r="G460" s="89" t="s">
        <v>16</v>
      </c>
      <c r="H460" s="118">
        <v>733</v>
      </c>
      <c r="J460" s="89" t="b">
        <f t="shared" ref="J460:K460" si="53">D460=G460</f>
        <v>1</v>
      </c>
      <c r="K460" s="89" t="b">
        <f t="shared" si="53"/>
        <v>1</v>
      </c>
    </row>
    <row r="461" spans="4:11" x14ac:dyDescent="0.3">
      <c r="D461" s="89" t="s">
        <v>17</v>
      </c>
      <c r="E461" s="118">
        <f>E447</f>
        <v>8010</v>
      </c>
      <c r="G461" s="89" t="s">
        <v>17</v>
      </c>
      <c r="H461" s="118">
        <v>8010</v>
      </c>
      <c r="J461" s="89" t="b">
        <f t="shared" ref="J461:J466" si="54">D461=G461</f>
        <v>1</v>
      </c>
      <c r="K461" s="89" t="b">
        <f t="shared" ref="K461:K466" si="55">E461=H461</f>
        <v>1</v>
      </c>
    </row>
    <row r="462" spans="4:11" x14ac:dyDescent="0.3">
      <c r="D462" s="89" t="s">
        <v>18</v>
      </c>
      <c r="E462" s="118">
        <f>E449</f>
        <v>880</v>
      </c>
      <c r="G462" s="89" t="s">
        <v>18</v>
      </c>
      <c r="H462" s="118">
        <v>880</v>
      </c>
      <c r="J462" s="89" t="b">
        <f t="shared" si="54"/>
        <v>1</v>
      </c>
      <c r="K462" s="89" t="b">
        <f t="shared" si="55"/>
        <v>1</v>
      </c>
    </row>
    <row r="463" spans="4:11" x14ac:dyDescent="0.3">
      <c r="D463" s="89" t="s">
        <v>15</v>
      </c>
      <c r="E463" s="118">
        <f>E446+E448</f>
        <v>1009</v>
      </c>
      <c r="G463" s="89" t="s">
        <v>15</v>
      </c>
      <c r="H463" s="118">
        <v>1009</v>
      </c>
      <c r="J463" s="89" t="b">
        <f t="shared" si="54"/>
        <v>1</v>
      </c>
      <c r="K463" s="89" t="b">
        <f t="shared" si="55"/>
        <v>1</v>
      </c>
    </row>
    <row r="464" spans="4:11" x14ac:dyDescent="0.3">
      <c r="D464" s="89" t="s">
        <v>19</v>
      </c>
      <c r="E464" s="118">
        <f>E445</f>
        <v>234</v>
      </c>
      <c r="G464" s="89" t="s">
        <v>19</v>
      </c>
      <c r="H464" s="118">
        <v>234</v>
      </c>
      <c r="J464" s="89" t="b">
        <f t="shared" si="54"/>
        <v>1</v>
      </c>
      <c r="K464" s="89" t="b">
        <f t="shared" si="55"/>
        <v>1</v>
      </c>
    </row>
    <row r="465" spans="4:11" x14ac:dyDescent="0.3">
      <c r="D465" s="89" t="s">
        <v>22</v>
      </c>
      <c r="E465" s="118">
        <f>SUM(E450:E454,E444,E441:E442)</f>
        <v>2138</v>
      </c>
      <c r="G465" s="89" t="s">
        <v>22</v>
      </c>
      <c r="H465" s="118">
        <v>2138</v>
      </c>
      <c r="J465" s="89" t="b">
        <f t="shared" si="54"/>
        <v>1</v>
      </c>
      <c r="K465" s="89" t="b">
        <f t="shared" si="55"/>
        <v>1</v>
      </c>
    </row>
    <row r="466" spans="4:11" x14ac:dyDescent="0.3">
      <c r="D466" s="93" t="s">
        <v>77</v>
      </c>
      <c r="E466" s="120">
        <f>SUM(E460:E465)</f>
        <v>13004</v>
      </c>
      <c r="G466" s="93" t="s">
        <v>77</v>
      </c>
      <c r="H466" s="120">
        <v>13004</v>
      </c>
      <c r="J466" s="89" t="b">
        <f t="shared" si="54"/>
        <v>1</v>
      </c>
      <c r="K466" s="89" t="b">
        <f t="shared" si="55"/>
        <v>1</v>
      </c>
    </row>
    <row r="468" spans="4:11" x14ac:dyDescent="0.3">
      <c r="G468" s="101" t="s">
        <v>5</v>
      </c>
      <c r="H468" s="109">
        <v>1</v>
      </c>
    </row>
    <row r="482" spans="2:12" ht="14.4" x14ac:dyDescent="0.3">
      <c r="B482" s="121" t="s">
        <v>308</v>
      </c>
      <c r="D482" s="108" t="s">
        <v>24</v>
      </c>
      <c r="E482" s="116"/>
      <c r="L482"/>
    </row>
    <row r="483" spans="2:12" x14ac:dyDescent="0.3">
      <c r="D483" s="148"/>
    </row>
    <row r="484" spans="2:12" x14ac:dyDescent="0.3">
      <c r="D484" s="91" t="s">
        <v>14</v>
      </c>
      <c r="E484" s="90" t="s">
        <v>293</v>
      </c>
    </row>
    <row r="485" spans="2:12" x14ac:dyDescent="0.3">
      <c r="D485" s="102" t="s">
        <v>65</v>
      </c>
      <c r="E485" s="157">
        <v>39758</v>
      </c>
      <c r="H485" s="118"/>
    </row>
    <row r="486" spans="2:12" x14ac:dyDescent="0.3">
      <c r="D486" s="102" t="s">
        <v>15</v>
      </c>
      <c r="E486" s="157">
        <v>27380</v>
      </c>
      <c r="H486" s="118"/>
    </row>
    <row r="487" spans="2:12" x14ac:dyDescent="0.3">
      <c r="D487" s="102" t="s">
        <v>231</v>
      </c>
      <c r="E487" s="157">
        <v>24038</v>
      </c>
      <c r="H487" s="118"/>
    </row>
    <row r="488" spans="2:12" x14ac:dyDescent="0.3">
      <c r="D488" s="102" t="s">
        <v>69</v>
      </c>
      <c r="E488" s="157">
        <v>11506</v>
      </c>
      <c r="H488" s="118"/>
    </row>
    <row r="489" spans="2:12" x14ac:dyDescent="0.3">
      <c r="D489" s="102" t="s">
        <v>309</v>
      </c>
      <c r="E489" s="157">
        <v>11345</v>
      </c>
      <c r="H489" s="118"/>
    </row>
    <row r="490" spans="2:12" x14ac:dyDescent="0.3">
      <c r="D490" s="102" t="s">
        <v>70</v>
      </c>
      <c r="E490" s="157">
        <v>8113</v>
      </c>
      <c r="H490" s="118"/>
    </row>
    <row r="491" spans="2:12" x14ac:dyDescent="0.3">
      <c r="D491" s="102" t="s">
        <v>71</v>
      </c>
      <c r="E491" s="157">
        <v>5186</v>
      </c>
      <c r="H491" s="118"/>
    </row>
    <row r="492" spans="2:12" x14ac:dyDescent="0.3">
      <c r="D492" s="102" t="s">
        <v>72</v>
      </c>
      <c r="E492" s="157">
        <v>2316</v>
      </c>
      <c r="H492" s="118"/>
    </row>
    <row r="493" spans="2:12" x14ac:dyDescent="0.3">
      <c r="D493" s="102" t="s">
        <v>175</v>
      </c>
      <c r="E493" s="157">
        <v>2273</v>
      </c>
    </row>
    <row r="494" spans="2:12" x14ac:dyDescent="0.3">
      <c r="D494" s="102" t="s">
        <v>74</v>
      </c>
      <c r="E494" s="157">
        <v>2088</v>
      </c>
    </row>
    <row r="495" spans="2:12" x14ac:dyDescent="0.3">
      <c r="D495" s="102" t="s">
        <v>22</v>
      </c>
      <c r="E495" s="157">
        <v>2502</v>
      </c>
    </row>
    <row r="496" spans="2:12" x14ac:dyDescent="0.3">
      <c r="D496" s="127" t="s">
        <v>77</v>
      </c>
      <c r="E496" s="158">
        <f>SUM(E485:E495)</f>
        <v>136505</v>
      </c>
    </row>
    <row r="498" spans="4:11" x14ac:dyDescent="0.3">
      <c r="D498" s="101" t="s">
        <v>271</v>
      </c>
      <c r="G498" s="101" t="s">
        <v>1</v>
      </c>
    </row>
    <row r="500" spans="4:11" x14ac:dyDescent="0.3">
      <c r="D500" s="91" t="s">
        <v>14</v>
      </c>
      <c r="E500" s="90" t="s">
        <v>283</v>
      </c>
      <c r="G500" s="91" t="s">
        <v>14</v>
      </c>
      <c r="H500" s="90" t="s">
        <v>283</v>
      </c>
    </row>
    <row r="501" spans="4:11" x14ac:dyDescent="0.3">
      <c r="D501" s="89" t="s">
        <v>16</v>
      </c>
      <c r="E501" s="118">
        <f>E487</f>
        <v>24038</v>
      </c>
      <c r="G501" s="89" t="s">
        <v>16</v>
      </c>
      <c r="H501" s="118">
        <v>24038</v>
      </c>
      <c r="J501" s="89" t="b">
        <f t="shared" ref="J501:K501" si="56">D501=G501</f>
        <v>1</v>
      </c>
      <c r="K501" s="89" t="b">
        <f t="shared" si="56"/>
        <v>1</v>
      </c>
    </row>
    <row r="502" spans="4:11" x14ac:dyDescent="0.3">
      <c r="D502" s="89" t="s">
        <v>17</v>
      </c>
      <c r="E502" s="118">
        <f>E485</f>
        <v>39758</v>
      </c>
      <c r="G502" s="89" t="s">
        <v>17</v>
      </c>
      <c r="H502" s="118">
        <v>39758</v>
      </c>
      <c r="J502" s="89" t="b">
        <f t="shared" ref="J502:J508" si="57">D502=G502</f>
        <v>1</v>
      </c>
      <c r="K502" s="89" t="b">
        <f t="shared" ref="K502:K508" si="58">E502=H502</f>
        <v>1</v>
      </c>
    </row>
    <row r="503" spans="4:11" x14ac:dyDescent="0.3">
      <c r="D503" s="89" t="s">
        <v>18</v>
      </c>
      <c r="E503" s="118">
        <f>E489+E490</f>
        <v>19458</v>
      </c>
      <c r="G503" s="89" t="s">
        <v>18</v>
      </c>
      <c r="H503" s="118">
        <v>19458</v>
      </c>
      <c r="J503" s="89" t="b">
        <f t="shared" si="57"/>
        <v>1</v>
      </c>
      <c r="K503" s="89" t="b">
        <f t="shared" si="58"/>
        <v>1</v>
      </c>
    </row>
    <row r="504" spans="4:11" x14ac:dyDescent="0.3">
      <c r="D504" s="89" t="s">
        <v>15</v>
      </c>
      <c r="E504" s="118">
        <f>E486</f>
        <v>27380</v>
      </c>
      <c r="G504" s="89" t="s">
        <v>15</v>
      </c>
      <c r="H504" s="118">
        <v>28768</v>
      </c>
      <c r="J504" s="89" t="b">
        <f t="shared" si="57"/>
        <v>1</v>
      </c>
      <c r="K504" s="98" t="b">
        <f t="shared" si="58"/>
        <v>0</v>
      </c>
    </row>
    <row r="505" spans="4:11" x14ac:dyDescent="0.3">
      <c r="D505" s="89" t="s">
        <v>19</v>
      </c>
      <c r="E505" s="118">
        <f>E488</f>
        <v>11506</v>
      </c>
      <c r="G505" s="89" t="s">
        <v>19</v>
      </c>
      <c r="H505" s="118">
        <v>11506</v>
      </c>
      <c r="J505" s="89" t="b">
        <f t="shared" si="57"/>
        <v>1</v>
      </c>
      <c r="K505" s="89" t="b">
        <f t="shared" si="58"/>
        <v>1</v>
      </c>
    </row>
    <row r="506" spans="4:11" x14ac:dyDescent="0.3">
      <c r="D506" s="89" t="s">
        <v>51</v>
      </c>
      <c r="E506" s="118">
        <f>E492</f>
        <v>2316</v>
      </c>
      <c r="G506" s="89" t="s">
        <v>51</v>
      </c>
      <c r="H506" s="118">
        <v>2316</v>
      </c>
      <c r="J506" s="89" t="b">
        <f t="shared" si="57"/>
        <v>1</v>
      </c>
      <c r="K506" s="89" t="b">
        <f t="shared" si="58"/>
        <v>1</v>
      </c>
    </row>
    <row r="507" spans="4:11" x14ac:dyDescent="0.3">
      <c r="D507" s="89" t="s">
        <v>22</v>
      </c>
      <c r="E507" s="118">
        <f>SUM(E493:E495,E491)</f>
        <v>12049</v>
      </c>
      <c r="G507" s="89" t="s">
        <v>22</v>
      </c>
      <c r="H507" s="118">
        <v>12049</v>
      </c>
      <c r="J507" s="89" t="b">
        <f t="shared" si="57"/>
        <v>1</v>
      </c>
      <c r="K507" s="89" t="b">
        <f t="shared" si="58"/>
        <v>1</v>
      </c>
    </row>
    <row r="508" spans="4:11" x14ac:dyDescent="0.3">
      <c r="D508" s="93" t="s">
        <v>77</v>
      </c>
      <c r="E508" s="120">
        <f>SUM(E501:E507)</f>
        <v>136505</v>
      </c>
      <c r="G508" s="93" t="s">
        <v>77</v>
      </c>
      <c r="H508" s="120">
        <v>137893</v>
      </c>
      <c r="J508" s="89" t="b">
        <f t="shared" si="57"/>
        <v>1</v>
      </c>
      <c r="K508" s="98" t="b">
        <f t="shared" si="58"/>
        <v>0</v>
      </c>
    </row>
    <row r="510" spans="4:11" x14ac:dyDescent="0.3">
      <c r="G510" s="101" t="s">
        <v>5</v>
      </c>
      <c r="H510" s="109">
        <f>14/16</f>
        <v>0.875</v>
      </c>
    </row>
    <row r="527" spans="2:4" x14ac:dyDescent="0.3">
      <c r="B527" s="121" t="s">
        <v>310</v>
      </c>
      <c r="D527" s="108" t="s">
        <v>24</v>
      </c>
    </row>
    <row r="529" spans="4:11" x14ac:dyDescent="0.3">
      <c r="D529" s="101" t="s">
        <v>66</v>
      </c>
      <c r="E529" s="90" t="s">
        <v>311</v>
      </c>
      <c r="F529" s="90" t="s">
        <v>96</v>
      </c>
      <c r="G529" s="90" t="s">
        <v>97</v>
      </c>
    </row>
    <row r="530" spans="4:11" x14ac:dyDescent="0.3">
      <c r="D530" s="89" t="s">
        <v>116</v>
      </c>
      <c r="E530" s="103">
        <v>124081</v>
      </c>
      <c r="F530" s="57">
        <v>0.92</v>
      </c>
      <c r="G530" s="103">
        <f t="shared" ref="G530:G536" si="59">F530*E530</f>
        <v>114154.52</v>
      </c>
    </row>
    <row r="531" spans="4:11" x14ac:dyDescent="0.3">
      <c r="D531" s="89" t="s">
        <v>16</v>
      </c>
      <c r="E531" s="103">
        <v>19109</v>
      </c>
      <c r="F531" s="57">
        <v>0.72</v>
      </c>
      <c r="G531" s="103">
        <f t="shared" si="59"/>
        <v>13758.48</v>
      </c>
    </row>
    <row r="532" spans="4:11" x14ac:dyDescent="0.3">
      <c r="D532" s="89" t="s">
        <v>95</v>
      </c>
      <c r="E532" s="103">
        <v>16569</v>
      </c>
      <c r="F532" s="57">
        <v>0.63</v>
      </c>
      <c r="G532" s="103">
        <f t="shared" si="59"/>
        <v>10438.469999999999</v>
      </c>
    </row>
    <row r="533" spans="4:11" x14ac:dyDescent="0.3">
      <c r="D533" s="89" t="s">
        <v>15</v>
      </c>
      <c r="E533" s="103">
        <v>16360</v>
      </c>
      <c r="F533" s="57">
        <v>0.81</v>
      </c>
      <c r="G533" s="103">
        <f t="shared" si="59"/>
        <v>13251.6</v>
      </c>
    </row>
    <row r="534" spans="4:11" x14ac:dyDescent="0.3">
      <c r="D534" s="89" t="s">
        <v>98</v>
      </c>
      <c r="E534" s="103">
        <v>14104</v>
      </c>
      <c r="F534" s="57">
        <v>0.46</v>
      </c>
      <c r="G534" s="103">
        <f t="shared" si="59"/>
        <v>6487.84</v>
      </c>
    </row>
    <row r="535" spans="4:11" x14ac:dyDescent="0.3">
      <c r="D535" s="89" t="s">
        <v>18</v>
      </c>
      <c r="E535" s="103">
        <v>12253</v>
      </c>
      <c r="F535" s="57">
        <v>0.75</v>
      </c>
      <c r="G535" s="103">
        <f t="shared" si="59"/>
        <v>9189.75</v>
      </c>
    </row>
    <row r="536" spans="4:11" x14ac:dyDescent="0.3">
      <c r="D536" s="89" t="s">
        <v>19</v>
      </c>
      <c r="E536" s="103">
        <v>4574</v>
      </c>
      <c r="F536" s="57">
        <v>0.53</v>
      </c>
      <c r="G536" s="103">
        <f t="shared" si="59"/>
        <v>2424.2200000000003</v>
      </c>
    </row>
    <row r="537" spans="4:11" x14ac:dyDescent="0.3">
      <c r="D537" s="93" t="s">
        <v>77</v>
      </c>
      <c r="E537" s="166">
        <f>SUM(E530:E536)</f>
        <v>207050</v>
      </c>
      <c r="F537" s="146">
        <f>G537/E537</f>
        <v>0.81963235933349432</v>
      </c>
      <c r="G537" s="166">
        <f>SUM(G530:G536)</f>
        <v>169704.88</v>
      </c>
    </row>
    <row r="539" spans="4:11" x14ac:dyDescent="0.3">
      <c r="D539" s="101" t="s">
        <v>271</v>
      </c>
      <c r="G539" s="101" t="s">
        <v>1</v>
      </c>
    </row>
    <row r="540" spans="4:11" x14ac:dyDescent="0.3">
      <c r="D540" s="108"/>
      <c r="G540" s="108"/>
    </row>
    <row r="541" spans="4:11" x14ac:dyDescent="0.3">
      <c r="D541" s="91" t="s">
        <v>66</v>
      </c>
      <c r="E541" s="90" t="s">
        <v>97</v>
      </c>
      <c r="G541" s="91" t="s">
        <v>66</v>
      </c>
      <c r="H541" s="90" t="s">
        <v>97</v>
      </c>
    </row>
    <row r="542" spans="4:11" x14ac:dyDescent="0.3">
      <c r="D542" s="102" t="s">
        <v>17</v>
      </c>
      <c r="E542" s="103">
        <f>G530</f>
        <v>114154.52</v>
      </c>
      <c r="G542" s="102" t="s">
        <v>17</v>
      </c>
      <c r="H542" s="103">
        <v>114156</v>
      </c>
      <c r="J542" s="89" t="b">
        <f>D542=G542</f>
        <v>1</v>
      </c>
      <c r="K542" s="99" t="b">
        <v>1</v>
      </c>
    </row>
    <row r="543" spans="4:11" x14ac:dyDescent="0.3">
      <c r="D543" s="102" t="s">
        <v>16</v>
      </c>
      <c r="E543" s="103">
        <f>G531</f>
        <v>13758.48</v>
      </c>
      <c r="G543" s="102" t="s">
        <v>16</v>
      </c>
      <c r="H543" s="103">
        <v>13759</v>
      </c>
      <c r="J543" s="89" t="b">
        <f t="shared" ref="J543:J548" si="60">D543=G543</f>
        <v>1</v>
      </c>
      <c r="K543" s="99" t="b">
        <v>1</v>
      </c>
    </row>
    <row r="544" spans="4:11" x14ac:dyDescent="0.3">
      <c r="D544" s="102" t="s">
        <v>15</v>
      </c>
      <c r="E544" s="103">
        <f>G533</f>
        <v>13251.6</v>
      </c>
      <c r="G544" s="102" t="s">
        <v>15</v>
      </c>
      <c r="H544" s="103">
        <v>13256</v>
      </c>
      <c r="J544" s="89" t="b">
        <f t="shared" si="60"/>
        <v>1</v>
      </c>
      <c r="K544" s="99" t="b">
        <v>1</v>
      </c>
    </row>
    <row r="545" spans="4:11" x14ac:dyDescent="0.3">
      <c r="D545" s="102" t="s">
        <v>18</v>
      </c>
      <c r="E545" s="103">
        <f>G535</f>
        <v>9189.75</v>
      </c>
      <c r="G545" s="102" t="s">
        <v>18</v>
      </c>
      <c r="H545" s="103">
        <v>9190</v>
      </c>
      <c r="J545" s="89" t="b">
        <f t="shared" si="60"/>
        <v>1</v>
      </c>
      <c r="K545" s="99" t="b">
        <v>1</v>
      </c>
    </row>
    <row r="546" spans="4:11" x14ac:dyDescent="0.3">
      <c r="D546" s="102" t="s">
        <v>19</v>
      </c>
      <c r="E546" s="103">
        <f>G536</f>
        <v>2424.2200000000003</v>
      </c>
      <c r="G546" s="102" t="s">
        <v>19</v>
      </c>
      <c r="H546" s="103">
        <v>2424</v>
      </c>
      <c r="J546" s="89" t="b">
        <f t="shared" si="60"/>
        <v>1</v>
      </c>
      <c r="K546" s="99" t="b">
        <v>1</v>
      </c>
    </row>
    <row r="547" spans="4:11" x14ac:dyDescent="0.3">
      <c r="D547" s="102" t="s">
        <v>22</v>
      </c>
      <c r="E547" s="103">
        <f>SUM(G532,G534)</f>
        <v>16926.309999999998</v>
      </c>
      <c r="G547" s="102" t="s">
        <v>22</v>
      </c>
      <c r="H547" s="103">
        <v>17042</v>
      </c>
      <c r="J547" s="89" t="b">
        <f t="shared" si="60"/>
        <v>1</v>
      </c>
      <c r="K547" s="98" t="b">
        <f t="shared" ref="K547:K548" si="61">E547=H547</f>
        <v>0</v>
      </c>
    </row>
    <row r="548" spans="4:11" x14ac:dyDescent="0.3">
      <c r="D548" s="127" t="s">
        <v>77</v>
      </c>
      <c r="E548" s="166">
        <f>SUM(E542:E547)</f>
        <v>169704.88</v>
      </c>
      <c r="G548" s="127" t="s">
        <v>77</v>
      </c>
      <c r="H548" s="166">
        <v>169827</v>
      </c>
      <c r="J548" s="89" t="b">
        <f t="shared" si="60"/>
        <v>1</v>
      </c>
      <c r="K548" s="98" t="b">
        <f t="shared" si="61"/>
        <v>0</v>
      </c>
    </row>
    <row r="549" spans="4:11" ht="14.4" x14ac:dyDescent="0.3">
      <c r="D549" s="2"/>
    </row>
    <row r="550" spans="4:11" ht="14.4" x14ac:dyDescent="0.3">
      <c r="D550" s="2"/>
      <c r="G550" s="101" t="s">
        <v>5</v>
      </c>
      <c r="H550" s="109">
        <f>12/14</f>
        <v>0.8571428571428571</v>
      </c>
    </row>
  </sheetData>
  <mergeCells count="9">
    <mergeCell ref="D215:R215"/>
    <mergeCell ref="Q29:U29"/>
    <mergeCell ref="AB29:AF29"/>
    <mergeCell ref="AK29:AO29"/>
    <mergeCell ref="AT29:AX29"/>
    <mergeCell ref="Q30:U30"/>
    <mergeCell ref="AB30:AF30"/>
    <mergeCell ref="AK30:AO30"/>
    <mergeCell ref="AT30:AX3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BEFA4-4EDD-41FF-8A35-CE91EFDD54D5}">
  <sheetPr>
    <tabColor rgb="FF00B0F0"/>
  </sheetPr>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964F1-18BC-444A-85BE-FDDE3C7CACD3}">
  <dimension ref="A2:K54"/>
  <sheetViews>
    <sheetView showGridLines="0" workbookViewId="0">
      <selection activeCell="P2" sqref="P2"/>
    </sheetView>
  </sheetViews>
  <sheetFormatPr defaultRowHeight="13.8" x14ac:dyDescent="0.3"/>
  <cols>
    <col min="1" max="1" width="8.88671875" style="89"/>
    <col min="2" max="2" width="18.6640625" style="89" bestFit="1" customWidth="1"/>
    <col min="3" max="3" width="11.21875" style="89" bestFit="1" customWidth="1"/>
    <col min="4" max="4" width="8.88671875" style="89"/>
    <col min="5" max="5" width="5.5546875" style="89" bestFit="1" customWidth="1"/>
    <col min="6" max="6" width="6.77734375" style="89" bestFit="1" customWidth="1"/>
    <col min="7" max="7" width="15.88671875" style="89" bestFit="1" customWidth="1"/>
    <col min="8" max="8" width="11.33203125" style="89" bestFit="1" customWidth="1"/>
    <col min="9" max="9" width="4" style="89" bestFit="1" customWidth="1"/>
    <col min="10" max="10" width="8" style="89" bestFit="1" customWidth="1"/>
    <col min="11" max="11" width="7.88671875" style="89" bestFit="1" customWidth="1"/>
    <col min="12" max="16384" width="8.88671875" style="89"/>
  </cols>
  <sheetData>
    <row r="2" spans="1:11" ht="14.4" x14ac:dyDescent="0.3">
      <c r="A2" s="71" t="s">
        <v>8</v>
      </c>
      <c r="B2" s="10" t="s">
        <v>174</v>
      </c>
      <c r="C2" s="2"/>
      <c r="D2" s="3"/>
      <c r="E2" s="2"/>
      <c r="F2" s="2"/>
      <c r="G2" s="2"/>
      <c r="H2" s="2"/>
      <c r="I2" s="2"/>
      <c r="J2" s="2"/>
      <c r="K2" s="2"/>
    </row>
    <row r="3" spans="1:11" ht="14.4" x14ac:dyDescent="0.3">
      <c r="A3" s="2"/>
      <c r="B3" s="5"/>
      <c r="C3" s="2"/>
      <c r="D3" s="2"/>
      <c r="E3" s="2"/>
      <c r="F3" s="2"/>
      <c r="G3" s="2"/>
      <c r="H3" s="2"/>
      <c r="I3" s="2"/>
      <c r="J3" s="2"/>
      <c r="K3" s="2"/>
    </row>
    <row r="4" spans="1:11" ht="14.4" x14ac:dyDescent="0.3">
      <c r="A4" s="2"/>
      <c r="B4" s="10" t="s">
        <v>66</v>
      </c>
      <c r="C4" s="75" t="s">
        <v>23</v>
      </c>
      <c r="D4" s="14"/>
      <c r="E4" s="75" t="s">
        <v>2</v>
      </c>
      <c r="F4" s="75" t="s">
        <v>6</v>
      </c>
      <c r="G4" s="75" t="s">
        <v>66</v>
      </c>
      <c r="H4" s="75" t="s">
        <v>23</v>
      </c>
      <c r="I4" s="75" t="s">
        <v>39</v>
      </c>
      <c r="J4" s="75" t="s">
        <v>79</v>
      </c>
      <c r="K4" s="75" t="s">
        <v>40</v>
      </c>
    </row>
    <row r="5" spans="1:11" ht="14.4" x14ac:dyDescent="0.3">
      <c r="A5" s="2"/>
      <c r="B5" s="5" t="s">
        <v>15</v>
      </c>
      <c r="C5" s="56">
        <v>15061</v>
      </c>
      <c r="D5" s="14"/>
      <c r="E5" s="3" t="s">
        <v>0</v>
      </c>
      <c r="F5" s="3" t="s">
        <v>8</v>
      </c>
      <c r="G5" s="3" t="s">
        <v>15</v>
      </c>
      <c r="H5" s="56">
        <v>15061</v>
      </c>
      <c r="I5" s="3" t="s">
        <v>41</v>
      </c>
      <c r="J5" s="3" t="s">
        <v>42</v>
      </c>
      <c r="K5" s="3" t="s">
        <v>43</v>
      </c>
    </row>
    <row r="6" spans="1:11" ht="14.4" x14ac:dyDescent="0.3">
      <c r="A6" s="2"/>
      <c r="B6" s="5" t="s">
        <v>204</v>
      </c>
      <c r="C6" s="56">
        <v>13166</v>
      </c>
      <c r="D6" s="14"/>
      <c r="E6" s="3" t="s">
        <v>0</v>
      </c>
      <c r="F6" s="3" t="s">
        <v>8</v>
      </c>
      <c r="G6" s="3" t="s">
        <v>16</v>
      </c>
      <c r="H6" s="56">
        <v>13166</v>
      </c>
      <c r="I6" s="3" t="s">
        <v>41</v>
      </c>
      <c r="J6" s="3" t="s">
        <v>42</v>
      </c>
      <c r="K6" s="3" t="s">
        <v>43</v>
      </c>
    </row>
    <row r="7" spans="1:11" ht="14.4" x14ac:dyDescent="0.3">
      <c r="A7" s="2"/>
      <c r="B7" s="5" t="s">
        <v>205</v>
      </c>
      <c r="C7" s="56">
        <v>11022</v>
      </c>
      <c r="D7" s="14"/>
      <c r="E7" s="3" t="s">
        <v>0</v>
      </c>
      <c r="F7" s="3" t="s">
        <v>8</v>
      </c>
      <c r="G7" s="3" t="s">
        <v>17</v>
      </c>
      <c r="H7" s="56">
        <v>11022</v>
      </c>
      <c r="I7" s="3" t="s">
        <v>41</v>
      </c>
      <c r="J7" s="3" t="s">
        <v>42</v>
      </c>
      <c r="K7" s="3" t="s">
        <v>43</v>
      </c>
    </row>
    <row r="8" spans="1:11" ht="14.4" x14ac:dyDescent="0.3">
      <c r="A8" s="2"/>
      <c r="B8" s="5" t="s">
        <v>206</v>
      </c>
      <c r="C8" s="56">
        <v>5603</v>
      </c>
      <c r="D8" s="14"/>
      <c r="E8" s="3" t="s">
        <v>0</v>
      </c>
      <c r="F8" s="3" t="s">
        <v>8</v>
      </c>
      <c r="G8" s="3" t="s">
        <v>18</v>
      </c>
      <c r="H8" s="56">
        <v>5603</v>
      </c>
      <c r="I8" s="3" t="s">
        <v>41</v>
      </c>
      <c r="J8" s="3" t="s">
        <v>42</v>
      </c>
      <c r="K8" s="3" t="s">
        <v>43</v>
      </c>
    </row>
    <row r="9" spans="1:11" ht="14.4" x14ac:dyDescent="0.3">
      <c r="A9" s="2"/>
      <c r="B9" s="5" t="s">
        <v>207</v>
      </c>
      <c r="C9" s="56">
        <v>4680</v>
      </c>
      <c r="D9" s="14"/>
      <c r="E9" s="3" t="s">
        <v>0</v>
      </c>
      <c r="F9" s="3" t="s">
        <v>8</v>
      </c>
      <c r="G9" s="3" t="s">
        <v>19</v>
      </c>
      <c r="H9" s="56">
        <v>4680</v>
      </c>
      <c r="I9" s="3" t="s">
        <v>41</v>
      </c>
      <c r="J9" s="3" t="s">
        <v>42</v>
      </c>
      <c r="K9" s="3" t="s">
        <v>43</v>
      </c>
    </row>
    <row r="10" spans="1:11" ht="14.4" x14ac:dyDescent="0.3">
      <c r="A10" s="2"/>
      <c r="B10" s="5" t="s">
        <v>20</v>
      </c>
      <c r="C10" s="56">
        <v>2162</v>
      </c>
      <c r="D10" s="14"/>
      <c r="E10" s="3" t="s">
        <v>0</v>
      </c>
      <c r="F10" s="3" t="s">
        <v>8</v>
      </c>
      <c r="G10" s="3" t="s">
        <v>51</v>
      </c>
      <c r="H10" s="56">
        <v>2162</v>
      </c>
      <c r="I10" s="3" t="s">
        <v>41</v>
      </c>
      <c r="J10" s="3" t="s">
        <v>42</v>
      </c>
      <c r="K10" s="3" t="s">
        <v>43</v>
      </c>
    </row>
    <row r="11" spans="1:11" ht="14.4" x14ac:dyDescent="0.3">
      <c r="A11" s="2"/>
      <c r="B11" s="5" t="s">
        <v>22</v>
      </c>
      <c r="C11" s="56">
        <v>13179</v>
      </c>
      <c r="D11" s="14"/>
      <c r="E11" s="3" t="s">
        <v>0</v>
      </c>
      <c r="F11" s="3" t="s">
        <v>8</v>
      </c>
      <c r="G11" s="3" t="s">
        <v>22</v>
      </c>
      <c r="H11" s="56">
        <v>13179</v>
      </c>
      <c r="I11" s="3" t="s">
        <v>41</v>
      </c>
      <c r="J11" s="3" t="s">
        <v>42</v>
      </c>
      <c r="K11" s="3" t="s">
        <v>43</v>
      </c>
    </row>
    <row r="12" spans="1:11" ht="14.4" x14ac:dyDescent="0.3">
      <c r="A12" s="2"/>
      <c r="B12" s="5" t="s">
        <v>21</v>
      </c>
      <c r="C12" s="56">
        <v>857</v>
      </c>
      <c r="D12" s="14"/>
      <c r="E12" s="3" t="s">
        <v>0</v>
      </c>
      <c r="F12" s="3" t="s">
        <v>8</v>
      </c>
      <c r="G12" s="3" t="s">
        <v>21</v>
      </c>
      <c r="H12" s="56">
        <v>857</v>
      </c>
      <c r="I12" s="3" t="s">
        <v>41</v>
      </c>
      <c r="J12" s="3" t="s">
        <v>42</v>
      </c>
      <c r="K12" s="3" t="s">
        <v>43</v>
      </c>
    </row>
    <row r="13" spans="1:11" ht="14.4" x14ac:dyDescent="0.3">
      <c r="A13" s="2"/>
      <c r="B13" s="8" t="s">
        <v>77</v>
      </c>
      <c r="C13" s="167">
        <f>SUM(C5:C12)</f>
        <v>65730</v>
      </c>
      <c r="D13" s="14"/>
      <c r="E13" s="3" t="s">
        <v>0</v>
      </c>
      <c r="F13" s="3" t="s">
        <v>8</v>
      </c>
      <c r="G13" s="3" t="s">
        <v>77</v>
      </c>
      <c r="H13" s="56">
        <f>SUM(H5:H12)</f>
        <v>65730</v>
      </c>
      <c r="I13" s="3" t="s">
        <v>41</v>
      </c>
      <c r="J13" s="3" t="s">
        <v>42</v>
      </c>
      <c r="K13" s="3" t="s">
        <v>43</v>
      </c>
    </row>
    <row r="14" spans="1:11" ht="14.4" x14ac:dyDescent="0.3">
      <c r="A14" s="2"/>
      <c r="B14" s="5"/>
      <c r="C14" s="56"/>
      <c r="D14" s="14"/>
      <c r="E14" s="3"/>
      <c r="F14" s="3"/>
      <c r="G14" s="3"/>
      <c r="H14" s="56"/>
      <c r="I14" s="3"/>
      <c r="J14" s="3"/>
      <c r="K14" s="3"/>
    </row>
    <row r="15" spans="1:11" ht="14.4" x14ac:dyDescent="0.3">
      <c r="A15" s="71" t="s">
        <v>7</v>
      </c>
      <c r="B15" s="10" t="s">
        <v>61</v>
      </c>
      <c r="C15" s="2"/>
      <c r="D15" s="3"/>
      <c r="E15" s="2"/>
      <c r="F15" s="2"/>
      <c r="G15" s="2"/>
      <c r="H15" s="2"/>
      <c r="I15" s="2"/>
      <c r="J15" s="2"/>
      <c r="K15" s="2"/>
    </row>
    <row r="16" spans="1:11" ht="14.4" x14ac:dyDescent="0.3">
      <c r="A16" s="2"/>
      <c r="B16" s="5"/>
      <c r="C16" s="2"/>
      <c r="D16" s="2"/>
      <c r="E16" s="2"/>
      <c r="F16" s="2"/>
      <c r="G16" s="2"/>
      <c r="H16" s="2"/>
      <c r="I16" s="2"/>
      <c r="J16" s="2"/>
      <c r="K16" s="2"/>
    </row>
    <row r="17" spans="1:11" ht="14.4" x14ac:dyDescent="0.3">
      <c r="A17" s="2"/>
      <c r="B17" s="10" t="s">
        <v>66</v>
      </c>
      <c r="C17" s="75" t="s">
        <v>23</v>
      </c>
      <c r="D17" s="14"/>
      <c r="E17" s="75" t="s">
        <v>2</v>
      </c>
      <c r="F17" s="75" t="s">
        <v>6</v>
      </c>
      <c r="G17" s="75" t="s">
        <v>66</v>
      </c>
      <c r="H17" s="75" t="s">
        <v>23</v>
      </c>
      <c r="I17" s="75" t="s">
        <v>39</v>
      </c>
      <c r="J17" s="75" t="s">
        <v>79</v>
      </c>
      <c r="K17" s="75" t="s">
        <v>40</v>
      </c>
    </row>
    <row r="18" spans="1:11" ht="14.4" x14ac:dyDescent="0.3">
      <c r="A18" s="2"/>
      <c r="B18" s="5" t="s">
        <v>15</v>
      </c>
      <c r="C18" s="56">
        <v>15768</v>
      </c>
      <c r="D18" s="14"/>
      <c r="E18" s="3" t="s">
        <v>0</v>
      </c>
      <c r="F18" s="3" t="s">
        <v>7</v>
      </c>
      <c r="G18" s="3" t="s">
        <v>15</v>
      </c>
      <c r="H18" s="56">
        <v>15768</v>
      </c>
      <c r="I18" s="3" t="s">
        <v>41</v>
      </c>
      <c r="J18" s="3" t="s">
        <v>42</v>
      </c>
      <c r="K18" s="3" t="s">
        <v>43</v>
      </c>
    </row>
    <row r="19" spans="1:11" ht="14.4" x14ac:dyDescent="0.3">
      <c r="A19" s="2"/>
      <c r="B19" s="5" t="s">
        <v>204</v>
      </c>
      <c r="C19" s="56">
        <v>13912</v>
      </c>
      <c r="D19" s="14"/>
      <c r="E19" s="3" t="s">
        <v>0</v>
      </c>
      <c r="F19" s="3" t="s">
        <v>7</v>
      </c>
      <c r="G19" s="3" t="s">
        <v>16</v>
      </c>
      <c r="H19" s="56">
        <v>13912</v>
      </c>
      <c r="I19" s="3" t="s">
        <v>41</v>
      </c>
      <c r="J19" s="3" t="s">
        <v>42</v>
      </c>
      <c r="K19" s="3" t="s">
        <v>43</v>
      </c>
    </row>
    <row r="20" spans="1:11" ht="14.4" x14ac:dyDescent="0.3">
      <c r="A20" s="2"/>
      <c r="B20" s="5" t="s">
        <v>205</v>
      </c>
      <c r="C20" s="56">
        <v>11670</v>
      </c>
      <c r="D20" s="14"/>
      <c r="E20" s="3" t="s">
        <v>0</v>
      </c>
      <c r="F20" s="3" t="s">
        <v>7</v>
      </c>
      <c r="G20" s="3" t="s">
        <v>17</v>
      </c>
      <c r="H20" s="56">
        <v>11670</v>
      </c>
      <c r="I20" s="3" t="s">
        <v>41</v>
      </c>
      <c r="J20" s="3" t="s">
        <v>42</v>
      </c>
      <c r="K20" s="3" t="s">
        <v>43</v>
      </c>
    </row>
    <row r="21" spans="1:11" ht="14.4" x14ac:dyDescent="0.3">
      <c r="A21" s="2"/>
      <c r="B21" s="5" t="s">
        <v>206</v>
      </c>
      <c r="C21" s="56">
        <v>5423</v>
      </c>
      <c r="D21" s="14"/>
      <c r="E21" s="3" t="s">
        <v>0</v>
      </c>
      <c r="F21" s="3" t="s">
        <v>7</v>
      </c>
      <c r="G21" s="3" t="s">
        <v>18</v>
      </c>
      <c r="H21" s="56">
        <v>5423</v>
      </c>
      <c r="I21" s="3" t="s">
        <v>41</v>
      </c>
      <c r="J21" s="3" t="s">
        <v>42</v>
      </c>
      <c r="K21" s="3" t="s">
        <v>43</v>
      </c>
    </row>
    <row r="22" spans="1:11" ht="14.4" x14ac:dyDescent="0.3">
      <c r="A22" s="2"/>
      <c r="B22" s="5" t="s">
        <v>207</v>
      </c>
      <c r="C22" s="56">
        <v>4717</v>
      </c>
      <c r="D22" s="14"/>
      <c r="E22" s="3" t="s">
        <v>0</v>
      </c>
      <c r="F22" s="3" t="s">
        <v>7</v>
      </c>
      <c r="G22" s="3" t="s">
        <v>19</v>
      </c>
      <c r="H22" s="56">
        <v>4717</v>
      </c>
      <c r="I22" s="3" t="s">
        <v>41</v>
      </c>
      <c r="J22" s="3" t="s">
        <v>42</v>
      </c>
      <c r="K22" s="3" t="s">
        <v>43</v>
      </c>
    </row>
    <row r="23" spans="1:11" ht="14.4" x14ac:dyDescent="0.3">
      <c r="A23" s="2"/>
      <c r="B23" s="5" t="s">
        <v>20</v>
      </c>
      <c r="C23" s="56">
        <v>2073</v>
      </c>
      <c r="D23" s="14"/>
      <c r="E23" s="3" t="s">
        <v>0</v>
      </c>
      <c r="F23" s="3" t="s">
        <v>7</v>
      </c>
      <c r="G23" s="3" t="s">
        <v>51</v>
      </c>
      <c r="H23" s="56">
        <v>2073</v>
      </c>
      <c r="I23" s="3" t="s">
        <v>41</v>
      </c>
      <c r="J23" s="3" t="s">
        <v>42</v>
      </c>
      <c r="K23" s="3" t="s">
        <v>43</v>
      </c>
    </row>
    <row r="24" spans="1:11" ht="14.4" x14ac:dyDescent="0.3">
      <c r="A24" s="2"/>
      <c r="B24" s="5" t="s">
        <v>22</v>
      </c>
      <c r="C24" s="56">
        <v>14159</v>
      </c>
      <c r="D24" s="14"/>
      <c r="E24" s="3" t="s">
        <v>0</v>
      </c>
      <c r="F24" s="3" t="s">
        <v>7</v>
      </c>
      <c r="G24" s="3" t="s">
        <v>22</v>
      </c>
      <c r="H24" s="56">
        <v>14159</v>
      </c>
      <c r="I24" s="3" t="s">
        <v>41</v>
      </c>
      <c r="J24" s="3" t="s">
        <v>42</v>
      </c>
      <c r="K24" s="3" t="s">
        <v>43</v>
      </c>
    </row>
    <row r="25" spans="1:11" ht="14.4" x14ac:dyDescent="0.3">
      <c r="A25" s="2"/>
      <c r="B25" s="5" t="s">
        <v>21</v>
      </c>
      <c r="C25" s="56">
        <v>698</v>
      </c>
      <c r="D25" s="14"/>
      <c r="E25" s="3" t="s">
        <v>0</v>
      </c>
      <c r="F25" s="3" t="s">
        <v>7</v>
      </c>
      <c r="G25" s="3" t="s">
        <v>21</v>
      </c>
      <c r="H25" s="56">
        <v>698</v>
      </c>
      <c r="I25" s="3" t="s">
        <v>41</v>
      </c>
      <c r="J25" s="3" t="s">
        <v>42</v>
      </c>
      <c r="K25" s="3" t="s">
        <v>43</v>
      </c>
    </row>
    <row r="26" spans="1:11" ht="14.4" x14ac:dyDescent="0.3">
      <c r="A26" s="2"/>
      <c r="B26" s="5" t="s">
        <v>77</v>
      </c>
      <c r="C26" s="56">
        <f>SUM(C18:C25)</f>
        <v>68420</v>
      </c>
      <c r="D26" s="14"/>
      <c r="E26" s="3" t="s">
        <v>0</v>
      </c>
      <c r="F26" s="3" t="s">
        <v>7</v>
      </c>
      <c r="G26" s="3" t="s">
        <v>77</v>
      </c>
      <c r="H26" s="56">
        <v>68420</v>
      </c>
      <c r="I26" s="3" t="s">
        <v>41</v>
      </c>
      <c r="J26" s="3" t="s">
        <v>42</v>
      </c>
      <c r="K26" s="3" t="s">
        <v>43</v>
      </c>
    </row>
    <row r="29" spans="1:11" ht="14.4" x14ac:dyDescent="0.3">
      <c r="A29" s="71" t="s">
        <v>9</v>
      </c>
      <c r="B29" s="10" t="s">
        <v>168</v>
      </c>
      <c r="C29" s="2"/>
      <c r="D29" s="3"/>
      <c r="E29" s="2"/>
      <c r="F29" s="2"/>
      <c r="G29" s="2"/>
      <c r="H29" s="2"/>
      <c r="I29" s="2"/>
      <c r="J29" s="2"/>
      <c r="K29" s="2"/>
    </row>
    <row r="30" spans="1:11" ht="14.4" x14ac:dyDescent="0.3">
      <c r="A30" s="2"/>
      <c r="B30" s="5"/>
      <c r="C30" s="2"/>
      <c r="D30" s="2"/>
      <c r="E30" s="2"/>
      <c r="F30" s="2"/>
      <c r="G30" s="2"/>
      <c r="H30" s="2"/>
      <c r="I30" s="2"/>
      <c r="J30" s="2"/>
      <c r="K30" s="2"/>
    </row>
    <row r="31" spans="1:11" ht="14.4" x14ac:dyDescent="0.3">
      <c r="A31" s="2"/>
      <c r="B31" s="10" t="s">
        <v>66</v>
      </c>
      <c r="C31" s="75" t="s">
        <v>23</v>
      </c>
      <c r="D31" s="14"/>
      <c r="E31" s="75" t="s">
        <v>2</v>
      </c>
      <c r="F31" s="75" t="s">
        <v>6</v>
      </c>
      <c r="G31" s="75" t="s">
        <v>66</v>
      </c>
      <c r="H31" s="75" t="s">
        <v>23</v>
      </c>
      <c r="I31" s="75" t="s">
        <v>39</v>
      </c>
      <c r="J31" s="75" t="s">
        <v>79</v>
      </c>
      <c r="K31" s="75" t="s">
        <v>40</v>
      </c>
    </row>
    <row r="32" spans="1:11" ht="14.4" x14ac:dyDescent="0.3">
      <c r="A32" s="2"/>
      <c r="B32" s="5" t="s">
        <v>15</v>
      </c>
      <c r="C32" s="56">
        <v>16314</v>
      </c>
      <c r="D32" s="14"/>
      <c r="E32" s="3" t="s">
        <v>0</v>
      </c>
      <c r="F32" s="3" t="s">
        <v>9</v>
      </c>
      <c r="G32" s="3" t="s">
        <v>15</v>
      </c>
      <c r="H32" s="56">
        <v>16314</v>
      </c>
      <c r="I32" s="3" t="s">
        <v>41</v>
      </c>
      <c r="J32" s="3" t="s">
        <v>42</v>
      </c>
      <c r="K32" s="3" t="s">
        <v>43</v>
      </c>
    </row>
    <row r="33" spans="1:11" ht="14.4" x14ac:dyDescent="0.3">
      <c r="A33" s="2"/>
      <c r="B33" s="5" t="s">
        <v>204</v>
      </c>
      <c r="C33" s="56">
        <v>14675</v>
      </c>
      <c r="D33" s="14"/>
      <c r="E33" s="3" t="s">
        <v>0</v>
      </c>
      <c r="F33" s="3" t="s">
        <v>9</v>
      </c>
      <c r="G33" s="3" t="s">
        <v>16</v>
      </c>
      <c r="H33" s="56">
        <v>14675</v>
      </c>
      <c r="I33" s="3" t="s">
        <v>41</v>
      </c>
      <c r="J33" s="3" t="s">
        <v>42</v>
      </c>
      <c r="K33" s="3" t="s">
        <v>43</v>
      </c>
    </row>
    <row r="34" spans="1:11" ht="14.4" x14ac:dyDescent="0.3">
      <c r="A34" s="2"/>
      <c r="B34" s="5" t="s">
        <v>205</v>
      </c>
      <c r="C34" s="56">
        <v>11561</v>
      </c>
      <c r="D34" s="14"/>
      <c r="E34" s="3" t="s">
        <v>0</v>
      </c>
      <c r="F34" s="3" t="s">
        <v>9</v>
      </c>
      <c r="G34" s="3" t="s">
        <v>17</v>
      </c>
      <c r="H34" s="56">
        <v>11561</v>
      </c>
      <c r="I34" s="3" t="s">
        <v>41</v>
      </c>
      <c r="J34" s="3" t="s">
        <v>42</v>
      </c>
      <c r="K34" s="3" t="s">
        <v>43</v>
      </c>
    </row>
    <row r="35" spans="1:11" ht="14.4" x14ac:dyDescent="0.3">
      <c r="A35" s="2"/>
      <c r="B35" s="5" t="s">
        <v>206</v>
      </c>
      <c r="C35" s="56">
        <v>5640</v>
      </c>
      <c r="D35" s="14"/>
      <c r="E35" s="3" t="s">
        <v>0</v>
      </c>
      <c r="F35" s="3" t="s">
        <v>9</v>
      </c>
      <c r="G35" s="3" t="s">
        <v>18</v>
      </c>
      <c r="H35" s="56">
        <v>5640</v>
      </c>
      <c r="I35" s="3" t="s">
        <v>41</v>
      </c>
      <c r="J35" s="3" t="s">
        <v>42</v>
      </c>
      <c r="K35" s="3" t="s">
        <v>43</v>
      </c>
    </row>
    <row r="36" spans="1:11" ht="14.4" x14ac:dyDescent="0.3">
      <c r="A36" s="2"/>
      <c r="B36" s="5" t="s">
        <v>207</v>
      </c>
      <c r="C36" s="56">
        <v>5051</v>
      </c>
      <c r="D36" s="14"/>
      <c r="E36" s="3" t="s">
        <v>0</v>
      </c>
      <c r="F36" s="3" t="s">
        <v>9</v>
      </c>
      <c r="G36" s="3" t="s">
        <v>19</v>
      </c>
      <c r="H36" s="56">
        <v>5051</v>
      </c>
      <c r="I36" s="3" t="s">
        <v>41</v>
      </c>
      <c r="J36" s="3" t="s">
        <v>42</v>
      </c>
      <c r="K36" s="3" t="s">
        <v>43</v>
      </c>
    </row>
    <row r="37" spans="1:11" ht="14.4" x14ac:dyDescent="0.3">
      <c r="A37" s="2"/>
      <c r="B37" s="5" t="s">
        <v>20</v>
      </c>
      <c r="C37" s="56">
        <v>2131</v>
      </c>
      <c r="D37" s="14"/>
      <c r="E37" s="3" t="s">
        <v>0</v>
      </c>
      <c r="F37" s="3" t="s">
        <v>9</v>
      </c>
      <c r="G37" s="3" t="s">
        <v>51</v>
      </c>
      <c r="H37" s="56">
        <v>2131</v>
      </c>
      <c r="I37" s="3" t="s">
        <v>41</v>
      </c>
      <c r="J37" s="3" t="s">
        <v>42</v>
      </c>
      <c r="K37" s="3" t="s">
        <v>43</v>
      </c>
    </row>
    <row r="38" spans="1:11" ht="14.4" x14ac:dyDescent="0.3">
      <c r="A38" s="2"/>
      <c r="B38" s="5" t="s">
        <v>22</v>
      </c>
      <c r="C38" s="56">
        <v>14080</v>
      </c>
      <c r="D38" s="14"/>
      <c r="E38" s="3" t="s">
        <v>0</v>
      </c>
      <c r="F38" s="3" t="s">
        <v>9</v>
      </c>
      <c r="G38" s="3" t="s">
        <v>22</v>
      </c>
      <c r="H38" s="56">
        <v>14080</v>
      </c>
      <c r="I38" s="3" t="s">
        <v>41</v>
      </c>
      <c r="J38" s="3" t="s">
        <v>42</v>
      </c>
      <c r="K38" s="3" t="s">
        <v>43</v>
      </c>
    </row>
    <row r="39" spans="1:11" ht="14.4" x14ac:dyDescent="0.3">
      <c r="A39" s="2"/>
      <c r="B39" s="5" t="s">
        <v>21</v>
      </c>
      <c r="C39" s="56">
        <v>832</v>
      </c>
      <c r="D39" s="14"/>
      <c r="E39" s="3" t="s">
        <v>0</v>
      </c>
      <c r="F39" s="3" t="s">
        <v>9</v>
      </c>
      <c r="G39" s="3" t="s">
        <v>21</v>
      </c>
      <c r="H39" s="56">
        <v>832</v>
      </c>
      <c r="I39" s="3" t="s">
        <v>41</v>
      </c>
      <c r="J39" s="3" t="s">
        <v>42</v>
      </c>
      <c r="K39" s="3" t="s">
        <v>43</v>
      </c>
    </row>
    <row r="40" spans="1:11" ht="14.4" x14ac:dyDescent="0.3">
      <c r="A40" s="2"/>
      <c r="B40" s="5" t="s">
        <v>77</v>
      </c>
      <c r="C40" s="56">
        <f>SUM(C32:C39)</f>
        <v>70284</v>
      </c>
      <c r="D40" s="14"/>
      <c r="E40" s="3" t="s">
        <v>0</v>
      </c>
      <c r="F40" s="3" t="s">
        <v>9</v>
      </c>
      <c r="G40" s="3" t="s">
        <v>77</v>
      </c>
      <c r="H40" s="56">
        <f>SUM(H32:H39)</f>
        <v>70284</v>
      </c>
      <c r="I40" s="3" t="s">
        <v>41</v>
      </c>
      <c r="J40" s="3" t="s">
        <v>42</v>
      </c>
      <c r="K40" s="3" t="s">
        <v>43</v>
      </c>
    </row>
    <row r="43" spans="1:11" ht="14.4" x14ac:dyDescent="0.3">
      <c r="A43" s="71" t="s">
        <v>10</v>
      </c>
      <c r="B43" s="10" t="s">
        <v>171</v>
      </c>
      <c r="C43" s="2"/>
      <c r="D43" s="3"/>
      <c r="E43" s="2"/>
      <c r="F43" s="2"/>
      <c r="G43" s="2"/>
      <c r="H43" s="2"/>
      <c r="I43" s="2"/>
      <c r="J43" s="2"/>
      <c r="K43" s="2"/>
    </row>
    <row r="44" spans="1:11" ht="14.4" x14ac:dyDescent="0.3">
      <c r="A44" s="2"/>
      <c r="B44" s="5"/>
      <c r="C44" s="2"/>
      <c r="D44" s="2"/>
      <c r="E44" s="2"/>
      <c r="F44" s="2"/>
      <c r="G44" s="2"/>
      <c r="H44" s="2"/>
      <c r="I44" s="2"/>
      <c r="J44" s="2"/>
      <c r="K44" s="2"/>
    </row>
    <row r="45" spans="1:11" ht="14.4" x14ac:dyDescent="0.3">
      <c r="A45" s="2"/>
      <c r="B45" s="10" t="s">
        <v>66</v>
      </c>
      <c r="C45" s="75" t="s">
        <v>23</v>
      </c>
      <c r="D45" s="14"/>
      <c r="E45" s="75" t="s">
        <v>2</v>
      </c>
      <c r="F45" s="75" t="s">
        <v>6</v>
      </c>
      <c r="G45" s="75" t="s">
        <v>66</v>
      </c>
      <c r="H45" s="75" t="s">
        <v>23</v>
      </c>
      <c r="I45" s="75" t="s">
        <v>39</v>
      </c>
      <c r="J45" s="75" t="s">
        <v>79</v>
      </c>
      <c r="K45" s="75" t="s">
        <v>40</v>
      </c>
    </row>
    <row r="46" spans="1:11" ht="14.4" x14ac:dyDescent="0.3">
      <c r="A46" s="2"/>
      <c r="B46" s="5" t="s">
        <v>15</v>
      </c>
      <c r="C46" s="56">
        <v>17442</v>
      </c>
      <c r="D46" s="14"/>
      <c r="E46" s="3" t="s">
        <v>0</v>
      </c>
      <c r="F46" s="3" t="s">
        <v>10</v>
      </c>
      <c r="G46" s="3" t="s">
        <v>15</v>
      </c>
      <c r="H46" s="56">
        <v>17442</v>
      </c>
      <c r="I46" s="3" t="s">
        <v>41</v>
      </c>
      <c r="J46" s="3" t="s">
        <v>42</v>
      </c>
      <c r="K46" s="3" t="s">
        <v>43</v>
      </c>
    </row>
    <row r="47" spans="1:11" ht="14.4" x14ac:dyDescent="0.3">
      <c r="A47" s="2"/>
      <c r="B47" s="5" t="s">
        <v>204</v>
      </c>
      <c r="C47" s="56">
        <v>14635</v>
      </c>
      <c r="D47" s="14"/>
      <c r="E47" s="3" t="s">
        <v>0</v>
      </c>
      <c r="F47" s="3" t="s">
        <v>10</v>
      </c>
      <c r="G47" s="3" t="s">
        <v>16</v>
      </c>
      <c r="H47" s="56">
        <v>14635</v>
      </c>
      <c r="I47" s="3" t="s">
        <v>41</v>
      </c>
      <c r="J47" s="3" t="s">
        <v>42</v>
      </c>
      <c r="K47" s="3" t="s">
        <v>43</v>
      </c>
    </row>
    <row r="48" spans="1:11" ht="14.4" x14ac:dyDescent="0.3">
      <c r="A48" s="2"/>
      <c r="B48" s="5" t="s">
        <v>205</v>
      </c>
      <c r="C48" s="56">
        <v>11414</v>
      </c>
      <c r="D48" s="14"/>
      <c r="E48" s="3" t="s">
        <v>0</v>
      </c>
      <c r="F48" s="3" t="s">
        <v>10</v>
      </c>
      <c r="G48" s="3" t="s">
        <v>17</v>
      </c>
      <c r="H48" s="56">
        <v>11414</v>
      </c>
      <c r="I48" s="3" t="s">
        <v>41</v>
      </c>
      <c r="J48" s="3" t="s">
        <v>42</v>
      </c>
      <c r="K48" s="3" t="s">
        <v>43</v>
      </c>
    </row>
    <row r="49" spans="1:11" ht="14.4" x14ac:dyDescent="0.3">
      <c r="A49" s="2"/>
      <c r="B49" s="5" t="s">
        <v>206</v>
      </c>
      <c r="C49" s="56">
        <v>5682</v>
      </c>
      <c r="D49" s="14"/>
      <c r="E49" s="3" t="s">
        <v>0</v>
      </c>
      <c r="F49" s="3" t="s">
        <v>10</v>
      </c>
      <c r="G49" s="3" t="s">
        <v>18</v>
      </c>
      <c r="H49" s="56">
        <v>5682</v>
      </c>
      <c r="I49" s="3" t="s">
        <v>41</v>
      </c>
      <c r="J49" s="3" t="s">
        <v>42</v>
      </c>
      <c r="K49" s="3" t="s">
        <v>43</v>
      </c>
    </row>
    <row r="50" spans="1:11" ht="14.4" x14ac:dyDescent="0.3">
      <c r="A50" s="2"/>
      <c r="B50" s="5" t="s">
        <v>207</v>
      </c>
      <c r="C50" s="56">
        <v>5434</v>
      </c>
      <c r="D50" s="14"/>
      <c r="E50" s="3" t="s">
        <v>0</v>
      </c>
      <c r="F50" s="3" t="s">
        <v>10</v>
      </c>
      <c r="G50" s="3" t="s">
        <v>19</v>
      </c>
      <c r="H50" s="56">
        <v>5434</v>
      </c>
      <c r="I50" s="3" t="s">
        <v>41</v>
      </c>
      <c r="J50" s="3" t="s">
        <v>42</v>
      </c>
      <c r="K50" s="3" t="s">
        <v>43</v>
      </c>
    </row>
    <row r="51" spans="1:11" ht="14.4" x14ac:dyDescent="0.3">
      <c r="A51" s="2"/>
      <c r="B51" s="5" t="s">
        <v>20</v>
      </c>
      <c r="C51" s="56">
        <v>2491</v>
      </c>
      <c r="D51" s="14"/>
      <c r="E51" s="3" t="s">
        <v>0</v>
      </c>
      <c r="F51" s="3" t="s">
        <v>10</v>
      </c>
      <c r="G51" s="3" t="s">
        <v>51</v>
      </c>
      <c r="H51" s="56">
        <v>2491</v>
      </c>
      <c r="I51" s="3" t="s">
        <v>41</v>
      </c>
      <c r="J51" s="3" t="s">
        <v>42</v>
      </c>
      <c r="K51" s="3" t="s">
        <v>43</v>
      </c>
    </row>
    <row r="52" spans="1:11" ht="14.4" x14ac:dyDescent="0.3">
      <c r="A52" s="2"/>
      <c r="B52" s="5" t="s">
        <v>22</v>
      </c>
      <c r="C52" s="56">
        <v>13835</v>
      </c>
      <c r="D52" s="14"/>
      <c r="E52" s="3" t="s">
        <v>0</v>
      </c>
      <c r="F52" s="3" t="s">
        <v>10</v>
      </c>
      <c r="G52" s="3" t="s">
        <v>22</v>
      </c>
      <c r="H52" s="56">
        <v>13835</v>
      </c>
      <c r="I52" s="3" t="s">
        <v>41</v>
      </c>
      <c r="J52" s="3" t="s">
        <v>42</v>
      </c>
      <c r="K52" s="3" t="s">
        <v>43</v>
      </c>
    </row>
    <row r="53" spans="1:11" ht="14.4" x14ac:dyDescent="0.3">
      <c r="A53" s="2"/>
      <c r="B53" s="5" t="s">
        <v>21</v>
      </c>
      <c r="C53" s="56">
        <v>719</v>
      </c>
      <c r="D53" s="14"/>
      <c r="E53" s="3" t="s">
        <v>0</v>
      </c>
      <c r="F53" s="3" t="s">
        <v>10</v>
      </c>
      <c r="G53" s="3" t="s">
        <v>21</v>
      </c>
      <c r="H53" s="56">
        <v>719</v>
      </c>
      <c r="I53" s="3" t="s">
        <v>41</v>
      </c>
      <c r="J53" s="3" t="s">
        <v>42</v>
      </c>
      <c r="K53" s="3" t="s">
        <v>43</v>
      </c>
    </row>
    <row r="54" spans="1:11" ht="14.4" x14ac:dyDescent="0.3">
      <c r="A54" s="2"/>
      <c r="B54" s="5" t="s">
        <v>77</v>
      </c>
      <c r="C54" s="56">
        <f>SUM(C46:C53)</f>
        <v>71652</v>
      </c>
      <c r="D54" s="14"/>
      <c r="E54" s="3" t="s">
        <v>0</v>
      </c>
      <c r="F54" s="3" t="s">
        <v>10</v>
      </c>
      <c r="G54" s="3" t="s">
        <v>77</v>
      </c>
      <c r="H54" s="56">
        <f>SUM(H46:H53)</f>
        <v>71652</v>
      </c>
      <c r="I54" s="3" t="s">
        <v>41</v>
      </c>
      <c r="J54" s="3" t="s">
        <v>42</v>
      </c>
      <c r="K54" s="3" t="s">
        <v>43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7764-0135-4599-A8C2-1BFB94710FA0}">
  <dimension ref="B2:I158"/>
  <sheetViews>
    <sheetView showGridLines="0" workbookViewId="0">
      <selection activeCell="F120" sqref="F120"/>
    </sheetView>
  </sheetViews>
  <sheetFormatPr defaultRowHeight="13.8" x14ac:dyDescent="0.3"/>
  <cols>
    <col min="1" max="1" width="2.44140625" style="89" customWidth="1"/>
    <col min="2" max="2" width="15.88671875" style="89" bestFit="1" customWidth="1"/>
    <col min="3" max="3" width="11.21875" style="89" bestFit="1" customWidth="1"/>
    <col min="4" max="4" width="8.88671875" style="89"/>
    <col min="5" max="5" width="15.88671875" style="89" bestFit="1" customWidth="1"/>
    <col min="6" max="6" width="11.21875" style="89" bestFit="1" customWidth="1"/>
    <col min="7" max="7" width="8.88671875" style="89"/>
    <col min="8" max="8" width="5.33203125" style="89" bestFit="1" customWidth="1"/>
    <col min="9" max="9" width="6" style="89" bestFit="1" customWidth="1"/>
    <col min="10" max="16384" width="8.88671875" style="89"/>
  </cols>
  <sheetData>
    <row r="2" spans="2:9" x14ac:dyDescent="0.3">
      <c r="B2" s="92" t="s">
        <v>246</v>
      </c>
    </row>
    <row r="14" spans="2:9" ht="14.4" x14ac:dyDescent="0.3">
      <c r="B14" s="7"/>
      <c r="C14" s="3"/>
      <c r="D14" s="2"/>
      <c r="E14" s="7"/>
      <c r="F14" s="2"/>
      <c r="G14" s="2"/>
      <c r="H14" s="2"/>
      <c r="I14" s="2"/>
    </row>
    <row r="15" spans="2:9" ht="14.4" x14ac:dyDescent="0.3">
      <c r="B15" s="2"/>
      <c r="C15" s="2"/>
      <c r="D15" s="2"/>
      <c r="E15" s="2"/>
      <c r="F15" s="2"/>
      <c r="G15" s="2"/>
      <c r="H15" s="2"/>
      <c r="I15" s="2"/>
    </row>
    <row r="16" spans="2:9" ht="14.4" x14ac:dyDescent="0.3">
      <c r="B16" s="1"/>
      <c r="C16" s="4"/>
      <c r="D16" s="2"/>
      <c r="E16" s="1"/>
      <c r="F16" s="4"/>
      <c r="G16" s="2"/>
    </row>
    <row r="17" spans="2:9" ht="14.4" x14ac:dyDescent="0.3">
      <c r="B17" s="2"/>
      <c r="C17" s="55"/>
      <c r="D17" s="2"/>
      <c r="E17" s="2"/>
      <c r="F17" s="55"/>
      <c r="G17" s="2"/>
    </row>
    <row r="18" spans="2:9" ht="14.4" x14ac:dyDescent="0.3">
      <c r="B18" s="2"/>
      <c r="C18" s="55"/>
      <c r="D18" s="2"/>
      <c r="E18" s="2"/>
      <c r="F18" s="55"/>
      <c r="G18" s="2"/>
    </row>
    <row r="19" spans="2:9" ht="14.4" x14ac:dyDescent="0.3">
      <c r="B19" s="2"/>
      <c r="C19" s="55"/>
      <c r="D19" s="2"/>
      <c r="E19" s="2"/>
      <c r="F19" s="55"/>
      <c r="G19" s="2"/>
    </row>
    <row r="20" spans="2:9" ht="14.4" x14ac:dyDescent="0.3">
      <c r="B20" s="2"/>
      <c r="C20" s="55"/>
      <c r="D20" s="2"/>
      <c r="E20" s="2"/>
      <c r="F20" s="55"/>
      <c r="G20" s="2"/>
    </row>
    <row r="21" spans="2:9" ht="14.4" x14ac:dyDescent="0.3">
      <c r="B21" s="2"/>
      <c r="C21" s="55"/>
      <c r="D21" s="2"/>
      <c r="E21" s="2"/>
      <c r="F21" s="55"/>
    </row>
    <row r="22" spans="2:9" ht="14.4" x14ac:dyDescent="0.3">
      <c r="B22" s="2"/>
      <c r="C22" s="55"/>
      <c r="D22" s="2"/>
      <c r="E22" s="2"/>
      <c r="F22" s="55"/>
    </row>
    <row r="23" spans="2:9" ht="14.4" x14ac:dyDescent="0.3">
      <c r="B23" s="2"/>
      <c r="C23" s="55"/>
      <c r="D23" s="2"/>
      <c r="E23" s="2"/>
      <c r="F23" s="55"/>
    </row>
    <row r="24" spans="2:9" ht="14.4" x14ac:dyDescent="0.3">
      <c r="B24" s="2"/>
      <c r="C24" s="55"/>
      <c r="D24" s="2"/>
      <c r="E24" s="2"/>
      <c r="F24" s="55"/>
    </row>
    <row r="25" spans="2:9" ht="14.4" x14ac:dyDescent="0.3">
      <c r="B25" s="2"/>
      <c r="C25" s="55"/>
      <c r="D25" s="2"/>
      <c r="E25" s="6"/>
      <c r="F25" s="14"/>
    </row>
    <row r="29" spans="2:9" ht="14.4" x14ac:dyDescent="0.3">
      <c r="B29" s="95" t="s">
        <v>24</v>
      </c>
      <c r="C29" s="2"/>
      <c r="D29" s="2"/>
      <c r="E29" s="95" t="s">
        <v>1</v>
      </c>
      <c r="F29" s="2"/>
    </row>
    <row r="30" spans="2:9" ht="14.4" x14ac:dyDescent="0.3">
      <c r="B30" s="22"/>
      <c r="C30" s="2"/>
      <c r="D30" s="2"/>
      <c r="E30" s="22"/>
      <c r="F30" s="2"/>
    </row>
    <row r="31" spans="2:9" ht="14.4" x14ac:dyDescent="0.3">
      <c r="B31" s="10" t="s">
        <v>66</v>
      </c>
      <c r="C31" s="1" t="s">
        <v>78</v>
      </c>
      <c r="D31" s="1"/>
      <c r="E31" s="10" t="s">
        <v>66</v>
      </c>
      <c r="F31" s="1" t="s">
        <v>78</v>
      </c>
      <c r="H31" s="89" t="b">
        <f>B31=E31</f>
        <v>1</v>
      </c>
      <c r="I31" s="89" t="b">
        <f>C31=F31</f>
        <v>1</v>
      </c>
    </row>
    <row r="32" spans="2:9" ht="14.4" x14ac:dyDescent="0.3">
      <c r="B32" s="5" t="s">
        <v>15</v>
      </c>
      <c r="C32" s="29">
        <v>15.1</v>
      </c>
      <c r="D32" s="2"/>
      <c r="E32" s="5" t="s">
        <v>15</v>
      </c>
      <c r="F32" s="29">
        <v>15.1</v>
      </c>
      <c r="H32" s="89" t="b">
        <f t="shared" ref="H32:H40" si="0">B32=E32</f>
        <v>1</v>
      </c>
      <c r="I32" s="89" t="b">
        <f t="shared" ref="I32:I39" si="1">C32=F32</f>
        <v>1</v>
      </c>
    </row>
    <row r="33" spans="2:9" ht="14.4" x14ac:dyDescent="0.3">
      <c r="B33" s="5" t="s">
        <v>16</v>
      </c>
      <c r="C33" s="29">
        <v>13.2</v>
      </c>
      <c r="D33" s="2"/>
      <c r="E33" s="5" t="s">
        <v>16</v>
      </c>
      <c r="F33" s="29">
        <v>5.6</v>
      </c>
      <c r="H33" s="89" t="b">
        <f t="shared" si="0"/>
        <v>1</v>
      </c>
      <c r="I33" s="98" t="b">
        <f t="shared" si="1"/>
        <v>0</v>
      </c>
    </row>
    <row r="34" spans="2:9" ht="14.4" x14ac:dyDescent="0.3">
      <c r="B34" s="5" t="s">
        <v>17</v>
      </c>
      <c r="C34" s="29">
        <v>11</v>
      </c>
      <c r="D34" s="2"/>
      <c r="E34" s="5" t="s">
        <v>17</v>
      </c>
      <c r="F34" s="96">
        <v>13.2</v>
      </c>
      <c r="H34" s="89" t="b">
        <f t="shared" si="0"/>
        <v>1</v>
      </c>
      <c r="I34" s="98" t="b">
        <f t="shared" si="1"/>
        <v>0</v>
      </c>
    </row>
    <row r="35" spans="2:9" ht="14.4" x14ac:dyDescent="0.3">
      <c r="B35" s="5" t="s">
        <v>18</v>
      </c>
      <c r="C35" s="29">
        <v>5.6</v>
      </c>
      <c r="D35" s="2"/>
      <c r="E35" s="5" t="s">
        <v>18</v>
      </c>
      <c r="F35" s="97">
        <v>4.7</v>
      </c>
      <c r="H35" s="89" t="b">
        <f t="shared" si="0"/>
        <v>1</v>
      </c>
      <c r="I35" s="98" t="b">
        <f t="shared" si="1"/>
        <v>0</v>
      </c>
    </row>
    <row r="36" spans="2:9" ht="14.4" x14ac:dyDescent="0.3">
      <c r="B36" s="5" t="s">
        <v>19</v>
      </c>
      <c r="C36" s="29">
        <v>4.7</v>
      </c>
      <c r="D36" s="2"/>
      <c r="E36" s="5" t="s">
        <v>19</v>
      </c>
      <c r="F36" s="29">
        <v>11</v>
      </c>
      <c r="H36" s="89" t="b">
        <f t="shared" si="0"/>
        <v>1</v>
      </c>
      <c r="I36" s="98" t="b">
        <f t="shared" si="1"/>
        <v>0</v>
      </c>
    </row>
    <row r="37" spans="2:9" ht="14.4" x14ac:dyDescent="0.3">
      <c r="B37" s="5" t="s">
        <v>51</v>
      </c>
      <c r="C37" s="29">
        <v>2.2000000000000002</v>
      </c>
      <c r="D37" s="2"/>
      <c r="E37" s="5" t="s">
        <v>51</v>
      </c>
      <c r="F37" s="29">
        <v>2.2000000000000002</v>
      </c>
      <c r="H37" s="89" t="b">
        <f t="shared" si="0"/>
        <v>1</v>
      </c>
      <c r="I37" s="89" t="b">
        <f t="shared" si="1"/>
        <v>1</v>
      </c>
    </row>
    <row r="38" spans="2:9" ht="14.4" x14ac:dyDescent="0.3">
      <c r="B38" s="5" t="s">
        <v>21</v>
      </c>
      <c r="C38" s="29">
        <v>0.9</v>
      </c>
      <c r="D38" s="2"/>
      <c r="E38" s="5" t="s">
        <v>21</v>
      </c>
      <c r="F38" s="29">
        <v>13.2</v>
      </c>
      <c r="H38" s="89" t="b">
        <f t="shared" si="0"/>
        <v>1</v>
      </c>
      <c r="I38" s="98" t="b">
        <f t="shared" si="1"/>
        <v>0</v>
      </c>
    </row>
    <row r="39" spans="2:9" ht="14.4" x14ac:dyDescent="0.3">
      <c r="B39" s="5" t="s">
        <v>22</v>
      </c>
      <c r="C39" s="29">
        <v>13.2</v>
      </c>
      <c r="D39" s="2"/>
      <c r="E39" s="5" t="s">
        <v>22</v>
      </c>
      <c r="F39" s="29">
        <v>0.9</v>
      </c>
      <c r="H39" s="89" t="b">
        <f t="shared" si="0"/>
        <v>1</v>
      </c>
      <c r="I39" s="98" t="b">
        <f t="shared" si="1"/>
        <v>0</v>
      </c>
    </row>
    <row r="40" spans="2:9" ht="14.4" x14ac:dyDescent="0.3">
      <c r="B40" s="5" t="s">
        <v>11</v>
      </c>
      <c r="C40" s="29">
        <v>66</v>
      </c>
      <c r="D40" s="2"/>
      <c r="E40" s="5" t="s">
        <v>11</v>
      </c>
      <c r="F40" s="29">
        <f>SUM(F32:F39)</f>
        <v>65.900000000000006</v>
      </c>
      <c r="H40" s="89" t="b">
        <f t="shared" si="0"/>
        <v>1</v>
      </c>
      <c r="I40" s="99" t="b">
        <v>1</v>
      </c>
    </row>
    <row r="41" spans="2:9" ht="14.4" x14ac:dyDescent="0.3">
      <c r="B41" s="2"/>
      <c r="C41" s="2"/>
      <c r="D41" s="2"/>
      <c r="E41" s="2"/>
      <c r="F41" s="2"/>
    </row>
    <row r="42" spans="2:9" ht="14.4" x14ac:dyDescent="0.3">
      <c r="B42" s="2"/>
      <c r="C42" s="2"/>
      <c r="D42" s="2"/>
      <c r="E42" s="22" t="s">
        <v>5</v>
      </c>
      <c r="F42" s="21">
        <f>14/20</f>
        <v>0.7</v>
      </c>
    </row>
    <row r="45" spans="2:9" x14ac:dyDescent="0.3">
      <c r="B45" s="92" t="s">
        <v>243</v>
      </c>
    </row>
    <row r="70" spans="2:9" ht="14.4" x14ac:dyDescent="0.3">
      <c r="B70" s="95" t="s">
        <v>24</v>
      </c>
      <c r="C70" s="2"/>
      <c r="D70" s="2"/>
      <c r="E70" s="95" t="s">
        <v>1</v>
      </c>
      <c r="F70" s="2"/>
      <c r="G70" s="2"/>
      <c r="H70" s="2"/>
      <c r="I70" s="2"/>
    </row>
    <row r="71" spans="2:9" ht="14.4" x14ac:dyDescent="0.3">
      <c r="B71" s="22"/>
      <c r="C71" s="2"/>
      <c r="D71" s="2"/>
      <c r="E71" s="22"/>
      <c r="F71" s="2"/>
      <c r="G71" s="2"/>
      <c r="H71" s="2"/>
      <c r="I71" s="2"/>
    </row>
    <row r="72" spans="2:9" ht="14.4" x14ac:dyDescent="0.3">
      <c r="B72" s="10" t="s">
        <v>66</v>
      </c>
      <c r="C72" s="1" t="s">
        <v>78</v>
      </c>
      <c r="D72" s="1"/>
      <c r="E72" s="10" t="s">
        <v>66</v>
      </c>
      <c r="F72" s="1" t="s">
        <v>78</v>
      </c>
      <c r="G72" s="2"/>
      <c r="H72" s="2" t="b">
        <f t="shared" ref="H72:I80" si="2">B72=E72</f>
        <v>1</v>
      </c>
      <c r="I72" s="2" t="b">
        <f t="shared" si="2"/>
        <v>1</v>
      </c>
    </row>
    <row r="73" spans="2:9" ht="14.4" x14ac:dyDescent="0.3">
      <c r="B73" s="5" t="s">
        <v>15</v>
      </c>
      <c r="C73" s="29">
        <v>15.8</v>
      </c>
      <c r="D73" s="2"/>
      <c r="E73" s="5" t="s">
        <v>15</v>
      </c>
      <c r="F73" s="29">
        <v>15.8</v>
      </c>
      <c r="G73" s="2"/>
      <c r="H73" s="2" t="b">
        <f t="shared" si="2"/>
        <v>1</v>
      </c>
      <c r="I73" s="2" t="b">
        <f t="shared" si="2"/>
        <v>1</v>
      </c>
    </row>
    <row r="74" spans="2:9" ht="14.4" x14ac:dyDescent="0.3">
      <c r="B74" s="5" t="s">
        <v>16</v>
      </c>
      <c r="C74" s="29">
        <v>13.9</v>
      </c>
      <c r="D74" s="2"/>
      <c r="E74" s="5" t="s">
        <v>16</v>
      </c>
      <c r="F74" s="29">
        <v>13.9</v>
      </c>
      <c r="G74" s="2"/>
      <c r="H74" s="2" t="b">
        <f t="shared" si="2"/>
        <v>1</v>
      </c>
      <c r="I74" s="2" t="b">
        <f t="shared" si="2"/>
        <v>1</v>
      </c>
    </row>
    <row r="75" spans="2:9" ht="14.4" x14ac:dyDescent="0.3">
      <c r="B75" s="5" t="s">
        <v>17</v>
      </c>
      <c r="C75" s="29">
        <v>11.7</v>
      </c>
      <c r="D75" s="2"/>
      <c r="E75" s="5" t="s">
        <v>17</v>
      </c>
      <c r="F75" s="29">
        <v>11.7</v>
      </c>
      <c r="G75" s="2"/>
      <c r="H75" s="2" t="b">
        <f t="shared" si="2"/>
        <v>1</v>
      </c>
      <c r="I75" s="2" t="b">
        <f t="shared" si="2"/>
        <v>1</v>
      </c>
    </row>
    <row r="76" spans="2:9" ht="14.4" x14ac:dyDescent="0.3">
      <c r="B76" s="5" t="s">
        <v>18</v>
      </c>
      <c r="C76" s="29">
        <v>5.4</v>
      </c>
      <c r="D76" s="2"/>
      <c r="E76" s="5" t="s">
        <v>18</v>
      </c>
      <c r="F76" s="29">
        <v>5.4</v>
      </c>
      <c r="G76" s="2"/>
      <c r="H76" s="2" t="b">
        <f t="shared" si="2"/>
        <v>1</v>
      </c>
      <c r="I76" s="2" t="b">
        <f t="shared" si="2"/>
        <v>1</v>
      </c>
    </row>
    <row r="77" spans="2:9" ht="14.4" x14ac:dyDescent="0.3">
      <c r="B77" s="5" t="s">
        <v>19</v>
      </c>
      <c r="C77" s="29">
        <v>4.7</v>
      </c>
      <c r="D77" s="2"/>
      <c r="E77" s="5" t="s">
        <v>19</v>
      </c>
      <c r="F77" s="29">
        <v>4.7</v>
      </c>
      <c r="G77" s="2"/>
      <c r="H77" s="2" t="b">
        <f t="shared" si="2"/>
        <v>1</v>
      </c>
      <c r="I77" s="2" t="b">
        <f t="shared" si="2"/>
        <v>1</v>
      </c>
    </row>
    <row r="78" spans="2:9" ht="14.4" x14ac:dyDescent="0.3">
      <c r="B78" s="5" t="s">
        <v>20</v>
      </c>
      <c r="C78" s="29">
        <v>2.1</v>
      </c>
      <c r="D78" s="2"/>
      <c r="E78" s="5" t="s">
        <v>20</v>
      </c>
      <c r="F78" s="29">
        <v>2.1</v>
      </c>
      <c r="G78" s="2"/>
      <c r="H78" s="2" t="b">
        <f t="shared" si="2"/>
        <v>1</v>
      </c>
      <c r="I78" s="2" t="b">
        <f t="shared" si="2"/>
        <v>1</v>
      </c>
    </row>
    <row r="79" spans="2:9" ht="14.4" x14ac:dyDescent="0.3">
      <c r="B79" s="5" t="s">
        <v>21</v>
      </c>
      <c r="C79" s="29">
        <v>0.7</v>
      </c>
      <c r="D79" s="2"/>
      <c r="E79" s="5" t="s">
        <v>21</v>
      </c>
      <c r="F79" s="29">
        <v>14.2</v>
      </c>
      <c r="G79" s="2"/>
      <c r="H79" s="2" t="b">
        <f t="shared" si="2"/>
        <v>1</v>
      </c>
      <c r="I79" s="23" t="b">
        <f t="shared" si="2"/>
        <v>0</v>
      </c>
    </row>
    <row r="80" spans="2:9" ht="14.4" x14ac:dyDescent="0.3">
      <c r="B80" s="5" t="s">
        <v>22</v>
      </c>
      <c r="C80" s="29">
        <v>14.2</v>
      </c>
      <c r="D80" s="2"/>
      <c r="E80" s="5" t="s">
        <v>22</v>
      </c>
      <c r="F80" s="29">
        <v>0.7</v>
      </c>
      <c r="G80" s="2"/>
      <c r="H80" s="2" t="b">
        <f t="shared" si="2"/>
        <v>1</v>
      </c>
      <c r="I80" s="23" t="b">
        <f t="shared" si="2"/>
        <v>0</v>
      </c>
    </row>
    <row r="81" spans="2:9" ht="14.4" x14ac:dyDescent="0.3">
      <c r="B81" s="5" t="s">
        <v>11</v>
      </c>
      <c r="C81" s="29">
        <v>68</v>
      </c>
      <c r="D81" s="2"/>
      <c r="E81" s="2" t="s">
        <v>11</v>
      </c>
      <c r="F81" s="29">
        <f>SUM(F73:F80)</f>
        <v>68.500000000000014</v>
      </c>
      <c r="G81" s="2"/>
      <c r="H81" s="2" t="b">
        <f t="shared" ref="H81" si="3">B81=E81</f>
        <v>1</v>
      </c>
      <c r="I81" s="18" t="b">
        <v>1</v>
      </c>
    </row>
    <row r="82" spans="2:9" ht="14.4" x14ac:dyDescent="0.3">
      <c r="B82" s="2"/>
      <c r="C82" s="2"/>
      <c r="D82" s="2"/>
      <c r="E82" s="2"/>
      <c r="F82" s="2"/>
      <c r="G82" s="2"/>
      <c r="H82" s="2"/>
      <c r="I82" s="2"/>
    </row>
    <row r="83" spans="2:9" ht="14.4" x14ac:dyDescent="0.3">
      <c r="B83" s="2"/>
      <c r="C83" s="2"/>
      <c r="D83" s="2"/>
      <c r="E83" s="22" t="s">
        <v>5</v>
      </c>
      <c r="F83" s="21">
        <f>18/20</f>
        <v>0.9</v>
      </c>
      <c r="G83" s="2"/>
      <c r="H83" s="2"/>
      <c r="I83" s="2"/>
    </row>
    <row r="84" spans="2:9" x14ac:dyDescent="0.3">
      <c r="E84" s="90"/>
      <c r="F84" s="57"/>
    </row>
    <row r="86" spans="2:9" x14ac:dyDescent="0.3">
      <c r="B86" s="92" t="s">
        <v>247</v>
      </c>
    </row>
    <row r="102" spans="2:9" ht="14.4" x14ac:dyDescent="0.3">
      <c r="B102" s="7"/>
      <c r="C102" s="3"/>
      <c r="D102" s="2"/>
      <c r="E102" s="7"/>
      <c r="F102" s="2"/>
    </row>
    <row r="103" spans="2:9" ht="14.4" x14ac:dyDescent="0.3">
      <c r="B103" s="2"/>
      <c r="C103" s="2"/>
      <c r="D103" s="2"/>
      <c r="E103" s="2"/>
      <c r="F103" s="2"/>
      <c r="G103" s="2"/>
      <c r="H103" s="2"/>
      <c r="I103" s="2"/>
    </row>
    <row r="104" spans="2:9" ht="14.4" x14ac:dyDescent="0.3">
      <c r="B104" s="1"/>
      <c r="C104" s="4"/>
      <c r="D104" s="2"/>
      <c r="E104" s="1"/>
      <c r="F104" s="4"/>
      <c r="G104" s="2"/>
    </row>
    <row r="105" spans="2:9" ht="14.4" x14ac:dyDescent="0.3">
      <c r="B105" s="1"/>
      <c r="C105" s="4"/>
      <c r="D105" s="2"/>
      <c r="E105" s="1"/>
      <c r="F105" s="4"/>
      <c r="G105" s="2"/>
    </row>
    <row r="106" spans="2:9" ht="14.4" x14ac:dyDescent="0.3">
      <c r="B106" s="1"/>
      <c r="C106" s="4"/>
      <c r="D106" s="2"/>
      <c r="E106" s="1"/>
      <c r="F106" s="4"/>
      <c r="G106" s="2"/>
    </row>
    <row r="107" spans="2:9" ht="14.4" x14ac:dyDescent="0.3">
      <c r="B107" s="95" t="s">
        <v>24</v>
      </c>
      <c r="C107" s="2"/>
      <c r="D107" s="2"/>
      <c r="E107" s="95" t="s">
        <v>1</v>
      </c>
      <c r="F107" s="55"/>
      <c r="G107" s="2"/>
    </row>
    <row r="108" spans="2:9" ht="14.4" x14ac:dyDescent="0.3">
      <c r="F108" s="2"/>
      <c r="G108" s="2"/>
      <c r="H108" s="2"/>
      <c r="I108" s="2"/>
    </row>
    <row r="109" spans="2:9" ht="14.4" x14ac:dyDescent="0.3">
      <c r="B109" s="10" t="s">
        <v>66</v>
      </c>
      <c r="C109" s="1" t="s">
        <v>78</v>
      </c>
      <c r="D109" s="1"/>
      <c r="E109" s="10" t="s">
        <v>66</v>
      </c>
      <c r="F109" s="1" t="s">
        <v>78</v>
      </c>
      <c r="G109" s="2"/>
      <c r="H109" s="2"/>
      <c r="I109" s="2"/>
    </row>
    <row r="110" spans="2:9" ht="14.4" x14ac:dyDescent="0.3">
      <c r="B110" s="5" t="s">
        <v>15</v>
      </c>
      <c r="C110" s="29">
        <v>16.3</v>
      </c>
      <c r="D110" s="2"/>
      <c r="E110" s="5" t="s">
        <v>15</v>
      </c>
      <c r="F110" s="29">
        <v>16.3</v>
      </c>
      <c r="G110" s="2"/>
      <c r="H110" s="2" t="b">
        <f t="shared" ref="H110:I118" si="4">B110=E110</f>
        <v>1</v>
      </c>
      <c r="I110" s="2" t="b">
        <f t="shared" si="4"/>
        <v>1</v>
      </c>
    </row>
    <row r="111" spans="2:9" ht="14.4" x14ac:dyDescent="0.3">
      <c r="B111" s="5" t="s">
        <v>16</v>
      </c>
      <c r="C111" s="29">
        <v>14.7</v>
      </c>
      <c r="D111" s="2"/>
      <c r="E111" s="5" t="s">
        <v>16</v>
      </c>
      <c r="F111" s="29">
        <v>14.7</v>
      </c>
      <c r="G111" s="2"/>
      <c r="H111" s="2" t="b">
        <f t="shared" si="4"/>
        <v>1</v>
      </c>
      <c r="I111" s="2" t="b">
        <f t="shared" si="4"/>
        <v>1</v>
      </c>
    </row>
    <row r="112" spans="2:9" ht="14.4" x14ac:dyDescent="0.3">
      <c r="B112" s="5" t="s">
        <v>17</v>
      </c>
      <c r="C112" s="29">
        <v>11.6</v>
      </c>
      <c r="D112" s="2"/>
      <c r="E112" s="5" t="s">
        <v>17</v>
      </c>
      <c r="F112" s="29">
        <v>11.6</v>
      </c>
      <c r="G112" s="2"/>
      <c r="H112" s="2" t="b">
        <f t="shared" si="4"/>
        <v>1</v>
      </c>
      <c r="I112" s="2" t="b">
        <f t="shared" si="4"/>
        <v>1</v>
      </c>
    </row>
    <row r="113" spans="2:9" ht="14.4" x14ac:dyDescent="0.3">
      <c r="B113" s="5" t="s">
        <v>18</v>
      </c>
      <c r="C113" s="29">
        <v>5.6</v>
      </c>
      <c r="D113" s="2"/>
      <c r="E113" s="5" t="s">
        <v>18</v>
      </c>
      <c r="F113" s="29">
        <v>5.6</v>
      </c>
      <c r="G113" s="2"/>
      <c r="H113" s="2" t="b">
        <f t="shared" si="4"/>
        <v>1</v>
      </c>
      <c r="I113" s="2" t="b">
        <f t="shared" si="4"/>
        <v>1</v>
      </c>
    </row>
    <row r="114" spans="2:9" ht="14.4" x14ac:dyDescent="0.3">
      <c r="B114" s="5" t="s">
        <v>19</v>
      </c>
      <c r="C114" s="29">
        <v>5.0999999999999996</v>
      </c>
      <c r="D114" s="2"/>
      <c r="E114" s="5" t="s">
        <v>19</v>
      </c>
      <c r="F114" s="29">
        <v>5.0999999999999996</v>
      </c>
      <c r="G114" s="2"/>
      <c r="H114" s="2" t="b">
        <f t="shared" si="4"/>
        <v>1</v>
      </c>
      <c r="I114" s="2" t="b">
        <f t="shared" si="4"/>
        <v>1</v>
      </c>
    </row>
    <row r="115" spans="2:9" ht="14.4" x14ac:dyDescent="0.3">
      <c r="B115" s="5" t="s">
        <v>51</v>
      </c>
      <c r="C115" s="29">
        <v>2.1</v>
      </c>
      <c r="D115" s="2"/>
      <c r="E115" s="5" t="s">
        <v>51</v>
      </c>
      <c r="F115" s="29">
        <v>2.1</v>
      </c>
      <c r="G115" s="2"/>
      <c r="H115" s="2" t="b">
        <f t="shared" si="4"/>
        <v>1</v>
      </c>
      <c r="I115" s="2" t="b">
        <f t="shared" si="4"/>
        <v>1</v>
      </c>
    </row>
    <row r="116" spans="2:9" ht="14.4" x14ac:dyDescent="0.3">
      <c r="B116" s="5" t="s">
        <v>21</v>
      </c>
      <c r="C116" s="29">
        <v>0.8</v>
      </c>
      <c r="D116" s="2"/>
      <c r="E116" s="5" t="s">
        <v>21</v>
      </c>
      <c r="F116" s="29">
        <v>0.8</v>
      </c>
      <c r="G116" s="2"/>
      <c r="H116" s="2" t="b">
        <f t="shared" si="4"/>
        <v>1</v>
      </c>
      <c r="I116" s="2" t="b">
        <f t="shared" si="4"/>
        <v>1</v>
      </c>
    </row>
    <row r="117" spans="2:9" ht="14.4" x14ac:dyDescent="0.3">
      <c r="B117" s="5" t="s">
        <v>22</v>
      </c>
      <c r="C117" s="29">
        <v>14.1</v>
      </c>
      <c r="D117" s="2"/>
      <c r="E117" s="5" t="s">
        <v>22</v>
      </c>
      <c r="F117" s="29">
        <v>14.1</v>
      </c>
      <c r="G117" s="2"/>
      <c r="H117" s="2" t="b">
        <f t="shared" si="4"/>
        <v>1</v>
      </c>
      <c r="I117" s="2" t="b">
        <f t="shared" si="4"/>
        <v>1</v>
      </c>
    </row>
    <row r="118" spans="2:9" ht="14.4" x14ac:dyDescent="0.3">
      <c r="B118" s="5" t="s">
        <v>11</v>
      </c>
      <c r="C118" s="15">
        <f>SUM(C110:C117)</f>
        <v>70.3</v>
      </c>
      <c r="D118" s="2"/>
      <c r="E118" s="5" t="s">
        <v>11</v>
      </c>
      <c r="F118" s="29">
        <f>SUM(F110:F117)</f>
        <v>70.3</v>
      </c>
      <c r="G118" s="2"/>
      <c r="H118" s="2" t="b">
        <f t="shared" si="4"/>
        <v>1</v>
      </c>
      <c r="I118" s="2" t="b">
        <f t="shared" si="4"/>
        <v>1</v>
      </c>
    </row>
    <row r="119" spans="2:9" ht="14.4" x14ac:dyDescent="0.3">
      <c r="B119" s="2"/>
      <c r="C119" s="2"/>
      <c r="D119" s="2"/>
      <c r="E119" s="2"/>
      <c r="F119" s="2"/>
      <c r="G119" s="2"/>
      <c r="H119" s="2"/>
      <c r="I119" s="2"/>
    </row>
    <row r="120" spans="2:9" ht="14.4" x14ac:dyDescent="0.3">
      <c r="B120" s="2"/>
      <c r="C120" s="2"/>
      <c r="D120" s="2"/>
      <c r="E120" s="22" t="s">
        <v>5</v>
      </c>
      <c r="F120" s="21">
        <f>30/30</f>
        <v>1</v>
      </c>
      <c r="G120" s="2"/>
      <c r="H120" s="2"/>
      <c r="I120" s="2"/>
    </row>
    <row r="122" spans="2:9" x14ac:dyDescent="0.3">
      <c r="B122" s="92" t="s">
        <v>248</v>
      </c>
    </row>
    <row r="143" spans="2:7" ht="14.4" x14ac:dyDescent="0.3">
      <c r="B143" s="7"/>
      <c r="C143" s="3"/>
      <c r="D143" s="2"/>
      <c r="E143" s="7"/>
      <c r="F143" s="2"/>
    </row>
    <row r="144" spans="2:7" ht="14.4" x14ac:dyDescent="0.3">
      <c r="B144" s="2"/>
      <c r="C144" s="55"/>
      <c r="D144" s="2"/>
      <c r="E144" s="2"/>
      <c r="F144" s="55"/>
      <c r="G144" s="2"/>
    </row>
    <row r="145" spans="2:9" ht="14.4" x14ac:dyDescent="0.3">
      <c r="B145" s="95" t="s">
        <v>24</v>
      </c>
      <c r="C145" s="2"/>
      <c r="D145" s="2"/>
      <c r="E145" s="95" t="s">
        <v>1</v>
      </c>
      <c r="F145" s="55"/>
      <c r="G145" s="2"/>
    </row>
    <row r="146" spans="2:9" ht="14.4" x14ac:dyDescent="0.3">
      <c r="F146" s="2"/>
      <c r="G146" s="2"/>
      <c r="H146" s="2"/>
      <c r="I146" s="2"/>
    </row>
    <row r="147" spans="2:9" ht="14.4" x14ac:dyDescent="0.3">
      <c r="B147" s="10" t="s">
        <v>66</v>
      </c>
      <c r="C147" s="1" t="s">
        <v>78</v>
      </c>
      <c r="D147" s="1"/>
      <c r="E147" s="10" t="s">
        <v>66</v>
      </c>
      <c r="F147" s="1" t="s">
        <v>78</v>
      </c>
      <c r="G147" s="2"/>
      <c r="H147" s="2"/>
      <c r="I147" s="2"/>
    </row>
    <row r="148" spans="2:9" ht="14.4" x14ac:dyDescent="0.3">
      <c r="B148" s="5" t="s">
        <v>15</v>
      </c>
      <c r="C148" s="29">
        <v>17.399999999999999</v>
      </c>
      <c r="D148" s="2"/>
      <c r="E148" s="5" t="s">
        <v>15</v>
      </c>
      <c r="F148" s="29">
        <v>17.399999999999999</v>
      </c>
      <c r="G148" s="2"/>
      <c r="H148" s="2" t="b">
        <f t="shared" ref="H148:H156" si="5">B148=E148</f>
        <v>1</v>
      </c>
      <c r="I148" s="2" t="b">
        <f t="shared" ref="I148:I156" si="6">C148=F148</f>
        <v>1</v>
      </c>
    </row>
    <row r="149" spans="2:9" ht="14.4" x14ac:dyDescent="0.3">
      <c r="B149" s="5" t="s">
        <v>16</v>
      </c>
      <c r="C149" s="29">
        <v>14.6</v>
      </c>
      <c r="D149" s="2"/>
      <c r="E149" s="5" t="s">
        <v>16</v>
      </c>
      <c r="F149" s="29">
        <v>14.6</v>
      </c>
      <c r="G149" s="2"/>
      <c r="H149" s="2" t="b">
        <f t="shared" si="5"/>
        <v>1</v>
      </c>
      <c r="I149" s="2" t="b">
        <f t="shared" si="6"/>
        <v>1</v>
      </c>
    </row>
    <row r="150" spans="2:9" ht="14.4" x14ac:dyDescent="0.3">
      <c r="B150" s="5" t="s">
        <v>17</v>
      </c>
      <c r="C150" s="29">
        <v>11.4</v>
      </c>
      <c r="D150" s="2"/>
      <c r="E150" s="5" t="s">
        <v>17</v>
      </c>
      <c r="F150" s="29">
        <v>11.4</v>
      </c>
      <c r="G150" s="2"/>
      <c r="H150" s="2" t="b">
        <f t="shared" si="5"/>
        <v>1</v>
      </c>
      <c r="I150" s="2" t="b">
        <f t="shared" si="6"/>
        <v>1</v>
      </c>
    </row>
    <row r="151" spans="2:9" ht="14.4" x14ac:dyDescent="0.3">
      <c r="B151" s="5" t="s">
        <v>18</v>
      </c>
      <c r="C151" s="29">
        <v>5.7</v>
      </c>
      <c r="D151" s="2"/>
      <c r="E151" s="5" t="s">
        <v>18</v>
      </c>
      <c r="F151" s="29">
        <v>5.7</v>
      </c>
      <c r="G151" s="2"/>
      <c r="H151" s="2" t="b">
        <f t="shared" si="5"/>
        <v>1</v>
      </c>
      <c r="I151" s="2" t="b">
        <f t="shared" si="6"/>
        <v>1</v>
      </c>
    </row>
    <row r="152" spans="2:9" ht="14.4" x14ac:dyDescent="0.3">
      <c r="B152" s="5" t="s">
        <v>19</v>
      </c>
      <c r="C152" s="29">
        <v>5.4</v>
      </c>
      <c r="D152" s="2"/>
      <c r="E152" s="5" t="s">
        <v>19</v>
      </c>
      <c r="F152" s="29">
        <v>5.4</v>
      </c>
      <c r="G152" s="2"/>
      <c r="H152" s="2" t="b">
        <f t="shared" si="5"/>
        <v>1</v>
      </c>
      <c r="I152" s="2" t="b">
        <f t="shared" si="6"/>
        <v>1</v>
      </c>
    </row>
    <row r="153" spans="2:9" ht="14.4" x14ac:dyDescent="0.3">
      <c r="B153" s="5" t="s">
        <v>51</v>
      </c>
      <c r="C153" s="29">
        <v>2.5</v>
      </c>
      <c r="D153" s="2"/>
      <c r="E153" s="5" t="s">
        <v>51</v>
      </c>
      <c r="F153" s="29">
        <v>2.5</v>
      </c>
      <c r="G153" s="2"/>
      <c r="H153" s="2" t="b">
        <f t="shared" si="5"/>
        <v>1</v>
      </c>
      <c r="I153" s="2" t="b">
        <f t="shared" si="6"/>
        <v>1</v>
      </c>
    </row>
    <row r="154" spans="2:9" ht="14.4" x14ac:dyDescent="0.3">
      <c r="B154" s="5" t="s">
        <v>21</v>
      </c>
      <c r="C154" s="29">
        <v>0.7</v>
      </c>
      <c r="D154" s="2"/>
      <c r="E154" s="5" t="s">
        <v>21</v>
      </c>
      <c r="F154" s="29">
        <v>0.7</v>
      </c>
      <c r="G154" s="2"/>
      <c r="H154" s="2" t="b">
        <f t="shared" si="5"/>
        <v>1</v>
      </c>
      <c r="I154" s="2" t="b">
        <f t="shared" si="6"/>
        <v>1</v>
      </c>
    </row>
    <row r="155" spans="2:9" ht="14.4" x14ac:dyDescent="0.3">
      <c r="B155" s="5" t="s">
        <v>22</v>
      </c>
      <c r="C155" s="29">
        <v>13.8</v>
      </c>
      <c r="D155" s="2"/>
      <c r="E155" s="5" t="s">
        <v>22</v>
      </c>
      <c r="F155" s="29">
        <v>13.8</v>
      </c>
      <c r="G155" s="2"/>
      <c r="H155" s="2" t="b">
        <f t="shared" si="5"/>
        <v>1</v>
      </c>
      <c r="I155" s="2" t="b">
        <f t="shared" si="6"/>
        <v>1</v>
      </c>
    </row>
    <row r="156" spans="2:9" ht="14.4" x14ac:dyDescent="0.3">
      <c r="B156" s="5" t="s">
        <v>11</v>
      </c>
      <c r="C156" s="15">
        <f>SUM(C148:C155)</f>
        <v>71.5</v>
      </c>
      <c r="D156" s="2"/>
      <c r="E156" s="5" t="s">
        <v>11</v>
      </c>
      <c r="F156" s="29">
        <f>SUM(F148:F155)</f>
        <v>71.5</v>
      </c>
      <c r="G156" s="2"/>
      <c r="H156" s="2" t="b">
        <f t="shared" si="5"/>
        <v>1</v>
      </c>
      <c r="I156" s="2" t="b">
        <f t="shared" si="6"/>
        <v>1</v>
      </c>
    </row>
    <row r="157" spans="2:9" ht="14.4" x14ac:dyDescent="0.3">
      <c r="B157" s="2"/>
      <c r="C157" s="2"/>
      <c r="D157" s="2"/>
      <c r="E157" s="2"/>
      <c r="F157" s="2"/>
      <c r="G157" s="2"/>
      <c r="H157" s="2"/>
      <c r="I157" s="2"/>
    </row>
    <row r="158" spans="2:9" ht="14.4" x14ac:dyDescent="0.3">
      <c r="B158" s="2"/>
      <c r="C158" s="2"/>
      <c r="D158" s="2"/>
      <c r="E158" s="22" t="s">
        <v>5</v>
      </c>
      <c r="F158" s="21">
        <f>30/30</f>
        <v>1</v>
      </c>
      <c r="G158" s="2"/>
      <c r="H158" s="2"/>
      <c r="I158" s="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0647D-098B-415B-A54B-FE3D0E28DE8C}">
  <dimension ref="B1:P25"/>
  <sheetViews>
    <sheetView showGridLines="0" workbookViewId="0">
      <selection activeCell="L33" sqref="L33"/>
    </sheetView>
  </sheetViews>
  <sheetFormatPr defaultRowHeight="13.8" x14ac:dyDescent="0.3"/>
  <cols>
    <col min="1" max="1" width="1.6640625" style="89" customWidth="1"/>
    <col min="2" max="2" width="15.88671875" style="89" bestFit="1" customWidth="1"/>
    <col min="3" max="3" width="11.21875" style="89" bestFit="1" customWidth="1"/>
    <col min="4" max="4" width="8.88671875" style="89"/>
    <col min="5" max="5" width="5.5546875" style="89" bestFit="1" customWidth="1"/>
    <col min="6" max="6" width="6.77734375" style="89" bestFit="1" customWidth="1"/>
    <col min="7" max="7" width="15.88671875" style="89" bestFit="1" customWidth="1"/>
    <col min="8" max="8" width="11.33203125" style="89" bestFit="1" customWidth="1"/>
    <col min="9" max="9" width="4" style="89" bestFit="1" customWidth="1"/>
    <col min="10" max="10" width="8" style="89" bestFit="1" customWidth="1"/>
    <col min="11" max="11" width="7.88671875" style="89" bestFit="1" customWidth="1"/>
    <col min="12" max="16384" width="8.88671875" style="89"/>
  </cols>
  <sheetData>
    <row r="1" spans="2:16" ht="7.8" customHeight="1" x14ac:dyDescent="0.3"/>
    <row r="2" spans="2:16" ht="14.4" x14ac:dyDescent="0.3">
      <c r="B2" s="10" t="s">
        <v>31</v>
      </c>
      <c r="C2" s="2"/>
      <c r="D2" s="2"/>
      <c r="E2" s="2"/>
      <c r="F2" s="2"/>
      <c r="G2" s="2"/>
      <c r="H2" s="2"/>
      <c r="I2" s="2"/>
      <c r="J2" s="2"/>
      <c r="K2" s="2"/>
      <c r="L2" s="10" t="s">
        <v>32</v>
      </c>
      <c r="M2" s="2"/>
      <c r="N2" s="2"/>
      <c r="O2" s="2"/>
      <c r="P2" s="2"/>
    </row>
    <row r="3" spans="2:16" ht="14.4" x14ac:dyDescent="0.3">
      <c r="B3" s="2"/>
      <c r="C3" s="2"/>
      <c r="D3" s="2"/>
      <c r="E3" s="2"/>
      <c r="F3" s="2"/>
      <c r="G3" s="2"/>
      <c r="H3" s="2"/>
      <c r="I3" s="2"/>
      <c r="J3" s="2"/>
      <c r="K3" s="2"/>
      <c r="L3" s="2"/>
      <c r="M3" s="2"/>
      <c r="N3" s="2"/>
      <c r="O3" s="2"/>
      <c r="P3" s="2"/>
    </row>
    <row r="4" spans="2:16" ht="14.4" x14ac:dyDescent="0.3">
      <c r="B4" s="2"/>
      <c r="C4" s="2"/>
      <c r="D4" s="2"/>
      <c r="E4" s="2"/>
      <c r="F4" s="2"/>
      <c r="G4" s="2"/>
      <c r="H4" s="2"/>
      <c r="I4" s="2"/>
      <c r="J4" s="2"/>
      <c r="K4" s="2"/>
      <c r="L4" s="2"/>
      <c r="M4" s="2"/>
      <c r="N4" s="2"/>
      <c r="O4" s="2"/>
      <c r="P4" s="2"/>
    </row>
    <row r="5" spans="2:16" ht="14.4" x14ac:dyDescent="0.3">
      <c r="B5" s="2"/>
      <c r="C5" s="2"/>
      <c r="D5" s="2"/>
      <c r="E5" s="2"/>
      <c r="F5" s="2"/>
      <c r="G5" s="2"/>
      <c r="H5" s="2"/>
      <c r="I5" s="2"/>
      <c r="J5" s="2"/>
      <c r="K5" s="2"/>
      <c r="L5" s="2"/>
      <c r="M5" s="2"/>
      <c r="N5" s="2"/>
      <c r="O5" s="2"/>
      <c r="P5" s="2"/>
    </row>
    <row r="6" spans="2:16" ht="14.4" x14ac:dyDescent="0.3">
      <c r="B6" s="2"/>
      <c r="C6" s="2"/>
      <c r="D6" s="2"/>
      <c r="E6" s="2"/>
      <c r="F6" s="2"/>
      <c r="G6" s="2"/>
      <c r="H6" s="2"/>
      <c r="I6" s="2"/>
      <c r="J6" s="2"/>
      <c r="K6" s="2"/>
      <c r="L6" s="2"/>
      <c r="M6" s="2"/>
      <c r="N6" s="2"/>
      <c r="O6" s="2"/>
      <c r="P6" s="2"/>
    </row>
    <row r="7" spans="2:16" ht="14.4" x14ac:dyDescent="0.3">
      <c r="B7" s="2"/>
      <c r="C7" s="2"/>
      <c r="D7" s="2"/>
      <c r="E7" s="2"/>
      <c r="F7" s="2"/>
      <c r="G7" s="2"/>
      <c r="H7" s="2"/>
      <c r="I7" s="2"/>
      <c r="J7" s="2"/>
      <c r="K7" s="2"/>
      <c r="L7" s="2"/>
      <c r="M7" s="2"/>
      <c r="N7" s="2"/>
      <c r="O7" s="2"/>
      <c r="P7" s="2"/>
    </row>
    <row r="8" spans="2:16" ht="14.4" x14ac:dyDescent="0.3">
      <c r="B8" s="2"/>
      <c r="C8" s="2"/>
      <c r="D8" s="2"/>
      <c r="E8" s="2"/>
      <c r="F8" s="2"/>
      <c r="G8" s="2"/>
      <c r="H8" s="2"/>
      <c r="I8" s="2"/>
      <c r="J8" s="2"/>
      <c r="K8" s="2"/>
      <c r="L8" s="2"/>
      <c r="M8" s="2"/>
      <c r="N8" s="2"/>
      <c r="O8" s="2"/>
      <c r="P8" s="2"/>
    </row>
    <row r="9" spans="2:16" ht="14.4" x14ac:dyDescent="0.3">
      <c r="B9" s="2"/>
      <c r="C9" s="2"/>
      <c r="D9" s="2"/>
      <c r="E9" s="2"/>
      <c r="F9" s="2"/>
      <c r="G9" s="2"/>
      <c r="H9" s="2"/>
      <c r="I9" s="2"/>
      <c r="J9" s="2"/>
      <c r="K9" s="2"/>
      <c r="L9" s="2"/>
      <c r="M9" s="2"/>
      <c r="N9" s="2"/>
      <c r="O9" s="2"/>
      <c r="P9" s="2"/>
    </row>
    <row r="10" spans="2:16" ht="14.4" x14ac:dyDescent="0.3">
      <c r="B10" s="2"/>
      <c r="C10" s="2"/>
      <c r="D10" s="2"/>
      <c r="E10" s="2"/>
      <c r="F10" s="2"/>
      <c r="G10" s="2"/>
      <c r="H10" s="2"/>
      <c r="I10" s="2"/>
      <c r="J10" s="2"/>
      <c r="K10" s="2"/>
      <c r="L10" s="2"/>
      <c r="M10" s="2"/>
      <c r="N10" s="2"/>
      <c r="O10" s="2"/>
      <c r="P10" s="2"/>
    </row>
    <row r="11" spans="2:16" ht="14.4" x14ac:dyDescent="0.3">
      <c r="B11" s="2"/>
      <c r="C11" s="2"/>
      <c r="D11" s="2"/>
      <c r="E11" s="2"/>
      <c r="F11" s="2"/>
      <c r="G11" s="2"/>
      <c r="H11" s="2"/>
      <c r="I11" s="2"/>
      <c r="J11" s="2"/>
      <c r="K11" s="2"/>
      <c r="L11" s="2"/>
      <c r="M11" s="2"/>
      <c r="N11" s="2"/>
      <c r="O11" s="2"/>
      <c r="P11" s="2"/>
    </row>
    <row r="12" spans="2:16" ht="14.4" x14ac:dyDescent="0.3">
      <c r="B12" s="2"/>
      <c r="C12" s="2"/>
      <c r="D12" s="2"/>
      <c r="E12" s="2"/>
      <c r="F12" s="2"/>
      <c r="G12" s="2"/>
      <c r="H12" s="2"/>
      <c r="I12" s="2"/>
      <c r="J12" s="2"/>
      <c r="K12" s="2"/>
      <c r="L12" s="2"/>
      <c r="M12" s="2"/>
      <c r="N12" s="2"/>
      <c r="O12" s="2"/>
      <c r="P12" s="2"/>
    </row>
    <row r="13" spans="2:16" ht="14.4" x14ac:dyDescent="0.3">
      <c r="B13" s="2"/>
      <c r="C13" s="2"/>
      <c r="D13" s="2"/>
      <c r="E13" s="2"/>
      <c r="F13" s="2"/>
      <c r="G13" s="2"/>
      <c r="H13" s="2"/>
      <c r="I13" s="2"/>
      <c r="J13" s="2"/>
      <c r="K13" s="2"/>
      <c r="L13" s="2"/>
      <c r="M13" s="2"/>
      <c r="N13" s="2"/>
      <c r="O13" s="2"/>
      <c r="P13" s="2"/>
    </row>
    <row r="14" spans="2:16" ht="14.4" x14ac:dyDescent="0.3">
      <c r="B14" s="10" t="s">
        <v>30</v>
      </c>
      <c r="C14" s="2"/>
      <c r="D14" s="2"/>
      <c r="E14" s="2"/>
      <c r="F14" s="2"/>
      <c r="G14" s="2"/>
      <c r="H14" s="2"/>
      <c r="I14" s="2"/>
      <c r="J14" s="2"/>
      <c r="K14" s="2"/>
      <c r="L14" s="10" t="s">
        <v>33</v>
      </c>
      <c r="M14" s="2"/>
      <c r="N14" s="2"/>
      <c r="O14" s="2"/>
      <c r="P14" s="2"/>
    </row>
    <row r="15" spans="2:16" ht="14.4" x14ac:dyDescent="0.3">
      <c r="B15" s="2"/>
      <c r="C15" s="2"/>
      <c r="D15" s="2"/>
      <c r="E15" s="2"/>
      <c r="F15" s="2"/>
      <c r="G15" s="2"/>
      <c r="H15" s="2"/>
      <c r="I15" s="2"/>
      <c r="J15" s="2"/>
      <c r="K15" s="2"/>
      <c r="L15" s="2"/>
      <c r="M15" s="2"/>
      <c r="N15" s="2"/>
      <c r="O15" s="2"/>
      <c r="P15" s="2"/>
    </row>
    <row r="16" spans="2:16" ht="14.4" x14ac:dyDescent="0.3">
      <c r="B16" s="2"/>
      <c r="C16" s="2"/>
      <c r="D16" s="2"/>
      <c r="E16" s="2"/>
      <c r="F16" s="2"/>
      <c r="G16" s="2"/>
      <c r="H16" s="2"/>
      <c r="I16" s="2"/>
      <c r="J16" s="2"/>
      <c r="K16" s="2"/>
      <c r="L16" s="2"/>
      <c r="M16" s="2"/>
      <c r="N16" s="2"/>
      <c r="O16" s="2"/>
      <c r="P16" s="2"/>
    </row>
    <row r="17" spans="2:16" ht="14.4" x14ac:dyDescent="0.3">
      <c r="B17" s="2"/>
      <c r="C17" s="2"/>
      <c r="D17" s="2"/>
      <c r="E17" s="2"/>
      <c r="F17" s="2"/>
      <c r="G17" s="2"/>
      <c r="H17" s="2"/>
      <c r="I17" s="2"/>
      <c r="J17" s="2"/>
      <c r="K17" s="2"/>
      <c r="L17" s="2"/>
      <c r="M17" s="2"/>
      <c r="N17" s="2"/>
      <c r="O17" s="2"/>
      <c r="P17" s="2"/>
    </row>
    <row r="18" spans="2:16" ht="14.4" x14ac:dyDescent="0.3">
      <c r="B18" s="2"/>
      <c r="C18" s="2"/>
      <c r="D18" s="2"/>
      <c r="E18" s="2"/>
      <c r="F18" s="2"/>
      <c r="G18" s="2"/>
      <c r="H18" s="2"/>
      <c r="I18" s="2"/>
      <c r="J18" s="2"/>
      <c r="K18" s="2"/>
      <c r="L18" s="2"/>
      <c r="M18" s="2"/>
      <c r="N18" s="2"/>
      <c r="O18" s="2"/>
      <c r="P18" s="2"/>
    </row>
    <row r="19" spans="2:16" ht="14.4" x14ac:dyDescent="0.3">
      <c r="B19" s="2"/>
      <c r="C19" s="2"/>
      <c r="D19" s="2"/>
      <c r="E19" s="2"/>
      <c r="F19" s="2"/>
      <c r="G19" s="2"/>
      <c r="H19" s="2"/>
      <c r="I19" s="2"/>
      <c r="J19" s="2"/>
      <c r="K19" s="2"/>
      <c r="L19" s="2"/>
      <c r="M19" s="2"/>
      <c r="N19" s="2"/>
      <c r="O19" s="2"/>
      <c r="P19" s="2"/>
    </row>
    <row r="20" spans="2:16" ht="14.4" x14ac:dyDescent="0.3">
      <c r="B20" s="2"/>
      <c r="C20" s="2"/>
      <c r="D20" s="2"/>
      <c r="E20" s="2"/>
      <c r="F20" s="2"/>
      <c r="G20" s="2"/>
      <c r="H20" s="2"/>
      <c r="I20" s="2"/>
      <c r="J20" s="2"/>
      <c r="K20" s="2"/>
      <c r="L20" s="2"/>
      <c r="M20" s="2"/>
      <c r="N20" s="2"/>
      <c r="O20" s="2"/>
      <c r="P20" s="2"/>
    </row>
    <row r="21" spans="2:16" ht="14.4" x14ac:dyDescent="0.3">
      <c r="B21" s="2"/>
      <c r="C21" s="2"/>
      <c r="D21" s="2"/>
      <c r="E21" s="2"/>
      <c r="F21" s="2"/>
      <c r="G21" s="2"/>
      <c r="H21" s="2"/>
      <c r="I21" s="2"/>
      <c r="J21" s="2"/>
      <c r="K21" s="2"/>
      <c r="L21" s="2"/>
      <c r="M21" s="2"/>
      <c r="N21" s="2"/>
      <c r="O21" s="2"/>
      <c r="P21" s="2"/>
    </row>
    <row r="22" spans="2:16" ht="14.4" x14ac:dyDescent="0.3">
      <c r="B22" s="2"/>
      <c r="C22" s="2"/>
      <c r="D22" s="2"/>
      <c r="E22" s="2"/>
      <c r="F22" s="2"/>
      <c r="G22" s="2"/>
      <c r="H22" s="2"/>
      <c r="I22" s="2"/>
      <c r="J22" s="2"/>
      <c r="K22" s="2"/>
      <c r="L22" s="2"/>
      <c r="M22" s="2"/>
      <c r="N22" s="2"/>
      <c r="O22" s="2"/>
      <c r="P22" s="2"/>
    </row>
    <row r="23" spans="2:16" ht="14.4" x14ac:dyDescent="0.3">
      <c r="B23" s="2"/>
      <c r="C23" s="2"/>
      <c r="D23" s="2"/>
      <c r="E23" s="2"/>
      <c r="F23" s="2"/>
      <c r="G23" s="2"/>
      <c r="H23" s="2"/>
      <c r="I23" s="2"/>
      <c r="J23" s="2"/>
      <c r="K23" s="2"/>
      <c r="L23" s="2"/>
      <c r="M23" s="2"/>
      <c r="N23" s="2"/>
      <c r="O23" s="2"/>
      <c r="P23" s="2"/>
    </row>
    <row r="24" spans="2:16" ht="14.4" x14ac:dyDescent="0.3">
      <c r="B24" s="2"/>
      <c r="C24" s="2"/>
      <c r="D24" s="2"/>
      <c r="E24" s="2"/>
      <c r="F24" s="2"/>
      <c r="G24" s="2"/>
      <c r="H24" s="2"/>
      <c r="I24" s="2"/>
      <c r="J24" s="2"/>
      <c r="K24" s="2"/>
      <c r="L24" s="2"/>
      <c r="M24" s="2"/>
      <c r="N24" s="2"/>
      <c r="O24" s="2"/>
      <c r="P24" s="2"/>
    </row>
    <row r="25" spans="2:16" ht="14.4" x14ac:dyDescent="0.3">
      <c r="B25" s="2"/>
      <c r="C25" s="2"/>
      <c r="D25" s="2"/>
      <c r="E25" s="2"/>
      <c r="F25" s="2"/>
      <c r="G25" s="2"/>
      <c r="H25" s="2"/>
      <c r="I25" s="2"/>
      <c r="J25" s="2"/>
      <c r="K25" s="2"/>
      <c r="L25" s="2"/>
      <c r="M25" s="2"/>
      <c r="N25" s="2"/>
      <c r="O25" s="2"/>
      <c r="P25" s="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6C0D-00D4-421B-A16D-E10AD9BC26EE}">
  <sheetPr>
    <tabColor rgb="FF00B0F0"/>
  </sheetPr>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42EE4-A4DE-4D23-A3D9-6C4A87BD989E}">
  <dimension ref="A2:R90"/>
  <sheetViews>
    <sheetView showGridLines="0" workbookViewId="0">
      <selection activeCell="M40" sqref="M40"/>
    </sheetView>
  </sheetViews>
  <sheetFormatPr defaultRowHeight="13.8" x14ac:dyDescent="0.3"/>
  <cols>
    <col min="1" max="1" width="8.88671875" style="115"/>
    <col min="2" max="2" width="27.21875" style="115" bestFit="1" customWidth="1"/>
    <col min="3" max="3" width="13.44140625" style="115" bestFit="1" customWidth="1"/>
    <col min="4" max="4" width="7.6640625" style="115" bestFit="1" customWidth="1"/>
    <col min="5" max="5" width="10.44140625" style="115" bestFit="1" customWidth="1"/>
    <col min="6" max="7" width="8.88671875" style="115"/>
    <col min="8" max="8" width="15.88671875" style="115" bestFit="1" customWidth="1"/>
    <col min="9" max="9" width="10.44140625" style="115" bestFit="1" customWidth="1"/>
    <col min="10" max="11" width="8.88671875" style="115"/>
    <col min="12" max="12" width="5.5546875" style="115" bestFit="1" customWidth="1"/>
    <col min="13" max="13" width="6.77734375" style="115" bestFit="1" customWidth="1"/>
    <col min="14" max="14" width="15.88671875" style="115" bestFit="1" customWidth="1"/>
    <col min="15" max="15" width="11.21875" style="115" bestFit="1" customWidth="1"/>
    <col min="16" max="16" width="4" style="115" bestFit="1" customWidth="1"/>
    <col min="17" max="17" width="8" style="115" bestFit="1" customWidth="1"/>
    <col min="18" max="18" width="7.88671875" style="115" bestFit="1" customWidth="1"/>
    <col min="19" max="16384" width="8.88671875" style="115"/>
  </cols>
  <sheetData>
    <row r="2" spans="1:9" ht="14.4" x14ac:dyDescent="0.3">
      <c r="A2" s="71" t="s">
        <v>8</v>
      </c>
      <c r="B2" s="10" t="s">
        <v>174</v>
      </c>
      <c r="C2" s="2"/>
      <c r="D2" s="3"/>
      <c r="E2" s="2"/>
      <c r="F2" s="2"/>
      <c r="G2" s="2"/>
      <c r="H2" s="2"/>
      <c r="I2" s="2"/>
    </row>
    <row r="3" spans="1:9" ht="14.4" x14ac:dyDescent="0.3">
      <c r="A3" s="2"/>
      <c r="B3" s="2"/>
      <c r="C3" s="2"/>
      <c r="D3" s="2"/>
      <c r="E3" s="2"/>
      <c r="F3" s="2"/>
      <c r="G3" s="2"/>
      <c r="H3" s="2"/>
      <c r="I3" s="2"/>
    </row>
    <row r="4" spans="1:9" ht="14.4" x14ac:dyDescent="0.3">
      <c r="A4" s="2"/>
      <c r="B4" s="1" t="s">
        <v>66</v>
      </c>
      <c r="C4" s="4" t="s">
        <v>99</v>
      </c>
      <c r="D4" s="4" t="s">
        <v>96</v>
      </c>
      <c r="E4" s="4" t="s">
        <v>97</v>
      </c>
      <c r="F4" s="2"/>
      <c r="G4" s="2"/>
      <c r="H4" s="10" t="s">
        <v>66</v>
      </c>
      <c r="I4" s="4" t="s">
        <v>97</v>
      </c>
    </row>
    <row r="5" spans="1:9" ht="14.4" x14ac:dyDescent="0.3">
      <c r="A5" s="2"/>
      <c r="B5" s="2" t="s">
        <v>116</v>
      </c>
      <c r="C5" s="50">
        <v>124081</v>
      </c>
      <c r="D5" s="14">
        <v>0.92</v>
      </c>
      <c r="E5" s="50">
        <f t="shared" ref="E5:E11" si="0">D5*C5</f>
        <v>114154.52</v>
      </c>
      <c r="F5" s="2"/>
      <c r="G5" s="2"/>
      <c r="H5" s="5" t="s">
        <v>17</v>
      </c>
      <c r="I5" s="50">
        <f>E5</f>
        <v>114154.52</v>
      </c>
    </row>
    <row r="6" spans="1:9" ht="14.4" x14ac:dyDescent="0.3">
      <c r="A6" s="2"/>
      <c r="B6" s="2" t="s">
        <v>16</v>
      </c>
      <c r="C6" s="50">
        <v>19109</v>
      </c>
      <c r="D6" s="14">
        <v>0.72</v>
      </c>
      <c r="E6" s="50">
        <f t="shared" si="0"/>
        <v>13758.48</v>
      </c>
      <c r="F6" s="2"/>
      <c r="G6" s="2"/>
      <c r="H6" s="5" t="s">
        <v>16</v>
      </c>
      <c r="I6" s="50">
        <f>E6</f>
        <v>13758.48</v>
      </c>
    </row>
    <row r="7" spans="1:9" ht="14.4" x14ac:dyDescent="0.3">
      <c r="A7" s="2"/>
      <c r="B7" s="2" t="s">
        <v>95</v>
      </c>
      <c r="C7" s="50">
        <v>16569</v>
      </c>
      <c r="D7" s="14">
        <v>0.63</v>
      </c>
      <c r="E7" s="50">
        <f t="shared" si="0"/>
        <v>10438.469999999999</v>
      </c>
      <c r="F7" s="2"/>
      <c r="G7" s="2"/>
      <c r="H7" s="5" t="s">
        <v>15</v>
      </c>
      <c r="I7" s="50">
        <f>E8</f>
        <v>13251.6</v>
      </c>
    </row>
    <row r="8" spans="1:9" ht="14.4" x14ac:dyDescent="0.3">
      <c r="A8" s="2"/>
      <c r="B8" s="2" t="s">
        <v>15</v>
      </c>
      <c r="C8" s="50">
        <v>16360</v>
      </c>
      <c r="D8" s="14">
        <v>0.81</v>
      </c>
      <c r="E8" s="50">
        <f t="shared" si="0"/>
        <v>13251.6</v>
      </c>
      <c r="F8" s="2"/>
      <c r="G8" s="2"/>
      <c r="H8" s="5" t="s">
        <v>18</v>
      </c>
      <c r="I8" s="50">
        <f>E10</f>
        <v>9189.75</v>
      </c>
    </row>
    <row r="9" spans="1:9" ht="14.4" x14ac:dyDescent="0.3">
      <c r="A9" s="2"/>
      <c r="B9" s="2" t="s">
        <v>98</v>
      </c>
      <c r="C9" s="50">
        <v>14104</v>
      </c>
      <c r="D9" s="14">
        <v>0.46</v>
      </c>
      <c r="E9" s="50">
        <f t="shared" si="0"/>
        <v>6487.84</v>
      </c>
      <c r="F9" s="2"/>
      <c r="G9" s="2"/>
      <c r="H9" s="5" t="s">
        <v>19</v>
      </c>
      <c r="I9" s="50">
        <f>E11</f>
        <v>2424.2200000000003</v>
      </c>
    </row>
    <row r="10" spans="1:9" ht="14.4" x14ac:dyDescent="0.3">
      <c r="A10" s="2"/>
      <c r="B10" s="2" t="s">
        <v>18</v>
      </c>
      <c r="C10" s="50">
        <v>12253</v>
      </c>
      <c r="D10" s="14">
        <v>0.75</v>
      </c>
      <c r="E10" s="50">
        <f t="shared" si="0"/>
        <v>9189.75</v>
      </c>
      <c r="F10" s="2"/>
      <c r="G10" s="2"/>
      <c r="H10" s="5" t="s">
        <v>22</v>
      </c>
      <c r="I10" s="50">
        <f>SUM(E9,E7)</f>
        <v>16926.309999999998</v>
      </c>
    </row>
    <row r="11" spans="1:9" ht="14.4" x14ac:dyDescent="0.3">
      <c r="A11" s="2"/>
      <c r="B11" s="2" t="s">
        <v>19</v>
      </c>
      <c r="C11" s="50">
        <v>4574</v>
      </c>
      <c r="D11" s="14">
        <v>0.53</v>
      </c>
      <c r="E11" s="50">
        <f t="shared" si="0"/>
        <v>2424.2200000000003</v>
      </c>
      <c r="F11" s="2"/>
      <c r="G11" s="2"/>
      <c r="H11" s="5" t="s">
        <v>77</v>
      </c>
      <c r="I11" s="50">
        <f>SUM(I5:I10)</f>
        <v>169704.88</v>
      </c>
    </row>
    <row r="12" spans="1:9" ht="14.4" x14ac:dyDescent="0.3">
      <c r="A12" s="2"/>
      <c r="B12" s="2" t="s">
        <v>77</v>
      </c>
      <c r="C12" s="50">
        <f>SUM(C5:C11)</f>
        <v>207050</v>
      </c>
      <c r="D12" s="14">
        <f>E12/C12</f>
        <v>0.81963235933349432</v>
      </c>
      <c r="E12" s="50">
        <f>SUM(E5:E11)</f>
        <v>169704.88</v>
      </c>
      <c r="F12" s="2"/>
      <c r="G12" s="2"/>
      <c r="H12" s="2"/>
      <c r="I12" s="2"/>
    </row>
    <row r="27" spans="1:18" ht="14.4" x14ac:dyDescent="0.3">
      <c r="A27" s="71" t="s">
        <v>7</v>
      </c>
      <c r="B27" s="10" t="s">
        <v>61</v>
      </c>
      <c r="C27" s="2"/>
      <c r="D27" s="2"/>
      <c r="E27" s="2"/>
      <c r="F27" s="2"/>
      <c r="G27" s="2"/>
      <c r="H27" s="2"/>
      <c r="I27" s="2"/>
      <c r="J27" s="2"/>
      <c r="K27" s="2"/>
      <c r="L27" s="2"/>
      <c r="M27" s="2"/>
      <c r="N27" s="2"/>
      <c r="O27" s="2"/>
      <c r="P27" s="2"/>
      <c r="Q27" s="2"/>
      <c r="R27" s="2"/>
    </row>
    <row r="28" spans="1:18" ht="14.4" x14ac:dyDescent="0.3">
      <c r="A28" s="2"/>
      <c r="B28" s="2"/>
      <c r="C28" s="2"/>
      <c r="D28" s="2"/>
      <c r="E28" s="2"/>
      <c r="F28" s="2"/>
      <c r="G28" s="2"/>
      <c r="H28" s="2"/>
      <c r="I28" s="2"/>
      <c r="J28" s="2"/>
      <c r="K28" s="2"/>
      <c r="L28" s="2"/>
      <c r="M28" s="2"/>
      <c r="N28" s="2"/>
      <c r="O28" s="2"/>
      <c r="P28" s="2"/>
      <c r="Q28" s="2"/>
      <c r="R28" s="2"/>
    </row>
    <row r="29" spans="1:18" ht="14.4" x14ac:dyDescent="0.3">
      <c r="A29" s="2"/>
      <c r="B29" s="1" t="s">
        <v>66</v>
      </c>
      <c r="C29" s="4" t="s">
        <v>99</v>
      </c>
      <c r="D29" s="4" t="s">
        <v>96</v>
      </c>
      <c r="E29" s="4" t="s">
        <v>97</v>
      </c>
      <c r="F29" s="2"/>
      <c r="G29" s="2"/>
      <c r="H29" s="10" t="s">
        <v>66</v>
      </c>
      <c r="I29" s="4" t="s">
        <v>97</v>
      </c>
      <c r="J29" s="2"/>
      <c r="K29" s="2"/>
      <c r="L29" s="4" t="s">
        <v>2</v>
      </c>
      <c r="M29" s="4" t="s">
        <v>6</v>
      </c>
      <c r="N29" s="4" t="s">
        <v>66</v>
      </c>
      <c r="O29" s="4" t="s">
        <v>78</v>
      </c>
      <c r="P29" s="4" t="s">
        <v>39</v>
      </c>
      <c r="Q29" s="4" t="s">
        <v>79</v>
      </c>
      <c r="R29" s="4" t="s">
        <v>40</v>
      </c>
    </row>
    <row r="30" spans="1:18" ht="14.4" x14ac:dyDescent="0.3">
      <c r="A30" s="2"/>
      <c r="B30" s="2" t="s">
        <v>17</v>
      </c>
      <c r="C30" s="50">
        <v>125410</v>
      </c>
      <c r="D30" s="14">
        <v>0.91</v>
      </c>
      <c r="E30" s="50">
        <f t="shared" ref="E30:E36" si="1">D30*C30</f>
        <v>114123.1</v>
      </c>
      <c r="F30" s="2"/>
      <c r="G30" s="2"/>
      <c r="H30" s="5" t="s">
        <v>17</v>
      </c>
      <c r="I30" s="50">
        <v>114123.1</v>
      </c>
      <c r="J30" s="2"/>
      <c r="K30" s="2"/>
      <c r="L30" s="3" t="s">
        <v>94</v>
      </c>
      <c r="M30" s="3" t="s">
        <v>7</v>
      </c>
      <c r="N30" s="3" t="s">
        <v>17</v>
      </c>
      <c r="O30" s="50">
        <v>114123.1</v>
      </c>
      <c r="P30" s="3" t="s">
        <v>41</v>
      </c>
      <c r="Q30" s="3" t="s">
        <v>42</v>
      </c>
      <c r="R30" s="3" t="s">
        <v>43</v>
      </c>
    </row>
    <row r="31" spans="1:18" ht="14.4" x14ac:dyDescent="0.3">
      <c r="A31" s="2"/>
      <c r="B31" s="2" t="s">
        <v>16</v>
      </c>
      <c r="C31" s="50">
        <v>19282</v>
      </c>
      <c r="D31" s="14">
        <v>0.74</v>
      </c>
      <c r="E31" s="50">
        <f t="shared" si="1"/>
        <v>14268.68</v>
      </c>
      <c r="F31" s="2"/>
      <c r="G31" s="2"/>
      <c r="H31" s="5" t="s">
        <v>16</v>
      </c>
      <c r="I31" s="50">
        <v>14268.68</v>
      </c>
      <c r="J31" s="2"/>
      <c r="K31" s="2"/>
      <c r="L31" s="3" t="s">
        <v>94</v>
      </c>
      <c r="M31" s="3" t="s">
        <v>7</v>
      </c>
      <c r="N31" s="3" t="s">
        <v>16</v>
      </c>
      <c r="O31" s="50">
        <v>14268.68</v>
      </c>
      <c r="P31" s="3" t="s">
        <v>41</v>
      </c>
      <c r="Q31" s="3" t="s">
        <v>42</v>
      </c>
      <c r="R31" s="3" t="s">
        <v>43</v>
      </c>
    </row>
    <row r="32" spans="1:18" ht="14.4" x14ac:dyDescent="0.3">
      <c r="A32" s="2"/>
      <c r="B32" s="2" t="s">
        <v>15</v>
      </c>
      <c r="C32" s="50">
        <v>16926</v>
      </c>
      <c r="D32" s="14">
        <v>0.81</v>
      </c>
      <c r="E32" s="50">
        <f t="shared" si="1"/>
        <v>13710.060000000001</v>
      </c>
      <c r="F32" s="2"/>
      <c r="G32" s="2"/>
      <c r="H32" s="5" t="s">
        <v>15</v>
      </c>
      <c r="I32" s="50">
        <v>13710.060000000001</v>
      </c>
      <c r="J32" s="2"/>
      <c r="K32" s="2"/>
      <c r="L32" s="3" t="s">
        <v>94</v>
      </c>
      <c r="M32" s="3" t="s">
        <v>7</v>
      </c>
      <c r="N32" s="3" t="s">
        <v>15</v>
      </c>
      <c r="O32" s="50">
        <v>13710.060000000001</v>
      </c>
      <c r="P32" s="3" t="s">
        <v>41</v>
      </c>
      <c r="Q32" s="3" t="s">
        <v>42</v>
      </c>
      <c r="R32" s="3" t="s">
        <v>43</v>
      </c>
    </row>
    <row r="33" spans="1:18" ht="14.4" x14ac:dyDescent="0.3">
      <c r="A33" s="2"/>
      <c r="B33" s="2" t="s">
        <v>95</v>
      </c>
      <c r="C33" s="50">
        <v>15011</v>
      </c>
      <c r="D33" s="14">
        <v>0.67</v>
      </c>
      <c r="E33" s="50">
        <f t="shared" si="1"/>
        <v>10057.370000000001</v>
      </c>
      <c r="F33" s="2"/>
      <c r="G33" s="2"/>
      <c r="H33" s="5" t="s">
        <v>18</v>
      </c>
      <c r="I33" s="50">
        <v>8860.2899999999991</v>
      </c>
      <c r="J33" s="2"/>
      <c r="K33" s="2"/>
      <c r="L33" s="3" t="s">
        <v>94</v>
      </c>
      <c r="M33" s="3" t="s">
        <v>7</v>
      </c>
      <c r="N33" s="3" t="s">
        <v>18</v>
      </c>
      <c r="O33" s="50">
        <v>8860.2899999999991</v>
      </c>
      <c r="P33" s="3" t="s">
        <v>41</v>
      </c>
      <c r="Q33" s="3" t="s">
        <v>42</v>
      </c>
      <c r="R33" s="3" t="s">
        <v>43</v>
      </c>
    </row>
    <row r="34" spans="1:18" ht="14.4" x14ac:dyDescent="0.3">
      <c r="A34" s="2"/>
      <c r="B34" s="2" t="s">
        <v>98</v>
      </c>
      <c r="C34" s="50">
        <v>14557</v>
      </c>
      <c r="D34" s="14">
        <v>0.51</v>
      </c>
      <c r="E34" s="50">
        <f t="shared" si="1"/>
        <v>7424.07</v>
      </c>
      <c r="F34" s="2"/>
      <c r="G34" s="2"/>
      <c r="H34" s="5" t="s">
        <v>19</v>
      </c>
      <c r="I34" s="50">
        <v>2509.65</v>
      </c>
      <c r="J34" s="2"/>
      <c r="K34" s="2"/>
      <c r="L34" s="3" t="s">
        <v>94</v>
      </c>
      <c r="M34" s="3" t="s">
        <v>7</v>
      </c>
      <c r="N34" s="3" t="s">
        <v>19</v>
      </c>
      <c r="O34" s="50">
        <v>2509.65</v>
      </c>
      <c r="P34" s="3" t="s">
        <v>41</v>
      </c>
      <c r="Q34" s="3" t="s">
        <v>42</v>
      </c>
      <c r="R34" s="3" t="s">
        <v>43</v>
      </c>
    </row>
    <row r="35" spans="1:18" ht="14.4" x14ac:dyDescent="0.3">
      <c r="A35" s="2"/>
      <c r="B35" s="2" t="s">
        <v>18</v>
      </c>
      <c r="C35" s="50">
        <v>12841</v>
      </c>
      <c r="D35" s="14">
        <v>0.69</v>
      </c>
      <c r="E35" s="50">
        <f t="shared" si="1"/>
        <v>8860.2899999999991</v>
      </c>
      <c r="F35" s="2"/>
      <c r="G35" s="2"/>
      <c r="H35" s="5" t="s">
        <v>22</v>
      </c>
      <c r="I35" s="50">
        <f>SUM(E33:E34)</f>
        <v>17481.440000000002</v>
      </c>
      <c r="J35" s="2"/>
      <c r="K35" s="2"/>
      <c r="L35" s="3" t="s">
        <v>94</v>
      </c>
      <c r="M35" s="3" t="s">
        <v>7</v>
      </c>
      <c r="N35" s="3" t="s">
        <v>22</v>
      </c>
      <c r="O35" s="50">
        <v>17481.440000000002</v>
      </c>
      <c r="P35" s="3" t="s">
        <v>41</v>
      </c>
      <c r="Q35" s="3" t="s">
        <v>42</v>
      </c>
      <c r="R35" s="3" t="s">
        <v>43</v>
      </c>
    </row>
    <row r="36" spans="1:18" ht="14.4" x14ac:dyDescent="0.3">
      <c r="A36" s="2"/>
      <c r="B36" s="2" t="s">
        <v>19</v>
      </c>
      <c r="C36" s="50">
        <v>4563</v>
      </c>
      <c r="D36" s="14">
        <v>0.55000000000000004</v>
      </c>
      <c r="E36" s="50">
        <f t="shared" si="1"/>
        <v>2509.65</v>
      </c>
      <c r="F36" s="2"/>
      <c r="G36" s="2"/>
      <c r="H36" s="5" t="s">
        <v>77</v>
      </c>
      <c r="I36" s="50">
        <f>SUM(I30:I35)</f>
        <v>170953.22</v>
      </c>
      <c r="J36" s="2"/>
      <c r="K36" s="2"/>
      <c r="L36" s="3" t="s">
        <v>94</v>
      </c>
      <c r="M36" s="3" t="s">
        <v>7</v>
      </c>
      <c r="N36" s="3" t="s">
        <v>77</v>
      </c>
      <c r="O36" s="50">
        <f>SUM(O30:O35)</f>
        <v>170953.22</v>
      </c>
      <c r="P36" s="3" t="s">
        <v>41</v>
      </c>
      <c r="Q36" s="3" t="s">
        <v>42</v>
      </c>
      <c r="R36" s="3" t="s">
        <v>43</v>
      </c>
    </row>
    <row r="37" spans="1:18" ht="14.4" x14ac:dyDescent="0.3">
      <c r="A37" s="2"/>
      <c r="B37" s="2" t="s">
        <v>77</v>
      </c>
      <c r="C37" s="50">
        <f>SUM(C30:C36)</f>
        <v>208590</v>
      </c>
      <c r="D37" s="14">
        <f>E37/C37</f>
        <v>0.81956575099477447</v>
      </c>
      <c r="E37" s="50">
        <f>SUM(E30:E36)</f>
        <v>170953.22</v>
      </c>
      <c r="F37" s="2"/>
      <c r="G37" s="2"/>
      <c r="H37" s="2"/>
      <c r="I37" s="2"/>
      <c r="J37" s="2"/>
      <c r="K37" s="2"/>
      <c r="L37" s="2"/>
      <c r="M37" s="2"/>
      <c r="N37" s="2"/>
      <c r="O37" s="2"/>
      <c r="P37" s="2"/>
      <c r="Q37" s="2"/>
      <c r="R37" s="2"/>
    </row>
    <row r="38" spans="1:18" ht="14.4" x14ac:dyDescent="0.3">
      <c r="A38" s="2"/>
      <c r="B38" s="2"/>
      <c r="C38" s="50"/>
      <c r="D38" s="14"/>
      <c r="E38" s="50"/>
      <c r="F38" s="2"/>
      <c r="G38" s="2"/>
      <c r="H38" s="2"/>
      <c r="I38" s="2"/>
      <c r="J38" s="2"/>
      <c r="K38" s="2"/>
      <c r="L38" s="2"/>
      <c r="M38" s="2"/>
      <c r="N38" s="2"/>
      <c r="O38" s="2"/>
      <c r="P38" s="2"/>
      <c r="Q38" s="2"/>
      <c r="R38" s="2"/>
    </row>
    <row r="54" spans="1:9" ht="14.4" x14ac:dyDescent="0.3">
      <c r="A54" s="71" t="s">
        <v>9</v>
      </c>
      <c r="B54" s="10" t="s">
        <v>168</v>
      </c>
      <c r="C54" s="2"/>
      <c r="D54" s="3"/>
      <c r="E54" s="2"/>
      <c r="F54" s="2"/>
      <c r="G54" s="2"/>
      <c r="H54" s="2"/>
      <c r="I54" s="2"/>
    </row>
    <row r="55" spans="1:9" ht="14.4" x14ac:dyDescent="0.3">
      <c r="A55" s="2"/>
      <c r="B55" s="2"/>
      <c r="C55" s="2"/>
      <c r="D55" s="2"/>
      <c r="E55" s="2"/>
      <c r="F55" s="2"/>
      <c r="G55" s="2"/>
      <c r="H55" s="2"/>
      <c r="I55" s="2"/>
    </row>
    <row r="56" spans="1:9" ht="14.4" x14ac:dyDescent="0.3">
      <c r="A56" s="2"/>
      <c r="B56" s="1" t="s">
        <v>66</v>
      </c>
      <c r="C56" s="4" t="s">
        <v>99</v>
      </c>
      <c r="D56" s="4" t="s">
        <v>96</v>
      </c>
      <c r="E56" s="4" t="s">
        <v>97</v>
      </c>
      <c r="F56" s="2"/>
      <c r="G56" s="2"/>
      <c r="H56" s="10" t="s">
        <v>66</v>
      </c>
      <c r="I56" s="4" t="s">
        <v>97</v>
      </c>
    </row>
    <row r="57" spans="1:9" ht="14.4" x14ac:dyDescent="0.3">
      <c r="A57" s="2"/>
      <c r="B57" s="2" t="s">
        <v>116</v>
      </c>
      <c r="C57" s="50">
        <v>122991</v>
      </c>
      <c r="D57" s="14">
        <v>0.91</v>
      </c>
      <c r="E57" s="50">
        <f t="shared" ref="E57:E63" si="2">D57*C57</f>
        <v>111921.81</v>
      </c>
      <c r="F57" s="2"/>
      <c r="G57" s="2"/>
      <c r="H57" s="5" t="s">
        <v>17</v>
      </c>
      <c r="I57" s="50">
        <f>E57</f>
        <v>111921.81</v>
      </c>
    </row>
    <row r="58" spans="1:9" ht="14.4" x14ac:dyDescent="0.3">
      <c r="A58" s="2"/>
      <c r="B58" s="2" t="s">
        <v>16</v>
      </c>
      <c r="C58" s="50">
        <v>20871</v>
      </c>
      <c r="D58" s="14">
        <v>0.7</v>
      </c>
      <c r="E58" s="50">
        <f t="shared" si="2"/>
        <v>14609.699999999999</v>
      </c>
      <c r="F58" s="2"/>
      <c r="G58" s="2"/>
      <c r="H58" s="5" t="s">
        <v>16</v>
      </c>
      <c r="I58" s="50">
        <f>E58</f>
        <v>14609.699999999999</v>
      </c>
    </row>
    <row r="59" spans="1:9" ht="14.4" x14ac:dyDescent="0.3">
      <c r="A59" s="2"/>
      <c r="B59" s="2" t="s">
        <v>15</v>
      </c>
      <c r="C59" s="50">
        <v>16460</v>
      </c>
      <c r="D59" s="14">
        <v>0.84</v>
      </c>
      <c r="E59" s="50">
        <f t="shared" si="2"/>
        <v>13826.4</v>
      </c>
      <c r="F59" s="2"/>
      <c r="G59" s="2"/>
      <c r="H59" s="5" t="s">
        <v>15</v>
      </c>
      <c r="I59" s="50">
        <f>E59</f>
        <v>13826.4</v>
      </c>
    </row>
    <row r="60" spans="1:9" ht="14.4" x14ac:dyDescent="0.3">
      <c r="A60" s="2"/>
      <c r="B60" s="2" t="s">
        <v>95</v>
      </c>
      <c r="C60" s="50">
        <v>14813</v>
      </c>
      <c r="D60" s="14">
        <v>0.64</v>
      </c>
      <c r="E60" s="50">
        <f t="shared" si="2"/>
        <v>9480.32</v>
      </c>
      <c r="F60" s="2"/>
      <c r="G60" s="2"/>
      <c r="H60" s="5" t="s">
        <v>18</v>
      </c>
      <c r="I60" s="50">
        <f>E62</f>
        <v>8877.7800000000007</v>
      </c>
    </row>
    <row r="61" spans="1:9" ht="14.4" x14ac:dyDescent="0.3">
      <c r="A61" s="2"/>
      <c r="B61" s="2" t="s">
        <v>98</v>
      </c>
      <c r="C61" s="50">
        <v>14613</v>
      </c>
      <c r="D61" s="14">
        <v>0.51</v>
      </c>
      <c r="E61" s="50">
        <f t="shared" si="2"/>
        <v>7452.63</v>
      </c>
      <c r="F61" s="2"/>
      <c r="G61" s="2"/>
      <c r="H61" s="5" t="s">
        <v>19</v>
      </c>
      <c r="I61" s="50">
        <f>E63</f>
        <v>2380.86</v>
      </c>
    </row>
    <row r="62" spans="1:9" ht="14.4" x14ac:dyDescent="0.3">
      <c r="A62" s="2"/>
      <c r="B62" s="2" t="s">
        <v>18</v>
      </c>
      <c r="C62" s="50">
        <v>11997</v>
      </c>
      <c r="D62" s="14">
        <v>0.74</v>
      </c>
      <c r="E62" s="50">
        <f t="shared" si="2"/>
        <v>8877.7800000000007</v>
      </c>
      <c r="F62" s="2"/>
      <c r="G62" s="2"/>
      <c r="H62" s="5" t="s">
        <v>22</v>
      </c>
      <c r="I62" s="50">
        <f>SUM(E60:E61)</f>
        <v>16932.95</v>
      </c>
    </row>
    <row r="63" spans="1:9" ht="14.4" x14ac:dyDescent="0.3">
      <c r="A63" s="2"/>
      <c r="B63" s="2" t="s">
        <v>19</v>
      </c>
      <c r="C63" s="50">
        <v>4409</v>
      </c>
      <c r="D63" s="14">
        <v>0.54</v>
      </c>
      <c r="E63" s="50">
        <f t="shared" si="2"/>
        <v>2380.86</v>
      </c>
      <c r="F63" s="2"/>
      <c r="G63" s="2"/>
      <c r="H63" s="5" t="s">
        <v>77</v>
      </c>
      <c r="I63" s="50">
        <f>SUM(I57:I62)</f>
        <v>168549.5</v>
      </c>
    </row>
    <row r="64" spans="1:9" ht="14.4" x14ac:dyDescent="0.3">
      <c r="A64" s="2"/>
      <c r="B64" s="2" t="s">
        <v>77</v>
      </c>
      <c r="C64" s="50">
        <f>SUM(C57:C63)</f>
        <v>206154</v>
      </c>
      <c r="D64" s="14">
        <f>E64/C64</f>
        <v>0.81759024806697911</v>
      </c>
      <c r="E64" s="50">
        <f>SUM(E57:E63)</f>
        <v>168549.5</v>
      </c>
      <c r="F64" s="2"/>
      <c r="G64" s="2"/>
      <c r="H64" s="2"/>
      <c r="I64" s="2"/>
    </row>
    <row r="80" spans="1:9" ht="14.4" x14ac:dyDescent="0.3">
      <c r="A80" s="71" t="s">
        <v>10</v>
      </c>
      <c r="B80" s="10" t="s">
        <v>171</v>
      </c>
      <c r="C80" s="2"/>
      <c r="D80" s="3"/>
      <c r="E80" s="2"/>
      <c r="F80" s="2"/>
      <c r="G80" s="2"/>
      <c r="H80" s="2"/>
      <c r="I80" s="2"/>
    </row>
    <row r="81" spans="1:9" ht="14.4" x14ac:dyDescent="0.3">
      <c r="A81" s="2"/>
      <c r="B81" s="2"/>
      <c r="C81" s="2"/>
      <c r="D81" s="2"/>
      <c r="E81" s="2"/>
      <c r="F81" s="2"/>
      <c r="G81" s="2"/>
      <c r="H81" s="2"/>
      <c r="I81" s="2"/>
    </row>
    <row r="82" spans="1:9" ht="14.4" x14ac:dyDescent="0.3">
      <c r="A82" s="2"/>
      <c r="B82" s="1" t="s">
        <v>66</v>
      </c>
      <c r="C82" s="4" t="s">
        <v>99</v>
      </c>
      <c r="D82" s="4" t="s">
        <v>96</v>
      </c>
      <c r="E82" s="4" t="s">
        <v>97</v>
      </c>
      <c r="F82" s="2"/>
      <c r="G82" s="2"/>
      <c r="H82" s="10" t="s">
        <v>66</v>
      </c>
      <c r="I82" s="4" t="s">
        <v>97</v>
      </c>
    </row>
    <row r="83" spans="1:9" ht="14.4" x14ac:dyDescent="0.3">
      <c r="A83" s="2"/>
      <c r="B83" s="2" t="s">
        <v>116</v>
      </c>
      <c r="C83" s="50">
        <v>122811</v>
      </c>
      <c r="D83" s="14">
        <v>0.9</v>
      </c>
      <c r="E83" s="50">
        <f t="shared" ref="E83:E89" si="3">D83*C83</f>
        <v>110529.90000000001</v>
      </c>
      <c r="F83" s="2"/>
      <c r="G83" s="2"/>
      <c r="H83" s="5" t="s">
        <v>17</v>
      </c>
      <c r="I83" s="50">
        <f>E83</f>
        <v>110529.90000000001</v>
      </c>
    </row>
    <row r="84" spans="1:9" ht="14.4" x14ac:dyDescent="0.3">
      <c r="A84" s="2"/>
      <c r="B84" s="2" t="s">
        <v>16</v>
      </c>
      <c r="C84" s="50">
        <v>20058</v>
      </c>
      <c r="D84" s="14">
        <v>0.71</v>
      </c>
      <c r="E84" s="50">
        <f t="shared" si="3"/>
        <v>14241.179999999998</v>
      </c>
      <c r="F84" s="2"/>
      <c r="G84" s="2"/>
      <c r="H84" s="5" t="s">
        <v>16</v>
      </c>
      <c r="I84" s="50">
        <f>E84</f>
        <v>14241.179999999998</v>
      </c>
    </row>
    <row r="85" spans="1:9" ht="14.4" x14ac:dyDescent="0.3">
      <c r="A85" s="2"/>
      <c r="B85" s="2" t="s">
        <v>15</v>
      </c>
      <c r="C85" s="50">
        <v>16300</v>
      </c>
      <c r="D85" s="14">
        <v>0.82</v>
      </c>
      <c r="E85" s="50">
        <f t="shared" si="3"/>
        <v>13366</v>
      </c>
      <c r="F85" s="2"/>
      <c r="G85" s="2"/>
      <c r="H85" s="5" t="s">
        <v>15</v>
      </c>
      <c r="I85" s="50">
        <f>E85</f>
        <v>13366</v>
      </c>
    </row>
    <row r="86" spans="1:9" ht="14.4" x14ac:dyDescent="0.3">
      <c r="A86" s="2"/>
      <c r="B86" s="2" t="s">
        <v>98</v>
      </c>
      <c r="C86" s="50">
        <v>15106</v>
      </c>
      <c r="D86" s="14">
        <v>0.51</v>
      </c>
      <c r="E86" s="50">
        <f t="shared" si="3"/>
        <v>7704.06</v>
      </c>
      <c r="F86" s="2"/>
      <c r="G86" s="2"/>
      <c r="H86" s="5" t="s">
        <v>18</v>
      </c>
      <c r="I86" s="50">
        <f>E88</f>
        <v>9057.6</v>
      </c>
    </row>
    <row r="87" spans="1:9" ht="14.4" x14ac:dyDescent="0.3">
      <c r="A87" s="2"/>
      <c r="B87" s="2" t="s">
        <v>95</v>
      </c>
      <c r="C87" s="50">
        <v>14793</v>
      </c>
      <c r="D87" s="14">
        <v>0.65</v>
      </c>
      <c r="E87" s="50">
        <f t="shared" si="3"/>
        <v>9615.4500000000007</v>
      </c>
      <c r="F87" s="2"/>
      <c r="G87" s="2"/>
      <c r="H87" s="5" t="s">
        <v>19</v>
      </c>
      <c r="I87" s="50">
        <f>E89</f>
        <v>2405.7000000000003</v>
      </c>
    </row>
    <row r="88" spans="1:9" ht="14.4" x14ac:dyDescent="0.3">
      <c r="A88" s="2"/>
      <c r="B88" s="2" t="s">
        <v>18</v>
      </c>
      <c r="C88" s="50">
        <v>12240</v>
      </c>
      <c r="D88" s="14">
        <v>0.74</v>
      </c>
      <c r="E88" s="50">
        <f t="shared" si="3"/>
        <v>9057.6</v>
      </c>
      <c r="F88" s="2"/>
      <c r="G88" s="2"/>
      <c r="H88" s="5" t="s">
        <v>22</v>
      </c>
      <c r="I88" s="50">
        <f>SUM(E86:E87)</f>
        <v>17319.510000000002</v>
      </c>
    </row>
    <row r="89" spans="1:9" ht="14.4" x14ac:dyDescent="0.3">
      <c r="A89" s="2"/>
      <c r="B89" s="2" t="s">
        <v>19</v>
      </c>
      <c r="C89" s="50">
        <v>4455</v>
      </c>
      <c r="D89" s="14">
        <v>0.54</v>
      </c>
      <c r="E89" s="50">
        <f t="shared" si="3"/>
        <v>2405.7000000000003</v>
      </c>
      <c r="F89" s="2"/>
      <c r="G89" s="2"/>
      <c r="H89" s="5" t="s">
        <v>77</v>
      </c>
      <c r="I89" s="50">
        <f>SUM(I83:I88)</f>
        <v>166919.89000000004</v>
      </c>
    </row>
    <row r="90" spans="1:9" ht="14.4" x14ac:dyDescent="0.3">
      <c r="A90" s="2"/>
      <c r="B90" s="2" t="s">
        <v>77</v>
      </c>
      <c r="C90" s="50">
        <f>SUM(C83:C89)</f>
        <v>205763</v>
      </c>
      <c r="D90" s="14">
        <f>E90/C90</f>
        <v>0.81122402958743822</v>
      </c>
      <c r="E90" s="50">
        <f>SUM(E83:E89)</f>
        <v>166919.89000000004</v>
      </c>
      <c r="F90" s="2"/>
      <c r="G90" s="2"/>
      <c r="H90" s="2"/>
      <c r="I90" s="2"/>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FC647-00F8-4D8E-954F-20B617F8633B}">
  <dimension ref="B2:K251"/>
  <sheetViews>
    <sheetView showGridLines="0" zoomScaleNormal="100" workbookViewId="0">
      <selection activeCell="O28" sqref="O28"/>
    </sheetView>
  </sheetViews>
  <sheetFormatPr defaultRowHeight="13.8" x14ac:dyDescent="0.3"/>
  <cols>
    <col min="1" max="1" width="4.109375" style="89" customWidth="1"/>
    <col min="2" max="2" width="27.21875" style="89" bestFit="1" customWidth="1"/>
    <col min="3" max="3" width="13.44140625" style="89" bestFit="1" customWidth="1"/>
    <col min="4" max="4" width="15.109375" style="89" bestFit="1" customWidth="1"/>
    <col min="5" max="5" width="15.88671875" style="89" bestFit="1" customWidth="1"/>
    <col min="6" max="6" width="11.21875" style="89" bestFit="1" customWidth="1"/>
    <col min="7" max="7" width="8.33203125" style="89" customWidth="1"/>
    <col min="8" max="8" width="5.33203125" style="89" bestFit="1" customWidth="1"/>
    <col min="9" max="10" width="6" style="89" bestFit="1" customWidth="1"/>
    <col min="11" max="16384" width="8.88671875" style="89"/>
  </cols>
  <sheetData>
    <row r="2" spans="2:11" x14ac:dyDescent="0.3">
      <c r="B2" s="92" t="s">
        <v>246</v>
      </c>
    </row>
    <row r="10" spans="2:11" ht="14.4" x14ac:dyDescent="0.3">
      <c r="B10" s="7"/>
      <c r="C10" s="3"/>
      <c r="D10" s="3"/>
      <c r="E10" s="2"/>
      <c r="F10" s="2"/>
      <c r="G10" s="2"/>
      <c r="H10" s="2"/>
    </row>
    <row r="11" spans="2:11" ht="14.4" x14ac:dyDescent="0.3">
      <c r="B11" s="2"/>
      <c r="C11" s="2"/>
      <c r="D11" s="2"/>
      <c r="E11" s="2"/>
      <c r="F11" s="2"/>
      <c r="G11" s="2"/>
      <c r="H11" s="2"/>
    </row>
    <row r="12" spans="2:11" ht="14.4" x14ac:dyDescent="0.3">
      <c r="B12" s="1"/>
      <c r="C12" s="4"/>
      <c r="D12" s="4"/>
      <c r="E12" s="4"/>
      <c r="F12" s="2"/>
    </row>
    <row r="13" spans="2:11" ht="14.4" x14ac:dyDescent="0.3">
      <c r="B13" s="2"/>
      <c r="C13" s="55"/>
      <c r="D13" s="55"/>
      <c r="E13" s="55"/>
      <c r="F13" s="2"/>
    </row>
    <row r="14" spans="2:11" ht="14.4" x14ac:dyDescent="0.3">
      <c r="B14" s="2"/>
      <c r="C14" s="55"/>
      <c r="D14" s="55"/>
      <c r="E14" s="55"/>
      <c r="F14" s="2"/>
    </row>
    <row r="15" spans="2:11" ht="14.4" x14ac:dyDescent="0.3">
      <c r="B15" s="181" t="s">
        <v>24</v>
      </c>
      <c r="C15" s="181"/>
      <c r="D15" s="8"/>
      <c r="E15"/>
      <c r="F15"/>
      <c r="G15"/>
      <c r="H15"/>
      <c r="I15"/>
      <c r="J15"/>
      <c r="K15"/>
    </row>
    <row r="16" spans="2:11" ht="4.8" customHeight="1" x14ac:dyDescent="0.3">
      <c r="E16"/>
      <c r="F16"/>
      <c r="G16"/>
      <c r="H16"/>
      <c r="I16"/>
      <c r="J16"/>
      <c r="K16"/>
    </row>
    <row r="17" spans="2:11" ht="14.4" x14ac:dyDescent="0.3">
      <c r="B17" s="10" t="s">
        <v>66</v>
      </c>
      <c r="C17" s="4" t="s">
        <v>99</v>
      </c>
      <c r="D17" s="4" t="s">
        <v>255</v>
      </c>
      <c r="E17"/>
      <c r="F17"/>
      <c r="G17"/>
      <c r="H17"/>
      <c r="I17"/>
      <c r="J17"/>
      <c r="K17"/>
    </row>
    <row r="18" spans="2:11" ht="14.4" x14ac:dyDescent="0.3">
      <c r="B18" s="5" t="s">
        <v>17</v>
      </c>
      <c r="C18" s="50">
        <v>124081</v>
      </c>
      <c r="D18" s="14">
        <v>0.92</v>
      </c>
      <c r="E18"/>
      <c r="F18"/>
      <c r="G18"/>
      <c r="H18"/>
      <c r="I18"/>
      <c r="J18"/>
      <c r="K18"/>
    </row>
    <row r="19" spans="2:11" ht="14.4" x14ac:dyDescent="0.3">
      <c r="B19" s="5" t="s">
        <v>16</v>
      </c>
      <c r="C19" s="50">
        <v>19109</v>
      </c>
      <c r="D19" s="14">
        <v>0.72</v>
      </c>
      <c r="E19"/>
      <c r="F19"/>
      <c r="G19"/>
      <c r="H19"/>
      <c r="I19"/>
      <c r="J19"/>
      <c r="K19"/>
    </row>
    <row r="20" spans="2:11" ht="14.4" x14ac:dyDescent="0.3">
      <c r="B20" s="5" t="s">
        <v>15</v>
      </c>
      <c r="C20" s="50">
        <v>16360</v>
      </c>
      <c r="D20" s="14">
        <v>0.81</v>
      </c>
      <c r="E20"/>
      <c r="F20"/>
      <c r="G20"/>
      <c r="H20"/>
      <c r="I20"/>
      <c r="J20"/>
      <c r="K20"/>
    </row>
    <row r="21" spans="2:11" ht="14.4" x14ac:dyDescent="0.3">
      <c r="B21" s="5" t="s">
        <v>95</v>
      </c>
      <c r="C21" s="50">
        <v>16569</v>
      </c>
      <c r="D21" s="14">
        <v>0.63</v>
      </c>
      <c r="E21"/>
      <c r="F21"/>
      <c r="G21"/>
      <c r="H21"/>
      <c r="I21"/>
      <c r="J21"/>
      <c r="K21"/>
    </row>
    <row r="22" spans="2:11" ht="14.4" x14ac:dyDescent="0.3">
      <c r="B22" s="5" t="s">
        <v>98</v>
      </c>
      <c r="C22" s="50">
        <v>14104</v>
      </c>
      <c r="D22" s="14">
        <v>0.46</v>
      </c>
      <c r="E22"/>
      <c r="F22"/>
      <c r="G22"/>
      <c r="H22"/>
      <c r="I22"/>
      <c r="J22"/>
      <c r="K22"/>
    </row>
    <row r="23" spans="2:11" ht="14.4" x14ac:dyDescent="0.3">
      <c r="B23" s="5" t="s">
        <v>18</v>
      </c>
      <c r="C23" s="50">
        <v>12253</v>
      </c>
      <c r="D23" s="14">
        <v>0.75</v>
      </c>
      <c r="E23"/>
      <c r="F23"/>
      <c r="G23"/>
      <c r="H23"/>
      <c r="I23"/>
      <c r="J23"/>
      <c r="K23"/>
    </row>
    <row r="24" spans="2:11" ht="14.4" x14ac:dyDescent="0.3">
      <c r="B24" s="5" t="s">
        <v>19</v>
      </c>
      <c r="C24" s="50">
        <v>4574</v>
      </c>
      <c r="D24" s="14">
        <v>0.53</v>
      </c>
      <c r="E24"/>
      <c r="F24"/>
      <c r="G24"/>
      <c r="H24"/>
      <c r="I24"/>
      <c r="J24"/>
      <c r="K24"/>
    </row>
    <row r="25" spans="2:11" ht="14.4" x14ac:dyDescent="0.3">
      <c r="B25" s="5" t="s">
        <v>77</v>
      </c>
      <c r="C25" s="50">
        <f>SUM(C18:C24)</f>
        <v>207050</v>
      </c>
      <c r="D25" s="14">
        <v>0.82</v>
      </c>
      <c r="E25"/>
      <c r="F25"/>
      <c r="G25"/>
      <c r="H25"/>
      <c r="I25"/>
      <c r="J25"/>
      <c r="K25"/>
    </row>
    <row r="26" spans="2:11" ht="14.4" x14ac:dyDescent="0.3">
      <c r="B26" s="5"/>
      <c r="C26" s="50"/>
      <c r="D26" s="14"/>
      <c r="E26"/>
      <c r="F26"/>
      <c r="G26"/>
      <c r="H26"/>
      <c r="I26"/>
      <c r="J26"/>
      <c r="K26"/>
    </row>
    <row r="27" spans="2:11" ht="14.4" x14ac:dyDescent="0.3">
      <c r="B27" s="5"/>
      <c r="C27" s="50"/>
      <c r="D27" s="14"/>
      <c r="E27"/>
      <c r="F27"/>
      <c r="G27"/>
      <c r="H27"/>
      <c r="I27"/>
      <c r="J27"/>
      <c r="K27"/>
    </row>
    <row r="28" spans="2:11" ht="14.4" x14ac:dyDescent="0.3">
      <c r="B28" s="5"/>
      <c r="C28" s="50"/>
      <c r="D28" s="14"/>
      <c r="E28"/>
      <c r="F28"/>
      <c r="G28"/>
      <c r="H28"/>
      <c r="I28"/>
      <c r="J28"/>
      <c r="K28"/>
    </row>
    <row r="29" spans="2:11" ht="14.4" x14ac:dyDescent="0.3">
      <c r="B29" s="5"/>
      <c r="C29" s="50"/>
      <c r="D29" s="14"/>
      <c r="E29"/>
      <c r="F29"/>
      <c r="G29"/>
      <c r="H29"/>
      <c r="I29"/>
      <c r="J29"/>
      <c r="K29"/>
    </row>
    <row r="30" spans="2:11" ht="14.4" x14ac:dyDescent="0.3">
      <c r="B30" s="5"/>
      <c r="C30" s="50"/>
      <c r="D30" s="14"/>
      <c r="E30"/>
      <c r="F30"/>
      <c r="G30"/>
      <c r="H30"/>
      <c r="I30"/>
      <c r="J30"/>
      <c r="K30"/>
    </row>
    <row r="31" spans="2:11" ht="14.4" x14ac:dyDescent="0.3">
      <c r="B31" s="5"/>
      <c r="C31" s="50"/>
      <c r="D31" s="14"/>
      <c r="E31"/>
      <c r="F31"/>
      <c r="G31"/>
      <c r="H31"/>
      <c r="I31"/>
      <c r="J31"/>
      <c r="K31"/>
    </row>
    <row r="32" spans="2:11" ht="14.4" x14ac:dyDescent="0.3">
      <c r="B32" s="5"/>
      <c r="C32" s="50"/>
      <c r="D32" s="14"/>
      <c r="E32"/>
      <c r="F32"/>
      <c r="G32"/>
      <c r="H32"/>
      <c r="I32"/>
      <c r="J32"/>
      <c r="K32"/>
    </row>
    <row r="33" spans="2:11" ht="14.4" x14ac:dyDescent="0.3">
      <c r="B33" s="5"/>
      <c r="C33" s="50"/>
      <c r="D33" s="14"/>
      <c r="E33"/>
      <c r="F33"/>
      <c r="G33"/>
      <c r="H33"/>
      <c r="I33"/>
      <c r="J33"/>
      <c r="K33"/>
    </row>
    <row r="34" spans="2:11" ht="14.4" x14ac:dyDescent="0.3">
      <c r="B34" s="5"/>
      <c r="C34" s="50"/>
      <c r="D34" s="14"/>
      <c r="E34"/>
      <c r="F34"/>
      <c r="G34"/>
      <c r="H34"/>
      <c r="I34"/>
      <c r="J34"/>
      <c r="K34"/>
    </row>
    <row r="35" spans="2:11" ht="14.4" x14ac:dyDescent="0.3">
      <c r="B35" s="5"/>
      <c r="C35" s="50"/>
      <c r="D35" s="14"/>
      <c r="E35"/>
      <c r="F35"/>
      <c r="G35"/>
      <c r="H35"/>
      <c r="I35"/>
      <c r="J35"/>
      <c r="K35"/>
    </row>
    <row r="36" spans="2:11" ht="14.4" x14ac:dyDescent="0.3">
      <c r="B36" s="5"/>
      <c r="C36" s="50"/>
      <c r="D36" s="50"/>
      <c r="E36" s="5"/>
      <c r="F36" s="50"/>
      <c r="G36" s="2"/>
      <c r="H36" s="2"/>
      <c r="I36" s="2"/>
      <c r="J36" s="2"/>
    </row>
    <row r="37" spans="2:11" ht="14.4" x14ac:dyDescent="0.3">
      <c r="B37" s="181" t="s">
        <v>24</v>
      </c>
      <c r="C37" s="181"/>
      <c r="D37" s="50"/>
      <c r="E37" s="181" t="s">
        <v>1</v>
      </c>
      <c r="F37" s="181"/>
      <c r="G37" s="2"/>
      <c r="H37" s="2"/>
      <c r="I37" s="2"/>
      <c r="J37" s="2"/>
    </row>
    <row r="38" spans="2:11" ht="7.8" customHeight="1" x14ac:dyDescent="0.3">
      <c r="B38" s="5"/>
      <c r="C38" s="50"/>
      <c r="D38" s="50"/>
      <c r="G38" s="2"/>
      <c r="H38" s="2"/>
      <c r="I38" s="2"/>
      <c r="J38" s="2"/>
    </row>
    <row r="39" spans="2:11" ht="14.4" x14ac:dyDescent="0.3">
      <c r="B39" s="10" t="s">
        <v>66</v>
      </c>
      <c r="C39" s="4" t="s">
        <v>78</v>
      </c>
      <c r="E39" s="10" t="s">
        <v>66</v>
      </c>
      <c r="F39" s="4" t="s">
        <v>78</v>
      </c>
      <c r="H39" s="89" t="b">
        <f>B39=E39</f>
        <v>1</v>
      </c>
      <c r="I39" s="89" t="b">
        <f>C39=F39</f>
        <v>1</v>
      </c>
    </row>
    <row r="40" spans="2:11" ht="14.4" x14ac:dyDescent="0.3">
      <c r="B40" s="5" t="s">
        <v>17</v>
      </c>
      <c r="C40" s="50">
        <f>C18*D18</f>
        <v>114154.52</v>
      </c>
      <c r="E40" s="5" t="s">
        <v>17</v>
      </c>
      <c r="F40" s="50">
        <v>114156</v>
      </c>
      <c r="H40" s="89" t="b">
        <f t="shared" ref="H40:H46" si="0">B40=E40</f>
        <v>1</v>
      </c>
      <c r="I40" s="99" t="b">
        <v>1</v>
      </c>
    </row>
    <row r="41" spans="2:11" ht="14.4" x14ac:dyDescent="0.3">
      <c r="B41" s="5" t="s">
        <v>16</v>
      </c>
      <c r="C41" s="50">
        <f>C19*D19</f>
        <v>13758.48</v>
      </c>
      <c r="E41" s="5" t="s">
        <v>16</v>
      </c>
      <c r="F41" s="50">
        <v>13758.48</v>
      </c>
      <c r="H41" s="89" t="b">
        <f t="shared" si="0"/>
        <v>1</v>
      </c>
      <c r="I41" s="89" t="b">
        <f t="shared" ref="I41:I46" si="1">C41=F41</f>
        <v>1</v>
      </c>
    </row>
    <row r="42" spans="2:11" ht="14.4" x14ac:dyDescent="0.3">
      <c r="B42" s="5" t="s">
        <v>15</v>
      </c>
      <c r="C42" s="50">
        <f>C20*D20</f>
        <v>13251.6</v>
      </c>
      <c r="E42" s="5" t="s">
        <v>15</v>
      </c>
      <c r="F42" s="50">
        <v>13256</v>
      </c>
      <c r="H42" s="89" t="b">
        <f t="shared" si="0"/>
        <v>1</v>
      </c>
      <c r="I42" s="98" t="b">
        <f>C42=F42</f>
        <v>0</v>
      </c>
    </row>
    <row r="43" spans="2:11" ht="14.4" x14ac:dyDescent="0.3">
      <c r="B43" s="5" t="s">
        <v>22</v>
      </c>
      <c r="C43" s="50">
        <f>C21*D21+C22*D22</f>
        <v>16926.309999999998</v>
      </c>
      <c r="E43" s="5" t="s">
        <v>22</v>
      </c>
      <c r="F43" s="50">
        <v>14722</v>
      </c>
      <c r="H43" s="89" t="b">
        <f t="shared" si="0"/>
        <v>1</v>
      </c>
      <c r="I43" s="98" t="b">
        <f t="shared" si="1"/>
        <v>0</v>
      </c>
    </row>
    <row r="44" spans="2:11" ht="14.4" x14ac:dyDescent="0.3">
      <c r="B44" s="5" t="s">
        <v>18</v>
      </c>
      <c r="C44" s="50">
        <f>C23*D23</f>
        <v>9189.75</v>
      </c>
      <c r="E44" s="5" t="s">
        <v>18</v>
      </c>
      <c r="F44" s="50">
        <v>9189.75</v>
      </c>
      <c r="H44" s="89" t="b">
        <f t="shared" si="0"/>
        <v>1</v>
      </c>
      <c r="I44" s="89" t="b">
        <f t="shared" si="1"/>
        <v>1</v>
      </c>
    </row>
    <row r="45" spans="2:11" ht="14.4" x14ac:dyDescent="0.3">
      <c r="B45" s="5" t="s">
        <v>19</v>
      </c>
      <c r="C45" s="50">
        <f>C24*D24</f>
        <v>2424.2200000000003</v>
      </c>
      <c r="E45" s="5" t="s">
        <v>19</v>
      </c>
      <c r="F45" s="50">
        <v>2424.2200000000003</v>
      </c>
      <c r="H45" s="89" t="b">
        <f t="shared" si="0"/>
        <v>1</v>
      </c>
      <c r="I45" s="89" t="b">
        <f t="shared" si="1"/>
        <v>1</v>
      </c>
    </row>
    <row r="46" spans="2:11" ht="14.4" x14ac:dyDescent="0.3">
      <c r="B46" s="5" t="s">
        <v>77</v>
      </c>
      <c r="C46" s="50">
        <f>SUM(C40:C45)</f>
        <v>169704.88</v>
      </c>
      <c r="E46" s="5" t="s">
        <v>77</v>
      </c>
      <c r="F46" s="50">
        <v>167506</v>
      </c>
      <c r="H46" s="89" t="b">
        <f t="shared" si="0"/>
        <v>1</v>
      </c>
      <c r="I46" s="98" t="b">
        <f t="shared" si="1"/>
        <v>0</v>
      </c>
    </row>
    <row r="47" spans="2:11" ht="7.8" customHeight="1" x14ac:dyDescent="0.3">
      <c r="B47" s="5"/>
      <c r="C47" s="50"/>
      <c r="E47" s="5"/>
      <c r="F47" s="50"/>
    </row>
    <row r="48" spans="2:11" ht="14.4" x14ac:dyDescent="0.3">
      <c r="E48" s="10" t="s">
        <v>5</v>
      </c>
      <c r="F48" s="14">
        <f>13/16</f>
        <v>0.8125</v>
      </c>
    </row>
    <row r="49" spans="2:6" ht="14.4" x14ac:dyDescent="0.3">
      <c r="B49" s="93" t="s">
        <v>256</v>
      </c>
      <c r="E49" s="10"/>
      <c r="F49" s="14"/>
    </row>
    <row r="50" spans="2:6" ht="14.4" x14ac:dyDescent="0.3">
      <c r="E50" s="10"/>
      <c r="F50" s="14"/>
    </row>
    <row r="51" spans="2:6" ht="14.4" x14ac:dyDescent="0.3">
      <c r="E51" s="10"/>
      <c r="F51" s="14"/>
    </row>
    <row r="52" spans="2:6" ht="14.4" x14ac:dyDescent="0.3">
      <c r="E52" s="10"/>
      <c r="F52" s="14"/>
    </row>
    <row r="53" spans="2:6" ht="14.4" x14ac:dyDescent="0.3">
      <c r="E53" s="10"/>
      <c r="F53" s="14"/>
    </row>
    <row r="54" spans="2:6" ht="14.4" x14ac:dyDescent="0.3">
      <c r="E54" s="10"/>
      <c r="F54" s="14"/>
    </row>
    <row r="55" spans="2:6" ht="14.4" x14ac:dyDescent="0.3">
      <c r="E55" s="10"/>
      <c r="F55" s="14"/>
    </row>
    <row r="56" spans="2:6" ht="14.4" x14ac:dyDescent="0.3">
      <c r="E56" s="10"/>
      <c r="F56" s="14"/>
    </row>
    <row r="57" spans="2:6" ht="14.4" x14ac:dyDescent="0.3">
      <c r="E57" s="10"/>
      <c r="F57" s="14"/>
    </row>
    <row r="58" spans="2:6" ht="14.4" x14ac:dyDescent="0.3">
      <c r="E58" s="10"/>
      <c r="F58" s="14"/>
    </row>
    <row r="59" spans="2:6" ht="14.4" x14ac:dyDescent="0.3">
      <c r="E59" s="10"/>
      <c r="F59" s="14"/>
    </row>
    <row r="60" spans="2:6" x14ac:dyDescent="0.3">
      <c r="B60" s="92" t="s">
        <v>243</v>
      </c>
    </row>
    <row r="74" spans="2:11" ht="14.4" x14ac:dyDescent="0.3">
      <c r="B74" s="181" t="s">
        <v>24</v>
      </c>
      <c r="C74" s="181"/>
      <c r="D74" s="8"/>
      <c r="E74"/>
      <c r="F74"/>
      <c r="G74"/>
      <c r="H74"/>
      <c r="I74"/>
      <c r="J74"/>
      <c r="K74"/>
    </row>
    <row r="75" spans="2:11" ht="7.8" customHeight="1" x14ac:dyDescent="0.3">
      <c r="E75"/>
      <c r="F75"/>
      <c r="G75"/>
      <c r="H75"/>
      <c r="I75"/>
      <c r="J75"/>
      <c r="K75"/>
    </row>
    <row r="76" spans="2:11" ht="14.4" x14ac:dyDescent="0.3">
      <c r="B76" s="10" t="s">
        <v>66</v>
      </c>
      <c r="C76" s="4" t="s">
        <v>99</v>
      </c>
      <c r="D76" s="4" t="s">
        <v>255</v>
      </c>
      <c r="E76"/>
      <c r="F76"/>
      <c r="G76"/>
      <c r="H76"/>
      <c r="I76"/>
      <c r="J76"/>
      <c r="K76"/>
    </row>
    <row r="77" spans="2:11" ht="14.4" x14ac:dyDescent="0.3">
      <c r="B77" s="5" t="s">
        <v>17</v>
      </c>
      <c r="C77" s="50">
        <v>125410</v>
      </c>
      <c r="D77" s="14">
        <v>0.91</v>
      </c>
      <c r="E77"/>
      <c r="F77"/>
      <c r="G77"/>
      <c r="H77"/>
      <c r="I77"/>
      <c r="J77"/>
      <c r="K77"/>
    </row>
    <row r="78" spans="2:11" ht="14.4" x14ac:dyDescent="0.3">
      <c r="B78" s="5" t="s">
        <v>16</v>
      </c>
      <c r="C78" s="50">
        <v>19282</v>
      </c>
      <c r="D78" s="14">
        <v>0.74</v>
      </c>
      <c r="E78"/>
      <c r="F78"/>
      <c r="G78"/>
      <c r="H78"/>
      <c r="I78"/>
      <c r="J78"/>
      <c r="K78"/>
    </row>
    <row r="79" spans="2:11" ht="14.4" x14ac:dyDescent="0.3">
      <c r="B79" s="5" t="s">
        <v>15</v>
      </c>
      <c r="C79" s="50">
        <v>16926</v>
      </c>
      <c r="D79" s="14">
        <v>0.81</v>
      </c>
      <c r="E79"/>
      <c r="F79"/>
      <c r="G79"/>
      <c r="H79"/>
      <c r="I79"/>
      <c r="J79"/>
      <c r="K79"/>
    </row>
    <row r="80" spans="2:11" ht="14.4" x14ac:dyDescent="0.3">
      <c r="B80" s="5" t="s">
        <v>95</v>
      </c>
      <c r="C80" s="50">
        <v>15011</v>
      </c>
      <c r="D80" s="14">
        <v>0.67</v>
      </c>
      <c r="E80"/>
      <c r="F80"/>
      <c r="G80"/>
      <c r="H80"/>
      <c r="I80"/>
      <c r="J80"/>
      <c r="K80"/>
    </row>
    <row r="81" spans="2:11" ht="14.4" x14ac:dyDescent="0.3">
      <c r="B81" s="5" t="s">
        <v>98</v>
      </c>
      <c r="C81" s="50">
        <v>14557</v>
      </c>
      <c r="D81" s="14">
        <v>0.51</v>
      </c>
      <c r="E81"/>
      <c r="F81"/>
      <c r="G81"/>
      <c r="H81"/>
      <c r="I81"/>
      <c r="J81"/>
      <c r="K81"/>
    </row>
    <row r="82" spans="2:11" ht="14.4" x14ac:dyDescent="0.3">
      <c r="B82" s="5" t="s">
        <v>18</v>
      </c>
      <c r="C82" s="50">
        <v>12841</v>
      </c>
      <c r="D82" s="14">
        <v>0.69</v>
      </c>
      <c r="E82"/>
      <c r="F82"/>
      <c r="G82"/>
      <c r="H82"/>
      <c r="I82"/>
      <c r="J82"/>
      <c r="K82"/>
    </row>
    <row r="83" spans="2:11" ht="14.4" x14ac:dyDescent="0.3">
      <c r="B83" s="5" t="s">
        <v>19</v>
      </c>
      <c r="C83" s="50">
        <v>4563</v>
      </c>
      <c r="D83" s="14">
        <v>0.55000000000000004</v>
      </c>
      <c r="E83"/>
      <c r="F83"/>
      <c r="G83"/>
      <c r="H83"/>
      <c r="I83"/>
      <c r="J83"/>
      <c r="K83"/>
    </row>
    <row r="84" spans="2:11" ht="14.4" x14ac:dyDescent="0.3">
      <c r="B84" s="5" t="s">
        <v>77</v>
      </c>
      <c r="C84" s="50">
        <f>SUM(C77:C83)</f>
        <v>208590</v>
      </c>
      <c r="D84" s="14">
        <v>0.82</v>
      </c>
      <c r="E84"/>
      <c r="F84"/>
      <c r="G84"/>
      <c r="H84"/>
      <c r="I84"/>
      <c r="J84"/>
      <c r="K84"/>
    </row>
    <row r="85" spans="2:11" ht="14.4" x14ac:dyDescent="0.3">
      <c r="B85" s="5"/>
      <c r="C85" s="50"/>
      <c r="D85" s="50"/>
      <c r="E85"/>
      <c r="F85"/>
      <c r="G85"/>
      <c r="H85"/>
      <c r="I85"/>
      <c r="J85"/>
      <c r="K85"/>
    </row>
    <row r="86" spans="2:11" ht="14.4" x14ac:dyDescent="0.3">
      <c r="B86" s="5"/>
      <c r="C86" s="50"/>
      <c r="D86" s="50"/>
      <c r="E86"/>
      <c r="F86"/>
      <c r="G86"/>
      <c r="H86"/>
      <c r="I86"/>
      <c r="J86"/>
      <c r="K86"/>
    </row>
    <row r="87" spans="2:11" ht="14.4" x14ac:dyDescent="0.3">
      <c r="B87" s="5"/>
      <c r="C87" s="50"/>
      <c r="D87" s="50"/>
      <c r="E87"/>
      <c r="F87"/>
      <c r="G87"/>
      <c r="H87"/>
      <c r="I87"/>
      <c r="J87"/>
      <c r="K87"/>
    </row>
    <row r="88" spans="2:11" ht="14.4" x14ac:dyDescent="0.3">
      <c r="B88" s="5"/>
      <c r="C88" s="50"/>
      <c r="D88" s="50"/>
      <c r="E88"/>
      <c r="F88"/>
      <c r="G88"/>
      <c r="H88"/>
      <c r="I88"/>
      <c r="J88"/>
      <c r="K88"/>
    </row>
    <row r="89" spans="2:11" ht="14.4" x14ac:dyDescent="0.3">
      <c r="B89" s="5"/>
      <c r="C89" s="50"/>
      <c r="D89" s="50"/>
      <c r="E89"/>
      <c r="F89"/>
      <c r="G89"/>
      <c r="H89"/>
      <c r="I89"/>
      <c r="J89"/>
      <c r="K89"/>
    </row>
    <row r="90" spans="2:11" ht="14.4" x14ac:dyDescent="0.3">
      <c r="B90" s="5"/>
      <c r="C90" s="50"/>
      <c r="D90" s="50"/>
      <c r="E90"/>
      <c r="F90"/>
      <c r="G90"/>
      <c r="H90"/>
      <c r="I90"/>
      <c r="J90"/>
      <c r="K90"/>
    </row>
    <row r="91" spans="2:11" ht="14.4" x14ac:dyDescent="0.3">
      <c r="B91" s="5"/>
      <c r="C91" s="50"/>
      <c r="D91" s="50"/>
      <c r="E91"/>
      <c r="F91"/>
      <c r="G91"/>
      <c r="H91"/>
      <c r="I91"/>
      <c r="J91"/>
      <c r="K91"/>
    </row>
    <row r="92" spans="2:11" ht="14.4" x14ac:dyDescent="0.3">
      <c r="B92" s="5"/>
      <c r="C92" s="50"/>
      <c r="D92" s="50"/>
      <c r="E92"/>
      <c r="F92"/>
      <c r="G92"/>
      <c r="H92"/>
      <c r="I92"/>
      <c r="J92"/>
      <c r="K92"/>
    </row>
    <row r="93" spans="2:11" ht="14.4" x14ac:dyDescent="0.3">
      <c r="B93" s="5"/>
      <c r="C93" s="50"/>
      <c r="D93" s="50"/>
      <c r="E93"/>
      <c r="F93"/>
      <c r="G93"/>
      <c r="H93"/>
      <c r="I93"/>
      <c r="J93"/>
      <c r="K93"/>
    </row>
    <row r="94" spans="2:11" ht="14.4" x14ac:dyDescent="0.3">
      <c r="B94" s="5"/>
      <c r="C94" s="50"/>
      <c r="D94" s="50"/>
      <c r="E94"/>
      <c r="F94"/>
      <c r="G94"/>
      <c r="H94"/>
      <c r="I94"/>
      <c r="J94"/>
      <c r="K94"/>
    </row>
    <row r="95" spans="2:11" ht="14.4" x14ac:dyDescent="0.3">
      <c r="B95" s="5"/>
      <c r="C95" s="50"/>
      <c r="D95" s="50"/>
      <c r="E95"/>
      <c r="F95"/>
      <c r="G95"/>
      <c r="H95"/>
      <c r="I95"/>
      <c r="J95"/>
      <c r="K95"/>
    </row>
    <row r="96" spans="2:11" ht="14.4" x14ac:dyDescent="0.3">
      <c r="B96" s="181" t="s">
        <v>24</v>
      </c>
      <c r="C96" s="181"/>
      <c r="D96" s="50"/>
      <c r="E96" s="181" t="s">
        <v>1</v>
      </c>
      <c r="F96" s="181"/>
      <c r="G96" s="2"/>
      <c r="H96" s="2"/>
      <c r="I96" s="2"/>
      <c r="J96" s="2"/>
    </row>
    <row r="97" spans="2:10" ht="7.2" customHeight="1" x14ac:dyDescent="0.3">
      <c r="B97" s="5"/>
      <c r="C97" s="50"/>
      <c r="D97" s="50"/>
      <c r="E97" s="5"/>
      <c r="F97" s="50"/>
      <c r="G97" s="2"/>
      <c r="H97" s="2"/>
      <c r="I97" s="2"/>
      <c r="J97" s="2"/>
    </row>
    <row r="98" spans="2:10" ht="14.4" x14ac:dyDescent="0.3">
      <c r="B98" s="10" t="s">
        <v>66</v>
      </c>
      <c r="C98" s="4" t="s">
        <v>78</v>
      </c>
      <c r="D98" s="4"/>
      <c r="E98" s="10" t="s">
        <v>66</v>
      </c>
      <c r="F98" s="4" t="s">
        <v>78</v>
      </c>
      <c r="H98" s="89" t="b">
        <f>B98=E98</f>
        <v>1</v>
      </c>
      <c r="I98" s="89" t="b">
        <f>C98=F98</f>
        <v>1</v>
      </c>
    </row>
    <row r="99" spans="2:10" ht="14.4" x14ac:dyDescent="0.3">
      <c r="B99" s="5" t="s">
        <v>17</v>
      </c>
      <c r="C99" s="50">
        <f>C77*D77</f>
        <v>114123.1</v>
      </c>
      <c r="D99" s="50"/>
      <c r="E99" s="5" t="s">
        <v>17</v>
      </c>
      <c r="F99" s="50">
        <v>114122</v>
      </c>
      <c r="H99" s="89" t="b">
        <f t="shared" ref="H99:H105" si="2">B99=E99</f>
        <v>1</v>
      </c>
      <c r="I99" s="99" t="b">
        <v>1</v>
      </c>
    </row>
    <row r="100" spans="2:10" ht="14.4" x14ac:dyDescent="0.3">
      <c r="B100" s="5" t="s">
        <v>16</v>
      </c>
      <c r="C100" s="50">
        <f>C78*D78</f>
        <v>14268.68</v>
      </c>
      <c r="D100" s="50"/>
      <c r="E100" s="5" t="s">
        <v>16</v>
      </c>
      <c r="F100" s="50">
        <v>14272</v>
      </c>
      <c r="H100" s="89" t="b">
        <f t="shared" si="2"/>
        <v>1</v>
      </c>
      <c r="I100" s="98" t="b">
        <f t="shared" ref="I100:I105" si="3">C100=F100</f>
        <v>0</v>
      </c>
    </row>
    <row r="101" spans="2:10" ht="14.4" x14ac:dyDescent="0.3">
      <c r="B101" s="5" t="s">
        <v>15</v>
      </c>
      <c r="C101" s="50">
        <f>C79*D79</f>
        <v>13710.060000000001</v>
      </c>
      <c r="D101" s="50"/>
      <c r="E101" s="5" t="s">
        <v>15</v>
      </c>
      <c r="F101" s="50">
        <v>13712</v>
      </c>
      <c r="H101" s="89" t="b">
        <f t="shared" si="2"/>
        <v>1</v>
      </c>
      <c r="I101" s="98" t="b">
        <f>C101=F101</f>
        <v>0</v>
      </c>
    </row>
    <row r="102" spans="2:10" ht="14.4" x14ac:dyDescent="0.3">
      <c r="B102" s="5" t="s">
        <v>22</v>
      </c>
      <c r="C102" s="50">
        <f>C80*D80+C81*D81</f>
        <v>17481.440000000002</v>
      </c>
      <c r="D102" s="50"/>
      <c r="E102" s="5" t="s">
        <v>22</v>
      </c>
      <c r="F102" s="50">
        <v>19621</v>
      </c>
      <c r="H102" s="89" t="b">
        <f t="shared" si="2"/>
        <v>1</v>
      </c>
      <c r="I102" s="98" t="b">
        <f t="shared" si="3"/>
        <v>0</v>
      </c>
    </row>
    <row r="103" spans="2:10" ht="14.4" x14ac:dyDescent="0.3">
      <c r="B103" s="5" t="s">
        <v>18</v>
      </c>
      <c r="C103" s="50">
        <f>C82*D82</f>
        <v>8860.2899999999991</v>
      </c>
      <c r="D103" s="50"/>
      <c r="E103" s="5" t="s">
        <v>18</v>
      </c>
      <c r="F103" s="50">
        <v>8859</v>
      </c>
      <c r="H103" s="89" t="b">
        <f t="shared" si="2"/>
        <v>1</v>
      </c>
      <c r="I103" s="99" t="b">
        <v>1</v>
      </c>
    </row>
    <row r="104" spans="2:10" ht="14.4" x14ac:dyDescent="0.3">
      <c r="B104" s="5" t="s">
        <v>19</v>
      </c>
      <c r="C104" s="50">
        <f>C83*D83</f>
        <v>2509.65</v>
      </c>
      <c r="D104" s="50"/>
      <c r="E104" s="5" t="s">
        <v>19</v>
      </c>
      <c r="F104" s="50">
        <v>2510</v>
      </c>
      <c r="H104" s="89" t="b">
        <f t="shared" si="2"/>
        <v>1</v>
      </c>
      <c r="I104" s="99" t="b">
        <v>1</v>
      </c>
    </row>
    <row r="105" spans="2:10" ht="14.4" x14ac:dyDescent="0.3">
      <c r="B105" s="5" t="s">
        <v>77</v>
      </c>
      <c r="C105" s="50">
        <f>SUM(C99:C104)</f>
        <v>170953.22</v>
      </c>
      <c r="D105" s="50"/>
      <c r="E105" s="5" t="s">
        <v>77</v>
      </c>
      <c r="F105" s="50">
        <v>173096</v>
      </c>
      <c r="H105" s="89" t="b">
        <f t="shared" si="2"/>
        <v>1</v>
      </c>
      <c r="I105" s="98" t="b">
        <f t="shared" si="3"/>
        <v>0</v>
      </c>
    </row>
    <row r="106" spans="2:10" ht="14.4" x14ac:dyDescent="0.3">
      <c r="B106" s="5"/>
      <c r="C106" s="50"/>
      <c r="D106" s="50"/>
      <c r="E106" s="5"/>
      <c r="F106" s="50"/>
    </row>
    <row r="107" spans="2:10" ht="14.4" x14ac:dyDescent="0.3">
      <c r="B107" s="93" t="s">
        <v>256</v>
      </c>
      <c r="C107" s="2"/>
      <c r="D107" s="2"/>
      <c r="E107" s="10" t="s">
        <v>5</v>
      </c>
      <c r="F107" s="14">
        <f>12/16</f>
        <v>0.75</v>
      </c>
    </row>
    <row r="108" spans="2:10" ht="14.4" x14ac:dyDescent="0.3">
      <c r="B108" s="2"/>
      <c r="C108" s="2"/>
      <c r="D108" s="2"/>
      <c r="E108" s="10"/>
      <c r="F108" s="14"/>
    </row>
    <row r="109" spans="2:10" ht="14.4" x14ac:dyDescent="0.3">
      <c r="B109" s="2"/>
      <c r="C109" s="2"/>
      <c r="D109" s="2"/>
      <c r="E109" s="10"/>
      <c r="F109" s="14"/>
    </row>
    <row r="110" spans="2:10" ht="14.4" x14ac:dyDescent="0.3">
      <c r="B110" s="2"/>
      <c r="C110" s="2"/>
      <c r="D110" s="2"/>
      <c r="E110" s="10"/>
      <c r="F110" s="14"/>
    </row>
    <row r="111" spans="2:10" ht="14.4" x14ac:dyDescent="0.3">
      <c r="B111" s="2"/>
      <c r="C111" s="2"/>
      <c r="D111" s="2"/>
      <c r="E111" s="10"/>
      <c r="F111" s="14"/>
    </row>
    <row r="112" spans="2:10" ht="14.4" x14ac:dyDescent="0.3">
      <c r="B112" s="2"/>
      <c r="C112" s="2"/>
      <c r="D112" s="2"/>
      <c r="E112" s="10"/>
      <c r="F112" s="14"/>
    </row>
    <row r="113" spans="2:9" ht="14.4" x14ac:dyDescent="0.3">
      <c r="B113" s="2"/>
      <c r="C113" s="2"/>
      <c r="D113" s="2"/>
      <c r="E113" s="10"/>
      <c r="F113" s="14"/>
    </row>
    <row r="114" spans="2:9" ht="14.4" x14ac:dyDescent="0.3">
      <c r="B114" s="2"/>
      <c r="C114" s="2"/>
      <c r="D114" s="2"/>
      <c r="E114" s="10"/>
      <c r="F114" s="14"/>
    </row>
    <row r="115" spans="2:9" ht="14.4" x14ac:dyDescent="0.3">
      <c r="B115" s="2"/>
      <c r="C115" s="2"/>
      <c r="D115" s="2"/>
      <c r="E115" s="10"/>
      <c r="F115" s="14"/>
    </row>
    <row r="116" spans="2:9" ht="14.4" x14ac:dyDescent="0.3">
      <c r="B116" s="2"/>
      <c r="C116" s="2"/>
      <c r="D116" s="2"/>
      <c r="E116" s="10"/>
      <c r="F116" s="14"/>
    </row>
    <row r="117" spans="2:9" ht="14.4" x14ac:dyDescent="0.3">
      <c r="B117" s="2"/>
      <c r="C117" s="2"/>
      <c r="D117" s="2"/>
      <c r="E117" s="10"/>
      <c r="F117" s="14"/>
    </row>
    <row r="118" spans="2:9" ht="14.4" x14ac:dyDescent="0.3">
      <c r="B118" s="92" t="s">
        <v>247</v>
      </c>
      <c r="C118" s="2"/>
      <c r="D118" s="2"/>
      <c r="E118" s="2"/>
      <c r="F118" s="2"/>
      <c r="G118" s="2"/>
      <c r="H118" s="2"/>
      <c r="I118" s="2"/>
    </row>
    <row r="131" spans="2:11" ht="14.4" x14ac:dyDescent="0.3">
      <c r="B131" s="181" t="s">
        <v>24</v>
      </c>
      <c r="C131" s="181"/>
      <c r="D131" s="8"/>
      <c r="E131"/>
      <c r="F131"/>
      <c r="G131"/>
      <c r="H131"/>
      <c r="I131"/>
      <c r="J131"/>
      <c r="K131"/>
    </row>
    <row r="132" spans="2:11" ht="14.4" x14ac:dyDescent="0.3">
      <c r="E132"/>
      <c r="F132"/>
      <c r="G132"/>
      <c r="H132"/>
      <c r="I132"/>
      <c r="J132"/>
      <c r="K132"/>
    </row>
    <row r="133" spans="2:11" ht="14.4" x14ac:dyDescent="0.3">
      <c r="B133" s="10" t="s">
        <v>66</v>
      </c>
      <c r="C133" s="4" t="s">
        <v>99</v>
      </c>
      <c r="D133" s="4" t="s">
        <v>255</v>
      </c>
      <c r="E133"/>
      <c r="F133"/>
      <c r="G133"/>
      <c r="H133"/>
      <c r="I133"/>
      <c r="J133"/>
      <c r="K133"/>
    </row>
    <row r="134" spans="2:11" ht="14.4" x14ac:dyDescent="0.3">
      <c r="B134" s="5" t="s">
        <v>17</v>
      </c>
      <c r="C134" s="50">
        <v>122991</v>
      </c>
      <c r="D134" s="14">
        <v>0.91</v>
      </c>
      <c r="E134"/>
      <c r="F134"/>
      <c r="G134"/>
      <c r="H134"/>
      <c r="I134"/>
      <c r="J134"/>
      <c r="K134"/>
    </row>
    <row r="135" spans="2:11" ht="14.4" x14ac:dyDescent="0.3">
      <c r="B135" s="5" t="s">
        <v>16</v>
      </c>
      <c r="C135" s="50">
        <v>20871</v>
      </c>
      <c r="D135" s="14">
        <v>0.7</v>
      </c>
      <c r="E135"/>
      <c r="F135"/>
      <c r="G135"/>
      <c r="H135"/>
      <c r="I135"/>
      <c r="J135"/>
      <c r="K135"/>
    </row>
    <row r="136" spans="2:11" ht="14.4" x14ac:dyDescent="0.3">
      <c r="B136" s="5" t="s">
        <v>15</v>
      </c>
      <c r="C136" s="50">
        <v>16460</v>
      </c>
      <c r="D136" s="14">
        <v>0.84</v>
      </c>
      <c r="E136"/>
      <c r="F136"/>
      <c r="G136"/>
      <c r="H136"/>
      <c r="I136"/>
      <c r="J136"/>
      <c r="K136"/>
    </row>
    <row r="137" spans="2:11" ht="14.4" x14ac:dyDescent="0.3">
      <c r="B137" s="5" t="s">
        <v>95</v>
      </c>
      <c r="C137" s="50">
        <v>14813</v>
      </c>
      <c r="D137" s="14">
        <v>0.64</v>
      </c>
      <c r="E137"/>
      <c r="F137"/>
      <c r="G137"/>
      <c r="H137"/>
      <c r="I137"/>
      <c r="J137"/>
      <c r="K137"/>
    </row>
    <row r="138" spans="2:11" ht="14.4" x14ac:dyDescent="0.3">
      <c r="B138" s="5" t="s">
        <v>98</v>
      </c>
      <c r="C138" s="50">
        <v>14613</v>
      </c>
      <c r="D138" s="14">
        <v>0.51</v>
      </c>
      <c r="E138"/>
      <c r="F138"/>
      <c r="G138"/>
      <c r="H138"/>
      <c r="I138"/>
      <c r="J138"/>
      <c r="K138"/>
    </row>
    <row r="139" spans="2:11" ht="14.4" x14ac:dyDescent="0.3">
      <c r="B139" s="5" t="s">
        <v>18</v>
      </c>
      <c r="C139" s="50">
        <v>11997</v>
      </c>
      <c r="D139" s="14">
        <v>0.74</v>
      </c>
      <c r="E139"/>
      <c r="F139"/>
      <c r="G139"/>
      <c r="H139"/>
      <c r="I139"/>
      <c r="J139"/>
      <c r="K139"/>
    </row>
    <row r="140" spans="2:11" ht="14.4" x14ac:dyDescent="0.3">
      <c r="B140" s="5" t="s">
        <v>19</v>
      </c>
      <c r="C140" s="50">
        <v>4409</v>
      </c>
      <c r="D140" s="14">
        <v>0.54</v>
      </c>
      <c r="E140"/>
      <c r="F140"/>
      <c r="G140"/>
      <c r="H140"/>
      <c r="I140"/>
      <c r="J140"/>
      <c r="K140"/>
    </row>
    <row r="141" spans="2:11" ht="14.4" x14ac:dyDescent="0.3">
      <c r="B141" s="5" t="s">
        <v>77</v>
      </c>
      <c r="C141" s="50">
        <f>SUM(C134:C140)</f>
        <v>206154</v>
      </c>
      <c r="D141" s="14">
        <v>0.81</v>
      </c>
      <c r="E141"/>
      <c r="F141"/>
      <c r="G141"/>
      <c r="H141"/>
      <c r="I141"/>
      <c r="J141"/>
      <c r="K141"/>
    </row>
    <row r="142" spans="2:11" ht="14.4" x14ac:dyDescent="0.3">
      <c r="B142" s="5"/>
      <c r="C142" s="50"/>
      <c r="D142" s="50"/>
      <c r="E142"/>
      <c r="F142"/>
      <c r="G142"/>
      <c r="H142"/>
      <c r="I142"/>
      <c r="J142"/>
      <c r="K142"/>
    </row>
    <row r="143" spans="2:11" ht="14.4" x14ac:dyDescent="0.3">
      <c r="B143" s="5"/>
      <c r="C143" s="50"/>
      <c r="D143" s="50"/>
      <c r="E143"/>
      <c r="F143"/>
      <c r="G143"/>
      <c r="H143"/>
      <c r="I143"/>
      <c r="J143"/>
      <c r="K143"/>
    </row>
    <row r="144" spans="2:11" ht="14.4" x14ac:dyDescent="0.3">
      <c r="B144" s="5"/>
      <c r="C144" s="50"/>
      <c r="D144" s="50"/>
      <c r="E144"/>
      <c r="F144"/>
      <c r="G144"/>
      <c r="H144"/>
      <c r="I144"/>
      <c r="J144"/>
      <c r="K144"/>
    </row>
    <row r="145" spans="2:11" ht="14.4" x14ac:dyDescent="0.3">
      <c r="B145" s="5"/>
      <c r="C145" s="50"/>
      <c r="D145" s="50"/>
      <c r="E145"/>
      <c r="F145"/>
      <c r="G145"/>
      <c r="H145"/>
      <c r="I145"/>
      <c r="J145"/>
      <c r="K145"/>
    </row>
    <row r="146" spans="2:11" ht="14.4" x14ac:dyDescent="0.3">
      <c r="B146" s="5"/>
      <c r="C146" s="50"/>
      <c r="D146" s="50"/>
      <c r="E146"/>
      <c r="F146"/>
      <c r="G146"/>
      <c r="H146"/>
      <c r="I146"/>
      <c r="J146"/>
      <c r="K146"/>
    </row>
    <row r="147" spans="2:11" ht="14.4" x14ac:dyDescent="0.3">
      <c r="B147" s="5"/>
      <c r="C147" s="50"/>
      <c r="D147" s="50"/>
      <c r="E147"/>
      <c r="F147"/>
      <c r="G147"/>
      <c r="H147"/>
      <c r="I147"/>
      <c r="J147"/>
      <c r="K147"/>
    </row>
    <row r="148" spans="2:11" ht="14.4" x14ac:dyDescent="0.3">
      <c r="B148" s="5"/>
      <c r="C148" s="50"/>
      <c r="D148" s="50"/>
      <c r="E148"/>
      <c r="F148"/>
      <c r="G148"/>
      <c r="H148"/>
      <c r="I148"/>
      <c r="J148"/>
      <c r="K148"/>
    </row>
    <row r="149" spans="2:11" ht="14.4" x14ac:dyDescent="0.3">
      <c r="B149" s="5"/>
      <c r="C149" s="50"/>
      <c r="D149" s="50"/>
      <c r="E149"/>
      <c r="F149"/>
      <c r="G149"/>
      <c r="H149"/>
      <c r="I149"/>
      <c r="J149"/>
      <c r="K149"/>
    </row>
    <row r="150" spans="2:11" ht="14.4" x14ac:dyDescent="0.3">
      <c r="B150" s="5"/>
      <c r="C150" s="50"/>
      <c r="D150" s="50"/>
      <c r="E150"/>
      <c r="F150"/>
      <c r="G150"/>
      <c r="H150"/>
      <c r="I150"/>
      <c r="J150"/>
      <c r="K150"/>
    </row>
    <row r="151" spans="2:11" ht="14.4" x14ac:dyDescent="0.3">
      <c r="B151" s="5"/>
      <c r="C151" s="50"/>
      <c r="D151" s="50"/>
      <c r="E151"/>
      <c r="F151"/>
      <c r="G151"/>
      <c r="H151"/>
      <c r="I151"/>
      <c r="J151"/>
      <c r="K151"/>
    </row>
    <row r="152" spans="2:11" ht="14.4" x14ac:dyDescent="0.3">
      <c r="B152" s="5"/>
      <c r="C152" s="50"/>
      <c r="D152" s="50"/>
      <c r="E152"/>
      <c r="F152"/>
      <c r="G152"/>
      <c r="H152"/>
      <c r="I152"/>
      <c r="J152"/>
      <c r="K152"/>
    </row>
    <row r="153" spans="2:11" ht="14.4" x14ac:dyDescent="0.3">
      <c r="B153" s="181" t="s">
        <v>24</v>
      </c>
      <c r="C153" s="181"/>
      <c r="D153" s="50"/>
      <c r="E153" s="181" t="s">
        <v>1</v>
      </c>
      <c r="F153" s="181"/>
      <c r="G153" s="2"/>
      <c r="H153" s="2"/>
      <c r="I153" s="2"/>
      <c r="J153" s="2"/>
    </row>
    <row r="154" spans="2:11" ht="8.4" customHeight="1" x14ac:dyDescent="0.3">
      <c r="B154" s="2"/>
      <c r="C154" s="2"/>
      <c r="D154" s="2"/>
      <c r="E154" s="2"/>
      <c r="F154" s="2"/>
      <c r="G154" s="2"/>
      <c r="H154" s="2"/>
      <c r="I154" s="2"/>
    </row>
    <row r="155" spans="2:11" ht="14.4" x14ac:dyDescent="0.3">
      <c r="B155" s="10" t="s">
        <v>66</v>
      </c>
      <c r="C155" s="4" t="s">
        <v>78</v>
      </c>
      <c r="D155" s="2"/>
      <c r="E155" s="10" t="s">
        <v>66</v>
      </c>
      <c r="F155" s="4" t="s">
        <v>78</v>
      </c>
      <c r="H155" s="89" t="b">
        <f>B155=E155</f>
        <v>1</v>
      </c>
      <c r="I155" s="89" t="b">
        <f>C155=F155</f>
        <v>1</v>
      </c>
    </row>
    <row r="156" spans="2:11" ht="14.4" x14ac:dyDescent="0.3">
      <c r="B156" s="5" t="s">
        <v>17</v>
      </c>
      <c r="C156" s="50">
        <f>C134*D134</f>
        <v>111921.81</v>
      </c>
      <c r="D156" s="2"/>
      <c r="E156" s="5" t="s">
        <v>17</v>
      </c>
      <c r="F156" s="50">
        <v>111921</v>
      </c>
      <c r="H156" s="89" t="b">
        <f t="shared" ref="H156:H162" si="4">B156=E156</f>
        <v>1</v>
      </c>
      <c r="I156" s="99" t="b">
        <v>1</v>
      </c>
    </row>
    <row r="157" spans="2:11" ht="14.4" x14ac:dyDescent="0.3">
      <c r="B157" s="5" t="s">
        <v>16</v>
      </c>
      <c r="C157" s="50">
        <f>C135*D135</f>
        <v>14609.699999999999</v>
      </c>
      <c r="D157" s="2"/>
      <c r="E157" s="5" t="s">
        <v>16</v>
      </c>
      <c r="F157" s="50">
        <v>14610</v>
      </c>
      <c r="H157" s="89" t="b">
        <f t="shared" si="4"/>
        <v>1</v>
      </c>
      <c r="I157" s="99" t="b">
        <v>1</v>
      </c>
    </row>
    <row r="158" spans="2:11" ht="14.4" x14ac:dyDescent="0.3">
      <c r="B158" s="5" t="s">
        <v>15</v>
      </c>
      <c r="C158" s="50">
        <f>C136*D136</f>
        <v>13826.4</v>
      </c>
      <c r="D158" s="2"/>
      <c r="E158" s="5" t="s">
        <v>15</v>
      </c>
      <c r="F158" s="50">
        <v>13794</v>
      </c>
      <c r="H158" s="89" t="b">
        <f t="shared" si="4"/>
        <v>1</v>
      </c>
      <c r="I158" s="98" t="b">
        <f t="shared" ref="I158:I162" si="5">C158=F158</f>
        <v>0</v>
      </c>
    </row>
    <row r="159" spans="2:11" ht="14.4" x14ac:dyDescent="0.3">
      <c r="B159" s="5" t="s">
        <v>22</v>
      </c>
      <c r="C159" s="50">
        <f>C137*D137+C138*D138</f>
        <v>16932.95</v>
      </c>
      <c r="D159" s="2"/>
      <c r="E159" s="5" t="s">
        <v>22</v>
      </c>
      <c r="F159" s="50">
        <v>18863</v>
      </c>
      <c r="H159" s="89" t="b">
        <f t="shared" si="4"/>
        <v>1</v>
      </c>
      <c r="I159" s="98" t="b">
        <f t="shared" si="5"/>
        <v>0</v>
      </c>
    </row>
    <row r="160" spans="2:11" ht="14.4" x14ac:dyDescent="0.3">
      <c r="B160" s="5" t="s">
        <v>18</v>
      </c>
      <c r="C160" s="50">
        <f>C139*D139</f>
        <v>8877.7800000000007</v>
      </c>
      <c r="D160" s="2"/>
      <c r="E160" s="5" t="s">
        <v>18</v>
      </c>
      <c r="F160" s="50">
        <v>8878</v>
      </c>
      <c r="H160" s="89" t="b">
        <f t="shared" si="4"/>
        <v>1</v>
      </c>
      <c r="I160" s="99" t="b">
        <v>1</v>
      </c>
    </row>
    <row r="161" spans="2:9" ht="14.4" x14ac:dyDescent="0.3">
      <c r="B161" s="5" t="s">
        <v>19</v>
      </c>
      <c r="C161" s="50">
        <f>C140*D140</f>
        <v>2380.86</v>
      </c>
      <c r="D161" s="2"/>
      <c r="E161" s="5" t="s">
        <v>19</v>
      </c>
      <c r="F161" s="50">
        <v>2381</v>
      </c>
      <c r="H161" s="89" t="b">
        <f t="shared" si="4"/>
        <v>1</v>
      </c>
      <c r="I161" s="99" t="b">
        <v>1</v>
      </c>
    </row>
    <row r="162" spans="2:9" ht="14.4" x14ac:dyDescent="0.3">
      <c r="B162" s="5" t="s">
        <v>77</v>
      </c>
      <c r="C162" s="50">
        <f>SUM(C156:C161)</f>
        <v>168549.5</v>
      </c>
      <c r="D162" s="2"/>
      <c r="E162" s="5" t="s">
        <v>77</v>
      </c>
      <c r="F162" s="50">
        <v>170447</v>
      </c>
      <c r="H162" s="89" t="b">
        <f t="shared" si="4"/>
        <v>1</v>
      </c>
      <c r="I162" s="98" t="b">
        <f t="shared" si="5"/>
        <v>0</v>
      </c>
    </row>
    <row r="163" spans="2:9" ht="4.8" customHeight="1" x14ac:dyDescent="0.3">
      <c r="B163" s="5"/>
      <c r="C163" s="50"/>
      <c r="D163" s="2"/>
      <c r="E163" s="5"/>
      <c r="F163" s="50"/>
    </row>
    <row r="164" spans="2:9" ht="14.4" x14ac:dyDescent="0.3">
      <c r="B164" s="93" t="s">
        <v>256</v>
      </c>
      <c r="C164" s="55"/>
      <c r="D164" s="55"/>
      <c r="E164" s="10" t="s">
        <v>5</v>
      </c>
      <c r="F164" s="14">
        <f>13/16</f>
        <v>0.8125</v>
      </c>
      <c r="G164" s="2"/>
      <c r="H164" s="2"/>
    </row>
    <row r="165" spans="2:9" ht="14.4" x14ac:dyDescent="0.3">
      <c r="B165" s="2"/>
      <c r="C165" s="55"/>
      <c r="D165" s="55"/>
      <c r="E165" s="55"/>
      <c r="F165" s="2"/>
      <c r="G165" s="2"/>
      <c r="H165" s="2"/>
    </row>
    <row r="166" spans="2:9" ht="14.4" x14ac:dyDescent="0.3">
      <c r="B166" s="2"/>
      <c r="C166" s="55"/>
      <c r="D166" s="55"/>
      <c r="E166" s="55"/>
      <c r="F166" s="2"/>
      <c r="G166" s="2"/>
      <c r="H166" s="2"/>
    </row>
    <row r="167" spans="2:9" ht="14.4" x14ac:dyDescent="0.3">
      <c r="B167" s="2"/>
      <c r="C167" s="55"/>
      <c r="D167" s="55"/>
      <c r="E167" s="55"/>
      <c r="F167" s="2"/>
      <c r="G167" s="2"/>
      <c r="H167" s="2"/>
    </row>
    <row r="168" spans="2:9" ht="14.4" x14ac:dyDescent="0.3">
      <c r="B168" s="2"/>
      <c r="C168" s="55"/>
      <c r="D168" s="55"/>
      <c r="E168" s="55"/>
      <c r="F168" s="2"/>
      <c r="G168" s="2"/>
      <c r="H168" s="2"/>
    </row>
    <row r="169" spans="2:9" ht="14.4" x14ac:dyDescent="0.3">
      <c r="B169" s="2"/>
      <c r="C169" s="55"/>
      <c r="D169" s="55"/>
      <c r="E169" s="55"/>
      <c r="F169" s="2"/>
      <c r="G169" s="2"/>
      <c r="H169" s="2"/>
    </row>
    <row r="170" spans="2:9" ht="14.4" x14ac:dyDescent="0.3">
      <c r="B170" s="2"/>
      <c r="C170" s="55"/>
      <c r="D170" s="55"/>
      <c r="E170" s="55"/>
      <c r="F170" s="2"/>
      <c r="G170" s="2"/>
      <c r="H170" s="2"/>
    </row>
    <row r="171" spans="2:9" ht="14.4" x14ac:dyDescent="0.3">
      <c r="B171" s="2"/>
      <c r="C171" s="55"/>
      <c r="D171" s="55"/>
      <c r="E171" s="55"/>
      <c r="F171" s="2"/>
      <c r="G171" s="2"/>
      <c r="H171" s="2"/>
    </row>
    <row r="172" spans="2:9" ht="14.4" x14ac:dyDescent="0.3">
      <c r="B172" s="2"/>
      <c r="C172" s="55"/>
      <c r="D172" s="55"/>
      <c r="E172" s="55"/>
      <c r="F172" s="2"/>
      <c r="G172" s="2"/>
      <c r="H172" s="2"/>
    </row>
    <row r="173" spans="2:9" ht="14.4" x14ac:dyDescent="0.3">
      <c r="B173" s="2"/>
      <c r="C173" s="55"/>
      <c r="D173" s="55"/>
      <c r="E173" s="55"/>
      <c r="F173" s="2"/>
      <c r="G173" s="2"/>
      <c r="H173" s="2"/>
    </row>
    <row r="174" spans="2:9" ht="14.4" x14ac:dyDescent="0.3">
      <c r="B174" s="2"/>
      <c r="C174" s="55"/>
      <c r="D174" s="55"/>
      <c r="E174" s="55"/>
      <c r="F174" s="2"/>
      <c r="G174" s="2"/>
      <c r="H174" s="2"/>
    </row>
    <row r="175" spans="2:9" x14ac:dyDescent="0.3">
      <c r="B175" s="92" t="s">
        <v>248</v>
      </c>
    </row>
    <row r="188" spans="2:10" ht="14.4" x14ac:dyDescent="0.3">
      <c r="B188" s="181" t="s">
        <v>24</v>
      </c>
      <c r="C188" s="181"/>
      <c r="D188" s="8"/>
      <c r="E188"/>
      <c r="F188"/>
      <c r="G188"/>
      <c r="H188"/>
      <c r="I188"/>
      <c r="J188"/>
    </row>
    <row r="189" spans="2:10" ht="8.4" customHeight="1" x14ac:dyDescent="0.3">
      <c r="B189" s="2"/>
      <c r="C189" s="2"/>
      <c r="D189" s="2"/>
      <c r="E189"/>
      <c r="F189"/>
      <c r="G189"/>
      <c r="H189"/>
      <c r="I189"/>
      <c r="J189"/>
    </row>
    <row r="190" spans="2:10" ht="14.4" x14ac:dyDescent="0.3">
      <c r="B190" s="10" t="s">
        <v>66</v>
      </c>
      <c r="C190" s="4" t="s">
        <v>99</v>
      </c>
      <c r="D190" s="4" t="s">
        <v>255</v>
      </c>
      <c r="E190"/>
      <c r="F190"/>
      <c r="G190"/>
      <c r="H190"/>
      <c r="I190"/>
      <c r="J190"/>
    </row>
    <row r="191" spans="2:10" ht="14.4" x14ac:dyDescent="0.3">
      <c r="B191" s="5" t="s">
        <v>17</v>
      </c>
      <c r="C191" s="50">
        <v>122811</v>
      </c>
      <c r="D191" s="14">
        <v>0.9</v>
      </c>
      <c r="E191"/>
      <c r="F191"/>
      <c r="G191"/>
      <c r="H191"/>
      <c r="I191"/>
      <c r="J191"/>
    </row>
    <row r="192" spans="2:10" ht="14.4" x14ac:dyDescent="0.3">
      <c r="B192" s="5" t="s">
        <v>16</v>
      </c>
      <c r="C192" s="50">
        <v>20058</v>
      </c>
      <c r="D192" s="14">
        <v>0.71</v>
      </c>
      <c r="E192"/>
      <c r="F192"/>
      <c r="G192"/>
      <c r="H192"/>
      <c r="I192"/>
      <c r="J192"/>
    </row>
    <row r="193" spans="2:10" ht="14.4" x14ac:dyDescent="0.3">
      <c r="B193" s="5" t="s">
        <v>15</v>
      </c>
      <c r="C193" s="50">
        <v>16300</v>
      </c>
      <c r="D193" s="14">
        <v>0.82</v>
      </c>
      <c r="E193"/>
      <c r="F193"/>
      <c r="G193"/>
      <c r="H193"/>
      <c r="I193"/>
      <c r="J193"/>
    </row>
    <row r="194" spans="2:10" ht="14.4" x14ac:dyDescent="0.3">
      <c r="B194" s="5" t="s">
        <v>95</v>
      </c>
      <c r="C194" s="50">
        <v>14793</v>
      </c>
      <c r="D194" s="14">
        <v>0.65</v>
      </c>
      <c r="E194"/>
      <c r="F194"/>
      <c r="G194"/>
      <c r="H194"/>
      <c r="I194"/>
      <c r="J194"/>
    </row>
    <row r="195" spans="2:10" ht="14.4" x14ac:dyDescent="0.3">
      <c r="B195" s="5" t="s">
        <v>98</v>
      </c>
      <c r="C195" s="50">
        <v>15106</v>
      </c>
      <c r="D195" s="14">
        <v>0.51</v>
      </c>
      <c r="E195"/>
      <c r="F195"/>
      <c r="G195"/>
      <c r="H195"/>
      <c r="I195"/>
      <c r="J195"/>
    </row>
    <row r="196" spans="2:10" ht="14.4" x14ac:dyDescent="0.3">
      <c r="B196" s="5" t="s">
        <v>18</v>
      </c>
      <c r="C196" s="50">
        <v>12240</v>
      </c>
      <c r="D196" s="14">
        <v>0.74</v>
      </c>
      <c r="E196"/>
      <c r="F196"/>
      <c r="G196"/>
      <c r="H196"/>
      <c r="I196"/>
      <c r="J196"/>
    </row>
    <row r="197" spans="2:10" ht="14.4" x14ac:dyDescent="0.3">
      <c r="B197" s="5" t="s">
        <v>19</v>
      </c>
      <c r="C197" s="50">
        <v>4455</v>
      </c>
      <c r="D197" s="14">
        <v>0.54</v>
      </c>
      <c r="E197"/>
      <c r="F197"/>
      <c r="G197"/>
      <c r="H197"/>
      <c r="I197"/>
      <c r="J197"/>
    </row>
    <row r="198" spans="2:10" ht="14.4" x14ac:dyDescent="0.3">
      <c r="B198" s="5" t="s">
        <v>77</v>
      </c>
      <c r="C198" s="50">
        <f>SUM(C191:C197)</f>
        <v>205763</v>
      </c>
      <c r="D198" s="14">
        <v>0.81</v>
      </c>
      <c r="E198"/>
      <c r="F198"/>
      <c r="G198"/>
      <c r="H198"/>
      <c r="I198"/>
      <c r="J198"/>
    </row>
    <row r="199" spans="2:10" ht="14.4" x14ac:dyDescent="0.3">
      <c r="B199" s="2"/>
      <c r="C199" s="50"/>
      <c r="D199" s="14"/>
      <c r="E199"/>
      <c r="F199"/>
      <c r="G199"/>
      <c r="H199"/>
      <c r="I199"/>
      <c r="J199"/>
    </row>
    <row r="200" spans="2:10" ht="14.4" x14ac:dyDescent="0.3">
      <c r="B200" s="2"/>
      <c r="C200" s="50"/>
      <c r="D200" s="14"/>
      <c r="E200"/>
      <c r="F200"/>
      <c r="G200"/>
      <c r="H200"/>
      <c r="I200"/>
      <c r="J200"/>
    </row>
    <row r="201" spans="2:10" ht="14.4" x14ac:dyDescent="0.3">
      <c r="B201" s="2"/>
      <c r="C201" s="50"/>
      <c r="D201" s="14"/>
      <c r="E201"/>
      <c r="F201"/>
      <c r="G201"/>
      <c r="H201"/>
      <c r="I201"/>
      <c r="J201"/>
    </row>
    <row r="202" spans="2:10" ht="14.4" x14ac:dyDescent="0.3">
      <c r="B202" s="2"/>
      <c r="C202" s="50"/>
      <c r="D202" s="14"/>
      <c r="E202"/>
      <c r="F202"/>
      <c r="G202"/>
      <c r="H202"/>
      <c r="I202"/>
      <c r="J202"/>
    </row>
    <row r="203" spans="2:10" ht="14.4" x14ac:dyDescent="0.3">
      <c r="B203" s="2"/>
      <c r="C203" s="50"/>
      <c r="D203" s="14"/>
      <c r="E203"/>
      <c r="F203"/>
      <c r="G203"/>
      <c r="H203"/>
      <c r="I203"/>
      <c r="J203"/>
    </row>
    <row r="204" spans="2:10" ht="14.4" x14ac:dyDescent="0.3">
      <c r="B204" s="2"/>
      <c r="C204" s="50"/>
      <c r="D204" s="14"/>
      <c r="E204"/>
      <c r="F204"/>
      <c r="G204"/>
      <c r="H204"/>
      <c r="I204"/>
      <c r="J204"/>
    </row>
    <row r="205" spans="2:10" ht="14.4" x14ac:dyDescent="0.3">
      <c r="B205" s="2"/>
      <c r="C205" s="50"/>
      <c r="D205" s="14"/>
      <c r="E205"/>
      <c r="F205"/>
      <c r="G205"/>
      <c r="H205"/>
      <c r="I205"/>
      <c r="J205"/>
    </row>
    <row r="206" spans="2:10" ht="14.4" x14ac:dyDescent="0.3">
      <c r="B206" s="2"/>
      <c r="C206" s="50"/>
      <c r="D206" s="14"/>
      <c r="E206"/>
      <c r="F206"/>
      <c r="G206"/>
      <c r="H206"/>
      <c r="I206"/>
      <c r="J206"/>
    </row>
    <row r="207" spans="2:10" ht="14.4" x14ac:dyDescent="0.3">
      <c r="B207" s="2"/>
      <c r="C207" s="50"/>
      <c r="D207" s="14"/>
      <c r="E207"/>
      <c r="F207"/>
      <c r="G207"/>
      <c r="H207"/>
      <c r="I207"/>
      <c r="J207"/>
    </row>
    <row r="208" spans="2:10" ht="14.4" x14ac:dyDescent="0.3">
      <c r="B208" s="2"/>
      <c r="C208" s="50"/>
      <c r="D208" s="14"/>
      <c r="E208"/>
      <c r="F208"/>
      <c r="G208"/>
      <c r="H208"/>
      <c r="I208"/>
      <c r="J208"/>
    </row>
    <row r="209" spans="2:10" ht="14.4" x14ac:dyDescent="0.3">
      <c r="B209" s="2"/>
      <c r="C209" s="50"/>
      <c r="D209" s="14"/>
      <c r="E209"/>
      <c r="F209"/>
      <c r="G209"/>
      <c r="H209"/>
      <c r="I209"/>
      <c r="J209"/>
    </row>
    <row r="210" spans="2:10" ht="14.4" x14ac:dyDescent="0.3">
      <c r="B210" s="181" t="s">
        <v>24</v>
      </c>
      <c r="C210" s="181"/>
      <c r="D210" s="50"/>
      <c r="E210" s="181" t="s">
        <v>1</v>
      </c>
      <c r="F210" s="181"/>
      <c r="H210" s="2"/>
      <c r="I210" s="2"/>
      <c r="J210" s="2"/>
    </row>
    <row r="211" spans="2:10" ht="6" customHeight="1" x14ac:dyDescent="0.3">
      <c r="B211" s="2"/>
      <c r="C211" s="55"/>
      <c r="D211" s="55"/>
      <c r="E211" s="55"/>
      <c r="F211" s="2"/>
      <c r="G211" s="2"/>
      <c r="H211" s="2"/>
    </row>
    <row r="212" spans="2:10" ht="14.4" x14ac:dyDescent="0.3">
      <c r="B212" s="10" t="s">
        <v>66</v>
      </c>
      <c r="C212" s="4" t="s">
        <v>78</v>
      </c>
      <c r="D212" s="2"/>
      <c r="E212" s="10" t="s">
        <v>66</v>
      </c>
      <c r="F212" s="4" t="s">
        <v>78</v>
      </c>
      <c r="H212" s="89" t="b">
        <f>B212=E212</f>
        <v>1</v>
      </c>
      <c r="I212" s="89" t="b">
        <f>C212=F212</f>
        <v>1</v>
      </c>
    </row>
    <row r="213" spans="2:10" ht="14.4" x14ac:dyDescent="0.3">
      <c r="B213" s="5" t="s">
        <v>17</v>
      </c>
      <c r="C213" s="50">
        <f>C191*D191</f>
        <v>110529.90000000001</v>
      </c>
      <c r="E213" s="5" t="s">
        <v>17</v>
      </c>
      <c r="F213" s="50">
        <v>110529.90000000001</v>
      </c>
      <c r="H213" s="89" t="b">
        <f t="shared" ref="H213:H219" si="6">B213=E213</f>
        <v>1</v>
      </c>
      <c r="I213" s="89" t="b">
        <f t="shared" ref="I213:I219" si="7">C213=F213</f>
        <v>1</v>
      </c>
    </row>
    <row r="214" spans="2:10" ht="14.4" x14ac:dyDescent="0.3">
      <c r="B214" s="5" t="s">
        <v>16</v>
      </c>
      <c r="C214" s="50">
        <f>C192*D192</f>
        <v>14241.179999999998</v>
      </c>
      <c r="E214" s="5" t="s">
        <v>16</v>
      </c>
      <c r="F214" s="50">
        <v>14441</v>
      </c>
      <c r="H214" s="89" t="b">
        <f t="shared" si="6"/>
        <v>1</v>
      </c>
      <c r="I214" s="98" t="b">
        <f t="shared" si="7"/>
        <v>0</v>
      </c>
    </row>
    <row r="215" spans="2:10" ht="14.4" x14ac:dyDescent="0.3">
      <c r="B215" s="5" t="s">
        <v>15</v>
      </c>
      <c r="C215" s="50">
        <f>C193*D193</f>
        <v>13366</v>
      </c>
      <c r="E215" s="5" t="s">
        <v>15</v>
      </c>
      <c r="F215" s="50">
        <v>13366</v>
      </c>
      <c r="H215" s="89" t="b">
        <f t="shared" si="6"/>
        <v>1</v>
      </c>
      <c r="I215" s="89" t="b">
        <f t="shared" si="7"/>
        <v>1</v>
      </c>
    </row>
    <row r="216" spans="2:10" ht="14.4" x14ac:dyDescent="0.3">
      <c r="B216" s="5" t="s">
        <v>22</v>
      </c>
      <c r="C216" s="50">
        <f>C194*D194+C195*D195</f>
        <v>17319.510000000002</v>
      </c>
      <c r="E216" s="5" t="s">
        <v>22</v>
      </c>
      <c r="F216" s="50">
        <v>15520</v>
      </c>
      <c r="H216" s="89" t="b">
        <f t="shared" si="6"/>
        <v>1</v>
      </c>
      <c r="I216" s="98" t="b">
        <f t="shared" si="7"/>
        <v>0</v>
      </c>
    </row>
    <row r="217" spans="2:10" ht="14.4" x14ac:dyDescent="0.3">
      <c r="B217" s="5" t="s">
        <v>18</v>
      </c>
      <c r="C217" s="50">
        <f>C196*D196</f>
        <v>9057.6</v>
      </c>
      <c r="E217" s="5" t="s">
        <v>18</v>
      </c>
      <c r="F217" s="50">
        <v>9058</v>
      </c>
      <c r="H217" s="89" t="b">
        <f t="shared" si="6"/>
        <v>1</v>
      </c>
      <c r="I217" s="98" t="b">
        <f t="shared" si="7"/>
        <v>0</v>
      </c>
    </row>
    <row r="218" spans="2:10" ht="14.4" x14ac:dyDescent="0.3">
      <c r="B218" s="5" t="s">
        <v>19</v>
      </c>
      <c r="C218" s="50">
        <f>C197*D197</f>
        <v>2405.7000000000003</v>
      </c>
      <c r="E218" s="5" t="s">
        <v>19</v>
      </c>
      <c r="F218" s="50">
        <v>2405</v>
      </c>
      <c r="H218" s="89" t="b">
        <f t="shared" si="6"/>
        <v>1</v>
      </c>
      <c r="I218" s="99" t="b">
        <v>1</v>
      </c>
    </row>
    <row r="219" spans="2:10" ht="14.4" x14ac:dyDescent="0.3">
      <c r="B219" s="5" t="s">
        <v>77</v>
      </c>
      <c r="C219" s="50">
        <f>SUM(C213:C218)</f>
        <v>166919.89000000004</v>
      </c>
      <c r="E219" s="5" t="s">
        <v>77</v>
      </c>
      <c r="F219" s="50">
        <v>165320</v>
      </c>
      <c r="H219" s="89" t="b">
        <f t="shared" si="6"/>
        <v>1</v>
      </c>
      <c r="I219" s="98" t="b">
        <f t="shared" si="7"/>
        <v>0</v>
      </c>
    </row>
    <row r="220" spans="2:10" ht="14.4" x14ac:dyDescent="0.3">
      <c r="B220" s="5"/>
      <c r="C220" s="50"/>
      <c r="E220" s="5"/>
      <c r="F220" s="50"/>
    </row>
    <row r="221" spans="2:10" ht="14.4" x14ac:dyDescent="0.3">
      <c r="B221" s="93" t="s">
        <v>256</v>
      </c>
      <c r="E221" s="10" t="s">
        <v>5</v>
      </c>
      <c r="F221" s="14">
        <f>12/16</f>
        <v>0.75</v>
      </c>
    </row>
    <row r="244" spans="2:8" ht="14.4" x14ac:dyDescent="0.3">
      <c r="B244" s="5"/>
      <c r="C244" s="29"/>
      <c r="D244" s="29"/>
      <c r="E244" s="97"/>
      <c r="H244"/>
    </row>
    <row r="245" spans="2:8" ht="14.4" x14ac:dyDescent="0.3">
      <c r="B245" s="5"/>
      <c r="C245" s="29"/>
      <c r="D245" s="29"/>
      <c r="E245" s="29"/>
      <c r="H245"/>
    </row>
    <row r="246" spans="2:8" ht="14.4" x14ac:dyDescent="0.3">
      <c r="B246" s="5"/>
      <c r="C246" s="29"/>
      <c r="D246" s="29"/>
      <c r="E246" s="29"/>
      <c r="H246"/>
    </row>
    <row r="247" spans="2:8" ht="14.4" x14ac:dyDescent="0.3">
      <c r="B247" s="5"/>
      <c r="C247" s="29"/>
      <c r="D247" s="29"/>
      <c r="E247" s="29"/>
      <c r="H247"/>
    </row>
    <row r="248" spans="2:8" ht="14.4" x14ac:dyDescent="0.3">
      <c r="B248" s="5"/>
      <c r="C248" s="29"/>
      <c r="D248" s="29"/>
      <c r="E248" s="29"/>
      <c r="H248"/>
    </row>
    <row r="249" spans="2:8" ht="14.4" x14ac:dyDescent="0.3">
      <c r="B249" s="5"/>
      <c r="C249" s="29"/>
      <c r="D249" s="29"/>
      <c r="E249" s="29"/>
      <c r="H249"/>
    </row>
    <row r="250" spans="2:8" ht="14.4" x14ac:dyDescent="0.3">
      <c r="B250" s="2"/>
      <c r="C250" s="2"/>
      <c r="D250" s="2"/>
      <c r="E250" s="2"/>
      <c r="H250"/>
    </row>
    <row r="251" spans="2:8" ht="14.4" x14ac:dyDescent="0.3">
      <c r="B251" s="2"/>
      <c r="C251" s="2"/>
      <c r="D251" s="2"/>
      <c r="E251" s="21"/>
    </row>
  </sheetData>
  <mergeCells count="12">
    <mergeCell ref="B15:C15"/>
    <mergeCell ref="B188:C188"/>
    <mergeCell ref="B131:C131"/>
    <mergeCell ref="B37:C37"/>
    <mergeCell ref="B210:C210"/>
    <mergeCell ref="E210:F210"/>
    <mergeCell ref="E37:F37"/>
    <mergeCell ref="B96:C96"/>
    <mergeCell ref="E96:F96"/>
    <mergeCell ref="B153:C153"/>
    <mergeCell ref="E153:F153"/>
    <mergeCell ref="B74:C74"/>
  </mergeCells>
  <pageMargins left="0.7" right="0.7" top="0.75" bottom="0.75" header="0.3" footer="0.3"/>
  <pageSetup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7405-72D4-446B-A57A-13172A31D0FD}">
  <dimension ref="B2:P23"/>
  <sheetViews>
    <sheetView showGridLines="0" workbookViewId="0">
      <selection activeCell="S27" sqref="S27"/>
    </sheetView>
  </sheetViews>
  <sheetFormatPr defaultRowHeight="14.4" x14ac:dyDescent="0.3"/>
  <cols>
    <col min="1" max="1" width="3.5546875" customWidth="1"/>
  </cols>
  <sheetData>
    <row r="2" spans="2:16" x14ac:dyDescent="0.3">
      <c r="B2" s="10" t="s">
        <v>31</v>
      </c>
      <c r="C2" s="2"/>
      <c r="D2" s="2"/>
      <c r="E2" s="2"/>
      <c r="F2" s="2"/>
      <c r="G2" s="2"/>
      <c r="H2" s="2"/>
      <c r="K2" s="10" t="s">
        <v>32</v>
      </c>
      <c r="L2" s="2"/>
      <c r="M2" s="2"/>
      <c r="N2" s="2"/>
      <c r="O2" s="2"/>
      <c r="P2" s="2"/>
    </row>
    <row r="3" spans="2:16" x14ac:dyDescent="0.3">
      <c r="B3" s="2"/>
      <c r="C3" s="2"/>
      <c r="D3" s="2"/>
      <c r="E3" s="2"/>
      <c r="F3" s="2"/>
      <c r="G3" s="2"/>
      <c r="H3" s="2"/>
      <c r="K3" s="2"/>
      <c r="L3" s="2"/>
      <c r="M3" s="2"/>
      <c r="N3" s="2"/>
      <c r="O3" s="2"/>
      <c r="P3" s="2"/>
    </row>
    <row r="4" spans="2:16" x14ac:dyDescent="0.3">
      <c r="B4" s="2"/>
      <c r="C4" s="2"/>
      <c r="D4" s="2"/>
      <c r="E4" s="2"/>
      <c r="F4" s="2"/>
      <c r="G4" s="2"/>
      <c r="H4" s="2"/>
      <c r="K4" s="2"/>
      <c r="L4" s="2"/>
      <c r="M4" s="2"/>
      <c r="N4" s="2"/>
      <c r="O4" s="2"/>
      <c r="P4" s="2"/>
    </row>
    <row r="5" spans="2:16" x14ac:dyDescent="0.3">
      <c r="B5" s="2"/>
      <c r="C5" s="2"/>
      <c r="D5" s="2"/>
      <c r="E5" s="2"/>
      <c r="F5" s="2"/>
      <c r="G5" s="2"/>
      <c r="H5" s="2"/>
      <c r="K5" s="2"/>
      <c r="L5" s="2"/>
      <c r="M5" s="2"/>
      <c r="N5" s="2"/>
      <c r="O5" s="2"/>
      <c r="P5" s="2"/>
    </row>
    <row r="6" spans="2:16" x14ac:dyDescent="0.3">
      <c r="B6" s="2"/>
      <c r="C6" s="2"/>
      <c r="D6" s="2"/>
      <c r="E6" s="2"/>
      <c r="F6" s="2"/>
      <c r="G6" s="2"/>
      <c r="H6" s="2"/>
      <c r="K6" s="2"/>
      <c r="L6" s="2"/>
      <c r="M6" s="2"/>
      <c r="N6" s="2"/>
      <c r="O6" s="2"/>
      <c r="P6" s="2"/>
    </row>
    <row r="7" spans="2:16" x14ac:dyDescent="0.3">
      <c r="B7" s="2"/>
      <c r="C7" s="2"/>
      <c r="D7" s="2"/>
      <c r="E7" s="2"/>
      <c r="F7" s="2"/>
      <c r="G7" s="2"/>
      <c r="H7" s="2"/>
      <c r="K7" s="2"/>
      <c r="L7" s="2"/>
      <c r="M7" s="2"/>
      <c r="N7" s="2"/>
      <c r="O7" s="2"/>
      <c r="P7" s="2"/>
    </row>
    <row r="8" spans="2:16" x14ac:dyDescent="0.3">
      <c r="B8" s="2"/>
      <c r="C8" s="2"/>
      <c r="D8" s="2"/>
      <c r="E8" s="2"/>
      <c r="F8" s="2"/>
      <c r="G8" s="2"/>
      <c r="H8" s="2"/>
      <c r="K8" s="2"/>
      <c r="L8" s="2"/>
      <c r="M8" s="2"/>
      <c r="N8" s="2"/>
      <c r="O8" s="2"/>
      <c r="P8" s="2"/>
    </row>
    <row r="9" spans="2:16" x14ac:dyDescent="0.3">
      <c r="B9" s="2"/>
      <c r="C9" s="2"/>
      <c r="D9" s="2"/>
      <c r="E9" s="2"/>
      <c r="F9" s="2"/>
      <c r="G9" s="2"/>
      <c r="H9" s="2"/>
      <c r="K9" s="2"/>
      <c r="L9" s="2"/>
      <c r="M9" s="2"/>
      <c r="N9" s="2"/>
      <c r="O9" s="2"/>
      <c r="P9" s="2"/>
    </row>
    <row r="10" spans="2:16" x14ac:dyDescent="0.3">
      <c r="B10" s="2"/>
      <c r="C10" s="2"/>
      <c r="D10" s="2"/>
      <c r="E10" s="2"/>
      <c r="F10" s="2"/>
      <c r="G10" s="2"/>
      <c r="H10" s="2"/>
      <c r="K10" s="2"/>
      <c r="L10" s="2"/>
      <c r="M10" s="2"/>
      <c r="N10" s="2"/>
      <c r="O10" s="2"/>
      <c r="P10" s="2"/>
    </row>
    <row r="11" spans="2:16" x14ac:dyDescent="0.3">
      <c r="B11" s="2"/>
      <c r="C11" s="2"/>
      <c r="D11" s="2"/>
      <c r="E11" s="2"/>
      <c r="F11" s="2"/>
      <c r="G11" s="2"/>
      <c r="H11" s="2"/>
      <c r="K11" s="2"/>
      <c r="L11" s="2"/>
      <c r="M11" s="2"/>
      <c r="N11" s="2"/>
      <c r="O11" s="2"/>
      <c r="P11" s="2"/>
    </row>
    <row r="12" spans="2:16" x14ac:dyDescent="0.3">
      <c r="B12" s="2"/>
      <c r="C12" s="2"/>
      <c r="D12" s="2"/>
      <c r="E12" s="2"/>
      <c r="F12" s="2"/>
      <c r="G12" s="2"/>
      <c r="H12" s="2"/>
      <c r="K12" s="2"/>
      <c r="L12" s="2"/>
      <c r="M12" s="2"/>
      <c r="N12" s="2"/>
      <c r="O12" s="2"/>
      <c r="P12" s="2"/>
    </row>
    <row r="13" spans="2:16" x14ac:dyDescent="0.3">
      <c r="B13" s="10" t="s">
        <v>33</v>
      </c>
      <c r="C13" s="2"/>
      <c r="D13" s="2"/>
      <c r="E13" s="2"/>
      <c r="F13" s="2"/>
      <c r="K13" s="10" t="s">
        <v>30</v>
      </c>
      <c r="L13" s="2"/>
      <c r="M13" s="2"/>
      <c r="N13" s="2"/>
      <c r="O13" s="2"/>
      <c r="P13" s="2"/>
    </row>
    <row r="14" spans="2:16" x14ac:dyDescent="0.3">
      <c r="B14" s="2"/>
      <c r="C14" s="2"/>
      <c r="D14" s="2"/>
      <c r="E14" s="2"/>
      <c r="F14" s="2"/>
      <c r="K14" s="2"/>
      <c r="L14" s="2"/>
      <c r="M14" s="2"/>
      <c r="N14" s="2"/>
      <c r="O14" s="2"/>
      <c r="P14" s="2"/>
    </row>
    <row r="15" spans="2:16" x14ac:dyDescent="0.3">
      <c r="B15" s="2"/>
      <c r="C15" s="2"/>
      <c r="D15" s="2"/>
      <c r="E15" s="2"/>
      <c r="F15" s="2"/>
      <c r="K15" s="2"/>
      <c r="L15" s="2"/>
      <c r="M15" s="2"/>
      <c r="N15" s="2"/>
      <c r="O15" s="2"/>
      <c r="P15" s="2"/>
    </row>
    <row r="16" spans="2:16" x14ac:dyDescent="0.3">
      <c r="B16" s="2"/>
      <c r="C16" s="2"/>
      <c r="D16" s="2"/>
      <c r="E16" s="2"/>
      <c r="F16" s="2"/>
      <c r="K16" s="2"/>
      <c r="L16" s="2"/>
      <c r="M16" s="2"/>
      <c r="N16" s="2"/>
      <c r="O16" s="2"/>
      <c r="P16" s="2"/>
    </row>
    <row r="17" spans="2:16" x14ac:dyDescent="0.3">
      <c r="B17" s="2"/>
      <c r="C17" s="2"/>
      <c r="D17" s="2"/>
      <c r="E17" s="2"/>
      <c r="F17" s="2"/>
      <c r="K17" s="2"/>
      <c r="L17" s="2"/>
      <c r="M17" s="2"/>
      <c r="N17" s="2"/>
      <c r="O17" s="2"/>
      <c r="P17" s="2"/>
    </row>
    <row r="18" spans="2:16" x14ac:dyDescent="0.3">
      <c r="B18" s="2"/>
      <c r="C18" s="2"/>
      <c r="D18" s="2"/>
      <c r="E18" s="2"/>
      <c r="F18" s="2"/>
      <c r="K18" s="2"/>
      <c r="L18" s="2"/>
      <c r="M18" s="2"/>
      <c r="N18" s="2"/>
      <c r="O18" s="2"/>
      <c r="P18" s="2"/>
    </row>
    <row r="19" spans="2:16" x14ac:dyDescent="0.3">
      <c r="B19" s="2"/>
      <c r="C19" s="2"/>
      <c r="D19" s="2"/>
      <c r="E19" s="2"/>
      <c r="F19" s="2"/>
      <c r="K19" s="2"/>
      <c r="L19" s="2"/>
      <c r="M19" s="2"/>
      <c r="N19" s="2"/>
      <c r="O19" s="2"/>
      <c r="P19" s="2"/>
    </row>
    <row r="20" spans="2:16" x14ac:dyDescent="0.3">
      <c r="B20" s="2"/>
      <c r="C20" s="2"/>
      <c r="D20" s="2"/>
      <c r="E20" s="2"/>
      <c r="F20" s="2"/>
      <c r="K20" s="2"/>
      <c r="L20" s="2"/>
      <c r="M20" s="2"/>
      <c r="N20" s="2"/>
      <c r="O20" s="2"/>
      <c r="P20" s="2"/>
    </row>
    <row r="21" spans="2:16" x14ac:dyDescent="0.3">
      <c r="B21" s="2"/>
      <c r="C21" s="2"/>
      <c r="D21" s="2"/>
      <c r="E21" s="2"/>
      <c r="F21" s="2"/>
      <c r="K21" s="2"/>
      <c r="L21" s="2"/>
      <c r="M21" s="2"/>
      <c r="N21" s="2"/>
      <c r="O21" s="2"/>
      <c r="P21" s="2"/>
    </row>
    <row r="22" spans="2:16" x14ac:dyDescent="0.3">
      <c r="B22" s="2"/>
      <c r="C22" s="2"/>
      <c r="D22" s="2"/>
      <c r="E22" s="2"/>
      <c r="F22" s="2"/>
      <c r="K22" s="2"/>
      <c r="L22" s="2"/>
      <c r="M22" s="2"/>
      <c r="N22" s="2"/>
      <c r="O22" s="2"/>
      <c r="P22" s="2"/>
    </row>
    <row r="23" spans="2:16" x14ac:dyDescent="0.3">
      <c r="B23" s="2"/>
      <c r="C23" s="2"/>
      <c r="D23" s="2"/>
      <c r="E23" s="2"/>
      <c r="F23" s="2"/>
      <c r="K23" s="2"/>
      <c r="L23" s="2"/>
      <c r="M23" s="2"/>
      <c r="N23" s="2"/>
      <c r="O23" s="2"/>
      <c r="P23" s="2"/>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015C9-B554-4300-AC31-1D7DB17B8453}">
  <sheetPr>
    <tabColor rgb="FF00B0F0"/>
  </sheetPr>
  <dimension ref="A1"/>
  <sheetViews>
    <sheetView workbookViewId="0">
      <selection activeCell="J35" sqref="J35"/>
    </sheetView>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73EF-257F-47CB-B659-1EAE77897661}">
  <dimension ref="A2:M56"/>
  <sheetViews>
    <sheetView showGridLines="0" workbookViewId="0">
      <selection activeCell="I3" sqref="I3:J10"/>
    </sheetView>
  </sheetViews>
  <sheetFormatPr defaultRowHeight="14.4" x14ac:dyDescent="0.3"/>
  <cols>
    <col min="2" max="2" width="20.6640625" bestFit="1" customWidth="1"/>
    <col min="3" max="3" width="12.21875" bestFit="1" customWidth="1"/>
    <col min="4" max="4" width="15.109375" bestFit="1" customWidth="1"/>
    <col min="5" max="5" width="6.5546875" bestFit="1" customWidth="1"/>
    <col min="7" max="7" width="5.5546875" bestFit="1" customWidth="1"/>
    <col min="8" max="8" width="6.77734375" bestFit="1" customWidth="1"/>
    <col min="9" max="9" width="15.88671875" bestFit="1" customWidth="1"/>
    <col min="10" max="10" width="11.21875" bestFit="1" customWidth="1"/>
    <col min="11" max="11" width="4" bestFit="1" customWidth="1"/>
    <col min="12" max="12" width="8" bestFit="1" customWidth="1"/>
    <col min="13" max="13" width="7.88671875" bestFit="1" customWidth="1"/>
  </cols>
  <sheetData>
    <row r="2" spans="1:13" x14ac:dyDescent="0.3">
      <c r="A2" s="71" t="s">
        <v>8</v>
      </c>
      <c r="B2" s="1" t="s">
        <v>66</v>
      </c>
      <c r="C2" s="1" t="s">
        <v>75</v>
      </c>
      <c r="D2" s="1" t="s">
        <v>76</v>
      </c>
      <c r="E2" s="4" t="s">
        <v>11</v>
      </c>
      <c r="F2" s="2"/>
      <c r="G2" s="4" t="s">
        <v>2</v>
      </c>
      <c r="H2" s="4" t="s">
        <v>6</v>
      </c>
      <c r="I2" s="4" t="s">
        <v>66</v>
      </c>
      <c r="J2" s="4" t="s">
        <v>78</v>
      </c>
      <c r="K2" s="4" t="s">
        <v>39</v>
      </c>
      <c r="L2" s="4" t="s">
        <v>79</v>
      </c>
      <c r="M2" s="4" t="s">
        <v>40</v>
      </c>
    </row>
    <row r="3" spans="1:13" x14ac:dyDescent="0.3">
      <c r="B3" s="2" t="s">
        <v>65</v>
      </c>
      <c r="C3" s="50">
        <v>28359</v>
      </c>
      <c r="D3" s="50">
        <v>11399</v>
      </c>
      <c r="E3" s="50">
        <f t="shared" ref="E3:E13" si="0">SUM(C3:D3)</f>
        <v>39758</v>
      </c>
      <c r="F3" s="2"/>
      <c r="G3" s="3" t="s">
        <v>3</v>
      </c>
      <c r="H3" s="3" t="s">
        <v>8</v>
      </c>
      <c r="I3" s="3" t="s">
        <v>17</v>
      </c>
      <c r="J3" s="50">
        <f>E3</f>
        <v>39758</v>
      </c>
      <c r="K3" s="3" t="s">
        <v>41</v>
      </c>
      <c r="L3" s="3" t="s">
        <v>42</v>
      </c>
      <c r="M3" s="3" t="s">
        <v>43</v>
      </c>
    </row>
    <row r="4" spans="1:13" x14ac:dyDescent="0.3">
      <c r="B4" s="2" t="s">
        <v>15</v>
      </c>
      <c r="C4" s="50">
        <v>24818</v>
      </c>
      <c r="D4" s="50">
        <v>2562</v>
      </c>
      <c r="E4" s="50">
        <f t="shared" si="0"/>
        <v>27380</v>
      </c>
      <c r="F4" s="2"/>
      <c r="G4" s="3" t="s">
        <v>3</v>
      </c>
      <c r="H4" s="3" t="s">
        <v>8</v>
      </c>
      <c r="I4" s="3" t="s">
        <v>15</v>
      </c>
      <c r="J4" s="50">
        <f>E4</f>
        <v>27380</v>
      </c>
      <c r="K4" s="3" t="s">
        <v>41</v>
      </c>
      <c r="L4" s="3" t="s">
        <v>42</v>
      </c>
      <c r="M4" s="3" t="s">
        <v>43</v>
      </c>
    </row>
    <row r="5" spans="1:13" x14ac:dyDescent="0.3">
      <c r="B5" s="2" t="s">
        <v>67</v>
      </c>
      <c r="C5" s="50">
        <v>20987</v>
      </c>
      <c r="D5" s="50">
        <v>3051</v>
      </c>
      <c r="E5" s="50">
        <f t="shared" si="0"/>
        <v>24038</v>
      </c>
      <c r="F5" s="2"/>
      <c r="G5" s="3" t="s">
        <v>3</v>
      </c>
      <c r="H5" s="3" t="s">
        <v>8</v>
      </c>
      <c r="I5" s="3" t="s">
        <v>16</v>
      </c>
      <c r="J5" s="50">
        <f>E5</f>
        <v>24038</v>
      </c>
      <c r="K5" s="3" t="s">
        <v>41</v>
      </c>
      <c r="L5" s="3" t="s">
        <v>42</v>
      </c>
      <c r="M5" s="3" t="s">
        <v>43</v>
      </c>
    </row>
    <row r="6" spans="1:13" x14ac:dyDescent="0.3">
      <c r="B6" s="2" t="s">
        <v>69</v>
      </c>
      <c r="C6" s="50">
        <v>10853</v>
      </c>
      <c r="D6" s="50">
        <v>653</v>
      </c>
      <c r="E6" s="50">
        <f t="shared" si="0"/>
        <v>11506</v>
      </c>
      <c r="F6" s="2"/>
      <c r="G6" s="3" t="s">
        <v>3</v>
      </c>
      <c r="H6" s="3" t="s">
        <v>8</v>
      </c>
      <c r="I6" s="3" t="s">
        <v>18</v>
      </c>
      <c r="J6" s="50">
        <f>E7+E8</f>
        <v>19458</v>
      </c>
      <c r="K6" s="3" t="s">
        <v>41</v>
      </c>
      <c r="L6" s="3" t="s">
        <v>42</v>
      </c>
      <c r="M6" s="3" t="s">
        <v>43</v>
      </c>
    </row>
    <row r="7" spans="1:13" x14ac:dyDescent="0.3">
      <c r="B7" s="2" t="s">
        <v>169</v>
      </c>
      <c r="C7" s="50">
        <v>11260</v>
      </c>
      <c r="D7" s="50">
        <v>85</v>
      </c>
      <c r="E7" s="50">
        <f t="shared" si="0"/>
        <v>11345</v>
      </c>
      <c r="F7" s="2"/>
      <c r="G7" s="3" t="s">
        <v>3</v>
      </c>
      <c r="H7" s="3" t="s">
        <v>8</v>
      </c>
      <c r="I7" s="3" t="s">
        <v>19</v>
      </c>
      <c r="J7" s="50">
        <f>E6</f>
        <v>11506</v>
      </c>
      <c r="K7" s="3" t="s">
        <v>41</v>
      </c>
      <c r="L7" s="3" t="s">
        <v>42</v>
      </c>
      <c r="M7" s="3" t="s">
        <v>43</v>
      </c>
    </row>
    <row r="8" spans="1:13" x14ac:dyDescent="0.3">
      <c r="B8" s="2" t="s">
        <v>70</v>
      </c>
      <c r="C8" s="50">
        <v>7860</v>
      </c>
      <c r="D8" s="50">
        <v>253</v>
      </c>
      <c r="E8" s="50">
        <f t="shared" si="0"/>
        <v>8113</v>
      </c>
      <c r="F8" s="2"/>
      <c r="G8" s="3" t="s">
        <v>3</v>
      </c>
      <c r="H8" s="3" t="s">
        <v>8</v>
      </c>
      <c r="I8" s="3" t="s">
        <v>51</v>
      </c>
      <c r="J8" s="50">
        <f>E10</f>
        <v>2316</v>
      </c>
      <c r="K8" s="3" t="s">
        <v>41</v>
      </c>
      <c r="L8" s="3" t="s">
        <v>42</v>
      </c>
      <c r="M8" s="3" t="s">
        <v>43</v>
      </c>
    </row>
    <row r="9" spans="1:13" x14ac:dyDescent="0.3">
      <c r="B9" s="2" t="s">
        <v>71</v>
      </c>
      <c r="C9" s="50">
        <v>4048</v>
      </c>
      <c r="D9" s="50">
        <v>1138</v>
      </c>
      <c r="E9" s="50">
        <f t="shared" si="0"/>
        <v>5186</v>
      </c>
      <c r="F9" s="2"/>
      <c r="G9" s="3" t="s">
        <v>3</v>
      </c>
      <c r="H9" s="3" t="s">
        <v>8</v>
      </c>
      <c r="I9" s="3" t="s">
        <v>22</v>
      </c>
      <c r="J9" s="50">
        <f>SUM(E11:E12,E9,E13)</f>
        <v>12049</v>
      </c>
      <c r="K9" s="3" t="s">
        <v>41</v>
      </c>
      <c r="L9" s="3" t="s">
        <v>42</v>
      </c>
      <c r="M9" s="3" t="s">
        <v>43</v>
      </c>
    </row>
    <row r="10" spans="1:13" x14ac:dyDescent="0.3">
      <c r="B10" s="2" t="s">
        <v>72</v>
      </c>
      <c r="C10" s="50">
        <v>2303</v>
      </c>
      <c r="D10" s="50">
        <v>13</v>
      </c>
      <c r="E10" s="50">
        <f t="shared" si="0"/>
        <v>2316</v>
      </c>
      <c r="F10" s="2"/>
      <c r="G10" s="3" t="s">
        <v>3</v>
      </c>
      <c r="H10" s="3" t="s">
        <v>8</v>
      </c>
      <c r="I10" s="3" t="s">
        <v>77</v>
      </c>
      <c r="J10" s="50">
        <f>SUM(J3:J9)</f>
        <v>136505</v>
      </c>
      <c r="K10" s="3" t="s">
        <v>41</v>
      </c>
      <c r="L10" s="3" t="s">
        <v>42</v>
      </c>
      <c r="M10" s="3" t="s">
        <v>43</v>
      </c>
    </row>
    <row r="11" spans="1:13" x14ac:dyDescent="0.3">
      <c r="B11" s="2" t="s">
        <v>175</v>
      </c>
      <c r="C11" s="50">
        <v>2273</v>
      </c>
      <c r="D11" s="50" t="s">
        <v>170</v>
      </c>
      <c r="E11" s="50">
        <f t="shared" si="0"/>
        <v>2273</v>
      </c>
      <c r="F11" s="2"/>
      <c r="G11" s="2"/>
      <c r="H11" s="2"/>
      <c r="I11" s="2"/>
      <c r="J11" s="2"/>
      <c r="K11" s="2"/>
      <c r="L11" s="2"/>
      <c r="M11" s="2"/>
    </row>
    <row r="12" spans="1:13" x14ac:dyDescent="0.3">
      <c r="B12" s="2" t="s">
        <v>74</v>
      </c>
      <c r="C12" s="50">
        <v>2040</v>
      </c>
      <c r="D12" s="50">
        <v>48</v>
      </c>
      <c r="E12" s="50">
        <f t="shared" si="0"/>
        <v>2088</v>
      </c>
      <c r="F12" s="2"/>
      <c r="G12" s="2"/>
      <c r="H12" s="2"/>
      <c r="I12" s="2"/>
      <c r="J12" s="2"/>
      <c r="K12" s="2"/>
      <c r="L12" s="2"/>
      <c r="M12" s="2"/>
    </row>
    <row r="13" spans="1:13" x14ac:dyDescent="0.3">
      <c r="B13" s="2" t="s">
        <v>22</v>
      </c>
      <c r="C13" s="50">
        <v>1058</v>
      </c>
      <c r="D13" s="50">
        <v>1444</v>
      </c>
      <c r="E13" s="50">
        <f t="shared" si="0"/>
        <v>2502</v>
      </c>
      <c r="F13" s="2"/>
      <c r="G13" s="2"/>
      <c r="H13" s="2"/>
      <c r="I13" s="2"/>
      <c r="J13" s="2"/>
      <c r="K13" s="2"/>
      <c r="L13" s="2"/>
      <c r="M13" s="2"/>
    </row>
    <row r="14" spans="1:13" x14ac:dyDescent="0.3">
      <c r="B14" s="2" t="s">
        <v>77</v>
      </c>
      <c r="C14" s="50">
        <f>SUM(C3:C13)</f>
        <v>115859</v>
      </c>
      <c r="D14" s="50">
        <f>SUM(D3:D13)</f>
        <v>20646</v>
      </c>
      <c r="E14" s="50">
        <f>SUM(E3:E13)</f>
        <v>136505</v>
      </c>
      <c r="F14" s="2"/>
      <c r="G14" s="2"/>
      <c r="H14" s="2"/>
      <c r="I14" s="2"/>
      <c r="J14" s="2"/>
      <c r="K14" s="2"/>
      <c r="L14" s="2"/>
      <c r="M14" s="2"/>
    </row>
    <row r="16" spans="1:13" x14ac:dyDescent="0.3">
      <c r="A16" s="71" t="s">
        <v>7</v>
      </c>
      <c r="B16" s="1" t="s">
        <v>66</v>
      </c>
      <c r="C16" s="1" t="s">
        <v>75</v>
      </c>
      <c r="D16" s="1" t="s">
        <v>76</v>
      </c>
      <c r="E16" s="4" t="s">
        <v>11</v>
      </c>
      <c r="F16" s="2"/>
      <c r="G16" s="4" t="s">
        <v>2</v>
      </c>
      <c r="H16" s="4" t="s">
        <v>6</v>
      </c>
      <c r="I16" s="4" t="s">
        <v>66</v>
      </c>
      <c r="J16" s="4" t="s">
        <v>78</v>
      </c>
      <c r="K16" s="4" t="s">
        <v>39</v>
      </c>
      <c r="L16" s="4" t="s">
        <v>79</v>
      </c>
      <c r="M16" s="4" t="s">
        <v>40</v>
      </c>
    </row>
    <row r="17" spans="1:13" x14ac:dyDescent="0.3">
      <c r="B17" s="2" t="s">
        <v>65</v>
      </c>
      <c r="C17" s="50">
        <v>29374</v>
      </c>
      <c r="D17" s="50">
        <v>11975</v>
      </c>
      <c r="E17" s="50">
        <f t="shared" ref="E17:E27" si="1">SUM(C17:D17)</f>
        <v>41349</v>
      </c>
      <c r="F17" s="2"/>
      <c r="G17" s="3" t="s">
        <v>3</v>
      </c>
      <c r="H17" s="3" t="s">
        <v>7</v>
      </c>
      <c r="I17" s="3" t="s">
        <v>17</v>
      </c>
      <c r="J17" s="50">
        <f>E17</f>
        <v>41349</v>
      </c>
      <c r="K17" s="3" t="s">
        <v>41</v>
      </c>
      <c r="L17" s="3" t="s">
        <v>42</v>
      </c>
      <c r="M17" s="3" t="s">
        <v>43</v>
      </c>
    </row>
    <row r="18" spans="1:13" x14ac:dyDescent="0.3">
      <c r="B18" s="2" t="s">
        <v>15</v>
      </c>
      <c r="C18" s="50">
        <v>25946</v>
      </c>
      <c r="D18" s="50">
        <v>3050</v>
      </c>
      <c r="E18" s="50">
        <f t="shared" si="1"/>
        <v>28996</v>
      </c>
      <c r="F18" s="2"/>
      <c r="G18" s="3" t="s">
        <v>3</v>
      </c>
      <c r="H18" s="3" t="s">
        <v>7</v>
      </c>
      <c r="I18" s="3" t="s">
        <v>15</v>
      </c>
      <c r="J18" s="50">
        <f>E18</f>
        <v>28996</v>
      </c>
      <c r="K18" s="3" t="s">
        <v>41</v>
      </c>
      <c r="L18" s="3" t="s">
        <v>42</v>
      </c>
      <c r="M18" s="3" t="s">
        <v>43</v>
      </c>
    </row>
    <row r="19" spans="1:13" x14ac:dyDescent="0.3">
      <c r="B19" s="2" t="s">
        <v>67</v>
      </c>
      <c r="C19" s="50">
        <v>21147</v>
      </c>
      <c r="D19" s="50">
        <v>3456</v>
      </c>
      <c r="E19" s="50">
        <f t="shared" si="1"/>
        <v>24603</v>
      </c>
      <c r="F19" s="2"/>
      <c r="G19" s="3" t="s">
        <v>3</v>
      </c>
      <c r="H19" s="3" t="s">
        <v>7</v>
      </c>
      <c r="I19" s="3" t="s">
        <v>16</v>
      </c>
      <c r="J19" s="50">
        <f>E19</f>
        <v>24603</v>
      </c>
      <c r="K19" s="3" t="s">
        <v>41</v>
      </c>
      <c r="L19" s="3" t="s">
        <v>42</v>
      </c>
      <c r="M19" s="3" t="s">
        <v>43</v>
      </c>
    </row>
    <row r="20" spans="1:13" x14ac:dyDescent="0.3">
      <c r="B20" s="2" t="s">
        <v>68</v>
      </c>
      <c r="C20" s="50">
        <v>11303</v>
      </c>
      <c r="D20" s="50">
        <v>73</v>
      </c>
      <c r="E20" s="50">
        <f t="shared" si="1"/>
        <v>11376</v>
      </c>
      <c r="F20" s="2"/>
      <c r="G20" s="3" t="s">
        <v>3</v>
      </c>
      <c r="H20" s="3" t="s">
        <v>7</v>
      </c>
      <c r="I20" s="3" t="s">
        <v>18</v>
      </c>
      <c r="J20" s="50">
        <f>E20+E22</f>
        <v>19961</v>
      </c>
      <c r="K20" s="3" t="s">
        <v>41</v>
      </c>
      <c r="L20" s="3" t="s">
        <v>42</v>
      </c>
      <c r="M20" s="3" t="s">
        <v>43</v>
      </c>
    </row>
    <row r="21" spans="1:13" x14ac:dyDescent="0.3">
      <c r="B21" s="2" t="s">
        <v>69</v>
      </c>
      <c r="C21" s="50">
        <v>10682</v>
      </c>
      <c r="D21" s="50">
        <v>783</v>
      </c>
      <c r="E21" s="50">
        <f t="shared" si="1"/>
        <v>11465</v>
      </c>
      <c r="F21" s="2"/>
      <c r="G21" s="3" t="s">
        <v>3</v>
      </c>
      <c r="H21" s="3" t="s">
        <v>7</v>
      </c>
      <c r="I21" s="3" t="s">
        <v>19</v>
      </c>
      <c r="J21" s="50">
        <f>E21</f>
        <v>11465</v>
      </c>
      <c r="K21" s="3" t="s">
        <v>41</v>
      </c>
      <c r="L21" s="3" t="s">
        <v>42</v>
      </c>
      <c r="M21" s="3" t="s">
        <v>43</v>
      </c>
    </row>
    <row r="22" spans="1:13" x14ac:dyDescent="0.3">
      <c r="B22" s="2" t="s">
        <v>70</v>
      </c>
      <c r="C22" s="50">
        <v>8311</v>
      </c>
      <c r="D22" s="50">
        <v>274</v>
      </c>
      <c r="E22" s="50">
        <f t="shared" si="1"/>
        <v>8585</v>
      </c>
      <c r="F22" s="2"/>
      <c r="G22" s="3" t="s">
        <v>3</v>
      </c>
      <c r="H22" s="3" t="s">
        <v>7</v>
      </c>
      <c r="I22" s="3" t="s">
        <v>51</v>
      </c>
      <c r="J22" s="50">
        <f>E24</f>
        <v>2575</v>
      </c>
      <c r="K22" s="3" t="s">
        <v>41</v>
      </c>
      <c r="L22" s="3" t="s">
        <v>42</v>
      </c>
      <c r="M22" s="3" t="s">
        <v>43</v>
      </c>
    </row>
    <row r="23" spans="1:13" x14ac:dyDescent="0.3">
      <c r="B23" s="2" t="s">
        <v>71</v>
      </c>
      <c r="C23" s="50">
        <v>4245</v>
      </c>
      <c r="D23" s="50">
        <v>1148</v>
      </c>
      <c r="E23" s="50">
        <f t="shared" si="1"/>
        <v>5393</v>
      </c>
      <c r="F23" s="2"/>
      <c r="G23" s="3" t="s">
        <v>3</v>
      </c>
      <c r="H23" s="3" t="s">
        <v>7</v>
      </c>
      <c r="I23" s="3" t="s">
        <v>21</v>
      </c>
      <c r="J23" s="50">
        <f>E25</f>
        <v>1190</v>
      </c>
      <c r="K23" s="3" t="s">
        <v>41</v>
      </c>
      <c r="L23" s="3" t="s">
        <v>42</v>
      </c>
      <c r="M23" s="3" t="s">
        <v>43</v>
      </c>
    </row>
    <row r="24" spans="1:13" x14ac:dyDescent="0.3">
      <c r="B24" s="2" t="s">
        <v>72</v>
      </c>
      <c r="C24" s="50">
        <v>2492</v>
      </c>
      <c r="D24" s="50">
        <v>83</v>
      </c>
      <c r="E24" s="50">
        <f t="shared" si="1"/>
        <v>2575</v>
      </c>
      <c r="F24" s="2"/>
      <c r="G24" s="3" t="s">
        <v>3</v>
      </c>
      <c r="H24" s="3" t="s">
        <v>7</v>
      </c>
      <c r="I24" s="3" t="s">
        <v>22</v>
      </c>
      <c r="J24" s="50">
        <f>SUM(E26:E27,E23)</f>
        <v>11271</v>
      </c>
      <c r="K24" s="3" t="s">
        <v>41</v>
      </c>
      <c r="L24" s="3" t="s">
        <v>42</v>
      </c>
      <c r="M24" s="3" t="s">
        <v>43</v>
      </c>
    </row>
    <row r="25" spans="1:13" x14ac:dyDescent="0.3">
      <c r="B25" s="2" t="s">
        <v>73</v>
      </c>
      <c r="C25" s="50">
        <v>0</v>
      </c>
      <c r="D25" s="50">
        <v>1190</v>
      </c>
      <c r="E25" s="50">
        <f t="shared" si="1"/>
        <v>1190</v>
      </c>
      <c r="F25" s="2"/>
      <c r="G25" s="3" t="s">
        <v>3</v>
      </c>
      <c r="H25" s="3" t="s">
        <v>7</v>
      </c>
      <c r="I25" s="3" t="s">
        <v>77</v>
      </c>
      <c r="J25" s="50">
        <f>SUM(J17:J24)</f>
        <v>141410</v>
      </c>
      <c r="K25" s="3" t="s">
        <v>41</v>
      </c>
      <c r="L25" s="3" t="s">
        <v>42</v>
      </c>
      <c r="M25" s="3" t="s">
        <v>43</v>
      </c>
    </row>
    <row r="26" spans="1:13" x14ac:dyDescent="0.3">
      <c r="B26" s="2" t="s">
        <v>74</v>
      </c>
      <c r="C26" s="50">
        <v>2038</v>
      </c>
      <c r="D26" s="50">
        <v>159</v>
      </c>
      <c r="E26" s="50">
        <f t="shared" si="1"/>
        <v>2197</v>
      </c>
      <c r="F26" s="2"/>
      <c r="G26" s="2"/>
      <c r="H26" s="2"/>
      <c r="I26" s="2"/>
      <c r="J26" s="2"/>
      <c r="K26" s="2"/>
      <c r="L26" s="2"/>
      <c r="M26" s="2"/>
    </row>
    <row r="27" spans="1:13" x14ac:dyDescent="0.3">
      <c r="B27" s="2" t="s">
        <v>22</v>
      </c>
      <c r="C27" s="50">
        <v>3238</v>
      </c>
      <c r="D27" s="50">
        <v>443</v>
      </c>
      <c r="E27" s="50">
        <f t="shared" si="1"/>
        <v>3681</v>
      </c>
      <c r="F27" s="2"/>
      <c r="G27" s="2"/>
      <c r="H27" s="2"/>
      <c r="I27" s="2"/>
      <c r="J27" s="2"/>
      <c r="K27" s="2"/>
      <c r="L27" s="2"/>
      <c r="M27" s="2"/>
    </row>
    <row r="28" spans="1:13" x14ac:dyDescent="0.3">
      <c r="B28" s="2" t="s">
        <v>77</v>
      </c>
      <c r="C28" s="50">
        <f>SUM(C17:C27)</f>
        <v>118776</v>
      </c>
      <c r="D28" s="50">
        <f>SUM(D17:D27)</f>
        <v>22634</v>
      </c>
      <c r="E28" s="50">
        <f>SUM(E17:E27)</f>
        <v>141410</v>
      </c>
      <c r="F28" s="2"/>
      <c r="G28" s="2"/>
      <c r="H28" s="2"/>
      <c r="I28" s="2"/>
      <c r="J28" s="2"/>
      <c r="K28" s="2"/>
      <c r="L28" s="2"/>
      <c r="M28" s="2"/>
    </row>
    <row r="30" spans="1:13" x14ac:dyDescent="0.3">
      <c r="A30" s="71" t="s">
        <v>9</v>
      </c>
      <c r="B30" s="1" t="s">
        <v>66</v>
      </c>
      <c r="C30" s="1" t="s">
        <v>75</v>
      </c>
      <c r="D30" s="1" t="s">
        <v>76</v>
      </c>
      <c r="E30" s="4" t="s">
        <v>11</v>
      </c>
      <c r="F30" s="2"/>
      <c r="G30" s="4" t="s">
        <v>2</v>
      </c>
      <c r="H30" s="4" t="s">
        <v>6</v>
      </c>
      <c r="I30" s="4" t="s">
        <v>66</v>
      </c>
      <c r="J30" s="4" t="s">
        <v>78</v>
      </c>
      <c r="K30" s="4" t="s">
        <v>39</v>
      </c>
      <c r="L30" s="4" t="s">
        <v>79</v>
      </c>
      <c r="M30" s="4" t="s">
        <v>40</v>
      </c>
    </row>
    <row r="31" spans="1:13" x14ac:dyDescent="0.3">
      <c r="B31" s="2" t="s">
        <v>65</v>
      </c>
      <c r="C31" s="50">
        <v>31249</v>
      </c>
      <c r="D31" s="50">
        <v>11799</v>
      </c>
      <c r="E31" s="50">
        <f t="shared" ref="E31:E41" si="2">SUM(C31:D31)</f>
        <v>43048</v>
      </c>
      <c r="F31" s="2"/>
      <c r="G31" s="3" t="s">
        <v>3</v>
      </c>
      <c r="H31" s="3" t="s">
        <v>9</v>
      </c>
      <c r="I31" s="3" t="s">
        <v>17</v>
      </c>
      <c r="J31" s="50">
        <f>E31</f>
        <v>43048</v>
      </c>
      <c r="K31" s="3" t="s">
        <v>41</v>
      </c>
      <c r="L31" s="3" t="s">
        <v>42</v>
      </c>
      <c r="M31" s="3" t="s">
        <v>43</v>
      </c>
    </row>
    <row r="32" spans="1:13" x14ac:dyDescent="0.3">
      <c r="B32" s="2" t="s">
        <v>15</v>
      </c>
      <c r="C32" s="50">
        <v>26714</v>
      </c>
      <c r="D32" s="50">
        <v>2990</v>
      </c>
      <c r="E32" s="50">
        <f t="shared" si="2"/>
        <v>29704</v>
      </c>
      <c r="F32" s="2"/>
      <c r="G32" s="3" t="s">
        <v>3</v>
      </c>
      <c r="H32" s="3" t="s">
        <v>9</v>
      </c>
      <c r="I32" s="3" t="s">
        <v>15</v>
      </c>
      <c r="J32" s="50">
        <f>E32</f>
        <v>29704</v>
      </c>
      <c r="K32" s="3" t="s">
        <v>41</v>
      </c>
      <c r="L32" s="3" t="s">
        <v>42</v>
      </c>
      <c r="M32" s="3" t="s">
        <v>43</v>
      </c>
    </row>
    <row r="33" spans="1:13" x14ac:dyDescent="0.3">
      <c r="B33" s="2" t="s">
        <v>67</v>
      </c>
      <c r="C33" s="50">
        <v>21024</v>
      </c>
      <c r="D33" s="50">
        <v>3853</v>
      </c>
      <c r="E33" s="50">
        <f t="shared" si="2"/>
        <v>24877</v>
      </c>
      <c r="F33" s="2"/>
      <c r="G33" s="3" t="s">
        <v>3</v>
      </c>
      <c r="H33" s="3" t="s">
        <v>9</v>
      </c>
      <c r="I33" s="3" t="s">
        <v>16</v>
      </c>
      <c r="J33" s="50">
        <f>E33</f>
        <v>24877</v>
      </c>
      <c r="K33" s="3" t="s">
        <v>41</v>
      </c>
      <c r="L33" s="3" t="s">
        <v>42</v>
      </c>
      <c r="M33" s="3" t="s">
        <v>43</v>
      </c>
    </row>
    <row r="34" spans="1:13" x14ac:dyDescent="0.3">
      <c r="B34" s="2" t="s">
        <v>169</v>
      </c>
      <c r="C34" s="50">
        <v>11193</v>
      </c>
      <c r="D34" s="50">
        <v>80</v>
      </c>
      <c r="E34" s="50">
        <f t="shared" si="2"/>
        <v>11273</v>
      </c>
      <c r="F34" s="2"/>
      <c r="G34" s="3" t="s">
        <v>3</v>
      </c>
      <c r="H34" s="3" t="s">
        <v>9</v>
      </c>
      <c r="I34" s="3" t="s">
        <v>18</v>
      </c>
      <c r="J34" s="50">
        <f>E34+E36</f>
        <v>19991</v>
      </c>
      <c r="K34" s="3" t="s">
        <v>41</v>
      </c>
      <c r="L34" s="3" t="s">
        <v>42</v>
      </c>
      <c r="M34" s="3" t="s">
        <v>43</v>
      </c>
    </row>
    <row r="35" spans="1:13" x14ac:dyDescent="0.3">
      <c r="B35" s="2" t="s">
        <v>69</v>
      </c>
      <c r="C35" s="50">
        <v>10839</v>
      </c>
      <c r="D35" s="50">
        <v>762</v>
      </c>
      <c r="E35" s="50">
        <f t="shared" si="2"/>
        <v>11601</v>
      </c>
      <c r="F35" s="2"/>
      <c r="G35" s="3" t="s">
        <v>3</v>
      </c>
      <c r="H35" s="3" t="s">
        <v>9</v>
      </c>
      <c r="I35" s="3" t="s">
        <v>19</v>
      </c>
      <c r="J35" s="50">
        <f>E35</f>
        <v>11601</v>
      </c>
      <c r="K35" s="3" t="s">
        <v>41</v>
      </c>
      <c r="L35" s="3" t="s">
        <v>42</v>
      </c>
      <c r="M35" s="3" t="s">
        <v>43</v>
      </c>
    </row>
    <row r="36" spans="1:13" x14ac:dyDescent="0.3">
      <c r="B36" s="2" t="s">
        <v>70</v>
      </c>
      <c r="C36" s="50">
        <v>8402</v>
      </c>
      <c r="D36" s="50">
        <v>316</v>
      </c>
      <c r="E36" s="50">
        <f t="shared" si="2"/>
        <v>8718</v>
      </c>
      <c r="F36" s="2"/>
      <c r="G36" s="3" t="s">
        <v>3</v>
      </c>
      <c r="H36" s="3" t="s">
        <v>9</v>
      </c>
      <c r="I36" s="3" t="s">
        <v>51</v>
      </c>
      <c r="J36" s="50">
        <f>E38</f>
        <v>2923</v>
      </c>
      <c r="K36" s="3" t="s">
        <v>41</v>
      </c>
      <c r="L36" s="3" t="s">
        <v>42</v>
      </c>
      <c r="M36" s="3" t="s">
        <v>43</v>
      </c>
    </row>
    <row r="37" spans="1:13" x14ac:dyDescent="0.3">
      <c r="B37" s="2" t="s">
        <v>71</v>
      </c>
      <c r="C37" s="50">
        <v>4323</v>
      </c>
      <c r="D37" s="50">
        <v>1232</v>
      </c>
      <c r="E37" s="50">
        <f t="shared" si="2"/>
        <v>5555</v>
      </c>
      <c r="F37" s="2"/>
      <c r="G37" s="3" t="s">
        <v>3</v>
      </c>
      <c r="H37" s="3" t="s">
        <v>9</v>
      </c>
      <c r="I37" s="3" t="s">
        <v>21</v>
      </c>
      <c r="J37" s="50">
        <f>E40</f>
        <v>1143</v>
      </c>
      <c r="K37" s="3" t="s">
        <v>41</v>
      </c>
      <c r="L37" s="3" t="s">
        <v>42</v>
      </c>
      <c r="M37" s="3" t="s">
        <v>43</v>
      </c>
    </row>
    <row r="38" spans="1:13" x14ac:dyDescent="0.3">
      <c r="B38" s="2" t="s">
        <v>72</v>
      </c>
      <c r="C38" s="50">
        <v>2877</v>
      </c>
      <c r="D38" s="50">
        <v>46</v>
      </c>
      <c r="E38" s="50">
        <f t="shared" si="2"/>
        <v>2923</v>
      </c>
      <c r="F38" s="2"/>
      <c r="G38" s="3" t="s">
        <v>3</v>
      </c>
      <c r="H38" s="3" t="s">
        <v>9</v>
      </c>
      <c r="I38" s="3" t="s">
        <v>22</v>
      </c>
      <c r="J38" s="50">
        <f>SUM(E39,E37,E41)</f>
        <v>12031</v>
      </c>
      <c r="K38" s="3" t="s">
        <v>41</v>
      </c>
      <c r="L38" s="3" t="s">
        <v>42</v>
      </c>
      <c r="M38" s="3" t="s">
        <v>43</v>
      </c>
    </row>
    <row r="39" spans="1:13" x14ac:dyDescent="0.3">
      <c r="B39" s="2" t="s">
        <v>74</v>
      </c>
      <c r="C39" s="50">
        <v>2194</v>
      </c>
      <c r="D39" s="50">
        <v>151</v>
      </c>
      <c r="E39" s="50">
        <f t="shared" si="2"/>
        <v>2345</v>
      </c>
      <c r="F39" s="2"/>
      <c r="G39" s="3" t="s">
        <v>3</v>
      </c>
      <c r="H39" s="3" t="s">
        <v>9</v>
      </c>
      <c r="I39" s="3" t="s">
        <v>77</v>
      </c>
      <c r="J39" s="50">
        <f>SUM(J31:J38)</f>
        <v>145318</v>
      </c>
      <c r="K39" s="3" t="s">
        <v>41</v>
      </c>
      <c r="L39" s="3" t="s">
        <v>42</v>
      </c>
      <c r="M39" s="3" t="s">
        <v>43</v>
      </c>
    </row>
    <row r="40" spans="1:13" x14ac:dyDescent="0.3">
      <c r="B40" s="2" t="s">
        <v>73</v>
      </c>
      <c r="C40" s="50" t="s">
        <v>170</v>
      </c>
      <c r="D40" s="50">
        <v>1143</v>
      </c>
      <c r="E40" s="50">
        <f t="shared" si="2"/>
        <v>1143</v>
      </c>
      <c r="F40" s="2"/>
      <c r="G40" s="2"/>
      <c r="H40" s="2"/>
      <c r="I40" s="2"/>
      <c r="J40" s="2"/>
      <c r="K40" s="2"/>
      <c r="L40" s="2"/>
      <c r="M40" s="2"/>
    </row>
    <row r="41" spans="1:13" x14ac:dyDescent="0.3">
      <c r="B41" s="2" t="s">
        <v>22</v>
      </c>
      <c r="C41" s="50">
        <v>3718</v>
      </c>
      <c r="D41" s="50">
        <v>413</v>
      </c>
      <c r="E41" s="50">
        <f t="shared" si="2"/>
        <v>4131</v>
      </c>
      <c r="F41" s="2"/>
      <c r="G41" s="2"/>
      <c r="H41" s="2"/>
      <c r="I41" s="2"/>
      <c r="J41" s="2"/>
      <c r="K41" s="2"/>
      <c r="L41" s="2"/>
      <c r="M41" s="2"/>
    </row>
    <row r="42" spans="1:13" x14ac:dyDescent="0.3">
      <c r="B42" s="2" t="s">
        <v>77</v>
      </c>
      <c r="C42" s="50">
        <f>SUM(C31:C41)</f>
        <v>122533</v>
      </c>
      <c r="D42" s="50">
        <f>SUM(D31:D41)</f>
        <v>22785</v>
      </c>
      <c r="E42" s="50">
        <f>SUM(E31:E41)</f>
        <v>145318</v>
      </c>
      <c r="F42" s="2"/>
      <c r="G42" s="2"/>
      <c r="H42" s="2"/>
      <c r="I42" s="2"/>
      <c r="J42" s="2"/>
      <c r="K42" s="2"/>
      <c r="L42" s="2"/>
      <c r="M42" s="2"/>
    </row>
    <row r="44" spans="1:13" x14ac:dyDescent="0.3">
      <c r="A44" s="71" t="s">
        <v>10</v>
      </c>
      <c r="B44" s="1" t="s">
        <v>66</v>
      </c>
      <c r="C44" s="1" t="s">
        <v>75</v>
      </c>
      <c r="D44" s="1" t="s">
        <v>76</v>
      </c>
      <c r="E44" s="4" t="s">
        <v>11</v>
      </c>
      <c r="F44" s="2"/>
      <c r="G44" s="4" t="s">
        <v>2</v>
      </c>
      <c r="H44" s="4" t="s">
        <v>6</v>
      </c>
      <c r="I44" s="4" t="s">
        <v>66</v>
      </c>
      <c r="J44" s="4" t="s">
        <v>78</v>
      </c>
      <c r="K44" s="4" t="s">
        <v>39</v>
      </c>
      <c r="L44" s="4" t="s">
        <v>79</v>
      </c>
      <c r="M44" s="4" t="s">
        <v>40</v>
      </c>
    </row>
    <row r="45" spans="1:13" x14ac:dyDescent="0.3">
      <c r="B45" s="2" t="s">
        <v>65</v>
      </c>
      <c r="C45" s="50">
        <v>30966</v>
      </c>
      <c r="D45" s="50">
        <v>11714</v>
      </c>
      <c r="E45" s="50">
        <f t="shared" ref="E45:E55" si="3">SUM(C45:D45)</f>
        <v>42680</v>
      </c>
      <c r="F45" s="2"/>
      <c r="G45" s="3" t="s">
        <v>3</v>
      </c>
      <c r="H45" s="3" t="s">
        <v>10</v>
      </c>
      <c r="I45" s="3" t="s">
        <v>17</v>
      </c>
      <c r="J45" s="50">
        <f>E45</f>
        <v>42680</v>
      </c>
      <c r="K45" s="3" t="s">
        <v>41</v>
      </c>
      <c r="L45" s="3" t="s">
        <v>42</v>
      </c>
      <c r="M45" s="3" t="s">
        <v>43</v>
      </c>
    </row>
    <row r="46" spans="1:13" x14ac:dyDescent="0.3">
      <c r="B46" s="2" t="s">
        <v>15</v>
      </c>
      <c r="C46" s="50">
        <v>27546</v>
      </c>
      <c r="D46" s="50">
        <v>2931</v>
      </c>
      <c r="E46" s="50">
        <f t="shared" si="3"/>
        <v>30477</v>
      </c>
      <c r="F46" s="2"/>
      <c r="G46" s="3" t="s">
        <v>3</v>
      </c>
      <c r="H46" s="3" t="s">
        <v>10</v>
      </c>
      <c r="I46" s="3" t="s">
        <v>15</v>
      </c>
      <c r="J46" s="50">
        <f>E46</f>
        <v>30477</v>
      </c>
      <c r="K46" s="3" t="s">
        <v>41</v>
      </c>
      <c r="L46" s="3" t="s">
        <v>42</v>
      </c>
      <c r="M46" s="3" t="s">
        <v>43</v>
      </c>
    </row>
    <row r="47" spans="1:13" x14ac:dyDescent="0.3">
      <c r="B47" s="2" t="s">
        <v>67</v>
      </c>
      <c r="C47" s="50">
        <v>21380</v>
      </c>
      <c r="D47" s="50">
        <v>4354</v>
      </c>
      <c r="E47" s="50">
        <f t="shared" si="3"/>
        <v>25734</v>
      </c>
      <c r="F47" s="2"/>
      <c r="G47" s="3" t="s">
        <v>3</v>
      </c>
      <c r="H47" s="3" t="s">
        <v>10</v>
      </c>
      <c r="I47" s="3" t="s">
        <v>16</v>
      </c>
      <c r="J47" s="50">
        <f>E47</f>
        <v>25734</v>
      </c>
      <c r="K47" s="3" t="s">
        <v>41</v>
      </c>
      <c r="L47" s="3" t="s">
        <v>42</v>
      </c>
      <c r="M47" s="3" t="s">
        <v>43</v>
      </c>
    </row>
    <row r="48" spans="1:13" x14ac:dyDescent="0.3">
      <c r="B48" s="2" t="s">
        <v>69</v>
      </c>
      <c r="C48" s="50">
        <v>11849</v>
      </c>
      <c r="D48" s="50">
        <v>674</v>
      </c>
      <c r="E48" s="50">
        <f t="shared" si="3"/>
        <v>12523</v>
      </c>
      <c r="F48" s="2"/>
      <c r="G48" s="3" t="s">
        <v>3</v>
      </c>
      <c r="H48" s="3" t="s">
        <v>10</v>
      </c>
      <c r="I48" s="3" t="s">
        <v>18</v>
      </c>
      <c r="J48" s="50">
        <f>E49+E50</f>
        <v>20141</v>
      </c>
      <c r="K48" s="3" t="s">
        <v>41</v>
      </c>
      <c r="L48" s="3" t="s">
        <v>42</v>
      </c>
      <c r="M48" s="3" t="s">
        <v>43</v>
      </c>
    </row>
    <row r="49" spans="2:13" x14ac:dyDescent="0.3">
      <c r="B49" s="2" t="s">
        <v>169</v>
      </c>
      <c r="C49" s="50">
        <v>11402</v>
      </c>
      <c r="D49" s="50">
        <v>78</v>
      </c>
      <c r="E49" s="50">
        <f t="shared" si="3"/>
        <v>11480</v>
      </c>
      <c r="F49" s="2"/>
      <c r="G49" s="3" t="s">
        <v>3</v>
      </c>
      <c r="H49" s="3" t="s">
        <v>10</v>
      </c>
      <c r="I49" s="3" t="s">
        <v>19</v>
      </c>
      <c r="J49" s="50">
        <f>E48</f>
        <v>12523</v>
      </c>
      <c r="K49" s="3" t="s">
        <v>41</v>
      </c>
      <c r="L49" s="3" t="s">
        <v>42</v>
      </c>
      <c r="M49" s="3" t="s">
        <v>43</v>
      </c>
    </row>
    <row r="50" spans="2:13" x14ac:dyDescent="0.3">
      <c r="B50" s="2" t="s">
        <v>70</v>
      </c>
      <c r="C50" s="50">
        <v>8313</v>
      </c>
      <c r="D50" s="50">
        <v>348</v>
      </c>
      <c r="E50" s="50">
        <f t="shared" si="3"/>
        <v>8661</v>
      </c>
      <c r="F50" s="2"/>
      <c r="G50" s="3" t="s">
        <v>3</v>
      </c>
      <c r="H50" s="3" t="s">
        <v>10</v>
      </c>
      <c r="I50" s="3" t="s">
        <v>51</v>
      </c>
      <c r="J50" s="50">
        <f>E52</f>
        <v>2971</v>
      </c>
      <c r="K50" s="3" t="s">
        <v>41</v>
      </c>
      <c r="L50" s="3" t="s">
        <v>42</v>
      </c>
      <c r="M50" s="3" t="s">
        <v>43</v>
      </c>
    </row>
    <row r="51" spans="2:13" x14ac:dyDescent="0.3">
      <c r="B51" s="2" t="s">
        <v>71</v>
      </c>
      <c r="C51" s="50">
        <v>4420</v>
      </c>
      <c r="D51" s="50">
        <v>1375</v>
      </c>
      <c r="E51" s="50">
        <f t="shared" si="3"/>
        <v>5795</v>
      </c>
      <c r="F51" s="2"/>
      <c r="G51" s="3" t="s">
        <v>3</v>
      </c>
      <c r="H51" s="3" t="s">
        <v>10</v>
      </c>
      <c r="I51" s="3" t="s">
        <v>21</v>
      </c>
      <c r="J51" s="50">
        <f>E54</f>
        <v>1397</v>
      </c>
      <c r="K51" s="3" t="s">
        <v>41</v>
      </c>
      <c r="L51" s="3" t="s">
        <v>42</v>
      </c>
      <c r="M51" s="3" t="s">
        <v>43</v>
      </c>
    </row>
    <row r="52" spans="2:13" x14ac:dyDescent="0.3">
      <c r="B52" s="2" t="s">
        <v>72</v>
      </c>
      <c r="C52" s="50">
        <v>2921</v>
      </c>
      <c r="D52" s="50">
        <v>50</v>
      </c>
      <c r="E52" s="50">
        <f t="shared" si="3"/>
        <v>2971</v>
      </c>
      <c r="F52" s="2"/>
      <c r="G52" s="3" t="s">
        <v>3</v>
      </c>
      <c r="H52" s="3" t="s">
        <v>10</v>
      </c>
      <c r="I52" s="3" t="s">
        <v>22</v>
      </c>
      <c r="J52" s="50">
        <f>SUM(E53,E51,E55)</f>
        <v>12863</v>
      </c>
      <c r="K52" s="3" t="s">
        <v>41</v>
      </c>
      <c r="L52" s="3" t="s">
        <v>42</v>
      </c>
      <c r="M52" s="3" t="s">
        <v>43</v>
      </c>
    </row>
    <row r="53" spans="2:13" x14ac:dyDescent="0.3">
      <c r="B53" s="2" t="s">
        <v>74</v>
      </c>
      <c r="C53" s="50">
        <v>2593</v>
      </c>
      <c r="D53" s="50">
        <v>151</v>
      </c>
      <c r="E53" s="50">
        <f t="shared" si="3"/>
        <v>2744</v>
      </c>
      <c r="F53" s="2"/>
      <c r="G53" s="3" t="s">
        <v>3</v>
      </c>
      <c r="H53" s="3" t="s">
        <v>10</v>
      </c>
      <c r="I53" s="3" t="s">
        <v>77</v>
      </c>
      <c r="J53" s="50">
        <f>SUM(J45:J52)</f>
        <v>148786</v>
      </c>
      <c r="K53" s="3" t="s">
        <v>41</v>
      </c>
      <c r="L53" s="3" t="s">
        <v>42</v>
      </c>
      <c r="M53" s="3" t="s">
        <v>43</v>
      </c>
    </row>
    <row r="54" spans="2:13" x14ac:dyDescent="0.3">
      <c r="B54" s="2" t="s">
        <v>73</v>
      </c>
      <c r="C54" s="50">
        <v>7</v>
      </c>
      <c r="D54" s="50">
        <v>1390</v>
      </c>
      <c r="E54" s="50">
        <f t="shared" si="3"/>
        <v>1397</v>
      </c>
      <c r="F54" s="2"/>
      <c r="G54" s="2"/>
      <c r="H54" s="2"/>
      <c r="I54" s="2"/>
      <c r="J54" s="2"/>
      <c r="K54" s="2"/>
      <c r="L54" s="2"/>
      <c r="M54" s="2"/>
    </row>
    <row r="55" spans="2:13" x14ac:dyDescent="0.3">
      <c r="B55" s="2" t="s">
        <v>22</v>
      </c>
      <c r="C55" s="50">
        <v>3779</v>
      </c>
      <c r="D55" s="50">
        <v>545</v>
      </c>
      <c r="E55" s="50">
        <f t="shared" si="3"/>
        <v>4324</v>
      </c>
      <c r="F55" s="2"/>
      <c r="G55" s="2"/>
      <c r="H55" s="2"/>
      <c r="I55" s="2"/>
      <c r="J55" s="2"/>
      <c r="K55" s="2"/>
      <c r="L55" s="2"/>
      <c r="M55" s="2"/>
    </row>
    <row r="56" spans="2:13" x14ac:dyDescent="0.3">
      <c r="B56" s="2" t="s">
        <v>77</v>
      </c>
      <c r="C56" s="50">
        <f>SUM(C45:C55)</f>
        <v>125176</v>
      </c>
      <c r="D56" s="50">
        <f>SUM(D45:D55)</f>
        <v>23610</v>
      </c>
      <c r="E56" s="50">
        <f>SUM(E45:E55)</f>
        <v>148786</v>
      </c>
      <c r="F56" s="2"/>
      <c r="G56" s="2"/>
      <c r="H56" s="2"/>
      <c r="I56" s="2"/>
      <c r="J56" s="2"/>
      <c r="K56" s="2"/>
      <c r="L56" s="2"/>
      <c r="M56"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3F973-FB67-4BE2-93EE-B4B50DE188FC}">
  <dimension ref="B2:I219"/>
  <sheetViews>
    <sheetView showGridLines="0" workbookViewId="0">
      <selection activeCell="H32" sqref="H32"/>
    </sheetView>
  </sheetViews>
  <sheetFormatPr defaultRowHeight="13.8" x14ac:dyDescent="0.3"/>
  <cols>
    <col min="1" max="1" width="4.6640625" style="89" customWidth="1"/>
    <col min="2" max="2" width="15.88671875" style="89" bestFit="1" customWidth="1"/>
    <col min="3" max="3" width="11.21875" style="89" bestFit="1" customWidth="1"/>
    <col min="4" max="4" width="11.21875" style="89" customWidth="1"/>
    <col min="5" max="5" width="15.88671875" style="89" bestFit="1" customWidth="1"/>
    <col min="6" max="6" width="11.21875" style="89" bestFit="1" customWidth="1"/>
    <col min="7" max="16384" width="8.88671875" style="89"/>
  </cols>
  <sheetData>
    <row r="2" spans="2:5" x14ac:dyDescent="0.3">
      <c r="B2" s="92" t="s">
        <v>246</v>
      </c>
    </row>
    <row r="16" spans="2:5" x14ac:dyDescent="0.3">
      <c r="B16" s="93"/>
      <c r="C16" s="88"/>
      <c r="D16" s="88"/>
      <c r="E16" s="93"/>
    </row>
    <row r="18" spans="2:9" ht="14.4" x14ac:dyDescent="0.3">
      <c r="B18" s="100" t="s">
        <v>24</v>
      </c>
      <c r="E18"/>
      <c r="F18"/>
      <c r="G18"/>
      <c r="H18"/>
      <c r="I18"/>
    </row>
    <row r="19" spans="2:9" ht="14.4" x14ac:dyDescent="0.3">
      <c r="E19"/>
      <c r="F19"/>
      <c r="G19"/>
      <c r="H19"/>
      <c r="I19"/>
    </row>
    <row r="20" spans="2:9" ht="14.4" x14ac:dyDescent="0.3">
      <c r="B20" s="1" t="s">
        <v>66</v>
      </c>
      <c r="C20" s="4" t="s">
        <v>11</v>
      </c>
      <c r="D20" s="101"/>
      <c r="E20"/>
      <c r="F20"/>
      <c r="G20"/>
      <c r="H20"/>
      <c r="I20"/>
    </row>
    <row r="21" spans="2:9" ht="14.4" x14ac:dyDescent="0.3">
      <c r="B21" s="2" t="s">
        <v>65</v>
      </c>
      <c r="C21" s="50">
        <v>39758</v>
      </c>
      <c r="D21" s="103"/>
      <c r="E21"/>
      <c r="F21"/>
      <c r="G21"/>
      <c r="H21"/>
      <c r="I21"/>
    </row>
    <row r="22" spans="2:9" ht="14.4" x14ac:dyDescent="0.3">
      <c r="B22" s="2" t="s">
        <v>15</v>
      </c>
      <c r="C22" s="50">
        <v>27380</v>
      </c>
      <c r="D22" s="103"/>
      <c r="E22"/>
      <c r="F22"/>
      <c r="G22"/>
      <c r="H22"/>
      <c r="I22"/>
    </row>
    <row r="23" spans="2:9" ht="14.4" x14ac:dyDescent="0.3">
      <c r="B23" s="2" t="s">
        <v>67</v>
      </c>
      <c r="C23" s="50">
        <v>24038</v>
      </c>
      <c r="D23" s="103"/>
      <c r="E23"/>
      <c r="F23"/>
      <c r="G23"/>
      <c r="H23"/>
      <c r="I23"/>
    </row>
    <row r="24" spans="2:9" ht="14.4" x14ac:dyDescent="0.3">
      <c r="B24" s="2" t="s">
        <v>69</v>
      </c>
      <c r="C24" s="50">
        <v>11506</v>
      </c>
      <c r="D24" s="103"/>
      <c r="E24"/>
      <c r="F24"/>
      <c r="G24"/>
      <c r="H24"/>
      <c r="I24"/>
    </row>
    <row r="25" spans="2:9" ht="14.4" x14ac:dyDescent="0.3">
      <c r="B25" s="2" t="s">
        <v>169</v>
      </c>
      <c r="C25" s="50">
        <v>11345</v>
      </c>
      <c r="D25" s="103"/>
      <c r="E25"/>
      <c r="F25"/>
      <c r="G25"/>
      <c r="H25"/>
      <c r="I25"/>
    </row>
    <row r="26" spans="2:9" ht="14.4" x14ac:dyDescent="0.3">
      <c r="B26" s="2" t="s">
        <v>70</v>
      </c>
      <c r="C26" s="50">
        <v>8113</v>
      </c>
      <c r="D26" s="103"/>
      <c r="E26"/>
      <c r="F26"/>
      <c r="G26"/>
      <c r="H26"/>
      <c r="I26"/>
    </row>
    <row r="27" spans="2:9" ht="14.4" x14ac:dyDescent="0.3">
      <c r="B27" s="2" t="s">
        <v>71</v>
      </c>
      <c r="C27" s="50">
        <v>5186</v>
      </c>
      <c r="D27" s="103"/>
      <c r="E27"/>
      <c r="F27"/>
      <c r="G27"/>
      <c r="H27"/>
      <c r="I27"/>
    </row>
    <row r="28" spans="2:9" ht="14.4" x14ac:dyDescent="0.3">
      <c r="B28" s="2" t="s">
        <v>72</v>
      </c>
      <c r="C28" s="50">
        <v>2316</v>
      </c>
      <c r="D28" s="103"/>
      <c r="E28"/>
      <c r="F28"/>
      <c r="G28"/>
      <c r="H28"/>
      <c r="I28"/>
    </row>
    <row r="29" spans="2:9" ht="14.4" x14ac:dyDescent="0.3">
      <c r="B29" s="2" t="s">
        <v>175</v>
      </c>
      <c r="C29" s="50">
        <v>2273</v>
      </c>
      <c r="D29" s="103"/>
      <c r="E29"/>
      <c r="F29"/>
      <c r="G29"/>
      <c r="H29"/>
      <c r="I29"/>
    </row>
    <row r="30" spans="2:9" ht="14.4" x14ac:dyDescent="0.3">
      <c r="B30" s="2" t="s">
        <v>74</v>
      </c>
      <c r="C30" s="50">
        <v>2088</v>
      </c>
      <c r="E30"/>
      <c r="F30"/>
      <c r="G30"/>
      <c r="H30"/>
      <c r="I30"/>
    </row>
    <row r="31" spans="2:9" ht="14.4" x14ac:dyDescent="0.3">
      <c r="B31" s="2" t="s">
        <v>22</v>
      </c>
      <c r="C31" s="50">
        <v>2502</v>
      </c>
      <c r="E31"/>
      <c r="F31"/>
      <c r="G31"/>
      <c r="H31"/>
      <c r="I31"/>
    </row>
    <row r="32" spans="2:9" ht="14.4" x14ac:dyDescent="0.3">
      <c r="B32" s="2" t="s">
        <v>77</v>
      </c>
      <c r="C32" s="50">
        <v>136505</v>
      </c>
      <c r="E32"/>
      <c r="F32"/>
      <c r="G32"/>
      <c r="H32"/>
      <c r="I32"/>
    </row>
    <row r="33" spans="2:9" x14ac:dyDescent="0.3">
      <c r="E33" s="90"/>
      <c r="F33" s="57"/>
    </row>
    <row r="34" spans="2:9" x14ac:dyDescent="0.3">
      <c r="B34" s="100" t="s">
        <v>24</v>
      </c>
      <c r="E34" s="100" t="s">
        <v>1</v>
      </c>
    </row>
    <row r="35" spans="2:9" x14ac:dyDescent="0.3">
      <c r="C35" s="104"/>
      <c r="D35" s="104"/>
    </row>
    <row r="36" spans="2:9" ht="14.4" x14ac:dyDescent="0.3">
      <c r="B36" s="1" t="s">
        <v>66</v>
      </c>
      <c r="C36" s="1" t="s">
        <v>78</v>
      </c>
      <c r="D36" s="104"/>
      <c r="E36" s="1" t="s">
        <v>66</v>
      </c>
      <c r="F36" s="1" t="s">
        <v>78</v>
      </c>
      <c r="H36" s="89" t="b">
        <f>B36=E36</f>
        <v>1</v>
      </c>
      <c r="I36" s="89" t="b">
        <f>C36=F36</f>
        <v>1</v>
      </c>
    </row>
    <row r="37" spans="2:9" ht="14.4" x14ac:dyDescent="0.3">
      <c r="B37" s="5" t="s">
        <v>17</v>
      </c>
      <c r="C37" s="50">
        <f>C21</f>
        <v>39758</v>
      </c>
      <c r="D37" s="104"/>
      <c r="E37" s="5" t="s">
        <v>17</v>
      </c>
      <c r="F37" s="50">
        <v>39758</v>
      </c>
      <c r="H37" s="89" t="b">
        <f t="shared" ref="H37:H44" si="0">B37=E37</f>
        <v>1</v>
      </c>
      <c r="I37" s="89" t="b">
        <f t="shared" ref="I37:I44" si="1">C37=F37</f>
        <v>1</v>
      </c>
    </row>
    <row r="38" spans="2:9" ht="14.4" x14ac:dyDescent="0.3">
      <c r="B38" s="5" t="s">
        <v>15</v>
      </c>
      <c r="C38" s="50">
        <f>C22</f>
        <v>27380</v>
      </c>
      <c r="D38" s="104"/>
      <c r="E38" s="5" t="s">
        <v>15</v>
      </c>
      <c r="F38" s="50">
        <v>27380</v>
      </c>
      <c r="H38" s="89" t="b">
        <f t="shared" si="0"/>
        <v>1</v>
      </c>
      <c r="I38" s="89" t="b">
        <f t="shared" si="1"/>
        <v>1</v>
      </c>
    </row>
    <row r="39" spans="2:9" ht="14.4" x14ac:dyDescent="0.3">
      <c r="B39" s="5" t="s">
        <v>16</v>
      </c>
      <c r="C39" s="50">
        <f>C23</f>
        <v>24038</v>
      </c>
      <c r="D39" s="104"/>
      <c r="E39" s="5" t="s">
        <v>16</v>
      </c>
      <c r="F39" s="50">
        <v>24038</v>
      </c>
      <c r="H39" s="89" t="b">
        <f t="shared" si="0"/>
        <v>1</v>
      </c>
      <c r="I39" s="89" t="b">
        <f t="shared" si="1"/>
        <v>1</v>
      </c>
    </row>
    <row r="40" spans="2:9" ht="14.4" x14ac:dyDescent="0.3">
      <c r="B40" s="5" t="s">
        <v>18</v>
      </c>
      <c r="C40" s="50">
        <f>C25+C26</f>
        <v>19458</v>
      </c>
      <c r="D40" s="104"/>
      <c r="E40" s="5" t="s">
        <v>18</v>
      </c>
      <c r="F40" s="50">
        <v>18115</v>
      </c>
      <c r="H40" s="89" t="b">
        <f t="shared" si="0"/>
        <v>1</v>
      </c>
      <c r="I40" s="98" t="b">
        <f t="shared" si="1"/>
        <v>0</v>
      </c>
    </row>
    <row r="41" spans="2:9" ht="14.4" x14ac:dyDescent="0.3">
      <c r="B41" s="5" t="s">
        <v>19</v>
      </c>
      <c r="C41" s="50">
        <f>C24</f>
        <v>11506</v>
      </c>
      <c r="D41" s="104"/>
      <c r="E41" s="5" t="s">
        <v>19</v>
      </c>
      <c r="F41" s="50">
        <v>11506</v>
      </c>
      <c r="H41" s="89" t="b">
        <f t="shared" si="0"/>
        <v>1</v>
      </c>
      <c r="I41" s="89" t="b">
        <f t="shared" si="1"/>
        <v>1</v>
      </c>
    </row>
    <row r="42" spans="2:9" ht="14.4" x14ac:dyDescent="0.3">
      <c r="B42" s="5" t="s">
        <v>51</v>
      </c>
      <c r="C42" s="50">
        <f>C28</f>
        <v>2316</v>
      </c>
      <c r="D42" s="104"/>
      <c r="E42" s="5" t="s">
        <v>51</v>
      </c>
      <c r="F42" s="50">
        <v>2303</v>
      </c>
      <c r="H42" s="89" t="b">
        <f t="shared" si="0"/>
        <v>1</v>
      </c>
      <c r="I42" s="98" t="b">
        <f t="shared" si="1"/>
        <v>0</v>
      </c>
    </row>
    <row r="43" spans="2:9" ht="14.4" x14ac:dyDescent="0.3">
      <c r="B43" s="5" t="s">
        <v>22</v>
      </c>
      <c r="C43" s="50">
        <f>SUM(C27,C30,C31,C29)</f>
        <v>12049</v>
      </c>
      <c r="D43" s="104"/>
      <c r="E43" s="5" t="s">
        <v>22</v>
      </c>
      <c r="F43" s="50">
        <v>13405</v>
      </c>
      <c r="H43" s="89" t="b">
        <f t="shared" si="0"/>
        <v>1</v>
      </c>
      <c r="I43" s="98" t="b">
        <f t="shared" si="1"/>
        <v>0</v>
      </c>
    </row>
    <row r="44" spans="2:9" ht="14.4" x14ac:dyDescent="0.3">
      <c r="B44" s="5" t="s">
        <v>77</v>
      </c>
      <c r="C44" s="50">
        <f>SUM(C37:C43)</f>
        <v>136505</v>
      </c>
      <c r="D44" s="104"/>
      <c r="E44" s="5" t="s">
        <v>77</v>
      </c>
      <c r="F44" s="50">
        <v>136505</v>
      </c>
      <c r="H44" s="89" t="b">
        <f t="shared" si="0"/>
        <v>1</v>
      </c>
      <c r="I44" s="89" t="b">
        <f t="shared" si="1"/>
        <v>1</v>
      </c>
    </row>
    <row r="45" spans="2:9" x14ac:dyDescent="0.3">
      <c r="E45" s="90"/>
      <c r="F45" s="57"/>
    </row>
    <row r="46" spans="2:9" x14ac:dyDescent="0.3">
      <c r="E46" s="91" t="s">
        <v>5</v>
      </c>
      <c r="F46" s="57">
        <f>15/18</f>
        <v>0.83333333333333337</v>
      </c>
    </row>
    <row r="47" spans="2:9" x14ac:dyDescent="0.3">
      <c r="E47" s="90"/>
      <c r="F47" s="57"/>
    </row>
    <row r="48" spans="2:9" x14ac:dyDescent="0.3">
      <c r="B48" s="92" t="s">
        <v>243</v>
      </c>
      <c r="E48" s="90"/>
      <c r="F48" s="57"/>
    </row>
    <row r="49" spans="5:6" ht="14.4" x14ac:dyDescent="0.3">
      <c r="E49"/>
      <c r="F49"/>
    </row>
    <row r="66" spans="2:6" x14ac:dyDescent="0.3">
      <c r="B66" s="100" t="s">
        <v>24</v>
      </c>
      <c r="E66" s="100"/>
    </row>
    <row r="68" spans="2:6" ht="14.4" x14ac:dyDescent="0.3">
      <c r="B68" s="1" t="s">
        <v>66</v>
      </c>
      <c r="C68" s="4" t="s">
        <v>11</v>
      </c>
      <c r="D68" s="101"/>
      <c r="E68" s="1"/>
      <c r="F68" s="4"/>
    </row>
    <row r="69" spans="2:6" ht="14.4" x14ac:dyDescent="0.3">
      <c r="B69" s="2" t="s">
        <v>65</v>
      </c>
      <c r="C69" s="50">
        <v>41349</v>
      </c>
      <c r="D69" s="103"/>
      <c r="E69" s="2"/>
      <c r="F69" s="50"/>
    </row>
    <row r="70" spans="2:6" ht="14.4" x14ac:dyDescent="0.3">
      <c r="B70" s="2" t="s">
        <v>15</v>
      </c>
      <c r="C70" s="50">
        <v>28996</v>
      </c>
      <c r="D70" s="103"/>
      <c r="E70" s="2"/>
      <c r="F70" s="50"/>
    </row>
    <row r="71" spans="2:6" ht="14.4" x14ac:dyDescent="0.3">
      <c r="B71" s="2" t="s">
        <v>67</v>
      </c>
      <c r="C71" s="50">
        <v>24603</v>
      </c>
      <c r="D71" s="103"/>
      <c r="E71" s="2"/>
      <c r="F71" s="50"/>
    </row>
    <row r="72" spans="2:6" ht="14.4" x14ac:dyDescent="0.3">
      <c r="B72" s="2" t="s">
        <v>68</v>
      </c>
      <c r="C72" s="50">
        <v>11376</v>
      </c>
      <c r="D72" s="103"/>
      <c r="E72" s="2"/>
      <c r="F72" s="50"/>
    </row>
    <row r="73" spans="2:6" ht="14.4" x14ac:dyDescent="0.3">
      <c r="B73" s="2" t="s">
        <v>69</v>
      </c>
      <c r="C73" s="50">
        <v>11465</v>
      </c>
      <c r="D73" s="103"/>
      <c r="E73" s="2"/>
      <c r="F73" s="50"/>
    </row>
    <row r="74" spans="2:6" ht="14.4" x14ac:dyDescent="0.3">
      <c r="B74" s="2" t="s">
        <v>70</v>
      </c>
      <c r="C74" s="50">
        <v>8585</v>
      </c>
      <c r="D74" s="103"/>
      <c r="E74" s="2"/>
      <c r="F74" s="50"/>
    </row>
    <row r="75" spans="2:6" ht="14.4" x14ac:dyDescent="0.3">
      <c r="B75" s="2" t="s">
        <v>71</v>
      </c>
      <c r="C75" s="50">
        <v>5393</v>
      </c>
      <c r="D75" s="103"/>
      <c r="E75" s="2"/>
      <c r="F75" s="50"/>
    </row>
    <row r="76" spans="2:6" ht="14.4" x14ac:dyDescent="0.3">
      <c r="B76" s="2" t="s">
        <v>72</v>
      </c>
      <c r="C76" s="50">
        <v>2575</v>
      </c>
      <c r="D76" s="103"/>
      <c r="E76" s="2"/>
      <c r="F76" s="50"/>
    </row>
    <row r="77" spans="2:6" ht="14.4" x14ac:dyDescent="0.3">
      <c r="B77" s="2" t="s">
        <v>73</v>
      </c>
      <c r="C77" s="50">
        <v>1190</v>
      </c>
      <c r="D77" s="103"/>
      <c r="E77" s="2"/>
      <c r="F77" s="50"/>
    </row>
    <row r="78" spans="2:6" ht="14.4" x14ac:dyDescent="0.3">
      <c r="B78" s="2" t="s">
        <v>74</v>
      </c>
      <c r="C78" s="50">
        <v>2197</v>
      </c>
      <c r="E78" s="2"/>
      <c r="F78" s="50"/>
    </row>
    <row r="79" spans="2:6" ht="14.4" x14ac:dyDescent="0.3">
      <c r="B79" s="2" t="s">
        <v>22</v>
      </c>
      <c r="C79" s="50">
        <v>3681</v>
      </c>
      <c r="E79" s="2"/>
      <c r="F79" s="50"/>
    </row>
    <row r="80" spans="2:6" ht="14.4" x14ac:dyDescent="0.3">
      <c r="B80" s="2" t="s">
        <v>77</v>
      </c>
      <c r="C80" s="50">
        <v>141410</v>
      </c>
      <c r="E80" s="2"/>
      <c r="F80" s="50"/>
    </row>
    <row r="81" spans="2:9" x14ac:dyDescent="0.3">
      <c r="E81" s="90"/>
      <c r="F81" s="57"/>
    </row>
    <row r="82" spans="2:9" x14ac:dyDescent="0.3">
      <c r="B82" s="100" t="s">
        <v>24</v>
      </c>
      <c r="E82" s="100" t="s">
        <v>1</v>
      </c>
    </row>
    <row r="84" spans="2:9" ht="14.4" x14ac:dyDescent="0.3">
      <c r="B84" s="1" t="s">
        <v>66</v>
      </c>
      <c r="C84" s="1" t="s">
        <v>78</v>
      </c>
      <c r="E84" s="1" t="s">
        <v>66</v>
      </c>
      <c r="F84" s="1" t="s">
        <v>78</v>
      </c>
      <c r="H84" s="89" t="b">
        <f>B84=E84</f>
        <v>1</v>
      </c>
      <c r="I84" s="89" t="b">
        <f>C84=F84</f>
        <v>1</v>
      </c>
    </row>
    <row r="85" spans="2:9" ht="14.4" x14ac:dyDescent="0.3">
      <c r="B85" s="5" t="s">
        <v>17</v>
      </c>
      <c r="C85" s="50">
        <f>C69</f>
        <v>41349</v>
      </c>
      <c r="E85" s="5" t="s">
        <v>17</v>
      </c>
      <c r="F85" s="50">
        <v>41349</v>
      </c>
      <c r="H85" s="89" t="b">
        <f t="shared" ref="H85:H93" si="2">B85=E85</f>
        <v>1</v>
      </c>
      <c r="I85" s="89" t="b">
        <f t="shared" ref="I85:I93" si="3">C85=F85</f>
        <v>1</v>
      </c>
    </row>
    <row r="86" spans="2:9" ht="14.4" x14ac:dyDescent="0.3">
      <c r="B86" s="5" t="s">
        <v>15</v>
      </c>
      <c r="C86" s="50">
        <f>C70</f>
        <v>28996</v>
      </c>
      <c r="E86" s="5" t="s">
        <v>15</v>
      </c>
      <c r="F86" s="50">
        <v>28996</v>
      </c>
      <c r="H86" s="89" t="b">
        <f t="shared" si="2"/>
        <v>1</v>
      </c>
      <c r="I86" s="89" t="b">
        <f t="shared" si="3"/>
        <v>1</v>
      </c>
    </row>
    <row r="87" spans="2:9" ht="14.4" x14ac:dyDescent="0.3">
      <c r="B87" s="5" t="s">
        <v>16</v>
      </c>
      <c r="C87" s="50">
        <f>C71</f>
        <v>24603</v>
      </c>
      <c r="E87" s="5" t="s">
        <v>16</v>
      </c>
      <c r="F87" s="50">
        <v>24603</v>
      </c>
      <c r="H87" s="89" t="b">
        <f t="shared" si="2"/>
        <v>1</v>
      </c>
      <c r="I87" s="89" t="b">
        <f t="shared" si="3"/>
        <v>1</v>
      </c>
    </row>
    <row r="88" spans="2:9" ht="14.4" x14ac:dyDescent="0.3">
      <c r="B88" s="5" t="s">
        <v>18</v>
      </c>
      <c r="C88" s="50">
        <f>C72+C74</f>
        <v>19961</v>
      </c>
      <c r="E88" s="5" t="s">
        <v>18</v>
      </c>
      <c r="F88" s="50">
        <v>20423</v>
      </c>
      <c r="H88" s="89" t="b">
        <f t="shared" si="2"/>
        <v>1</v>
      </c>
      <c r="I88" s="98" t="b">
        <f t="shared" si="3"/>
        <v>0</v>
      </c>
    </row>
    <row r="89" spans="2:9" ht="14.4" x14ac:dyDescent="0.3">
      <c r="B89" s="5" t="s">
        <v>19</v>
      </c>
      <c r="C89" s="50">
        <f>C73</f>
        <v>11465</v>
      </c>
      <c r="E89" s="5" t="s">
        <v>19</v>
      </c>
      <c r="F89" s="50">
        <v>11465</v>
      </c>
      <c r="H89" s="89" t="b">
        <f t="shared" si="2"/>
        <v>1</v>
      </c>
      <c r="I89" s="89" t="b">
        <f t="shared" si="3"/>
        <v>1</v>
      </c>
    </row>
    <row r="90" spans="2:9" ht="14.4" x14ac:dyDescent="0.3">
      <c r="B90" s="5" t="s">
        <v>51</v>
      </c>
      <c r="C90" s="50">
        <f>C76</f>
        <v>2575</v>
      </c>
      <c r="E90" s="5" t="s">
        <v>51</v>
      </c>
      <c r="F90" s="50">
        <v>2575</v>
      </c>
      <c r="H90" s="89" t="b">
        <f t="shared" si="2"/>
        <v>1</v>
      </c>
      <c r="I90" s="89" t="b">
        <f t="shared" si="3"/>
        <v>1</v>
      </c>
    </row>
    <row r="91" spans="2:9" ht="14.4" x14ac:dyDescent="0.3">
      <c r="B91" s="5" t="s">
        <v>21</v>
      </c>
      <c r="C91" s="50">
        <f>C77</f>
        <v>1190</v>
      </c>
      <c r="E91" s="5" t="s">
        <v>21</v>
      </c>
      <c r="F91" s="50">
        <v>2197</v>
      </c>
      <c r="H91" s="89" t="b">
        <f t="shared" si="2"/>
        <v>1</v>
      </c>
      <c r="I91" s="98" t="b">
        <f t="shared" si="3"/>
        <v>0</v>
      </c>
    </row>
    <row r="92" spans="2:9" ht="14.4" x14ac:dyDescent="0.3">
      <c r="B92" s="5" t="s">
        <v>22</v>
      </c>
      <c r="C92" s="50">
        <f>SUM(C75,C78,C79)</f>
        <v>11271</v>
      </c>
      <c r="E92" s="5" t="s">
        <v>22</v>
      </c>
      <c r="F92" s="50">
        <v>9252</v>
      </c>
      <c r="H92" s="89" t="b">
        <f t="shared" si="2"/>
        <v>1</v>
      </c>
      <c r="I92" s="98" t="b">
        <f t="shared" si="3"/>
        <v>0</v>
      </c>
    </row>
    <row r="93" spans="2:9" ht="14.4" x14ac:dyDescent="0.3">
      <c r="B93" s="5" t="s">
        <v>77</v>
      </c>
      <c r="C93" s="50">
        <f>SUM(C85:C92)</f>
        <v>141410</v>
      </c>
      <c r="E93" s="5" t="s">
        <v>77</v>
      </c>
      <c r="F93" s="50">
        <v>141410</v>
      </c>
      <c r="H93" s="89" t="b">
        <f t="shared" si="2"/>
        <v>1</v>
      </c>
      <c r="I93" s="89" t="b">
        <f t="shared" si="3"/>
        <v>1</v>
      </c>
    </row>
    <row r="94" spans="2:9" x14ac:dyDescent="0.3">
      <c r="E94" s="90"/>
      <c r="F94" s="57"/>
    </row>
    <row r="95" spans="2:9" x14ac:dyDescent="0.3">
      <c r="E95" s="91" t="s">
        <v>5</v>
      </c>
      <c r="F95" s="57">
        <f>17/20</f>
        <v>0.85</v>
      </c>
    </row>
    <row r="96" spans="2:9" x14ac:dyDescent="0.3">
      <c r="E96" s="91"/>
    </row>
    <row r="97" spans="2:6" x14ac:dyDescent="0.3">
      <c r="B97" s="92" t="s">
        <v>247</v>
      </c>
    </row>
    <row r="108" spans="2:6" x14ac:dyDescent="0.3">
      <c r="B108" s="93"/>
      <c r="C108" s="88"/>
      <c r="D108" s="88"/>
      <c r="E108" s="93"/>
    </row>
    <row r="110" spans="2:6" x14ac:dyDescent="0.3">
      <c r="B110" s="101"/>
      <c r="C110" s="90"/>
      <c r="D110" s="90"/>
      <c r="E110" s="101"/>
      <c r="F110" s="90"/>
    </row>
    <row r="111" spans="2:6" x14ac:dyDescent="0.3">
      <c r="B111" s="93"/>
      <c r="E111" s="93"/>
    </row>
    <row r="113" spans="2:9" ht="14.4" x14ac:dyDescent="0.3">
      <c r="B113" s="100" t="s">
        <v>24</v>
      </c>
      <c r="E113"/>
      <c r="F113"/>
      <c r="G113"/>
      <c r="H113"/>
      <c r="I113"/>
    </row>
    <row r="114" spans="2:9" ht="14.4" x14ac:dyDescent="0.3">
      <c r="E114"/>
      <c r="F114"/>
      <c r="G114"/>
      <c r="H114"/>
      <c r="I114"/>
    </row>
    <row r="115" spans="2:9" ht="14.4" x14ac:dyDescent="0.3">
      <c r="B115" s="1" t="s">
        <v>66</v>
      </c>
      <c r="C115" s="4" t="s">
        <v>11</v>
      </c>
      <c r="D115" s="101"/>
      <c r="E115"/>
      <c r="F115"/>
      <c r="G115"/>
      <c r="H115"/>
      <c r="I115"/>
    </row>
    <row r="116" spans="2:9" ht="14.4" x14ac:dyDescent="0.3">
      <c r="B116" s="2" t="s">
        <v>65</v>
      </c>
      <c r="C116" s="50">
        <v>43048</v>
      </c>
      <c r="D116" s="103"/>
      <c r="E116"/>
      <c r="F116"/>
      <c r="G116"/>
      <c r="H116"/>
      <c r="I116"/>
    </row>
    <row r="117" spans="2:9" ht="14.4" x14ac:dyDescent="0.3">
      <c r="B117" s="2" t="s">
        <v>15</v>
      </c>
      <c r="C117" s="50">
        <v>29704</v>
      </c>
      <c r="D117" s="103"/>
      <c r="E117"/>
      <c r="F117"/>
      <c r="G117"/>
      <c r="H117"/>
      <c r="I117"/>
    </row>
    <row r="118" spans="2:9" ht="14.4" x14ac:dyDescent="0.3">
      <c r="B118" s="2" t="s">
        <v>67</v>
      </c>
      <c r="C118" s="50">
        <v>24877</v>
      </c>
      <c r="D118" s="103"/>
      <c r="E118"/>
      <c r="F118"/>
      <c r="G118"/>
      <c r="H118"/>
      <c r="I118"/>
    </row>
    <row r="119" spans="2:9" ht="14.4" x14ac:dyDescent="0.3">
      <c r="B119" s="2" t="s">
        <v>169</v>
      </c>
      <c r="C119" s="50">
        <v>11273</v>
      </c>
      <c r="D119" s="103"/>
      <c r="E119"/>
      <c r="F119"/>
      <c r="G119"/>
      <c r="H119"/>
      <c r="I119"/>
    </row>
    <row r="120" spans="2:9" ht="14.4" x14ac:dyDescent="0.3">
      <c r="B120" s="2" t="s">
        <v>69</v>
      </c>
      <c r="C120" s="50">
        <v>11601</v>
      </c>
      <c r="D120" s="103"/>
      <c r="E120"/>
      <c r="F120"/>
      <c r="G120"/>
      <c r="H120"/>
      <c r="I120"/>
    </row>
    <row r="121" spans="2:9" ht="14.4" x14ac:dyDescent="0.3">
      <c r="B121" s="2" t="s">
        <v>70</v>
      </c>
      <c r="C121" s="50">
        <v>8718</v>
      </c>
      <c r="D121" s="103"/>
      <c r="E121"/>
      <c r="F121"/>
      <c r="G121"/>
      <c r="H121"/>
      <c r="I121"/>
    </row>
    <row r="122" spans="2:9" ht="14.4" x14ac:dyDescent="0.3">
      <c r="B122" s="2" t="s">
        <v>71</v>
      </c>
      <c r="C122" s="50">
        <v>5555</v>
      </c>
      <c r="D122" s="103"/>
      <c r="E122"/>
      <c r="F122"/>
      <c r="G122"/>
      <c r="H122"/>
      <c r="I122"/>
    </row>
    <row r="123" spans="2:9" ht="14.4" x14ac:dyDescent="0.3">
      <c r="B123" s="2" t="s">
        <v>72</v>
      </c>
      <c r="C123" s="50">
        <v>2923</v>
      </c>
      <c r="D123" s="103"/>
      <c r="E123"/>
      <c r="F123"/>
      <c r="G123"/>
      <c r="H123"/>
      <c r="I123"/>
    </row>
    <row r="124" spans="2:9" ht="14.4" x14ac:dyDescent="0.3">
      <c r="B124" s="2" t="s">
        <v>74</v>
      </c>
      <c r="C124" s="50">
        <v>2345</v>
      </c>
      <c r="D124" s="103"/>
      <c r="E124"/>
      <c r="F124"/>
      <c r="G124"/>
      <c r="H124"/>
      <c r="I124"/>
    </row>
    <row r="125" spans="2:9" ht="14.4" x14ac:dyDescent="0.3">
      <c r="B125" s="2" t="s">
        <v>73</v>
      </c>
      <c r="C125" s="50">
        <v>1143</v>
      </c>
      <c r="E125"/>
      <c r="F125"/>
      <c r="G125"/>
      <c r="H125"/>
      <c r="I125"/>
    </row>
    <row r="126" spans="2:9" ht="14.4" x14ac:dyDescent="0.3">
      <c r="B126" s="2" t="s">
        <v>22</v>
      </c>
      <c r="C126" s="50">
        <v>4131</v>
      </c>
      <c r="E126"/>
      <c r="F126"/>
      <c r="G126"/>
      <c r="H126"/>
      <c r="I126"/>
    </row>
    <row r="127" spans="2:9" ht="14.4" x14ac:dyDescent="0.3">
      <c r="B127" s="2" t="s">
        <v>77</v>
      </c>
      <c r="C127" s="50">
        <v>145318</v>
      </c>
      <c r="E127"/>
      <c r="F127"/>
      <c r="G127"/>
      <c r="H127"/>
      <c r="I127"/>
    </row>
    <row r="128" spans="2:9" ht="14.4" x14ac:dyDescent="0.3">
      <c r="E128"/>
      <c r="F128"/>
      <c r="G128"/>
      <c r="H128"/>
      <c r="I128"/>
    </row>
    <row r="129" spans="2:9" x14ac:dyDescent="0.3">
      <c r="B129" s="100" t="s">
        <v>24</v>
      </c>
      <c r="E129" s="100" t="s">
        <v>1</v>
      </c>
    </row>
    <row r="131" spans="2:9" ht="14.4" x14ac:dyDescent="0.3">
      <c r="B131" s="1" t="s">
        <v>66</v>
      </c>
      <c r="C131" s="1" t="s">
        <v>78</v>
      </c>
      <c r="E131" s="1" t="s">
        <v>66</v>
      </c>
      <c r="F131" s="1" t="s">
        <v>78</v>
      </c>
      <c r="H131" s="89" t="b">
        <f>B131=E131</f>
        <v>1</v>
      </c>
      <c r="I131" s="89" t="b">
        <f>C131=F131</f>
        <v>1</v>
      </c>
    </row>
    <row r="132" spans="2:9" ht="14.4" x14ac:dyDescent="0.3">
      <c r="B132" s="5" t="s">
        <v>17</v>
      </c>
      <c r="C132" s="50">
        <f>C116</f>
        <v>43048</v>
      </c>
      <c r="E132" s="5" t="s">
        <v>17</v>
      </c>
      <c r="F132" s="50">
        <v>43048</v>
      </c>
      <c r="H132" s="89" t="b">
        <f t="shared" ref="H132:H140" si="4">B132=E132</f>
        <v>1</v>
      </c>
      <c r="I132" s="89" t="b">
        <f t="shared" ref="I132:I140" si="5">C132=F132</f>
        <v>1</v>
      </c>
    </row>
    <row r="133" spans="2:9" ht="14.4" x14ac:dyDescent="0.3">
      <c r="B133" s="5" t="s">
        <v>15</v>
      </c>
      <c r="C133" s="50">
        <f>C117</f>
        <v>29704</v>
      </c>
      <c r="E133" s="5" t="s">
        <v>15</v>
      </c>
      <c r="F133" s="50">
        <v>29704</v>
      </c>
      <c r="H133" s="89" t="b">
        <f t="shared" si="4"/>
        <v>1</v>
      </c>
      <c r="I133" s="89" t="b">
        <f t="shared" si="5"/>
        <v>1</v>
      </c>
    </row>
    <row r="134" spans="2:9" ht="14.4" x14ac:dyDescent="0.3">
      <c r="B134" s="5" t="s">
        <v>16</v>
      </c>
      <c r="C134" s="50">
        <f>C118</f>
        <v>24877</v>
      </c>
      <c r="E134" s="5" t="s">
        <v>16</v>
      </c>
      <c r="F134" s="50">
        <v>24877</v>
      </c>
      <c r="H134" s="89" t="b">
        <f t="shared" si="4"/>
        <v>1</v>
      </c>
      <c r="I134" s="89" t="b">
        <f t="shared" si="5"/>
        <v>1</v>
      </c>
    </row>
    <row r="135" spans="2:9" ht="14.4" x14ac:dyDescent="0.3">
      <c r="B135" s="5" t="s">
        <v>18</v>
      </c>
      <c r="C135" s="50">
        <f>C119+C121</f>
        <v>19991</v>
      </c>
      <c r="E135" s="5" t="s">
        <v>18</v>
      </c>
      <c r="F135" s="50">
        <v>20691</v>
      </c>
      <c r="H135" s="89" t="b">
        <f t="shared" si="4"/>
        <v>1</v>
      </c>
      <c r="I135" s="98" t="b">
        <f t="shared" si="5"/>
        <v>0</v>
      </c>
    </row>
    <row r="136" spans="2:9" ht="14.4" x14ac:dyDescent="0.3">
      <c r="B136" s="5" t="s">
        <v>19</v>
      </c>
      <c r="C136" s="50">
        <f>C120</f>
        <v>11601</v>
      </c>
      <c r="E136" s="5" t="s">
        <v>19</v>
      </c>
      <c r="F136" s="50">
        <v>11601</v>
      </c>
      <c r="H136" s="89" t="b">
        <f t="shared" si="4"/>
        <v>1</v>
      </c>
      <c r="I136" s="89" t="b">
        <f t="shared" si="5"/>
        <v>1</v>
      </c>
    </row>
    <row r="137" spans="2:9" ht="14.4" x14ac:dyDescent="0.3">
      <c r="B137" s="5" t="s">
        <v>51</v>
      </c>
      <c r="C137" s="50">
        <f>C123</f>
        <v>2923</v>
      </c>
      <c r="E137" s="5" t="s">
        <v>51</v>
      </c>
      <c r="F137" s="50">
        <v>2455</v>
      </c>
      <c r="H137" s="89" t="b">
        <f t="shared" si="4"/>
        <v>1</v>
      </c>
      <c r="I137" s="98" t="b">
        <f t="shared" si="5"/>
        <v>0</v>
      </c>
    </row>
    <row r="138" spans="2:9" ht="14.4" x14ac:dyDescent="0.3">
      <c r="B138" s="5" t="s">
        <v>21</v>
      </c>
      <c r="C138" s="50">
        <f>C125</f>
        <v>1143</v>
      </c>
      <c r="E138" s="5" t="s">
        <v>21</v>
      </c>
      <c r="F138" s="50">
        <v>4131</v>
      </c>
      <c r="H138" s="89" t="b">
        <f t="shared" si="4"/>
        <v>1</v>
      </c>
      <c r="I138" s="98" t="b">
        <f t="shared" si="5"/>
        <v>0</v>
      </c>
    </row>
    <row r="139" spans="2:9" ht="14.4" x14ac:dyDescent="0.3">
      <c r="B139" s="5" t="s">
        <v>22</v>
      </c>
      <c r="C139" s="50">
        <f>SUM(C122,C124,C126)</f>
        <v>12031</v>
      </c>
      <c r="E139" s="5" t="s">
        <v>22</v>
      </c>
      <c r="F139" s="50">
        <v>8925</v>
      </c>
      <c r="H139" s="89" t="b">
        <f t="shared" si="4"/>
        <v>1</v>
      </c>
      <c r="I139" s="98" t="b">
        <f t="shared" si="5"/>
        <v>0</v>
      </c>
    </row>
    <row r="140" spans="2:9" ht="14.4" x14ac:dyDescent="0.3">
      <c r="B140" s="5" t="s">
        <v>77</v>
      </c>
      <c r="C140" s="50">
        <f>SUM(C132:C139)</f>
        <v>145318</v>
      </c>
      <c r="E140" s="5" t="s">
        <v>77</v>
      </c>
      <c r="F140" s="50">
        <v>145318</v>
      </c>
      <c r="H140" s="89" t="b">
        <f t="shared" si="4"/>
        <v>1</v>
      </c>
      <c r="I140" s="89" t="b">
        <f t="shared" si="5"/>
        <v>1</v>
      </c>
    </row>
    <row r="141" spans="2:9" x14ac:dyDescent="0.3">
      <c r="E141" s="90"/>
      <c r="F141" s="57"/>
    </row>
    <row r="142" spans="2:9" x14ac:dyDescent="0.3">
      <c r="E142" s="91" t="s">
        <v>5</v>
      </c>
      <c r="F142" s="57">
        <f>16/20</f>
        <v>0.8</v>
      </c>
    </row>
    <row r="144" spans="2:9" x14ac:dyDescent="0.3">
      <c r="B144" s="92" t="s">
        <v>248</v>
      </c>
    </row>
    <row r="159" spans="2:5" x14ac:dyDescent="0.3">
      <c r="B159" s="100" t="s">
        <v>24</v>
      </c>
      <c r="E159" s="100"/>
    </row>
    <row r="161" spans="2:6" ht="14.4" x14ac:dyDescent="0.3">
      <c r="B161" s="1" t="s">
        <v>66</v>
      </c>
      <c r="C161" s="4" t="s">
        <v>11</v>
      </c>
      <c r="D161" s="101"/>
      <c r="E161" s="1"/>
      <c r="F161" s="4"/>
    </row>
    <row r="162" spans="2:6" ht="14.4" x14ac:dyDescent="0.3">
      <c r="B162" s="2" t="s">
        <v>65</v>
      </c>
      <c r="C162" s="50">
        <v>42680</v>
      </c>
      <c r="D162" s="103"/>
      <c r="E162" s="2"/>
      <c r="F162" s="50"/>
    </row>
    <row r="163" spans="2:6" ht="14.4" x14ac:dyDescent="0.3">
      <c r="B163" s="2" t="s">
        <v>15</v>
      </c>
      <c r="C163" s="50">
        <v>30477</v>
      </c>
      <c r="D163" s="103"/>
      <c r="E163" s="2"/>
      <c r="F163" s="50"/>
    </row>
    <row r="164" spans="2:6" ht="14.4" x14ac:dyDescent="0.3">
      <c r="B164" s="2" t="s">
        <v>67</v>
      </c>
      <c r="C164" s="50">
        <v>25734</v>
      </c>
      <c r="D164" s="103"/>
      <c r="E164" s="2"/>
      <c r="F164" s="50"/>
    </row>
    <row r="165" spans="2:6" ht="14.4" x14ac:dyDescent="0.3">
      <c r="B165" s="2" t="s">
        <v>69</v>
      </c>
      <c r="C165" s="50">
        <v>12523</v>
      </c>
      <c r="D165" s="103"/>
      <c r="E165" s="2"/>
      <c r="F165" s="50"/>
    </row>
    <row r="166" spans="2:6" ht="14.4" x14ac:dyDescent="0.3">
      <c r="B166" s="2" t="s">
        <v>169</v>
      </c>
      <c r="C166" s="50">
        <v>11480</v>
      </c>
      <c r="D166" s="103"/>
      <c r="E166" s="2"/>
      <c r="F166" s="50"/>
    </row>
    <row r="167" spans="2:6" ht="14.4" x14ac:dyDescent="0.3">
      <c r="B167" s="2" t="s">
        <v>70</v>
      </c>
      <c r="C167" s="50">
        <v>8661</v>
      </c>
      <c r="D167" s="103"/>
      <c r="E167" s="2"/>
      <c r="F167" s="50"/>
    </row>
    <row r="168" spans="2:6" ht="14.4" x14ac:dyDescent="0.3">
      <c r="B168" s="2" t="s">
        <v>71</v>
      </c>
      <c r="C168" s="50">
        <v>5795</v>
      </c>
      <c r="D168" s="103"/>
      <c r="E168" s="2"/>
      <c r="F168" s="50"/>
    </row>
    <row r="169" spans="2:6" ht="14.4" x14ac:dyDescent="0.3">
      <c r="B169" s="2" t="s">
        <v>72</v>
      </c>
      <c r="C169" s="50">
        <v>2971</v>
      </c>
      <c r="D169" s="103"/>
      <c r="E169" s="2"/>
      <c r="F169" s="50"/>
    </row>
    <row r="170" spans="2:6" ht="14.4" x14ac:dyDescent="0.3">
      <c r="B170" s="2" t="s">
        <v>74</v>
      </c>
      <c r="C170" s="50">
        <v>2744</v>
      </c>
      <c r="D170" s="103"/>
      <c r="E170" s="2"/>
      <c r="F170" s="50"/>
    </row>
    <row r="171" spans="2:6" ht="14.4" x14ac:dyDescent="0.3">
      <c r="B171" s="2" t="s">
        <v>73</v>
      </c>
      <c r="C171" s="50">
        <v>1397</v>
      </c>
      <c r="E171" s="2"/>
      <c r="F171" s="50"/>
    </row>
    <row r="172" spans="2:6" ht="14.4" x14ac:dyDescent="0.3">
      <c r="B172" s="2" t="s">
        <v>22</v>
      </c>
      <c r="C172" s="50">
        <v>4324</v>
      </c>
      <c r="E172" s="2"/>
      <c r="F172" s="50"/>
    </row>
    <row r="173" spans="2:6" ht="14.4" x14ac:dyDescent="0.3">
      <c r="B173" s="2" t="s">
        <v>77</v>
      </c>
      <c r="C173" s="50">
        <v>148786</v>
      </c>
      <c r="E173" s="2"/>
      <c r="F173" s="50"/>
    </row>
    <row r="174" spans="2:6" x14ac:dyDescent="0.3">
      <c r="E174" s="90"/>
      <c r="F174" s="57"/>
    </row>
    <row r="175" spans="2:6" x14ac:dyDescent="0.3">
      <c r="B175" s="100" t="s">
        <v>24</v>
      </c>
      <c r="E175" s="100" t="s">
        <v>1</v>
      </c>
    </row>
    <row r="177" spans="2:9" ht="14.4" x14ac:dyDescent="0.3">
      <c r="B177" s="1" t="s">
        <v>66</v>
      </c>
      <c r="C177" s="1" t="s">
        <v>78</v>
      </c>
      <c r="E177" s="1" t="s">
        <v>66</v>
      </c>
      <c r="F177" s="1" t="s">
        <v>78</v>
      </c>
      <c r="H177" s="89" t="b">
        <f>B177=E177</f>
        <v>1</v>
      </c>
      <c r="I177" s="89" t="b">
        <f>C177=F177</f>
        <v>1</v>
      </c>
    </row>
    <row r="178" spans="2:9" ht="14.4" x14ac:dyDescent="0.3">
      <c r="B178" s="5" t="s">
        <v>17</v>
      </c>
      <c r="C178" s="50">
        <f>C162</f>
        <v>42680</v>
      </c>
      <c r="E178" s="5" t="s">
        <v>17</v>
      </c>
      <c r="F178" s="50">
        <v>42680</v>
      </c>
      <c r="H178" s="89" t="b">
        <f t="shared" ref="H178:H186" si="6">B178=E178</f>
        <v>1</v>
      </c>
      <c r="I178" s="89" t="b">
        <f t="shared" ref="I178:I186" si="7">C178=F178</f>
        <v>1</v>
      </c>
    </row>
    <row r="179" spans="2:9" ht="14.4" x14ac:dyDescent="0.3">
      <c r="B179" s="5" t="s">
        <v>15</v>
      </c>
      <c r="C179" s="50">
        <f>C163</f>
        <v>30477</v>
      </c>
      <c r="E179" s="5" t="s">
        <v>15</v>
      </c>
      <c r="F179" s="50">
        <v>30477</v>
      </c>
      <c r="H179" s="89" t="b">
        <f t="shared" si="6"/>
        <v>1</v>
      </c>
      <c r="I179" s="89" t="b">
        <f t="shared" si="7"/>
        <v>1</v>
      </c>
    </row>
    <row r="180" spans="2:9" ht="14.4" x14ac:dyDescent="0.3">
      <c r="B180" s="5" t="s">
        <v>16</v>
      </c>
      <c r="C180" s="50">
        <f>C164</f>
        <v>25734</v>
      </c>
      <c r="E180" s="5" t="s">
        <v>16</v>
      </c>
      <c r="F180" s="50">
        <v>25734</v>
      </c>
      <c r="H180" s="89" t="b">
        <f t="shared" si="6"/>
        <v>1</v>
      </c>
      <c r="I180" s="89" t="b">
        <f t="shared" si="7"/>
        <v>1</v>
      </c>
    </row>
    <row r="181" spans="2:9" ht="14.4" x14ac:dyDescent="0.3">
      <c r="B181" s="5" t="s">
        <v>18</v>
      </c>
      <c r="C181" s="50">
        <f>C166+C167</f>
        <v>20141</v>
      </c>
      <c r="E181" s="5" t="s">
        <v>18</v>
      </c>
      <c r="F181" s="50">
        <v>20041</v>
      </c>
      <c r="H181" s="89" t="b">
        <f t="shared" si="6"/>
        <v>1</v>
      </c>
      <c r="I181" s="98" t="b">
        <f t="shared" si="7"/>
        <v>0</v>
      </c>
    </row>
    <row r="182" spans="2:9" ht="14.4" x14ac:dyDescent="0.3">
      <c r="B182" s="5" t="s">
        <v>19</v>
      </c>
      <c r="C182" s="50">
        <f>C165</f>
        <v>12523</v>
      </c>
      <c r="E182" s="5" t="s">
        <v>19</v>
      </c>
      <c r="F182" s="50">
        <v>12523</v>
      </c>
      <c r="H182" s="89" t="b">
        <f t="shared" si="6"/>
        <v>1</v>
      </c>
      <c r="I182" s="89" t="b">
        <f t="shared" si="7"/>
        <v>1</v>
      </c>
    </row>
    <row r="183" spans="2:9" ht="14.4" x14ac:dyDescent="0.3">
      <c r="B183" s="5" t="s">
        <v>51</v>
      </c>
      <c r="C183" s="50">
        <f>C169</f>
        <v>2971</v>
      </c>
      <c r="E183" s="5" t="s">
        <v>51</v>
      </c>
      <c r="F183" s="50">
        <v>2971</v>
      </c>
      <c r="H183" s="89" t="b">
        <f t="shared" si="6"/>
        <v>1</v>
      </c>
      <c r="I183" s="89" t="b">
        <f t="shared" si="7"/>
        <v>1</v>
      </c>
    </row>
    <row r="184" spans="2:9" ht="14.4" x14ac:dyDescent="0.3">
      <c r="B184" s="5" t="s">
        <v>21</v>
      </c>
      <c r="C184" s="50">
        <f>C171</f>
        <v>1397</v>
      </c>
      <c r="E184" s="5" t="s">
        <v>21</v>
      </c>
      <c r="F184" s="50">
        <v>1990</v>
      </c>
      <c r="H184" s="89" t="b">
        <f t="shared" si="6"/>
        <v>1</v>
      </c>
      <c r="I184" s="98" t="b">
        <f t="shared" si="7"/>
        <v>0</v>
      </c>
    </row>
    <row r="185" spans="2:9" ht="14.4" x14ac:dyDescent="0.3">
      <c r="B185" s="5" t="s">
        <v>22</v>
      </c>
      <c r="C185" s="50">
        <f>SUM(C168,C170,C172)</f>
        <v>12863</v>
      </c>
      <c r="E185" s="5" t="s">
        <v>22</v>
      </c>
      <c r="F185" s="50">
        <v>11792</v>
      </c>
      <c r="H185" s="89" t="b">
        <f t="shared" si="6"/>
        <v>1</v>
      </c>
      <c r="I185" s="98" t="b">
        <f t="shared" si="7"/>
        <v>0</v>
      </c>
    </row>
    <row r="186" spans="2:9" ht="14.4" x14ac:dyDescent="0.3">
      <c r="B186" s="5" t="s">
        <v>77</v>
      </c>
      <c r="C186" s="50">
        <f>SUM(C178:C185)</f>
        <v>148786</v>
      </c>
      <c r="E186" s="5" t="s">
        <v>77</v>
      </c>
      <c r="F186" s="50">
        <v>148786</v>
      </c>
      <c r="H186" s="89" t="b">
        <f t="shared" si="6"/>
        <v>1</v>
      </c>
      <c r="I186" s="89" t="b">
        <f t="shared" si="7"/>
        <v>1</v>
      </c>
    </row>
    <row r="187" spans="2:9" x14ac:dyDescent="0.3">
      <c r="E187" s="90"/>
      <c r="F187" s="57"/>
    </row>
    <row r="188" spans="2:9" x14ac:dyDescent="0.3">
      <c r="E188" s="91" t="s">
        <v>5</v>
      </c>
      <c r="F188" s="57">
        <f>17/20</f>
        <v>0.85</v>
      </c>
    </row>
    <row r="209" spans="2:6" x14ac:dyDescent="0.3">
      <c r="C209" s="104"/>
      <c r="D209" s="104"/>
      <c r="F209" s="104"/>
    </row>
    <row r="210" spans="2:6" x14ac:dyDescent="0.3">
      <c r="B210" s="102"/>
      <c r="C210" s="105"/>
      <c r="D210" s="105"/>
      <c r="E210" s="102"/>
      <c r="F210" s="105"/>
    </row>
    <row r="211" spans="2:6" x14ac:dyDescent="0.3">
      <c r="B211" s="102"/>
      <c r="C211" s="105"/>
      <c r="D211" s="105"/>
      <c r="E211" s="102"/>
      <c r="F211" s="106"/>
    </row>
    <row r="212" spans="2:6" x14ac:dyDescent="0.3">
      <c r="B212" s="102"/>
      <c r="C212" s="105"/>
      <c r="D212" s="105"/>
      <c r="E212" s="102"/>
      <c r="F212" s="107"/>
    </row>
    <row r="213" spans="2:6" x14ac:dyDescent="0.3">
      <c r="B213" s="102"/>
      <c r="C213" s="105"/>
      <c r="D213" s="105"/>
      <c r="E213" s="102"/>
      <c r="F213" s="105"/>
    </row>
    <row r="214" spans="2:6" x14ac:dyDescent="0.3">
      <c r="B214" s="102"/>
      <c r="C214" s="105"/>
      <c r="D214" s="105"/>
      <c r="E214" s="102"/>
      <c r="F214" s="105"/>
    </row>
    <row r="215" spans="2:6" x14ac:dyDescent="0.3">
      <c r="B215" s="102"/>
      <c r="C215" s="105"/>
      <c r="D215" s="105"/>
      <c r="E215" s="102"/>
      <c r="F215" s="105"/>
    </row>
    <row r="216" spans="2:6" x14ac:dyDescent="0.3">
      <c r="B216" s="102"/>
      <c r="C216" s="105"/>
      <c r="D216" s="105"/>
      <c r="E216" s="102"/>
      <c r="F216" s="105"/>
    </row>
    <row r="217" spans="2:6" x14ac:dyDescent="0.3">
      <c r="B217" s="102"/>
      <c r="C217" s="105"/>
      <c r="D217" s="105"/>
      <c r="E217" s="102"/>
      <c r="F217" s="105"/>
    </row>
    <row r="219" spans="2:6" x14ac:dyDescent="0.3">
      <c r="E219" s="108"/>
      <c r="F219" s="109"/>
    </row>
  </sheetData>
  <pageMargins left="0.7" right="0.7" top="0.75" bottom="0.75" header="0.3" footer="0.3"/>
  <pageSetup orientation="portrait"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59FF9-8CF0-4FCE-9B21-19546BF9130F}">
  <dimension ref="B2:P26"/>
  <sheetViews>
    <sheetView showGridLines="0" workbookViewId="0">
      <selection activeCell="J38" sqref="J38"/>
    </sheetView>
  </sheetViews>
  <sheetFormatPr defaultRowHeight="14.4" x14ac:dyDescent="0.3"/>
  <cols>
    <col min="1" max="1" width="3.109375" customWidth="1"/>
  </cols>
  <sheetData>
    <row r="2" spans="2:16" x14ac:dyDescent="0.3">
      <c r="B2" s="10" t="s">
        <v>31</v>
      </c>
      <c r="C2" s="2"/>
      <c r="D2" s="2"/>
      <c r="E2" s="2"/>
      <c r="F2" s="2"/>
      <c r="G2" s="2"/>
      <c r="J2" s="2"/>
      <c r="K2" s="10" t="s">
        <v>32</v>
      </c>
      <c r="L2" s="2"/>
      <c r="M2" s="2"/>
      <c r="N2" s="2"/>
    </row>
    <row r="3" spans="2:16" x14ac:dyDescent="0.3">
      <c r="B3" s="2"/>
      <c r="C3" s="2"/>
      <c r="D3" s="2"/>
      <c r="E3" s="2"/>
      <c r="F3" s="2"/>
      <c r="G3" s="2"/>
      <c r="J3" s="2"/>
      <c r="K3" s="2"/>
      <c r="L3" s="2"/>
      <c r="M3" s="2"/>
      <c r="N3" s="2"/>
    </row>
    <row r="4" spans="2:16" x14ac:dyDescent="0.3">
      <c r="B4" s="2"/>
      <c r="C4" s="2"/>
      <c r="D4" s="2"/>
      <c r="E4" s="2"/>
      <c r="F4" s="2"/>
      <c r="G4" s="2"/>
      <c r="J4" s="2"/>
      <c r="K4" s="2"/>
      <c r="L4" s="2"/>
      <c r="M4" s="2"/>
      <c r="N4" s="2"/>
    </row>
    <row r="5" spans="2:16" x14ac:dyDescent="0.3">
      <c r="B5" s="2"/>
      <c r="C5" s="2"/>
      <c r="D5" s="2"/>
      <c r="E5" s="2"/>
      <c r="F5" s="2"/>
      <c r="G5" s="2"/>
      <c r="J5" s="2"/>
      <c r="K5" s="2"/>
      <c r="L5" s="2"/>
      <c r="M5" s="2"/>
      <c r="N5" s="2"/>
    </row>
    <row r="6" spans="2:16" x14ac:dyDescent="0.3">
      <c r="B6" s="2"/>
      <c r="C6" s="2"/>
      <c r="D6" s="2"/>
      <c r="E6" s="2"/>
      <c r="F6" s="2"/>
      <c r="G6" s="2"/>
      <c r="J6" s="2"/>
      <c r="K6" s="2"/>
      <c r="L6" s="2"/>
      <c r="M6" s="2"/>
      <c r="N6" s="2"/>
    </row>
    <row r="7" spans="2:16" x14ac:dyDescent="0.3">
      <c r="B7" s="2"/>
      <c r="C7" s="2"/>
      <c r="D7" s="2"/>
      <c r="E7" s="2"/>
      <c r="F7" s="2"/>
      <c r="G7" s="2"/>
      <c r="J7" s="2"/>
      <c r="K7" s="2"/>
      <c r="L7" s="2"/>
      <c r="M7" s="2"/>
      <c r="N7" s="2"/>
    </row>
    <row r="8" spans="2:16" x14ac:dyDescent="0.3">
      <c r="B8" s="2"/>
      <c r="C8" s="2"/>
      <c r="D8" s="2"/>
      <c r="E8" s="2"/>
      <c r="F8" s="2"/>
      <c r="G8" s="2"/>
      <c r="J8" s="2"/>
      <c r="K8" s="2"/>
      <c r="L8" s="2"/>
      <c r="M8" s="2"/>
      <c r="N8" s="2"/>
    </row>
    <row r="9" spans="2:16" x14ac:dyDescent="0.3">
      <c r="B9" s="2"/>
      <c r="C9" s="2"/>
      <c r="D9" s="2"/>
      <c r="E9" s="2"/>
      <c r="F9" s="2"/>
      <c r="G9" s="2"/>
      <c r="J9" s="2"/>
      <c r="K9" s="2"/>
      <c r="L9" s="2"/>
      <c r="M9" s="2"/>
      <c r="N9" s="2"/>
    </row>
    <row r="10" spans="2:16" x14ac:dyDescent="0.3">
      <c r="B10" s="2"/>
      <c r="C10" s="2"/>
      <c r="D10" s="2"/>
      <c r="E10" s="2"/>
      <c r="F10" s="2"/>
      <c r="G10" s="2"/>
      <c r="J10" s="2"/>
      <c r="K10" s="2"/>
      <c r="L10" s="2"/>
      <c r="M10" s="2"/>
      <c r="N10" s="2"/>
    </row>
    <row r="11" spans="2:16" x14ac:dyDescent="0.3">
      <c r="B11" s="2"/>
      <c r="C11" s="2"/>
      <c r="D11" s="2"/>
      <c r="E11" s="2"/>
      <c r="F11" s="2"/>
      <c r="G11" s="2"/>
      <c r="J11" s="2"/>
      <c r="K11" s="2"/>
      <c r="L11" s="2"/>
      <c r="M11" s="2"/>
      <c r="N11" s="2"/>
    </row>
    <row r="12" spans="2:16" x14ac:dyDescent="0.3">
      <c r="B12" s="2"/>
      <c r="C12" s="2"/>
      <c r="D12" s="2"/>
      <c r="E12" s="2"/>
      <c r="F12" s="2"/>
      <c r="G12" s="2"/>
      <c r="J12" s="2"/>
      <c r="K12" s="2"/>
      <c r="L12" s="2"/>
      <c r="M12" s="2"/>
      <c r="N12" s="2"/>
    </row>
    <row r="13" spans="2:16" x14ac:dyDescent="0.3">
      <c r="B13" s="2"/>
      <c r="C13" s="2"/>
      <c r="D13" s="2"/>
      <c r="E13" s="2"/>
      <c r="F13" s="2"/>
      <c r="G13" s="2"/>
      <c r="J13" s="2"/>
      <c r="K13" s="2"/>
      <c r="L13" s="2"/>
      <c r="M13" s="2"/>
      <c r="N13" s="2"/>
    </row>
    <row r="14" spans="2:16" x14ac:dyDescent="0.3">
      <c r="B14" s="10" t="s">
        <v>33</v>
      </c>
      <c r="C14" s="2"/>
      <c r="D14" s="2"/>
      <c r="E14" s="2"/>
      <c r="F14" s="2"/>
      <c r="G14" s="2"/>
      <c r="K14" s="10" t="s">
        <v>30</v>
      </c>
      <c r="L14" s="2"/>
      <c r="M14" s="2"/>
      <c r="N14" s="2"/>
      <c r="O14" s="2"/>
      <c r="P14" s="2"/>
    </row>
    <row r="15" spans="2:16" x14ac:dyDescent="0.3">
      <c r="B15" s="2"/>
      <c r="C15" s="2"/>
      <c r="D15" s="2"/>
      <c r="E15" s="2"/>
      <c r="F15" s="2"/>
      <c r="G15" s="2"/>
      <c r="K15" s="2"/>
      <c r="L15" s="2"/>
      <c r="M15" s="2"/>
      <c r="N15" s="2"/>
      <c r="O15" s="2"/>
      <c r="P15" s="2"/>
    </row>
    <row r="16" spans="2:16" x14ac:dyDescent="0.3">
      <c r="B16" s="2"/>
      <c r="C16" s="2"/>
      <c r="D16" s="2"/>
      <c r="E16" s="2"/>
      <c r="F16" s="2"/>
      <c r="G16" s="2"/>
      <c r="K16" s="2"/>
      <c r="L16" s="2"/>
      <c r="M16" s="2"/>
      <c r="N16" s="2"/>
      <c r="O16" s="2"/>
      <c r="P16" s="2"/>
    </row>
    <row r="17" spans="2:16" x14ac:dyDescent="0.3">
      <c r="B17" s="2"/>
      <c r="C17" s="2"/>
      <c r="D17" s="2"/>
      <c r="E17" s="2"/>
      <c r="F17" s="2"/>
      <c r="G17" s="2"/>
      <c r="K17" s="2"/>
      <c r="L17" s="2"/>
      <c r="M17" s="2"/>
      <c r="N17" s="2"/>
      <c r="O17" s="2"/>
      <c r="P17" s="2"/>
    </row>
    <row r="18" spans="2:16" x14ac:dyDescent="0.3">
      <c r="B18" s="2"/>
      <c r="C18" s="2"/>
      <c r="D18" s="2"/>
      <c r="E18" s="2"/>
      <c r="F18" s="2"/>
      <c r="G18" s="2"/>
      <c r="K18" s="2"/>
      <c r="L18" s="2"/>
      <c r="M18" s="2"/>
      <c r="N18" s="2"/>
      <c r="O18" s="2"/>
      <c r="P18" s="2"/>
    </row>
    <row r="19" spans="2:16" x14ac:dyDescent="0.3">
      <c r="B19" s="2"/>
      <c r="C19" s="2"/>
      <c r="D19" s="2"/>
      <c r="E19" s="2"/>
      <c r="F19" s="2"/>
      <c r="G19" s="2"/>
      <c r="K19" s="2"/>
      <c r="L19" s="2"/>
      <c r="M19" s="2"/>
      <c r="N19" s="2"/>
      <c r="O19" s="2"/>
      <c r="P19" s="2"/>
    </row>
    <row r="20" spans="2:16" x14ac:dyDescent="0.3">
      <c r="B20" s="2"/>
      <c r="C20" s="2"/>
      <c r="D20" s="2"/>
      <c r="E20" s="2"/>
      <c r="F20" s="2"/>
      <c r="G20" s="2"/>
      <c r="K20" s="2"/>
      <c r="L20" s="2"/>
      <c r="M20" s="2"/>
      <c r="N20" s="2"/>
      <c r="O20" s="2"/>
      <c r="P20" s="2"/>
    </row>
    <row r="21" spans="2:16" x14ac:dyDescent="0.3">
      <c r="B21" s="2"/>
      <c r="C21" s="2"/>
      <c r="D21" s="2"/>
      <c r="E21" s="2"/>
      <c r="F21" s="2"/>
      <c r="G21" s="2"/>
      <c r="K21" s="2"/>
      <c r="L21" s="2"/>
      <c r="M21" s="2"/>
      <c r="N21" s="2"/>
      <c r="O21" s="2"/>
      <c r="P21" s="2"/>
    </row>
    <row r="22" spans="2:16" x14ac:dyDescent="0.3">
      <c r="B22" s="2"/>
      <c r="C22" s="2"/>
      <c r="D22" s="2"/>
      <c r="E22" s="2"/>
      <c r="F22" s="2"/>
      <c r="G22" s="2"/>
      <c r="K22" s="2"/>
      <c r="L22" s="2"/>
      <c r="M22" s="2"/>
      <c r="N22" s="2"/>
      <c r="O22" s="2"/>
      <c r="P22" s="2"/>
    </row>
    <row r="23" spans="2:16" x14ac:dyDescent="0.3">
      <c r="B23" s="2"/>
      <c r="C23" s="2"/>
      <c r="D23" s="2"/>
      <c r="E23" s="2"/>
      <c r="F23" s="2"/>
      <c r="G23" s="2"/>
      <c r="K23" s="2"/>
      <c r="L23" s="2"/>
      <c r="M23" s="2"/>
      <c r="N23" s="2"/>
      <c r="O23" s="2"/>
      <c r="P23" s="2"/>
    </row>
    <row r="24" spans="2:16" x14ac:dyDescent="0.3">
      <c r="B24" s="2"/>
      <c r="C24" s="2"/>
      <c r="D24" s="2"/>
      <c r="E24" s="2"/>
      <c r="F24" s="2"/>
      <c r="G24" s="2"/>
      <c r="K24" s="2"/>
      <c r="L24" s="2"/>
      <c r="M24" s="2"/>
      <c r="N24" s="2"/>
      <c r="O24" s="2"/>
      <c r="P24" s="2"/>
    </row>
    <row r="25" spans="2:16" x14ac:dyDescent="0.3">
      <c r="B25" s="2"/>
      <c r="C25" s="2"/>
      <c r="D25" s="2"/>
      <c r="E25" s="2"/>
      <c r="F25" s="2"/>
      <c r="G25" s="2"/>
      <c r="K25" s="2"/>
      <c r="L25" s="2"/>
      <c r="M25" s="2"/>
      <c r="N25" s="2"/>
      <c r="O25" s="2"/>
      <c r="P25" s="2"/>
    </row>
    <row r="26" spans="2:16" x14ac:dyDescent="0.3">
      <c r="B26" s="2"/>
      <c r="C26" s="2"/>
      <c r="D26" s="2"/>
      <c r="E26" s="2"/>
      <c r="F26" s="2"/>
      <c r="G26" s="2"/>
      <c r="K26" s="2"/>
      <c r="L26" s="2"/>
      <c r="M26" s="2"/>
      <c r="N26" s="2"/>
      <c r="O26" s="2"/>
      <c r="P26" s="2"/>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A540A-7935-4B61-8DDB-6B15D1271BD1}">
  <sheetPr>
    <tabColor rgb="FF00B0F0"/>
  </sheetPr>
  <dimension ref="A1"/>
  <sheetViews>
    <sheetView workbookViewId="0">
      <selection activeCell="E39" sqref="E39"/>
    </sheetView>
  </sheetViews>
  <sheetFormatPr defaultRowHeight="14.4"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8020B-6102-489B-A3A8-7C661AE20450}">
  <dimension ref="A2:Q82"/>
  <sheetViews>
    <sheetView showGridLines="0" workbookViewId="0">
      <selection activeCell="G14" sqref="G14"/>
    </sheetView>
  </sheetViews>
  <sheetFormatPr defaultRowHeight="14.4" x14ac:dyDescent="0.3"/>
  <cols>
    <col min="2" max="2" width="15.88671875" bestFit="1" customWidth="1"/>
    <col min="3" max="3" width="11" bestFit="1" customWidth="1"/>
    <col min="4" max="4" width="8.21875" bestFit="1" customWidth="1"/>
    <col min="5" max="5" width="11.21875" bestFit="1" customWidth="1"/>
    <col min="7" max="7" width="15.88671875" bestFit="1" customWidth="1"/>
    <col min="8" max="8" width="11.21875" bestFit="1" customWidth="1"/>
  </cols>
  <sheetData>
    <row r="2" spans="1:8" x14ac:dyDescent="0.3">
      <c r="A2" s="2"/>
      <c r="B2" s="2"/>
      <c r="C2" s="2"/>
      <c r="D2" s="2"/>
      <c r="E2" s="2"/>
      <c r="F2" s="2"/>
      <c r="G2" s="2"/>
      <c r="H2" s="2"/>
    </row>
    <row r="3" spans="1:8" x14ac:dyDescent="0.3">
      <c r="A3" s="71" t="s">
        <v>8</v>
      </c>
      <c r="B3" s="1" t="s">
        <v>66</v>
      </c>
      <c r="C3" s="4" t="s">
        <v>120</v>
      </c>
      <c r="D3" s="4" t="s">
        <v>121</v>
      </c>
      <c r="E3" s="4" t="s">
        <v>78</v>
      </c>
      <c r="F3" s="2"/>
      <c r="G3" s="1" t="s">
        <v>66</v>
      </c>
      <c r="H3" s="4" t="s">
        <v>78</v>
      </c>
    </row>
    <row r="4" spans="1:8" x14ac:dyDescent="0.3">
      <c r="A4" s="2"/>
      <c r="B4" s="2" t="s">
        <v>130</v>
      </c>
      <c r="C4" s="3" t="s">
        <v>170</v>
      </c>
      <c r="D4" s="3">
        <v>152</v>
      </c>
      <c r="E4" s="3">
        <f t="shared" ref="E4:E17" si="0">SUM(C4:D4)</f>
        <v>152</v>
      </c>
      <c r="F4" s="2"/>
      <c r="G4" s="2" t="s">
        <v>16</v>
      </c>
      <c r="H4" s="73">
        <f>E6</f>
        <v>733</v>
      </c>
    </row>
    <row r="5" spans="1:8" x14ac:dyDescent="0.3">
      <c r="A5" s="2"/>
      <c r="B5" s="2" t="s">
        <v>113</v>
      </c>
      <c r="C5" s="3" t="s">
        <v>170</v>
      </c>
      <c r="D5" s="3">
        <v>135</v>
      </c>
      <c r="E5" s="3">
        <f t="shared" si="0"/>
        <v>135</v>
      </c>
      <c r="F5" s="2"/>
      <c r="G5" s="2" t="s">
        <v>19</v>
      </c>
      <c r="H5" s="73">
        <f>E8</f>
        <v>234</v>
      </c>
    </row>
    <row r="6" spans="1:8" x14ac:dyDescent="0.3">
      <c r="A6" s="2"/>
      <c r="B6" s="2" t="s">
        <v>16</v>
      </c>
      <c r="C6" s="3">
        <v>54</v>
      </c>
      <c r="D6" s="3">
        <v>679</v>
      </c>
      <c r="E6" s="3">
        <f t="shared" si="0"/>
        <v>733</v>
      </c>
      <c r="F6" s="2"/>
      <c r="G6" s="2" t="s">
        <v>17</v>
      </c>
      <c r="H6" s="73">
        <f>E10</f>
        <v>8010</v>
      </c>
    </row>
    <row r="7" spans="1:8" x14ac:dyDescent="0.3">
      <c r="A7" s="2"/>
      <c r="B7" s="2" t="s">
        <v>114</v>
      </c>
      <c r="C7" s="3">
        <v>28</v>
      </c>
      <c r="D7" s="3">
        <v>20</v>
      </c>
      <c r="E7" s="3">
        <f t="shared" si="0"/>
        <v>48</v>
      </c>
      <c r="F7" s="2"/>
      <c r="G7" s="2" t="s">
        <v>15</v>
      </c>
      <c r="H7" s="73">
        <f>E11+E9</f>
        <v>1009</v>
      </c>
    </row>
    <row r="8" spans="1:8" x14ac:dyDescent="0.3">
      <c r="A8" s="2"/>
      <c r="B8" s="2" t="s">
        <v>19</v>
      </c>
      <c r="C8" s="3" t="s">
        <v>170</v>
      </c>
      <c r="D8" s="3">
        <v>234</v>
      </c>
      <c r="E8" s="3">
        <f t="shared" si="0"/>
        <v>234</v>
      </c>
      <c r="F8" s="2"/>
      <c r="G8" s="2" t="s">
        <v>18</v>
      </c>
      <c r="H8" s="73">
        <f>E12</f>
        <v>880</v>
      </c>
    </row>
    <row r="9" spans="1:8" x14ac:dyDescent="0.3">
      <c r="A9" s="2"/>
      <c r="B9" s="2" t="s">
        <v>115</v>
      </c>
      <c r="C9" s="3" t="s">
        <v>170</v>
      </c>
      <c r="D9" s="3">
        <v>271</v>
      </c>
      <c r="E9" s="3">
        <f t="shared" si="0"/>
        <v>271</v>
      </c>
      <c r="F9" s="2"/>
      <c r="G9" s="2" t="s">
        <v>22</v>
      </c>
      <c r="H9" s="73">
        <f>SUM(E4:E5,E7,E13:E17)</f>
        <v>2138</v>
      </c>
    </row>
    <row r="10" spans="1:8" x14ac:dyDescent="0.3">
      <c r="A10" s="2"/>
      <c r="B10" s="2" t="s">
        <v>116</v>
      </c>
      <c r="C10" s="50">
        <v>2405</v>
      </c>
      <c r="D10" s="50">
        <v>5605</v>
      </c>
      <c r="E10" s="3">
        <f t="shared" si="0"/>
        <v>8010</v>
      </c>
      <c r="F10" s="2"/>
      <c r="G10" s="7" t="s">
        <v>77</v>
      </c>
      <c r="H10" s="125">
        <f>SUM(H4:H9)</f>
        <v>13004</v>
      </c>
    </row>
    <row r="11" spans="1:8" x14ac:dyDescent="0.3">
      <c r="A11" s="2"/>
      <c r="B11" s="2" t="s">
        <v>15</v>
      </c>
      <c r="C11" s="3" t="s">
        <v>170</v>
      </c>
      <c r="D11" s="3">
        <v>738</v>
      </c>
      <c r="E11" s="3">
        <f t="shared" si="0"/>
        <v>738</v>
      </c>
      <c r="F11" s="2"/>
      <c r="G11" s="2"/>
      <c r="H11" s="2"/>
    </row>
    <row r="12" spans="1:8" x14ac:dyDescent="0.3">
      <c r="A12" s="2"/>
      <c r="B12" s="2" t="s">
        <v>18</v>
      </c>
      <c r="C12" s="3">
        <v>43</v>
      </c>
      <c r="D12" s="3">
        <v>837</v>
      </c>
      <c r="E12" s="3">
        <f t="shared" si="0"/>
        <v>880</v>
      </c>
      <c r="F12" s="2"/>
      <c r="G12" s="2"/>
      <c r="H12" s="2"/>
    </row>
    <row r="13" spans="1:8" x14ac:dyDescent="0.3">
      <c r="A13" s="2"/>
      <c r="B13" s="2" t="s">
        <v>117</v>
      </c>
      <c r="C13" s="3">
        <v>14</v>
      </c>
      <c r="D13" s="3">
        <v>346</v>
      </c>
      <c r="E13" s="3">
        <f t="shared" si="0"/>
        <v>360</v>
      </c>
      <c r="F13" s="2"/>
      <c r="G13" s="2"/>
      <c r="H13" s="2"/>
    </row>
    <row r="14" spans="1:8" x14ac:dyDescent="0.3">
      <c r="A14" s="2"/>
      <c r="B14" s="2" t="s">
        <v>101</v>
      </c>
      <c r="C14" s="3">
        <v>154</v>
      </c>
      <c r="D14" s="3">
        <v>439</v>
      </c>
      <c r="E14" s="3">
        <f t="shared" si="0"/>
        <v>593</v>
      </c>
      <c r="F14" s="2"/>
      <c r="G14" s="2"/>
      <c r="H14" s="2"/>
    </row>
    <row r="15" spans="1:8" x14ac:dyDescent="0.3">
      <c r="A15" s="2"/>
      <c r="B15" s="2" t="s">
        <v>118</v>
      </c>
      <c r="C15" s="3" t="s">
        <v>170</v>
      </c>
      <c r="D15" s="3">
        <v>392</v>
      </c>
      <c r="E15" s="3">
        <f t="shared" si="0"/>
        <v>392</v>
      </c>
      <c r="F15" s="2"/>
      <c r="G15" s="2"/>
      <c r="H15" s="2"/>
    </row>
    <row r="16" spans="1:8" x14ac:dyDescent="0.3">
      <c r="A16" s="2"/>
      <c r="B16" s="2" t="s">
        <v>119</v>
      </c>
      <c r="C16" s="3">
        <v>50</v>
      </c>
      <c r="D16" s="3">
        <v>190</v>
      </c>
      <c r="E16" s="3">
        <f t="shared" si="0"/>
        <v>240</v>
      </c>
      <c r="F16" s="2"/>
      <c r="G16" s="2"/>
      <c r="H16" s="2"/>
    </row>
    <row r="17" spans="1:17" x14ac:dyDescent="0.3">
      <c r="A17" s="2"/>
      <c r="B17" s="2" t="s">
        <v>22</v>
      </c>
      <c r="C17" s="3" t="s">
        <v>170</v>
      </c>
      <c r="D17" s="3">
        <v>218</v>
      </c>
      <c r="E17" s="3">
        <f t="shared" si="0"/>
        <v>218</v>
      </c>
      <c r="F17" s="2"/>
      <c r="G17" s="2"/>
      <c r="H17" s="2"/>
    </row>
    <row r="18" spans="1:17" x14ac:dyDescent="0.3">
      <c r="A18" s="2"/>
      <c r="B18" s="7" t="s">
        <v>77</v>
      </c>
      <c r="C18" s="58">
        <f>SUM(C4:C17)</f>
        <v>2748</v>
      </c>
      <c r="D18" s="58">
        <f>SUM(D4:D17)</f>
        <v>10256</v>
      </c>
      <c r="E18" s="58">
        <f>SUM(E4:E17)</f>
        <v>13004</v>
      </c>
      <c r="F18" s="2"/>
      <c r="G18" s="2"/>
      <c r="H18" s="2"/>
    </row>
    <row r="24" spans="1:17" x14ac:dyDescent="0.3">
      <c r="A24" s="71" t="s">
        <v>7</v>
      </c>
      <c r="B24" s="1" t="s">
        <v>66</v>
      </c>
      <c r="C24" s="4" t="s">
        <v>120</v>
      </c>
      <c r="D24" s="4" t="s">
        <v>121</v>
      </c>
      <c r="E24" s="4" t="s">
        <v>78</v>
      </c>
      <c r="F24" s="50"/>
      <c r="G24" s="1" t="s">
        <v>66</v>
      </c>
      <c r="H24" s="4" t="s">
        <v>78</v>
      </c>
      <c r="J24" s="3"/>
      <c r="K24" s="1"/>
      <c r="L24" s="1"/>
      <c r="M24" s="1"/>
      <c r="N24" s="1"/>
      <c r="O24" s="1"/>
      <c r="P24" s="1"/>
      <c r="Q24" s="1"/>
    </row>
    <row r="25" spans="1:17" x14ac:dyDescent="0.3">
      <c r="B25" s="5" t="s">
        <v>113</v>
      </c>
      <c r="C25" s="50" t="s">
        <v>170</v>
      </c>
      <c r="D25" s="50">
        <v>136</v>
      </c>
      <c r="E25" s="50">
        <f t="shared" ref="E25:E38" si="1">SUM(C25:D25)</f>
        <v>136</v>
      </c>
      <c r="F25" s="50"/>
      <c r="G25" s="5" t="s">
        <v>16</v>
      </c>
      <c r="H25" s="50">
        <v>763</v>
      </c>
      <c r="J25" s="3"/>
      <c r="K25" s="50"/>
      <c r="L25" s="3"/>
      <c r="M25" s="5"/>
      <c r="N25" s="50"/>
      <c r="O25" s="3"/>
      <c r="P25" s="3"/>
      <c r="Q25" s="3"/>
    </row>
    <row r="26" spans="1:17" x14ac:dyDescent="0.3">
      <c r="B26" s="5" t="s">
        <v>16</v>
      </c>
      <c r="C26" s="50">
        <v>141</v>
      </c>
      <c r="D26" s="50">
        <v>622</v>
      </c>
      <c r="E26" s="50">
        <f t="shared" si="1"/>
        <v>763</v>
      </c>
      <c r="F26" s="50"/>
      <c r="G26" s="5" t="s">
        <v>19</v>
      </c>
      <c r="H26" s="50">
        <v>226</v>
      </c>
      <c r="J26" s="3"/>
      <c r="K26" s="50"/>
      <c r="L26" s="3"/>
      <c r="M26" s="5"/>
      <c r="N26" s="50"/>
      <c r="O26" s="3"/>
      <c r="P26" s="3"/>
      <c r="Q26" s="3"/>
    </row>
    <row r="27" spans="1:17" x14ac:dyDescent="0.3">
      <c r="B27" s="5" t="s">
        <v>114</v>
      </c>
      <c r="C27" s="50">
        <v>18</v>
      </c>
      <c r="D27" s="50">
        <v>23</v>
      </c>
      <c r="E27" s="50">
        <f t="shared" si="1"/>
        <v>41</v>
      </c>
      <c r="F27" s="50"/>
      <c r="G27" s="5" t="s">
        <v>116</v>
      </c>
      <c r="H27" s="50">
        <v>8387</v>
      </c>
      <c r="J27" s="3"/>
      <c r="K27" s="50"/>
      <c r="L27" s="3"/>
      <c r="M27" s="5"/>
      <c r="N27" s="50"/>
      <c r="O27" s="3"/>
      <c r="P27" s="3"/>
      <c r="Q27" s="3"/>
    </row>
    <row r="28" spans="1:17" x14ac:dyDescent="0.3">
      <c r="B28" s="5" t="s">
        <v>19</v>
      </c>
      <c r="C28" s="50" t="s">
        <v>170</v>
      </c>
      <c r="D28" s="50">
        <v>226</v>
      </c>
      <c r="E28" s="50">
        <f t="shared" si="1"/>
        <v>226</v>
      </c>
      <c r="F28" s="50"/>
      <c r="G28" s="5" t="s">
        <v>15</v>
      </c>
      <c r="H28" s="50">
        <f>E31+E29</f>
        <v>1030</v>
      </c>
      <c r="J28" s="3"/>
      <c r="K28" s="50"/>
      <c r="L28" s="3"/>
      <c r="M28" s="5"/>
      <c r="N28" s="50"/>
      <c r="O28" s="3"/>
      <c r="P28" s="3"/>
      <c r="Q28" s="3"/>
    </row>
    <row r="29" spans="1:17" x14ac:dyDescent="0.3">
      <c r="B29" s="5" t="s">
        <v>115</v>
      </c>
      <c r="C29" s="50" t="s">
        <v>170</v>
      </c>
      <c r="D29" s="50">
        <v>278</v>
      </c>
      <c r="E29" s="50">
        <f t="shared" si="1"/>
        <v>278</v>
      </c>
      <c r="F29" s="50"/>
      <c r="G29" s="5" t="s">
        <v>18</v>
      </c>
      <c r="H29" s="50">
        <v>889</v>
      </c>
      <c r="J29" s="3"/>
      <c r="K29" s="50"/>
      <c r="L29" s="3"/>
      <c r="M29" s="5"/>
      <c r="N29" s="50"/>
      <c r="O29" s="3"/>
      <c r="P29" s="3"/>
      <c r="Q29" s="3"/>
    </row>
    <row r="30" spans="1:17" x14ac:dyDescent="0.3">
      <c r="B30" s="5" t="s">
        <v>116</v>
      </c>
      <c r="C30" s="50">
        <v>2492</v>
      </c>
      <c r="D30" s="50">
        <v>5895</v>
      </c>
      <c r="E30" s="50">
        <f t="shared" si="1"/>
        <v>8387</v>
      </c>
      <c r="F30" s="50"/>
      <c r="G30" s="5" t="s">
        <v>22</v>
      </c>
      <c r="H30" s="50">
        <f>SUM(E33:E37,E25,E27)</f>
        <v>2027</v>
      </c>
      <c r="J30" s="3"/>
      <c r="K30" s="50"/>
      <c r="L30" s="3"/>
      <c r="M30" s="5"/>
      <c r="N30" s="50"/>
      <c r="O30" s="3"/>
      <c r="P30" s="3"/>
      <c r="Q30" s="3"/>
    </row>
    <row r="31" spans="1:17" x14ac:dyDescent="0.3">
      <c r="B31" s="5" t="s">
        <v>15</v>
      </c>
      <c r="C31" s="50" t="s">
        <v>170</v>
      </c>
      <c r="D31" s="50">
        <v>752</v>
      </c>
      <c r="E31" s="50">
        <f t="shared" si="1"/>
        <v>752</v>
      </c>
      <c r="F31" s="50"/>
      <c r="G31" s="5" t="s">
        <v>77</v>
      </c>
      <c r="H31" s="50">
        <f>SUM(H25:H30)</f>
        <v>13322</v>
      </c>
      <c r="J31" s="3"/>
      <c r="K31" s="50"/>
      <c r="L31" s="3"/>
      <c r="M31" s="5"/>
      <c r="N31" s="50"/>
      <c r="O31" s="3"/>
      <c r="P31" s="3"/>
      <c r="Q31" s="3"/>
    </row>
    <row r="32" spans="1:17" x14ac:dyDescent="0.3">
      <c r="B32" s="5" t="s">
        <v>18</v>
      </c>
      <c r="C32" s="50">
        <v>43</v>
      </c>
      <c r="D32" s="50">
        <v>846</v>
      </c>
      <c r="E32" s="50">
        <f t="shared" si="1"/>
        <v>889</v>
      </c>
      <c r="F32" s="50"/>
      <c r="G32" s="2"/>
      <c r="H32" s="2"/>
      <c r="I32" s="2"/>
      <c r="J32" s="3"/>
      <c r="K32" s="50"/>
      <c r="L32" s="3"/>
      <c r="M32" s="3"/>
      <c r="N32" s="3"/>
      <c r="O32" s="50"/>
      <c r="P32" s="3"/>
      <c r="Q32" s="3"/>
    </row>
    <row r="33" spans="1:17" x14ac:dyDescent="0.3">
      <c r="B33" s="5" t="s">
        <v>117</v>
      </c>
      <c r="C33" s="50">
        <v>12</v>
      </c>
      <c r="D33" s="50">
        <v>374</v>
      </c>
      <c r="E33" s="50">
        <f t="shared" si="1"/>
        <v>386</v>
      </c>
      <c r="F33" s="50"/>
      <c r="G33" s="5"/>
      <c r="H33" s="3"/>
      <c r="I33" s="50"/>
      <c r="J33" s="3"/>
      <c r="K33" s="50"/>
      <c r="L33" s="3"/>
      <c r="M33" s="3"/>
      <c r="N33" s="3"/>
      <c r="O33" s="50"/>
      <c r="P33" s="3"/>
      <c r="Q33" s="3"/>
    </row>
    <row r="34" spans="1:17" x14ac:dyDescent="0.3">
      <c r="B34" s="5" t="s">
        <v>101</v>
      </c>
      <c r="C34" s="50">
        <v>152</v>
      </c>
      <c r="D34" s="50">
        <v>492</v>
      </c>
      <c r="E34" s="50">
        <f t="shared" si="1"/>
        <v>644</v>
      </c>
      <c r="F34" s="50"/>
      <c r="G34" s="5"/>
      <c r="H34" s="3"/>
      <c r="I34" s="50"/>
      <c r="J34" s="3"/>
      <c r="K34" s="50"/>
      <c r="L34" s="3"/>
      <c r="M34" s="3"/>
      <c r="N34" s="3"/>
      <c r="O34" s="50"/>
      <c r="P34" s="3"/>
      <c r="Q34" s="3"/>
    </row>
    <row r="35" spans="1:17" x14ac:dyDescent="0.3">
      <c r="B35" s="5" t="s">
        <v>118</v>
      </c>
      <c r="C35" s="50" t="s">
        <v>170</v>
      </c>
      <c r="D35" s="50">
        <v>338</v>
      </c>
      <c r="E35" s="50">
        <f t="shared" si="1"/>
        <v>338</v>
      </c>
      <c r="F35" s="50"/>
      <c r="G35" s="5"/>
      <c r="H35" s="3"/>
      <c r="I35" s="50"/>
      <c r="J35" s="3"/>
      <c r="K35" s="50"/>
      <c r="L35" s="3"/>
      <c r="M35" s="3"/>
      <c r="N35" s="3"/>
      <c r="O35" s="3"/>
      <c r="P35" s="3"/>
      <c r="Q35" s="3"/>
    </row>
    <row r="36" spans="1:17" x14ac:dyDescent="0.3">
      <c r="B36" s="5" t="s">
        <v>119</v>
      </c>
      <c r="C36" s="50">
        <v>50</v>
      </c>
      <c r="D36" s="50">
        <v>155</v>
      </c>
      <c r="E36" s="50">
        <f t="shared" si="1"/>
        <v>205</v>
      </c>
      <c r="F36" s="2"/>
      <c r="G36" s="5"/>
      <c r="H36" s="2"/>
      <c r="I36" s="50"/>
      <c r="J36" s="2"/>
      <c r="K36" s="3"/>
      <c r="L36" s="3"/>
      <c r="M36" s="3"/>
      <c r="N36" s="3"/>
      <c r="O36" s="3"/>
      <c r="P36" s="3"/>
      <c r="Q36" s="3"/>
    </row>
    <row r="37" spans="1:17" x14ac:dyDescent="0.3">
      <c r="B37" s="5" t="s">
        <v>22</v>
      </c>
      <c r="C37" s="3" t="s">
        <v>170</v>
      </c>
      <c r="D37" s="3">
        <v>277</v>
      </c>
      <c r="E37" s="50">
        <f t="shared" si="1"/>
        <v>277</v>
      </c>
      <c r="F37" s="2"/>
      <c r="G37" s="2"/>
      <c r="H37" s="2"/>
      <c r="I37" s="2"/>
      <c r="J37" s="2"/>
      <c r="K37" s="3"/>
      <c r="L37" s="3"/>
      <c r="M37" s="3"/>
      <c r="N37" s="3"/>
      <c r="O37" s="3"/>
      <c r="P37" s="3"/>
      <c r="Q37" s="3"/>
    </row>
    <row r="38" spans="1:17" x14ac:dyDescent="0.3">
      <c r="B38" s="5" t="s">
        <v>77</v>
      </c>
      <c r="C38" s="50">
        <f>SUM(C25:C37)</f>
        <v>2908</v>
      </c>
      <c r="D38" s="50">
        <f>SUM(D25:D37)</f>
        <v>10414</v>
      </c>
      <c r="E38" s="50">
        <f t="shared" si="1"/>
        <v>13322</v>
      </c>
      <c r="F38" s="2"/>
      <c r="G38" s="2"/>
      <c r="H38" s="2"/>
      <c r="I38" s="2"/>
      <c r="J38" s="2"/>
      <c r="K38" s="3"/>
      <c r="L38" s="3"/>
      <c r="M38" s="3"/>
      <c r="N38" s="3"/>
      <c r="O38" s="3"/>
      <c r="P38" s="3"/>
      <c r="Q38" s="3"/>
    </row>
    <row r="46" spans="1:17" x14ac:dyDescent="0.3">
      <c r="A46" s="71" t="s">
        <v>9</v>
      </c>
      <c r="B46" s="1" t="s">
        <v>66</v>
      </c>
      <c r="C46" s="4" t="s">
        <v>120</v>
      </c>
      <c r="D46" s="4" t="s">
        <v>121</v>
      </c>
      <c r="E46" s="4" t="s">
        <v>78</v>
      </c>
      <c r="F46" s="4"/>
      <c r="G46" s="1" t="s">
        <v>66</v>
      </c>
      <c r="H46" s="4" t="s">
        <v>78</v>
      </c>
    </row>
    <row r="47" spans="1:17" x14ac:dyDescent="0.3">
      <c r="A47" s="2"/>
      <c r="B47" s="2" t="s">
        <v>113</v>
      </c>
      <c r="C47" s="50" t="s">
        <v>170</v>
      </c>
      <c r="D47" s="3">
        <v>143</v>
      </c>
      <c r="E47" s="50">
        <f t="shared" ref="E47:E59" si="2">SUM(C47:D47)</f>
        <v>143</v>
      </c>
      <c r="F47" s="3"/>
      <c r="G47" s="2" t="s">
        <v>16</v>
      </c>
      <c r="H47" s="50">
        <f>E48</f>
        <v>779</v>
      </c>
    </row>
    <row r="48" spans="1:17" x14ac:dyDescent="0.3">
      <c r="A48" s="2"/>
      <c r="B48" s="2" t="s">
        <v>16</v>
      </c>
      <c r="C48" s="50">
        <v>140</v>
      </c>
      <c r="D48" s="3">
        <v>639</v>
      </c>
      <c r="E48" s="50">
        <f t="shared" si="2"/>
        <v>779</v>
      </c>
      <c r="F48" s="3"/>
      <c r="G48" s="2" t="s">
        <v>19</v>
      </c>
      <c r="H48" s="50">
        <f>E50</f>
        <v>214</v>
      </c>
    </row>
    <row r="49" spans="1:9" x14ac:dyDescent="0.3">
      <c r="A49" s="2"/>
      <c r="B49" s="2" t="s">
        <v>114</v>
      </c>
      <c r="C49" s="50">
        <v>15</v>
      </c>
      <c r="D49" s="3">
        <v>23</v>
      </c>
      <c r="E49" s="50">
        <f t="shared" si="2"/>
        <v>38</v>
      </c>
      <c r="F49" s="16"/>
      <c r="G49" s="2" t="s">
        <v>17</v>
      </c>
      <c r="H49" s="50">
        <f>E52</f>
        <v>8576</v>
      </c>
    </row>
    <row r="50" spans="1:9" x14ac:dyDescent="0.3">
      <c r="A50" s="2"/>
      <c r="B50" s="2" t="s">
        <v>19</v>
      </c>
      <c r="C50" s="50" t="s">
        <v>170</v>
      </c>
      <c r="D50" s="3">
        <v>214</v>
      </c>
      <c r="E50" s="50">
        <f t="shared" si="2"/>
        <v>214</v>
      </c>
      <c r="F50" s="3"/>
      <c r="G50" s="2" t="s">
        <v>15</v>
      </c>
      <c r="H50" s="50">
        <f>SUM(E53,E51)</f>
        <v>1048</v>
      </c>
    </row>
    <row r="51" spans="1:9" x14ac:dyDescent="0.3">
      <c r="A51" s="2"/>
      <c r="B51" s="2" t="s">
        <v>115</v>
      </c>
      <c r="C51" s="50" t="s">
        <v>170</v>
      </c>
      <c r="D51" s="3">
        <v>275</v>
      </c>
      <c r="E51" s="50">
        <f t="shared" si="2"/>
        <v>275</v>
      </c>
      <c r="F51" s="3"/>
      <c r="G51" s="2" t="s">
        <v>18</v>
      </c>
      <c r="H51" s="50">
        <f>E54</f>
        <v>902</v>
      </c>
    </row>
    <row r="52" spans="1:9" x14ac:dyDescent="0.3">
      <c r="A52" s="2"/>
      <c r="B52" s="2" t="s">
        <v>116</v>
      </c>
      <c r="C52" s="50">
        <v>2475</v>
      </c>
      <c r="D52" s="50">
        <v>6101</v>
      </c>
      <c r="E52" s="50">
        <f t="shared" si="2"/>
        <v>8576</v>
      </c>
      <c r="F52" s="3"/>
      <c r="G52" s="2" t="s">
        <v>22</v>
      </c>
      <c r="H52" s="50">
        <f>SUM(E55:E59,E49,E47)</f>
        <v>2196</v>
      </c>
    </row>
    <row r="53" spans="1:9" x14ac:dyDescent="0.3">
      <c r="A53" s="2"/>
      <c r="B53" s="2" t="s">
        <v>15</v>
      </c>
      <c r="C53" s="50" t="s">
        <v>170</v>
      </c>
      <c r="D53" s="3">
        <v>773</v>
      </c>
      <c r="E53" s="50">
        <f t="shared" si="2"/>
        <v>773</v>
      </c>
      <c r="F53" s="3"/>
      <c r="G53" s="2" t="s">
        <v>77</v>
      </c>
      <c r="H53" s="50">
        <f>SUM(H47:H52)</f>
        <v>13715</v>
      </c>
    </row>
    <row r="54" spans="1:9" x14ac:dyDescent="0.3">
      <c r="A54" s="2"/>
      <c r="B54" s="2" t="s">
        <v>18</v>
      </c>
      <c r="C54" s="50">
        <v>46</v>
      </c>
      <c r="D54" s="3">
        <v>856</v>
      </c>
      <c r="E54" s="50">
        <f t="shared" si="2"/>
        <v>902</v>
      </c>
      <c r="F54" s="3"/>
      <c r="G54" s="2"/>
      <c r="H54" s="2"/>
      <c r="I54" s="2"/>
    </row>
    <row r="55" spans="1:9" x14ac:dyDescent="0.3">
      <c r="A55" s="2"/>
      <c r="B55" s="2" t="s">
        <v>117</v>
      </c>
      <c r="C55" s="50">
        <v>11</v>
      </c>
      <c r="D55" s="3">
        <v>371</v>
      </c>
      <c r="E55" s="50">
        <f t="shared" si="2"/>
        <v>382</v>
      </c>
      <c r="F55" s="3"/>
      <c r="G55" s="2"/>
      <c r="H55" s="2"/>
      <c r="I55" s="2"/>
    </row>
    <row r="56" spans="1:9" x14ac:dyDescent="0.3">
      <c r="A56" s="2"/>
      <c r="B56" s="2" t="s">
        <v>101</v>
      </c>
      <c r="C56" s="50">
        <v>145</v>
      </c>
      <c r="D56" s="3">
        <v>522</v>
      </c>
      <c r="E56" s="50">
        <f t="shared" si="2"/>
        <v>667</v>
      </c>
      <c r="F56" s="3"/>
      <c r="G56" s="2"/>
      <c r="H56" s="2"/>
      <c r="I56" s="2"/>
    </row>
    <row r="57" spans="1:9" x14ac:dyDescent="0.3">
      <c r="A57" s="2"/>
      <c r="B57" s="2" t="s">
        <v>118</v>
      </c>
      <c r="C57" s="50" t="s">
        <v>170</v>
      </c>
      <c r="D57" s="3">
        <v>483</v>
      </c>
      <c r="E57" s="50">
        <f t="shared" si="2"/>
        <v>483</v>
      </c>
      <c r="F57" s="3"/>
      <c r="G57" s="2"/>
      <c r="H57" s="2"/>
      <c r="I57" s="2"/>
    </row>
    <row r="58" spans="1:9" x14ac:dyDescent="0.3">
      <c r="A58" s="2"/>
      <c r="B58" s="2" t="s">
        <v>119</v>
      </c>
      <c r="C58" s="50">
        <v>50</v>
      </c>
      <c r="D58" s="3">
        <v>135</v>
      </c>
      <c r="E58" s="50">
        <f t="shared" si="2"/>
        <v>185</v>
      </c>
      <c r="F58" s="3"/>
      <c r="G58" s="2"/>
      <c r="H58" s="2"/>
      <c r="I58" s="2"/>
    </row>
    <row r="59" spans="1:9" x14ac:dyDescent="0.3">
      <c r="A59" s="2"/>
      <c r="B59" s="2" t="s">
        <v>22</v>
      </c>
      <c r="C59" s="50" t="s">
        <v>170</v>
      </c>
      <c r="D59" s="3">
        <v>298</v>
      </c>
      <c r="E59" s="50">
        <f t="shared" si="2"/>
        <v>298</v>
      </c>
      <c r="F59" s="3"/>
      <c r="G59" s="2"/>
      <c r="H59" s="2"/>
      <c r="I59" s="2"/>
    </row>
    <row r="60" spans="1:9" x14ac:dyDescent="0.3">
      <c r="A60" s="2"/>
      <c r="B60" s="2" t="s">
        <v>77</v>
      </c>
      <c r="C60" s="50">
        <f>SUM(C47:C59)</f>
        <v>2882</v>
      </c>
      <c r="D60" s="50">
        <f>SUM(D47:D59)</f>
        <v>10833</v>
      </c>
      <c r="E60" s="50">
        <f>SUM(E47:E59)</f>
        <v>13715</v>
      </c>
      <c r="F60" s="3"/>
      <c r="G60" s="2"/>
      <c r="H60" s="2"/>
      <c r="I60" s="2"/>
    </row>
    <row r="68" spans="1:9" x14ac:dyDescent="0.3">
      <c r="A68" s="71" t="s">
        <v>10</v>
      </c>
      <c r="B68" s="1" t="s">
        <v>66</v>
      </c>
      <c r="C68" s="4" t="s">
        <v>120</v>
      </c>
      <c r="D68" s="4" t="s">
        <v>121</v>
      </c>
      <c r="E68" s="4" t="s">
        <v>78</v>
      </c>
      <c r="F68" s="2"/>
      <c r="G68" s="1" t="s">
        <v>66</v>
      </c>
      <c r="H68" s="4" t="s">
        <v>78</v>
      </c>
    </row>
    <row r="69" spans="1:9" x14ac:dyDescent="0.3">
      <c r="A69" s="2"/>
      <c r="B69" s="2" t="s">
        <v>113</v>
      </c>
      <c r="C69" s="50" t="s">
        <v>170</v>
      </c>
      <c r="D69" s="50">
        <v>142</v>
      </c>
      <c r="E69" s="50">
        <f t="shared" ref="E69:E81" si="3">SUM(C69:D69)</f>
        <v>142</v>
      </c>
      <c r="F69" s="2"/>
      <c r="G69" s="2" t="s">
        <v>16</v>
      </c>
      <c r="H69" s="50">
        <f>E70</f>
        <v>791</v>
      </c>
    </row>
    <row r="70" spans="1:9" x14ac:dyDescent="0.3">
      <c r="A70" s="2"/>
      <c r="B70" s="2" t="s">
        <v>16</v>
      </c>
      <c r="C70" s="50">
        <v>131</v>
      </c>
      <c r="D70" s="3">
        <v>660</v>
      </c>
      <c r="E70" s="50">
        <f t="shared" si="3"/>
        <v>791</v>
      </c>
      <c r="F70" s="2"/>
      <c r="G70" s="2" t="s">
        <v>19</v>
      </c>
      <c r="H70" s="50">
        <f>E72</f>
        <v>222</v>
      </c>
    </row>
    <row r="71" spans="1:9" x14ac:dyDescent="0.3">
      <c r="A71" s="2"/>
      <c r="B71" s="2" t="s">
        <v>114</v>
      </c>
      <c r="C71" s="50">
        <v>13</v>
      </c>
      <c r="D71" s="3">
        <v>23</v>
      </c>
      <c r="E71" s="50">
        <f t="shared" si="3"/>
        <v>36</v>
      </c>
      <c r="F71" s="2"/>
      <c r="G71" s="2" t="s">
        <v>17</v>
      </c>
      <c r="H71" s="50">
        <f>E74</f>
        <v>8608</v>
      </c>
    </row>
    <row r="72" spans="1:9" x14ac:dyDescent="0.3">
      <c r="A72" s="2"/>
      <c r="B72" s="2" t="s">
        <v>19</v>
      </c>
      <c r="C72" s="50">
        <v>5</v>
      </c>
      <c r="D72" s="3">
        <v>217</v>
      </c>
      <c r="E72" s="50">
        <f t="shared" si="3"/>
        <v>222</v>
      </c>
      <c r="F72" s="2"/>
      <c r="G72" s="2" t="s">
        <v>15</v>
      </c>
      <c r="H72" s="50">
        <f>E75+E73</f>
        <v>1123</v>
      </c>
    </row>
    <row r="73" spans="1:9" x14ac:dyDescent="0.3">
      <c r="A73" s="2"/>
      <c r="B73" s="2" t="s">
        <v>115</v>
      </c>
      <c r="C73" s="50">
        <v>32</v>
      </c>
      <c r="D73" s="3">
        <v>246</v>
      </c>
      <c r="E73" s="50">
        <f t="shared" si="3"/>
        <v>278</v>
      </c>
      <c r="F73" s="2"/>
      <c r="G73" s="2" t="s">
        <v>18</v>
      </c>
      <c r="H73" s="50">
        <f>E76</f>
        <v>977</v>
      </c>
    </row>
    <row r="74" spans="1:9" x14ac:dyDescent="0.3">
      <c r="A74" s="2"/>
      <c r="B74" s="2" t="s">
        <v>116</v>
      </c>
      <c r="C74" s="50">
        <v>2367</v>
      </c>
      <c r="D74" s="50">
        <v>6241</v>
      </c>
      <c r="E74" s="50">
        <f t="shared" si="3"/>
        <v>8608</v>
      </c>
      <c r="F74" s="2"/>
      <c r="G74" s="2" t="s">
        <v>22</v>
      </c>
      <c r="H74" s="50">
        <f>SUM(E77:E81,E69,E71)</f>
        <v>2227</v>
      </c>
    </row>
    <row r="75" spans="1:9" x14ac:dyDescent="0.3">
      <c r="A75" s="2"/>
      <c r="B75" s="2" t="s">
        <v>15</v>
      </c>
      <c r="C75" s="50" t="s">
        <v>170</v>
      </c>
      <c r="D75" s="3">
        <v>845</v>
      </c>
      <c r="E75" s="50">
        <f t="shared" si="3"/>
        <v>845</v>
      </c>
      <c r="F75" s="2"/>
      <c r="G75" s="2" t="s">
        <v>77</v>
      </c>
      <c r="H75" s="50">
        <f>SUM(H69:H74)</f>
        <v>13948</v>
      </c>
    </row>
    <row r="76" spans="1:9" x14ac:dyDescent="0.3">
      <c r="A76" s="2"/>
      <c r="B76" s="2" t="s">
        <v>18</v>
      </c>
      <c r="C76" s="50">
        <v>62</v>
      </c>
      <c r="D76" s="3">
        <v>915</v>
      </c>
      <c r="E76" s="50">
        <f t="shared" si="3"/>
        <v>977</v>
      </c>
      <c r="F76" s="2"/>
      <c r="G76" s="2"/>
      <c r="H76" s="2"/>
      <c r="I76" s="2"/>
    </row>
    <row r="77" spans="1:9" x14ac:dyDescent="0.3">
      <c r="A77" s="2"/>
      <c r="B77" s="2" t="s">
        <v>117</v>
      </c>
      <c r="C77" s="50">
        <v>8</v>
      </c>
      <c r="D77" s="3">
        <v>387</v>
      </c>
      <c r="E77" s="50">
        <f t="shared" si="3"/>
        <v>395</v>
      </c>
      <c r="F77" s="2"/>
      <c r="G77" s="2"/>
      <c r="H77" s="2"/>
      <c r="I77" s="2"/>
    </row>
    <row r="78" spans="1:9" x14ac:dyDescent="0.3">
      <c r="A78" s="2"/>
      <c r="B78" s="2" t="s">
        <v>101</v>
      </c>
      <c r="C78" s="50">
        <v>135</v>
      </c>
      <c r="D78" s="3">
        <v>620</v>
      </c>
      <c r="E78" s="50">
        <f t="shared" si="3"/>
        <v>755</v>
      </c>
      <c r="F78" s="2"/>
      <c r="G78" s="2"/>
      <c r="H78" s="2"/>
      <c r="I78" s="2"/>
    </row>
    <row r="79" spans="1:9" x14ac:dyDescent="0.3">
      <c r="A79" s="2"/>
      <c r="B79" s="2" t="s">
        <v>118</v>
      </c>
      <c r="C79" s="50" t="s">
        <v>170</v>
      </c>
      <c r="D79" s="3">
        <v>419</v>
      </c>
      <c r="E79" s="50">
        <f t="shared" si="3"/>
        <v>419</v>
      </c>
      <c r="F79" s="2"/>
      <c r="G79" s="2"/>
      <c r="H79" s="2"/>
      <c r="I79" s="2"/>
    </row>
    <row r="80" spans="1:9" x14ac:dyDescent="0.3">
      <c r="A80" s="2"/>
      <c r="B80" s="2" t="s">
        <v>119</v>
      </c>
      <c r="C80" s="50">
        <v>50</v>
      </c>
      <c r="D80" s="3">
        <v>135</v>
      </c>
      <c r="E80" s="50">
        <f t="shared" si="3"/>
        <v>185</v>
      </c>
      <c r="F80" s="2"/>
      <c r="G80" s="2"/>
      <c r="H80" s="2"/>
      <c r="I80" s="2"/>
    </row>
    <row r="81" spans="1:9" x14ac:dyDescent="0.3">
      <c r="A81" s="2"/>
      <c r="B81" s="2" t="s">
        <v>22</v>
      </c>
      <c r="C81" s="50" t="s">
        <v>170</v>
      </c>
      <c r="D81" s="3">
        <v>295</v>
      </c>
      <c r="E81" s="50">
        <f t="shared" si="3"/>
        <v>295</v>
      </c>
      <c r="F81" s="2"/>
      <c r="G81" s="2"/>
      <c r="H81" s="2"/>
      <c r="I81" s="2"/>
    </row>
    <row r="82" spans="1:9" x14ac:dyDescent="0.3">
      <c r="A82" s="2"/>
      <c r="B82" s="2" t="s">
        <v>77</v>
      </c>
      <c r="C82" s="50">
        <f>SUM(C69:C81)</f>
        <v>2803</v>
      </c>
      <c r="D82" s="50">
        <f>SUM(D69:D81)</f>
        <v>11145</v>
      </c>
      <c r="E82" s="50">
        <f>SUM(E69:E81)</f>
        <v>13948</v>
      </c>
      <c r="F82" s="2"/>
      <c r="G82" s="2"/>
      <c r="H82" s="2"/>
      <c r="I82" s="2"/>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5F445-5831-4FB5-9129-CE1105EDAFC8}">
  <dimension ref="B2:J191"/>
  <sheetViews>
    <sheetView showGridLines="0" topLeftCell="A135" workbookViewId="0">
      <selection activeCell="L43" sqref="L43"/>
    </sheetView>
  </sheetViews>
  <sheetFormatPr defaultRowHeight="13.8" x14ac:dyDescent="0.3"/>
  <cols>
    <col min="1" max="1" width="3.77734375" style="89" customWidth="1"/>
    <col min="2" max="2" width="15.88671875" style="89" bestFit="1" customWidth="1"/>
    <col min="3" max="3" width="11.21875" style="89" bestFit="1" customWidth="1"/>
    <col min="4" max="4" width="8.88671875" style="89"/>
    <col min="5" max="5" width="15.88671875" style="89" bestFit="1" customWidth="1"/>
    <col min="6" max="6" width="11.21875" style="89" bestFit="1" customWidth="1"/>
    <col min="7" max="16384" width="8.88671875" style="89"/>
  </cols>
  <sheetData>
    <row r="2" spans="2:9" x14ac:dyDescent="0.3">
      <c r="B2" s="92" t="s">
        <v>246</v>
      </c>
    </row>
    <row r="11" spans="2:9" ht="14.4" x14ac:dyDescent="0.3">
      <c r="B11" s="7"/>
      <c r="C11" s="3"/>
      <c r="D11" s="2"/>
      <c r="E11" s="7"/>
      <c r="F11" s="2"/>
      <c r="G11" s="2"/>
      <c r="H11" s="2"/>
      <c r="I11" s="2"/>
    </row>
    <row r="12" spans="2:9" ht="14.4" x14ac:dyDescent="0.3">
      <c r="B12" s="7"/>
      <c r="C12" s="3"/>
      <c r="D12" s="2"/>
      <c r="E12" s="7"/>
      <c r="F12" s="2"/>
      <c r="G12" s="2"/>
      <c r="H12" s="2"/>
      <c r="I12" s="2"/>
    </row>
    <row r="13" spans="2:9" ht="14.4" x14ac:dyDescent="0.3">
      <c r="B13" s="7"/>
      <c r="C13" s="3"/>
      <c r="D13" s="2"/>
      <c r="E13" s="7"/>
      <c r="F13" s="2"/>
      <c r="G13" s="2"/>
      <c r="H13" s="2"/>
      <c r="I13" s="2"/>
    </row>
    <row r="14" spans="2:9" ht="14.4" x14ac:dyDescent="0.3">
      <c r="B14" s="7"/>
      <c r="C14" s="3"/>
      <c r="D14" s="2"/>
      <c r="E14" s="7"/>
      <c r="F14" s="2"/>
      <c r="G14" s="2"/>
      <c r="H14" s="2"/>
      <c r="I14" s="2"/>
    </row>
    <row r="15" spans="2:9" ht="14.4" x14ac:dyDescent="0.3">
      <c r="B15" s="8" t="s">
        <v>24</v>
      </c>
      <c r="C15" s="2"/>
      <c r="D15" s="2"/>
      <c r="E15" s="8"/>
      <c r="F15" s="2"/>
      <c r="G15" s="2"/>
      <c r="H15" s="2"/>
      <c r="I15" s="2"/>
    </row>
    <row r="16" spans="2:9" ht="14.4" x14ac:dyDescent="0.3">
      <c r="B16" s="2"/>
      <c r="C16" s="2"/>
      <c r="D16" s="2"/>
      <c r="E16" s="2"/>
      <c r="F16" s="2"/>
      <c r="G16" s="2"/>
      <c r="H16" s="2"/>
      <c r="I16" s="2"/>
    </row>
    <row r="17" spans="2:9" ht="14.4" x14ac:dyDescent="0.3">
      <c r="B17" s="1" t="s">
        <v>66</v>
      </c>
      <c r="C17" s="1" t="s">
        <v>78</v>
      </c>
      <c r="D17" s="2"/>
      <c r="E17" s="1"/>
      <c r="F17" s="1"/>
      <c r="G17" s="2"/>
      <c r="H17" s="2"/>
      <c r="I17" s="2"/>
    </row>
    <row r="18" spans="2:9" ht="14.4" x14ac:dyDescent="0.3">
      <c r="B18" s="2" t="s">
        <v>130</v>
      </c>
      <c r="C18" s="3">
        <v>152</v>
      </c>
      <c r="D18" s="2"/>
      <c r="E18" s="2"/>
      <c r="F18" s="50"/>
      <c r="G18" s="2"/>
      <c r="H18" s="2"/>
      <c r="I18" s="2"/>
    </row>
    <row r="19" spans="2:9" ht="14.4" x14ac:dyDescent="0.3">
      <c r="B19" s="2" t="s">
        <v>113</v>
      </c>
      <c r="C19" s="3">
        <v>135</v>
      </c>
      <c r="D19" s="2"/>
      <c r="E19" s="2"/>
      <c r="F19" s="50"/>
      <c r="G19" s="2"/>
      <c r="H19" s="2"/>
      <c r="I19" s="2"/>
    </row>
    <row r="20" spans="2:9" ht="14.4" x14ac:dyDescent="0.3">
      <c r="B20" s="2" t="s">
        <v>16</v>
      </c>
      <c r="C20" s="3">
        <v>733</v>
      </c>
      <c r="D20" s="2"/>
      <c r="E20" s="2"/>
      <c r="F20" s="50"/>
      <c r="G20" s="2"/>
      <c r="H20" s="2"/>
      <c r="I20" s="2"/>
    </row>
    <row r="21" spans="2:9" ht="14.4" x14ac:dyDescent="0.3">
      <c r="B21" s="2" t="s">
        <v>114</v>
      </c>
      <c r="C21" s="3">
        <v>48</v>
      </c>
      <c r="D21" s="2"/>
      <c r="E21" s="2"/>
      <c r="F21" s="50"/>
      <c r="G21" s="2"/>
      <c r="H21" s="2"/>
      <c r="I21" s="2"/>
    </row>
    <row r="22" spans="2:9" ht="14.4" x14ac:dyDescent="0.3">
      <c r="B22" s="2" t="s">
        <v>19</v>
      </c>
      <c r="C22" s="3">
        <v>234</v>
      </c>
      <c r="D22" s="2"/>
      <c r="E22" s="2"/>
      <c r="F22" s="50"/>
      <c r="G22" s="2"/>
      <c r="H22" s="2"/>
      <c r="I22" s="2"/>
    </row>
    <row r="23" spans="2:9" ht="14.4" x14ac:dyDescent="0.3">
      <c r="B23" s="2" t="s">
        <v>115</v>
      </c>
      <c r="C23" s="3">
        <v>271</v>
      </c>
      <c r="D23" s="2"/>
      <c r="E23" s="2"/>
      <c r="F23" s="50"/>
      <c r="G23" s="2"/>
      <c r="H23" s="2"/>
      <c r="I23" s="2"/>
    </row>
    <row r="24" spans="2:9" ht="14.4" x14ac:dyDescent="0.3">
      <c r="B24" s="2" t="s">
        <v>116</v>
      </c>
      <c r="C24" s="3">
        <v>8010</v>
      </c>
      <c r="D24" s="2"/>
      <c r="E24" s="2"/>
      <c r="F24" s="50"/>
      <c r="G24" s="2"/>
      <c r="H24" s="2"/>
      <c r="I24" s="2"/>
    </row>
    <row r="25" spans="2:9" ht="14.4" x14ac:dyDescent="0.3">
      <c r="B25" s="2" t="s">
        <v>15</v>
      </c>
      <c r="C25" s="3">
        <v>738</v>
      </c>
      <c r="D25" s="2"/>
      <c r="E25" s="2"/>
      <c r="F25" s="50"/>
      <c r="G25" s="2"/>
      <c r="H25" s="2"/>
      <c r="I25" s="2"/>
    </row>
    <row r="26" spans="2:9" ht="14.4" x14ac:dyDescent="0.3">
      <c r="B26" s="2" t="s">
        <v>18</v>
      </c>
      <c r="C26" s="3">
        <v>880</v>
      </c>
      <c r="D26" s="2"/>
      <c r="E26" s="2"/>
      <c r="F26" s="50"/>
      <c r="G26" s="2"/>
      <c r="H26" s="2"/>
      <c r="I26" s="2"/>
    </row>
    <row r="27" spans="2:9" ht="14.4" x14ac:dyDescent="0.3">
      <c r="B27" s="2" t="s">
        <v>117</v>
      </c>
      <c r="C27" s="3">
        <v>360</v>
      </c>
      <c r="D27" s="2"/>
      <c r="E27" s="2"/>
      <c r="F27" s="50"/>
      <c r="G27" s="2"/>
      <c r="H27" s="2"/>
      <c r="I27" s="2"/>
    </row>
    <row r="28" spans="2:9" ht="14.4" x14ac:dyDescent="0.3">
      <c r="B28" s="2" t="s">
        <v>101</v>
      </c>
      <c r="C28" s="3">
        <v>593</v>
      </c>
      <c r="D28" s="2"/>
      <c r="E28" s="2"/>
      <c r="F28" s="50"/>
      <c r="G28" s="2"/>
      <c r="H28" s="2"/>
      <c r="I28" s="2"/>
    </row>
    <row r="29" spans="2:9" ht="14.4" x14ac:dyDescent="0.3">
      <c r="B29" s="2" t="s">
        <v>118</v>
      </c>
      <c r="C29" s="3">
        <v>392</v>
      </c>
      <c r="D29" s="2"/>
      <c r="E29" s="2"/>
      <c r="F29" s="50"/>
      <c r="G29" s="2"/>
      <c r="H29" s="2"/>
      <c r="I29" s="2"/>
    </row>
    <row r="30" spans="2:9" ht="14.4" x14ac:dyDescent="0.3">
      <c r="B30" s="2" t="s">
        <v>119</v>
      </c>
      <c r="C30" s="3">
        <v>240</v>
      </c>
      <c r="D30" s="2"/>
      <c r="E30" s="2"/>
      <c r="F30" s="50"/>
      <c r="G30" s="2"/>
      <c r="H30" s="2"/>
      <c r="I30" s="2"/>
    </row>
    <row r="31" spans="2:9" ht="14.4" x14ac:dyDescent="0.3">
      <c r="B31" s="2" t="s">
        <v>22</v>
      </c>
      <c r="C31" s="3">
        <v>218</v>
      </c>
      <c r="D31" s="2"/>
      <c r="E31" s="2"/>
      <c r="F31" s="50"/>
      <c r="G31" s="2"/>
      <c r="H31" s="2"/>
      <c r="I31" s="2"/>
    </row>
    <row r="32" spans="2:9" ht="14.4" x14ac:dyDescent="0.3">
      <c r="B32" s="2" t="s">
        <v>77</v>
      </c>
      <c r="C32" s="50">
        <v>13004</v>
      </c>
      <c r="D32" s="2"/>
      <c r="E32" s="2"/>
      <c r="F32" s="50"/>
      <c r="G32" s="2"/>
      <c r="H32" s="2"/>
      <c r="I32" s="2"/>
    </row>
    <row r="33" spans="2:9" ht="14.4" x14ac:dyDescent="0.3">
      <c r="B33" s="2"/>
      <c r="C33" s="2"/>
      <c r="D33" s="2"/>
      <c r="E33" s="2"/>
      <c r="F33" s="2"/>
      <c r="G33" s="2"/>
      <c r="H33" s="2"/>
      <c r="I33" s="2"/>
    </row>
    <row r="34" spans="2:9" ht="14.4" x14ac:dyDescent="0.3">
      <c r="B34" s="1" t="s">
        <v>66</v>
      </c>
      <c r="C34" s="1" t="s">
        <v>78</v>
      </c>
      <c r="D34" s="2"/>
      <c r="E34" s="1" t="s">
        <v>66</v>
      </c>
      <c r="F34" s="1" t="s">
        <v>78</v>
      </c>
      <c r="G34" s="2"/>
      <c r="H34" s="2" t="b">
        <f>B34=E34</f>
        <v>1</v>
      </c>
      <c r="I34" s="2" t="b">
        <f>C34=F34</f>
        <v>1</v>
      </c>
    </row>
    <row r="35" spans="2:9" ht="14.4" x14ac:dyDescent="0.3">
      <c r="B35" s="2" t="s">
        <v>17</v>
      </c>
      <c r="C35" s="50">
        <f>C24</f>
        <v>8010</v>
      </c>
      <c r="D35" s="2"/>
      <c r="E35" s="2" t="s">
        <v>17</v>
      </c>
      <c r="F35" s="50">
        <v>8010</v>
      </c>
      <c r="G35" s="2"/>
      <c r="H35" s="2" t="b">
        <f t="shared" ref="H35:H41" si="0">B35=E35</f>
        <v>1</v>
      </c>
      <c r="I35" s="2" t="b">
        <f t="shared" ref="I35:I41" si="1">C35=F35</f>
        <v>1</v>
      </c>
    </row>
    <row r="36" spans="2:9" ht="14.4" x14ac:dyDescent="0.3">
      <c r="B36" s="2" t="s">
        <v>15</v>
      </c>
      <c r="C36" s="50">
        <f>C25+C23</f>
        <v>1009</v>
      </c>
      <c r="D36" s="2"/>
      <c r="E36" s="2" t="s">
        <v>15</v>
      </c>
      <c r="F36" s="50">
        <v>1009</v>
      </c>
      <c r="G36" s="2"/>
      <c r="H36" s="2" t="b">
        <f t="shared" si="0"/>
        <v>1</v>
      </c>
      <c r="I36" s="2" t="b">
        <f t="shared" si="1"/>
        <v>1</v>
      </c>
    </row>
    <row r="37" spans="2:9" ht="14.4" x14ac:dyDescent="0.3">
      <c r="B37" s="2" t="s">
        <v>16</v>
      </c>
      <c r="C37" s="50">
        <f>C20</f>
        <v>733</v>
      </c>
      <c r="D37" s="2"/>
      <c r="E37" s="2" t="s">
        <v>16</v>
      </c>
      <c r="F37" s="50">
        <v>733</v>
      </c>
      <c r="G37" s="2"/>
      <c r="H37" s="2" t="b">
        <f t="shared" si="0"/>
        <v>1</v>
      </c>
      <c r="I37" s="2" t="b">
        <f t="shared" si="1"/>
        <v>1</v>
      </c>
    </row>
    <row r="38" spans="2:9" ht="14.4" x14ac:dyDescent="0.3">
      <c r="B38" s="2" t="s">
        <v>18</v>
      </c>
      <c r="C38" s="50">
        <f>C26</f>
        <v>880</v>
      </c>
      <c r="D38" s="2"/>
      <c r="E38" s="2" t="s">
        <v>18</v>
      </c>
      <c r="F38" s="50">
        <v>880</v>
      </c>
      <c r="G38" s="2"/>
      <c r="H38" s="2" t="b">
        <f t="shared" si="0"/>
        <v>1</v>
      </c>
      <c r="I38" s="2" t="b">
        <f t="shared" si="1"/>
        <v>1</v>
      </c>
    </row>
    <row r="39" spans="2:9" ht="14.4" x14ac:dyDescent="0.3">
      <c r="B39" s="2" t="s">
        <v>19</v>
      </c>
      <c r="C39" s="50">
        <f>C22</f>
        <v>234</v>
      </c>
      <c r="D39" s="2"/>
      <c r="E39" s="2" t="s">
        <v>19</v>
      </c>
      <c r="F39" s="50">
        <v>234</v>
      </c>
      <c r="G39" s="2"/>
      <c r="H39" s="2" t="b">
        <f t="shared" si="0"/>
        <v>1</v>
      </c>
      <c r="I39" s="2" t="b">
        <f t="shared" si="1"/>
        <v>1</v>
      </c>
    </row>
    <row r="40" spans="2:9" ht="14.4" x14ac:dyDescent="0.3">
      <c r="B40" s="2" t="s">
        <v>22</v>
      </c>
      <c r="C40" s="50">
        <f>SUM(C27:C31,C19,C21,C18)</f>
        <v>2138</v>
      </c>
      <c r="D40" s="2"/>
      <c r="E40" s="2" t="s">
        <v>22</v>
      </c>
      <c r="F40" s="50">
        <v>2138</v>
      </c>
      <c r="G40" s="2"/>
      <c r="H40" s="2" t="b">
        <f t="shared" si="0"/>
        <v>1</v>
      </c>
      <c r="I40" s="2" t="b">
        <f t="shared" si="1"/>
        <v>1</v>
      </c>
    </row>
    <row r="41" spans="2:9" ht="14.4" x14ac:dyDescent="0.3">
      <c r="B41" s="2" t="s">
        <v>77</v>
      </c>
      <c r="C41" s="50">
        <f>SUM(C35:C40)</f>
        <v>13004</v>
      </c>
      <c r="D41" s="2"/>
      <c r="E41" s="2" t="s">
        <v>77</v>
      </c>
      <c r="F41" s="50">
        <f>SUM(F35:F40)</f>
        <v>13004</v>
      </c>
      <c r="G41" s="2"/>
      <c r="H41" s="2" t="b">
        <f t="shared" si="0"/>
        <v>1</v>
      </c>
      <c r="I41" s="2" t="b">
        <f t="shared" si="1"/>
        <v>1</v>
      </c>
    </row>
    <row r="43" spans="2:9" ht="14.4" x14ac:dyDescent="0.3">
      <c r="E43" s="4" t="s">
        <v>5</v>
      </c>
      <c r="F43" s="14">
        <f>16/16</f>
        <v>1</v>
      </c>
    </row>
    <row r="46" spans="2:9" x14ac:dyDescent="0.3">
      <c r="B46" s="92" t="s">
        <v>243</v>
      </c>
    </row>
    <row r="61" spans="2:10" ht="14.4" x14ac:dyDescent="0.3">
      <c r="B61" s="8" t="s">
        <v>24</v>
      </c>
      <c r="C61" s="2"/>
      <c r="D61" s="2"/>
      <c r="E61" s="8"/>
      <c r="F61" s="2"/>
      <c r="G61" s="2"/>
      <c r="H61" s="2"/>
      <c r="I61" s="2"/>
    </row>
    <row r="62" spans="2:10" ht="14.4" x14ac:dyDescent="0.3">
      <c r="B62" s="2"/>
      <c r="C62" s="2"/>
      <c r="D62" s="2"/>
      <c r="E62" s="2"/>
      <c r="F62" s="2"/>
      <c r="G62" s="2"/>
      <c r="H62" s="2"/>
      <c r="I62" s="2"/>
    </row>
    <row r="63" spans="2:10" ht="14.4" x14ac:dyDescent="0.3">
      <c r="B63" s="1" t="s">
        <v>66</v>
      </c>
      <c r="C63" s="1" t="s">
        <v>78</v>
      </c>
      <c r="D63" s="2"/>
      <c r="E63" s="1"/>
      <c r="F63" s="1"/>
      <c r="G63" s="2"/>
      <c r="H63" s="2"/>
      <c r="I63" s="2"/>
    </row>
    <row r="64" spans="2:10" ht="14.4" x14ac:dyDescent="0.3">
      <c r="B64" s="5" t="s">
        <v>113</v>
      </c>
      <c r="C64" s="50">
        <v>136</v>
      </c>
      <c r="D64" s="2"/>
      <c r="E64" s="5"/>
      <c r="F64" s="50"/>
      <c r="G64" s="2"/>
      <c r="H64" s="2"/>
      <c r="I64" s="2"/>
      <c r="J64" s="2"/>
    </row>
    <row r="65" spans="2:10" ht="14.4" x14ac:dyDescent="0.3">
      <c r="B65" s="5" t="s">
        <v>16</v>
      </c>
      <c r="C65" s="50">
        <v>763</v>
      </c>
      <c r="D65" s="2"/>
      <c r="E65" s="5"/>
      <c r="F65" s="50"/>
      <c r="G65" s="2"/>
      <c r="H65" s="2"/>
      <c r="I65" s="2"/>
      <c r="J65" s="2"/>
    </row>
    <row r="66" spans="2:10" ht="14.4" x14ac:dyDescent="0.3">
      <c r="B66" s="5" t="s">
        <v>114</v>
      </c>
      <c r="C66" s="50">
        <v>41</v>
      </c>
      <c r="D66" s="2"/>
      <c r="E66" s="5"/>
      <c r="F66" s="50"/>
      <c r="G66" s="2"/>
      <c r="H66" s="2"/>
      <c r="I66" s="2"/>
    </row>
    <row r="67" spans="2:10" ht="14.4" x14ac:dyDescent="0.3">
      <c r="B67" s="5" t="s">
        <v>19</v>
      </c>
      <c r="C67" s="50">
        <v>226</v>
      </c>
      <c r="D67" s="2"/>
      <c r="E67" s="5"/>
      <c r="F67" s="50"/>
      <c r="G67" s="2"/>
      <c r="H67" s="2"/>
      <c r="I67" s="2"/>
    </row>
    <row r="68" spans="2:10" ht="14.4" x14ac:dyDescent="0.3">
      <c r="B68" s="5" t="s">
        <v>115</v>
      </c>
      <c r="C68" s="50">
        <v>278</v>
      </c>
      <c r="D68" s="2"/>
      <c r="E68" s="5"/>
      <c r="F68" s="50"/>
      <c r="G68" s="2"/>
      <c r="H68" s="2"/>
      <c r="I68" s="2"/>
    </row>
    <row r="69" spans="2:10" ht="14.4" x14ac:dyDescent="0.3">
      <c r="B69" s="5" t="s">
        <v>116</v>
      </c>
      <c r="C69" s="50">
        <v>8387</v>
      </c>
      <c r="D69" s="2"/>
      <c r="E69" s="5"/>
      <c r="F69" s="50"/>
      <c r="G69" s="2"/>
      <c r="H69" s="2"/>
      <c r="I69" s="2"/>
    </row>
    <row r="70" spans="2:10" ht="14.4" x14ac:dyDescent="0.3">
      <c r="B70" s="5" t="s">
        <v>15</v>
      </c>
      <c r="C70" s="50">
        <v>752</v>
      </c>
      <c r="D70" s="2"/>
      <c r="E70" s="5"/>
      <c r="F70" s="50"/>
      <c r="G70" s="2"/>
      <c r="H70" s="2"/>
      <c r="I70" s="2"/>
    </row>
    <row r="71" spans="2:10" ht="14.4" x14ac:dyDescent="0.3">
      <c r="B71" s="5" t="s">
        <v>18</v>
      </c>
      <c r="C71" s="50">
        <v>889</v>
      </c>
      <c r="D71" s="2"/>
      <c r="E71" s="5"/>
      <c r="F71" s="50"/>
      <c r="G71" s="2"/>
      <c r="H71" s="2"/>
      <c r="I71" s="2"/>
    </row>
    <row r="72" spans="2:10" ht="14.4" x14ac:dyDescent="0.3">
      <c r="B72" s="5" t="s">
        <v>117</v>
      </c>
      <c r="C72" s="50">
        <v>386</v>
      </c>
      <c r="D72" s="2"/>
      <c r="E72" s="5"/>
      <c r="F72" s="50"/>
      <c r="G72" s="2"/>
      <c r="H72" s="2"/>
      <c r="I72" s="2"/>
    </row>
    <row r="73" spans="2:10" ht="14.4" x14ac:dyDescent="0.3">
      <c r="B73" s="5" t="s">
        <v>101</v>
      </c>
      <c r="C73" s="50">
        <v>644</v>
      </c>
      <c r="D73" s="2"/>
      <c r="E73" s="5"/>
      <c r="F73" s="50"/>
      <c r="G73" s="2"/>
      <c r="H73" s="2"/>
      <c r="I73" s="2"/>
    </row>
    <row r="74" spans="2:10" ht="14.4" x14ac:dyDescent="0.3">
      <c r="B74" s="5" t="s">
        <v>118</v>
      </c>
      <c r="C74" s="50">
        <v>338</v>
      </c>
      <c r="D74" s="2"/>
      <c r="E74" s="5"/>
      <c r="F74" s="50"/>
      <c r="G74" s="2"/>
      <c r="H74" s="2"/>
      <c r="I74" s="2"/>
    </row>
    <row r="75" spans="2:10" ht="14.4" x14ac:dyDescent="0.3">
      <c r="B75" s="5" t="s">
        <v>119</v>
      </c>
      <c r="C75" s="50">
        <v>205</v>
      </c>
      <c r="D75" s="2"/>
      <c r="E75" s="5"/>
      <c r="F75" s="50"/>
      <c r="G75" s="2"/>
      <c r="H75" s="2"/>
      <c r="I75" s="2"/>
    </row>
    <row r="76" spans="2:10" ht="14.4" x14ac:dyDescent="0.3">
      <c r="B76" s="5" t="s">
        <v>22</v>
      </c>
      <c r="C76" s="50">
        <v>277</v>
      </c>
      <c r="D76" s="2"/>
      <c r="E76" s="5"/>
      <c r="F76" s="50"/>
      <c r="G76" s="2"/>
      <c r="H76" s="2"/>
      <c r="I76" s="2"/>
    </row>
    <row r="77" spans="2:10" ht="14.4" x14ac:dyDescent="0.3">
      <c r="B77" s="5" t="s">
        <v>77</v>
      </c>
      <c r="C77" s="50">
        <v>13322</v>
      </c>
      <c r="D77" s="2"/>
      <c r="E77" s="5"/>
      <c r="F77" s="50"/>
      <c r="G77" s="2"/>
      <c r="H77" s="2"/>
      <c r="I77" s="2"/>
    </row>
    <row r="78" spans="2:10" ht="14.4" x14ac:dyDescent="0.3">
      <c r="B78" s="2"/>
      <c r="C78" s="2"/>
      <c r="D78" s="2"/>
      <c r="E78" s="2"/>
      <c r="F78" s="2"/>
      <c r="G78" s="2"/>
      <c r="H78" s="2"/>
      <c r="I78" s="2"/>
      <c r="J78" s="2"/>
    </row>
    <row r="79" spans="2:10" ht="14.4" x14ac:dyDescent="0.3">
      <c r="B79" s="1" t="s">
        <v>66</v>
      </c>
      <c r="C79" s="1" t="s">
        <v>78</v>
      </c>
      <c r="D79" s="2"/>
      <c r="E79" s="1" t="s">
        <v>66</v>
      </c>
      <c r="F79" s="1" t="s">
        <v>78</v>
      </c>
      <c r="G79" s="2"/>
      <c r="H79" s="2" t="b">
        <f>B79=E79</f>
        <v>1</v>
      </c>
      <c r="I79" s="2" t="b">
        <f>C79=F79</f>
        <v>1</v>
      </c>
    </row>
    <row r="80" spans="2:10" ht="14.4" x14ac:dyDescent="0.3">
      <c r="B80" s="2" t="s">
        <v>17</v>
      </c>
      <c r="C80" s="50">
        <f>C69</f>
        <v>8387</v>
      </c>
      <c r="D80" s="2"/>
      <c r="E80" s="2" t="s">
        <v>17</v>
      </c>
      <c r="F80" s="50">
        <v>8387</v>
      </c>
      <c r="G80" s="2"/>
      <c r="H80" s="2" t="b">
        <f t="shared" ref="H80:H86" si="2">B80=E80</f>
        <v>1</v>
      </c>
      <c r="I80" s="2" t="b">
        <f t="shared" ref="I80:I86" si="3">C80=F80</f>
        <v>1</v>
      </c>
    </row>
    <row r="81" spans="2:9" ht="14.4" x14ac:dyDescent="0.3">
      <c r="B81" s="2" t="s">
        <v>15</v>
      </c>
      <c r="C81" s="50">
        <f>C70+C68</f>
        <v>1030</v>
      </c>
      <c r="D81" s="2"/>
      <c r="E81" s="2" t="s">
        <v>15</v>
      </c>
      <c r="F81" s="50">
        <v>1030</v>
      </c>
      <c r="G81" s="2"/>
      <c r="H81" s="2" t="b">
        <f t="shared" si="2"/>
        <v>1</v>
      </c>
      <c r="I81" s="2" t="b">
        <f t="shared" si="3"/>
        <v>1</v>
      </c>
    </row>
    <row r="82" spans="2:9" ht="14.4" x14ac:dyDescent="0.3">
      <c r="B82" s="2" t="s">
        <v>16</v>
      </c>
      <c r="C82" s="50">
        <f>C65</f>
        <v>763</v>
      </c>
      <c r="D82" s="2"/>
      <c r="E82" s="2" t="s">
        <v>16</v>
      </c>
      <c r="F82" s="50">
        <v>763</v>
      </c>
      <c r="G82" s="2"/>
      <c r="H82" s="2" t="b">
        <f t="shared" si="2"/>
        <v>1</v>
      </c>
      <c r="I82" s="2" t="b">
        <f t="shared" si="3"/>
        <v>1</v>
      </c>
    </row>
    <row r="83" spans="2:9" ht="14.4" x14ac:dyDescent="0.3">
      <c r="B83" s="2" t="s">
        <v>18</v>
      </c>
      <c r="C83" s="50">
        <f>C71</f>
        <v>889</v>
      </c>
      <c r="D83" s="2"/>
      <c r="E83" s="2" t="s">
        <v>18</v>
      </c>
      <c r="F83" s="50">
        <v>889</v>
      </c>
      <c r="G83" s="2"/>
      <c r="H83" s="2" t="b">
        <f t="shared" si="2"/>
        <v>1</v>
      </c>
      <c r="I83" s="2" t="b">
        <f t="shared" si="3"/>
        <v>1</v>
      </c>
    </row>
    <row r="84" spans="2:9" ht="14.4" x14ac:dyDescent="0.3">
      <c r="B84" s="2" t="s">
        <v>19</v>
      </c>
      <c r="C84" s="50">
        <f>C67</f>
        <v>226</v>
      </c>
      <c r="D84" s="2"/>
      <c r="E84" s="2" t="s">
        <v>19</v>
      </c>
      <c r="F84" s="50">
        <v>226</v>
      </c>
      <c r="G84" s="2"/>
      <c r="H84" s="2" t="b">
        <f t="shared" si="2"/>
        <v>1</v>
      </c>
      <c r="I84" s="2" t="b">
        <f t="shared" si="3"/>
        <v>1</v>
      </c>
    </row>
    <row r="85" spans="2:9" ht="14.4" x14ac:dyDescent="0.3">
      <c r="B85" s="2" t="s">
        <v>22</v>
      </c>
      <c r="C85" s="50">
        <f>SUM(C72:C76,C64,C66)</f>
        <v>2027</v>
      </c>
      <c r="D85" s="2"/>
      <c r="E85" s="2" t="s">
        <v>22</v>
      </c>
      <c r="F85" s="50">
        <v>2027</v>
      </c>
      <c r="G85" s="2"/>
      <c r="H85" s="2" t="b">
        <f t="shared" si="2"/>
        <v>1</v>
      </c>
      <c r="I85" s="2" t="b">
        <f t="shared" si="3"/>
        <v>1</v>
      </c>
    </row>
    <row r="86" spans="2:9" ht="14.4" x14ac:dyDescent="0.3">
      <c r="B86" s="2" t="s">
        <v>77</v>
      </c>
      <c r="C86" s="50">
        <f>SUM(C80:C85)</f>
        <v>13322</v>
      </c>
      <c r="D86" s="2"/>
      <c r="E86" s="2" t="s">
        <v>77</v>
      </c>
      <c r="F86" s="50">
        <f>SUM(F80:F85)</f>
        <v>13322</v>
      </c>
      <c r="G86" s="2"/>
      <c r="H86" s="2" t="b">
        <f t="shared" si="2"/>
        <v>1</v>
      </c>
      <c r="I86" s="2" t="b">
        <f t="shared" si="3"/>
        <v>1</v>
      </c>
    </row>
    <row r="87" spans="2:9" ht="14.4" x14ac:dyDescent="0.3">
      <c r="B87" s="2"/>
      <c r="C87" s="2"/>
      <c r="D87" s="2"/>
      <c r="E87" s="2"/>
      <c r="F87" s="2"/>
      <c r="G87" s="2"/>
      <c r="H87" s="2"/>
      <c r="I87" s="2"/>
    </row>
    <row r="88" spans="2:9" ht="14.4" x14ac:dyDescent="0.3">
      <c r="B88" s="5"/>
      <c r="C88" s="29"/>
      <c r="D88" s="2"/>
      <c r="E88" s="4" t="s">
        <v>5</v>
      </c>
      <c r="F88" s="14">
        <f>16/16</f>
        <v>1</v>
      </c>
      <c r="G88" s="2"/>
      <c r="H88" s="2"/>
      <c r="I88"/>
    </row>
    <row r="90" spans="2:9" x14ac:dyDescent="0.3">
      <c r="B90" s="92" t="s">
        <v>247</v>
      </c>
    </row>
    <row r="111" spans="2:9" ht="14.4" x14ac:dyDescent="0.3">
      <c r="B111" s="7"/>
      <c r="C111" s="3"/>
      <c r="D111" s="2"/>
      <c r="E111" s="7"/>
      <c r="F111" s="2"/>
    </row>
    <row r="112" spans="2:9" ht="14.4" x14ac:dyDescent="0.3">
      <c r="B112" s="8" t="s">
        <v>24</v>
      </c>
      <c r="C112" s="2"/>
      <c r="D112" s="2"/>
      <c r="E112" s="8"/>
      <c r="F112" s="2"/>
      <c r="G112" s="2"/>
      <c r="H112" s="2"/>
      <c r="I112" s="2"/>
    </row>
    <row r="113" spans="2:9" ht="14.4" x14ac:dyDescent="0.3">
      <c r="B113" s="2"/>
      <c r="C113" s="2"/>
      <c r="D113" s="2"/>
      <c r="E113" s="2"/>
      <c r="F113" s="2"/>
      <c r="G113" s="2"/>
      <c r="H113" s="2"/>
      <c r="I113" s="2"/>
    </row>
    <row r="114" spans="2:9" ht="14.4" x14ac:dyDescent="0.3">
      <c r="B114" s="1" t="s">
        <v>66</v>
      </c>
      <c r="C114" s="1" t="s">
        <v>78</v>
      </c>
      <c r="D114" s="2"/>
      <c r="E114" s="1"/>
      <c r="F114" s="1"/>
      <c r="G114" s="2"/>
      <c r="H114" s="2"/>
      <c r="I114" s="2"/>
    </row>
    <row r="115" spans="2:9" ht="14.4" x14ac:dyDescent="0.3">
      <c r="B115" s="2" t="s">
        <v>113</v>
      </c>
      <c r="C115" s="50">
        <v>143</v>
      </c>
      <c r="D115" s="2"/>
      <c r="E115" s="2"/>
      <c r="F115" s="50"/>
      <c r="G115" s="2"/>
      <c r="H115" s="2"/>
      <c r="I115" s="2"/>
    </row>
    <row r="116" spans="2:9" ht="14.4" x14ac:dyDescent="0.3">
      <c r="B116" s="2" t="s">
        <v>16</v>
      </c>
      <c r="C116" s="50">
        <v>779</v>
      </c>
      <c r="D116" s="2"/>
      <c r="E116" s="2"/>
      <c r="F116" s="50"/>
      <c r="G116" s="2"/>
      <c r="H116" s="2"/>
      <c r="I116" s="2"/>
    </row>
    <row r="117" spans="2:9" ht="14.4" x14ac:dyDescent="0.3">
      <c r="B117" s="2" t="s">
        <v>114</v>
      </c>
      <c r="C117" s="50">
        <v>38</v>
      </c>
      <c r="D117" s="2"/>
      <c r="E117" s="2"/>
      <c r="F117" s="50"/>
      <c r="G117" s="2"/>
      <c r="H117" s="2"/>
      <c r="I117" s="2"/>
    </row>
    <row r="118" spans="2:9" ht="14.4" x14ac:dyDescent="0.3">
      <c r="B118" s="2" t="s">
        <v>19</v>
      </c>
      <c r="C118" s="50">
        <v>214</v>
      </c>
      <c r="D118" s="2"/>
      <c r="E118" s="2"/>
      <c r="F118" s="50"/>
      <c r="G118" s="2"/>
      <c r="H118" s="2"/>
      <c r="I118" s="2"/>
    </row>
    <row r="119" spans="2:9" ht="14.4" x14ac:dyDescent="0.3">
      <c r="B119" s="2" t="s">
        <v>115</v>
      </c>
      <c r="C119" s="50">
        <v>275</v>
      </c>
      <c r="D119" s="2"/>
      <c r="E119" s="2"/>
      <c r="F119" s="50"/>
      <c r="G119" s="2"/>
      <c r="H119" s="2"/>
      <c r="I119" s="2"/>
    </row>
    <row r="120" spans="2:9" ht="14.4" x14ac:dyDescent="0.3">
      <c r="B120" s="2" t="s">
        <v>116</v>
      </c>
      <c r="C120" s="50">
        <v>8576</v>
      </c>
      <c r="D120" s="2"/>
      <c r="E120" s="2"/>
      <c r="F120" s="50"/>
      <c r="G120" s="2"/>
      <c r="H120" s="2"/>
      <c r="I120" s="2"/>
    </row>
    <row r="121" spans="2:9" ht="14.4" x14ac:dyDescent="0.3">
      <c r="B121" s="2" t="s">
        <v>15</v>
      </c>
      <c r="C121" s="50">
        <v>773</v>
      </c>
      <c r="D121" s="2"/>
      <c r="E121" s="2"/>
      <c r="F121" s="50"/>
      <c r="G121" s="2"/>
      <c r="H121" s="2"/>
      <c r="I121" s="2"/>
    </row>
    <row r="122" spans="2:9" ht="14.4" x14ac:dyDescent="0.3">
      <c r="B122" s="2" t="s">
        <v>18</v>
      </c>
      <c r="C122" s="50">
        <v>902</v>
      </c>
      <c r="D122" s="2"/>
      <c r="E122" s="2"/>
      <c r="F122" s="50"/>
      <c r="G122" s="2"/>
      <c r="H122" s="2"/>
      <c r="I122" s="2"/>
    </row>
    <row r="123" spans="2:9" ht="14.4" x14ac:dyDescent="0.3">
      <c r="B123" s="2" t="s">
        <v>117</v>
      </c>
      <c r="C123" s="50">
        <v>382</v>
      </c>
      <c r="D123" s="2"/>
      <c r="E123" s="2"/>
      <c r="F123" s="50"/>
      <c r="G123" s="2"/>
      <c r="H123" s="2"/>
      <c r="I123" s="2"/>
    </row>
    <row r="124" spans="2:9" ht="14.4" x14ac:dyDescent="0.3">
      <c r="B124" s="2" t="s">
        <v>101</v>
      </c>
      <c r="C124" s="50">
        <v>667</v>
      </c>
      <c r="D124" s="2"/>
      <c r="E124" s="2"/>
      <c r="F124" s="50"/>
      <c r="G124" s="2"/>
      <c r="H124" s="2"/>
      <c r="I124" s="2"/>
    </row>
    <row r="125" spans="2:9" ht="14.4" x14ac:dyDescent="0.3">
      <c r="B125" s="2" t="s">
        <v>118</v>
      </c>
      <c r="C125" s="50">
        <v>483</v>
      </c>
      <c r="D125" s="2"/>
      <c r="E125" s="2"/>
      <c r="F125" s="50"/>
      <c r="G125" s="2"/>
      <c r="H125" s="2"/>
      <c r="I125" s="2"/>
    </row>
    <row r="126" spans="2:9" ht="14.4" x14ac:dyDescent="0.3">
      <c r="B126" s="2" t="s">
        <v>119</v>
      </c>
      <c r="C126" s="50">
        <v>185</v>
      </c>
      <c r="D126" s="2"/>
      <c r="E126" s="2"/>
      <c r="F126" s="50"/>
      <c r="G126" s="2"/>
      <c r="H126" s="2"/>
      <c r="I126" s="2"/>
    </row>
    <row r="127" spans="2:9" ht="14.4" x14ac:dyDescent="0.3">
      <c r="B127" s="2" t="s">
        <v>22</v>
      </c>
      <c r="C127" s="50">
        <v>298</v>
      </c>
      <c r="D127" s="2"/>
      <c r="E127" s="2"/>
      <c r="F127" s="50"/>
      <c r="G127" s="2"/>
      <c r="H127" s="2"/>
      <c r="I127" s="2"/>
    </row>
    <row r="128" spans="2:9" ht="14.4" x14ac:dyDescent="0.3">
      <c r="B128" s="2" t="s">
        <v>77</v>
      </c>
      <c r="C128" s="50">
        <f>SUM(C115:C127)</f>
        <v>13715</v>
      </c>
      <c r="D128" s="2"/>
      <c r="E128" s="2"/>
      <c r="F128" s="50"/>
      <c r="G128" s="2"/>
      <c r="H128" s="2"/>
      <c r="I128" s="2"/>
    </row>
    <row r="129" spans="2:9" ht="14.4" x14ac:dyDescent="0.3">
      <c r="B129" s="2"/>
      <c r="C129" s="50"/>
      <c r="D129" s="2"/>
      <c r="E129" s="2"/>
      <c r="F129" s="50"/>
      <c r="G129" s="2"/>
      <c r="H129" s="2"/>
      <c r="I129" s="2"/>
    </row>
    <row r="130" spans="2:9" ht="14.4" x14ac:dyDescent="0.3">
      <c r="B130" s="1" t="s">
        <v>66</v>
      </c>
      <c r="C130" s="1" t="s">
        <v>78</v>
      </c>
      <c r="D130" s="2"/>
      <c r="E130" s="1" t="s">
        <v>66</v>
      </c>
      <c r="F130" s="1" t="s">
        <v>78</v>
      </c>
      <c r="G130" s="2"/>
      <c r="H130" s="2" t="b">
        <f>B130=E130</f>
        <v>1</v>
      </c>
      <c r="I130" s="2" t="b">
        <f>C130=F130</f>
        <v>1</v>
      </c>
    </row>
    <row r="131" spans="2:9" ht="14.4" x14ac:dyDescent="0.3">
      <c r="B131" s="2" t="s">
        <v>17</v>
      </c>
      <c r="C131" s="50">
        <f>C120</f>
        <v>8576</v>
      </c>
      <c r="D131" s="2"/>
      <c r="E131" s="2" t="s">
        <v>17</v>
      </c>
      <c r="F131" s="50">
        <v>8676</v>
      </c>
      <c r="G131" s="2"/>
      <c r="H131" s="2" t="b">
        <f t="shared" ref="H131:H137" si="4">B131=E131</f>
        <v>1</v>
      </c>
      <c r="I131" s="23" t="b">
        <f>C131=F131</f>
        <v>0</v>
      </c>
    </row>
    <row r="132" spans="2:9" ht="14.4" x14ac:dyDescent="0.3">
      <c r="B132" s="2" t="s">
        <v>15</v>
      </c>
      <c r="C132" s="50">
        <f>C121+C119</f>
        <v>1048</v>
      </c>
      <c r="D132" s="2"/>
      <c r="E132" s="2" t="s">
        <v>15</v>
      </c>
      <c r="F132" s="50">
        <v>1048</v>
      </c>
      <c r="G132" s="2"/>
      <c r="H132" s="2" t="b">
        <f t="shared" si="4"/>
        <v>1</v>
      </c>
      <c r="I132" s="2" t="b">
        <f t="shared" ref="I132:I137" si="5">C132=F132</f>
        <v>1</v>
      </c>
    </row>
    <row r="133" spans="2:9" ht="14.4" x14ac:dyDescent="0.3">
      <c r="B133" s="2" t="s">
        <v>16</v>
      </c>
      <c r="C133" s="50">
        <f>C116</f>
        <v>779</v>
      </c>
      <c r="D133" s="2"/>
      <c r="E133" s="2" t="s">
        <v>16</v>
      </c>
      <c r="F133" s="50">
        <v>779</v>
      </c>
      <c r="G133" s="2"/>
      <c r="H133" s="2" t="b">
        <f t="shared" si="4"/>
        <v>1</v>
      </c>
      <c r="I133" s="2" t="b">
        <f t="shared" si="5"/>
        <v>1</v>
      </c>
    </row>
    <row r="134" spans="2:9" ht="14.4" x14ac:dyDescent="0.3">
      <c r="B134" s="2" t="s">
        <v>18</v>
      </c>
      <c r="C134" s="50">
        <f>C122</f>
        <v>902</v>
      </c>
      <c r="D134" s="2"/>
      <c r="E134" s="2" t="s">
        <v>18</v>
      </c>
      <c r="F134" s="50">
        <v>902</v>
      </c>
      <c r="G134" s="2"/>
      <c r="H134" s="2" t="b">
        <f t="shared" si="4"/>
        <v>1</v>
      </c>
      <c r="I134" s="2" t="b">
        <f t="shared" si="5"/>
        <v>1</v>
      </c>
    </row>
    <row r="135" spans="2:9" ht="14.4" x14ac:dyDescent="0.3">
      <c r="B135" s="2" t="s">
        <v>19</v>
      </c>
      <c r="C135" s="50">
        <f>C118</f>
        <v>214</v>
      </c>
      <c r="D135" s="2"/>
      <c r="E135" s="2" t="s">
        <v>19</v>
      </c>
      <c r="F135" s="50">
        <v>214</v>
      </c>
      <c r="G135" s="2"/>
      <c r="H135" s="2" t="b">
        <f t="shared" si="4"/>
        <v>1</v>
      </c>
      <c r="I135" s="2" t="b">
        <f t="shared" si="5"/>
        <v>1</v>
      </c>
    </row>
    <row r="136" spans="2:9" ht="14.4" x14ac:dyDescent="0.3">
      <c r="B136" s="2" t="s">
        <v>22</v>
      </c>
      <c r="C136" s="50">
        <f>SUM(C123:C127,C115,C117)</f>
        <v>2196</v>
      </c>
      <c r="D136" s="2"/>
      <c r="E136" s="2" t="s">
        <v>22</v>
      </c>
      <c r="F136" s="50">
        <v>2096</v>
      </c>
      <c r="G136" s="2"/>
      <c r="H136" s="2" t="b">
        <f t="shared" si="4"/>
        <v>1</v>
      </c>
      <c r="I136" s="23" t="b">
        <f t="shared" si="5"/>
        <v>0</v>
      </c>
    </row>
    <row r="137" spans="2:9" ht="14.4" x14ac:dyDescent="0.3">
      <c r="B137" s="2" t="s">
        <v>77</v>
      </c>
      <c r="C137" s="50">
        <f>SUM(C131:C136)</f>
        <v>13715</v>
      </c>
      <c r="D137" s="2"/>
      <c r="E137" s="2" t="s">
        <v>77</v>
      </c>
      <c r="F137" s="50">
        <f>SUM(F131:F136)</f>
        <v>13715</v>
      </c>
      <c r="G137" s="2"/>
      <c r="H137" s="2" t="b">
        <f t="shared" si="4"/>
        <v>1</v>
      </c>
      <c r="I137" s="2" t="b">
        <f t="shared" si="5"/>
        <v>1</v>
      </c>
    </row>
    <row r="138" spans="2:9" ht="14.4" x14ac:dyDescent="0.3">
      <c r="B138" s="2"/>
      <c r="C138" s="50"/>
      <c r="D138" s="2"/>
      <c r="E138" s="2"/>
      <c r="F138" s="50"/>
      <c r="G138" s="2"/>
      <c r="H138" s="2"/>
      <c r="I138" s="2"/>
    </row>
    <row r="139" spans="2:9" ht="14.4" x14ac:dyDescent="0.3">
      <c r="B139" s="2"/>
      <c r="C139" s="2"/>
      <c r="D139" s="2"/>
      <c r="E139" s="4" t="s">
        <v>5</v>
      </c>
      <c r="F139" s="14">
        <f>14/16</f>
        <v>0.875</v>
      </c>
      <c r="G139" s="2"/>
      <c r="H139" s="2"/>
      <c r="I139" s="2"/>
    </row>
    <row r="140" spans="2:9" ht="14.4" x14ac:dyDescent="0.3">
      <c r="B140" s="2"/>
      <c r="C140" s="2"/>
      <c r="D140" s="2"/>
      <c r="E140" s="4"/>
      <c r="F140" s="14"/>
      <c r="G140" s="2"/>
      <c r="H140" s="2"/>
      <c r="I140" s="2"/>
    </row>
    <row r="141" spans="2:9" x14ac:dyDescent="0.3">
      <c r="B141" s="92" t="s">
        <v>248</v>
      </c>
    </row>
    <row r="163" spans="2:9" ht="14.4" x14ac:dyDescent="0.3">
      <c r="B163" s="8" t="s">
        <v>24</v>
      </c>
      <c r="C163" s="2"/>
      <c r="D163" s="2"/>
      <c r="E163" s="8"/>
      <c r="F163" s="2"/>
      <c r="G163" s="2"/>
      <c r="H163" s="2"/>
      <c r="I163" s="2"/>
    </row>
    <row r="164" spans="2:9" ht="14.4" x14ac:dyDescent="0.3">
      <c r="B164" s="2"/>
      <c r="C164" s="2"/>
      <c r="D164" s="2"/>
      <c r="E164" s="2"/>
      <c r="F164" s="2"/>
      <c r="G164" s="2"/>
      <c r="H164" s="2"/>
      <c r="I164" s="2"/>
    </row>
    <row r="165" spans="2:9" ht="14.4" x14ac:dyDescent="0.3">
      <c r="B165" s="1" t="s">
        <v>66</v>
      </c>
      <c r="C165" s="1" t="s">
        <v>78</v>
      </c>
      <c r="D165" s="2"/>
      <c r="E165" s="1"/>
      <c r="F165" s="1"/>
      <c r="G165" s="2"/>
      <c r="H165" s="2"/>
      <c r="I165" s="2"/>
    </row>
    <row r="166" spans="2:9" ht="14.4" x14ac:dyDescent="0.3">
      <c r="B166" s="2" t="s">
        <v>113</v>
      </c>
      <c r="C166" s="50">
        <v>142</v>
      </c>
      <c r="D166" s="2"/>
      <c r="E166" s="2"/>
      <c r="F166" s="50"/>
      <c r="G166" s="2"/>
      <c r="H166" s="2"/>
      <c r="I166" s="2"/>
    </row>
    <row r="167" spans="2:9" ht="14.4" x14ac:dyDescent="0.3">
      <c r="B167" s="2" t="s">
        <v>16</v>
      </c>
      <c r="C167" s="50">
        <v>791</v>
      </c>
      <c r="D167" s="2"/>
      <c r="E167" s="2"/>
      <c r="F167" s="50"/>
      <c r="G167" s="2"/>
      <c r="H167" s="2"/>
      <c r="I167" s="2"/>
    </row>
    <row r="168" spans="2:9" ht="14.4" x14ac:dyDescent="0.3">
      <c r="B168" s="2" t="s">
        <v>114</v>
      </c>
      <c r="C168" s="50">
        <v>36</v>
      </c>
      <c r="D168" s="2"/>
      <c r="E168" s="2"/>
      <c r="F168" s="50"/>
      <c r="G168" s="2"/>
      <c r="H168" s="2"/>
      <c r="I168" s="2"/>
    </row>
    <row r="169" spans="2:9" ht="14.4" x14ac:dyDescent="0.3">
      <c r="B169" s="2" t="s">
        <v>19</v>
      </c>
      <c r="C169" s="50">
        <v>222</v>
      </c>
      <c r="D169" s="2"/>
      <c r="E169" s="2"/>
      <c r="F169" s="50"/>
      <c r="G169" s="2"/>
      <c r="H169" s="2"/>
      <c r="I169" s="2"/>
    </row>
    <row r="170" spans="2:9" ht="14.4" x14ac:dyDescent="0.3">
      <c r="B170" s="2" t="s">
        <v>115</v>
      </c>
      <c r="C170" s="50">
        <v>278</v>
      </c>
      <c r="D170" s="2"/>
      <c r="E170" s="2"/>
      <c r="F170" s="50"/>
      <c r="G170" s="2"/>
      <c r="H170" s="2"/>
      <c r="I170" s="2"/>
    </row>
    <row r="171" spans="2:9" ht="14.4" x14ac:dyDescent="0.3">
      <c r="B171" s="2" t="s">
        <v>116</v>
      </c>
      <c r="C171" s="50">
        <v>8608</v>
      </c>
      <c r="D171" s="2"/>
      <c r="E171" s="2"/>
      <c r="F171" s="50"/>
      <c r="G171" s="2"/>
      <c r="H171" s="2"/>
      <c r="I171" s="2"/>
    </row>
    <row r="172" spans="2:9" ht="14.4" x14ac:dyDescent="0.3">
      <c r="B172" s="2" t="s">
        <v>15</v>
      </c>
      <c r="C172" s="50">
        <v>845</v>
      </c>
      <c r="D172" s="2"/>
      <c r="E172" s="2"/>
      <c r="F172" s="50"/>
      <c r="G172" s="2"/>
      <c r="H172" s="2"/>
      <c r="I172" s="2"/>
    </row>
    <row r="173" spans="2:9" ht="14.4" x14ac:dyDescent="0.3">
      <c r="B173" s="2" t="s">
        <v>18</v>
      </c>
      <c r="C173" s="50">
        <v>977</v>
      </c>
      <c r="D173" s="2"/>
      <c r="E173" s="2"/>
      <c r="F173" s="50"/>
      <c r="G173" s="2"/>
      <c r="H173" s="2"/>
      <c r="I173" s="2"/>
    </row>
    <row r="174" spans="2:9" ht="14.4" x14ac:dyDescent="0.3">
      <c r="B174" s="2" t="s">
        <v>117</v>
      </c>
      <c r="C174" s="50">
        <v>395</v>
      </c>
      <c r="D174" s="2"/>
      <c r="E174" s="2"/>
      <c r="F174" s="50"/>
      <c r="G174" s="2"/>
      <c r="H174" s="2"/>
      <c r="I174" s="2"/>
    </row>
    <row r="175" spans="2:9" ht="14.4" x14ac:dyDescent="0.3">
      <c r="B175" s="2" t="s">
        <v>101</v>
      </c>
      <c r="C175" s="50">
        <v>755</v>
      </c>
      <c r="D175" s="2"/>
      <c r="E175" s="2"/>
      <c r="F175" s="50"/>
      <c r="G175" s="2"/>
      <c r="H175" s="2"/>
      <c r="I175" s="2"/>
    </row>
    <row r="176" spans="2:9" ht="14.4" x14ac:dyDescent="0.3">
      <c r="B176" s="2" t="s">
        <v>118</v>
      </c>
      <c r="C176" s="50">
        <v>419</v>
      </c>
      <c r="D176" s="2"/>
      <c r="E176" s="2"/>
      <c r="F176" s="50"/>
      <c r="G176" s="2"/>
      <c r="H176" s="2"/>
      <c r="I176" s="2"/>
    </row>
    <row r="177" spans="2:9" ht="14.4" x14ac:dyDescent="0.3">
      <c r="B177" s="2" t="s">
        <v>119</v>
      </c>
      <c r="C177" s="50">
        <v>185</v>
      </c>
      <c r="D177" s="2"/>
      <c r="E177" s="2"/>
      <c r="F177" s="50"/>
      <c r="G177" s="2"/>
      <c r="H177" s="2"/>
      <c r="I177" s="2"/>
    </row>
    <row r="178" spans="2:9" ht="14.4" x14ac:dyDescent="0.3">
      <c r="B178" s="2" t="s">
        <v>22</v>
      </c>
      <c r="C178" s="50">
        <v>295</v>
      </c>
      <c r="D178" s="2"/>
      <c r="E178" s="2"/>
      <c r="F178" s="50"/>
      <c r="G178" s="2"/>
      <c r="H178" s="2"/>
      <c r="I178" s="2"/>
    </row>
    <row r="179" spans="2:9" ht="14.4" x14ac:dyDescent="0.3">
      <c r="B179" s="2" t="s">
        <v>77</v>
      </c>
      <c r="C179" s="50">
        <f>SUM(C166:C178)</f>
        <v>13948</v>
      </c>
      <c r="D179" s="2"/>
      <c r="E179" s="2"/>
      <c r="F179" s="50"/>
      <c r="G179" s="2"/>
      <c r="H179" s="2"/>
      <c r="I179" s="2"/>
    </row>
    <row r="180" spans="2:9" ht="14.4" x14ac:dyDescent="0.3">
      <c r="B180" s="2"/>
      <c r="C180" s="50"/>
      <c r="D180" s="2"/>
      <c r="E180" s="2"/>
      <c r="F180" s="50"/>
      <c r="G180" s="2"/>
      <c r="H180" s="2"/>
      <c r="I180" s="2"/>
    </row>
    <row r="181" spans="2:9" ht="14.4" x14ac:dyDescent="0.3">
      <c r="B181" s="1" t="s">
        <v>66</v>
      </c>
      <c r="C181" s="1" t="s">
        <v>78</v>
      </c>
      <c r="D181" s="2"/>
      <c r="E181" s="1" t="s">
        <v>66</v>
      </c>
      <c r="F181" s="1" t="s">
        <v>78</v>
      </c>
      <c r="G181" s="2"/>
      <c r="H181" s="2" t="b">
        <f>B181=E181</f>
        <v>1</v>
      </c>
      <c r="I181" s="2" t="b">
        <f>C181=F181</f>
        <v>1</v>
      </c>
    </row>
    <row r="182" spans="2:9" ht="14.4" x14ac:dyDescent="0.3">
      <c r="B182" s="2" t="s">
        <v>17</v>
      </c>
      <c r="C182" s="50">
        <f>C171</f>
        <v>8608</v>
      </c>
      <c r="D182" s="2"/>
      <c r="E182" s="2" t="s">
        <v>17</v>
      </c>
      <c r="F182" s="50">
        <v>8608</v>
      </c>
      <c r="G182" s="2"/>
      <c r="H182" s="2" t="b">
        <f t="shared" ref="H182:H188" si="6">B182=E182</f>
        <v>1</v>
      </c>
      <c r="I182" s="2" t="b">
        <f t="shared" ref="I182:I188" si="7">C182=F182</f>
        <v>1</v>
      </c>
    </row>
    <row r="183" spans="2:9" ht="14.4" x14ac:dyDescent="0.3">
      <c r="B183" s="2" t="s">
        <v>15</v>
      </c>
      <c r="C183" s="50">
        <f>C172+C170</f>
        <v>1123</v>
      </c>
      <c r="D183" s="2"/>
      <c r="E183" s="2" t="s">
        <v>15</v>
      </c>
      <c r="F183" s="50">
        <v>845</v>
      </c>
      <c r="G183" s="2"/>
      <c r="H183" s="2" t="b">
        <f t="shared" si="6"/>
        <v>1</v>
      </c>
      <c r="I183" s="23" t="b">
        <f t="shared" si="7"/>
        <v>0</v>
      </c>
    </row>
    <row r="184" spans="2:9" ht="14.4" x14ac:dyDescent="0.3">
      <c r="B184" s="2" t="s">
        <v>16</v>
      </c>
      <c r="C184" s="50">
        <f>C167</f>
        <v>791</v>
      </c>
      <c r="D184" s="2"/>
      <c r="E184" s="2" t="s">
        <v>16</v>
      </c>
      <c r="F184" s="50">
        <v>791</v>
      </c>
      <c r="G184" s="2"/>
      <c r="H184" s="2" t="b">
        <f t="shared" si="6"/>
        <v>1</v>
      </c>
      <c r="I184" s="2" t="b">
        <f t="shared" si="7"/>
        <v>1</v>
      </c>
    </row>
    <row r="185" spans="2:9" ht="14.4" x14ac:dyDescent="0.3">
      <c r="B185" s="2" t="s">
        <v>18</v>
      </c>
      <c r="C185" s="50">
        <f>C173</f>
        <v>977</v>
      </c>
      <c r="D185" s="2"/>
      <c r="E185" s="2" t="s">
        <v>18</v>
      </c>
      <c r="F185" s="50">
        <v>957</v>
      </c>
      <c r="G185" s="2"/>
      <c r="H185" s="2" t="b">
        <f t="shared" si="6"/>
        <v>1</v>
      </c>
      <c r="I185" s="23" t="b">
        <f t="shared" si="7"/>
        <v>0</v>
      </c>
    </row>
    <row r="186" spans="2:9" ht="14.4" x14ac:dyDescent="0.3">
      <c r="B186" s="2" t="s">
        <v>19</v>
      </c>
      <c r="C186" s="50">
        <f>C169</f>
        <v>222</v>
      </c>
      <c r="D186" s="2"/>
      <c r="E186" s="2" t="s">
        <v>19</v>
      </c>
      <c r="F186" s="50">
        <v>222</v>
      </c>
      <c r="G186" s="2"/>
      <c r="H186" s="2" t="b">
        <f t="shared" si="6"/>
        <v>1</v>
      </c>
      <c r="I186" s="2" t="b">
        <f t="shared" si="7"/>
        <v>1</v>
      </c>
    </row>
    <row r="187" spans="2:9" ht="14.4" x14ac:dyDescent="0.3">
      <c r="B187" s="2" t="s">
        <v>22</v>
      </c>
      <c r="C187" s="50">
        <f>SUM(C174:C178,C166,C168)</f>
        <v>2227</v>
      </c>
      <c r="D187" s="2"/>
      <c r="E187" s="2" t="s">
        <v>22</v>
      </c>
      <c r="F187" s="50">
        <v>3231</v>
      </c>
      <c r="G187" s="2"/>
      <c r="H187" s="2" t="b">
        <f t="shared" si="6"/>
        <v>1</v>
      </c>
      <c r="I187" s="23" t="b">
        <f t="shared" si="7"/>
        <v>0</v>
      </c>
    </row>
    <row r="188" spans="2:9" ht="14.4" x14ac:dyDescent="0.3">
      <c r="B188" s="2" t="s">
        <v>77</v>
      </c>
      <c r="C188" s="50">
        <f>SUM(C182:C187)</f>
        <v>13948</v>
      </c>
      <c r="D188" s="2"/>
      <c r="E188" s="2" t="s">
        <v>77</v>
      </c>
      <c r="F188" s="50">
        <f>SUM(F182:F187)</f>
        <v>14654</v>
      </c>
      <c r="G188" s="2"/>
      <c r="H188" s="2" t="b">
        <f t="shared" si="6"/>
        <v>1</v>
      </c>
      <c r="I188" s="23" t="b">
        <f t="shared" si="7"/>
        <v>0</v>
      </c>
    </row>
    <row r="189" spans="2:9" ht="14.4" x14ac:dyDescent="0.3">
      <c r="B189" s="2"/>
      <c r="C189" s="50"/>
      <c r="D189" s="2"/>
      <c r="E189" s="2"/>
      <c r="F189" s="50"/>
      <c r="G189" s="2"/>
      <c r="H189" s="2"/>
      <c r="I189" s="2"/>
    </row>
    <row r="190" spans="2:9" ht="14.4" x14ac:dyDescent="0.3">
      <c r="B190" s="2"/>
      <c r="C190" s="50"/>
      <c r="D190" s="2"/>
      <c r="E190" s="4" t="s">
        <v>5</v>
      </c>
      <c r="F190" s="14">
        <f>12/16</f>
        <v>0.75</v>
      </c>
      <c r="G190" s="2"/>
      <c r="H190" s="2"/>
      <c r="I190" s="2"/>
    </row>
    <row r="191" spans="2:9" ht="14.4" x14ac:dyDescent="0.3">
      <c r="B191" s="2"/>
      <c r="C191" s="50"/>
      <c r="D191" s="2"/>
      <c r="E191" s="4"/>
      <c r="F191" s="14"/>
      <c r="G191" s="2"/>
      <c r="H191" s="2"/>
      <c r="I191" s="2"/>
    </row>
  </sheetData>
  <pageMargins left="0.7" right="0.7" top="0.75" bottom="0.75" header="0.3" footer="0.3"/>
  <ignoredErrors>
    <ignoredError sqref="C83" formula="1"/>
  </ignoredErrors>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2DE9E-6AF4-4FA0-BC75-BA9F361512CD}">
  <dimension ref="A2:Q23"/>
  <sheetViews>
    <sheetView showGridLines="0" workbookViewId="0">
      <selection activeCell="G31" sqref="G31"/>
    </sheetView>
  </sheetViews>
  <sheetFormatPr defaultRowHeight="14.4" x14ac:dyDescent="0.3"/>
  <cols>
    <col min="1" max="1" width="4.21875" customWidth="1"/>
    <col min="10" max="10" width="4.33203125" customWidth="1"/>
  </cols>
  <sheetData>
    <row r="2" spans="1:17" x14ac:dyDescent="0.3">
      <c r="B2" s="10" t="s">
        <v>31</v>
      </c>
      <c r="C2" s="2"/>
      <c r="D2" s="2"/>
      <c r="E2" s="2"/>
      <c r="F2" s="2"/>
      <c r="G2" s="2"/>
      <c r="H2" s="2"/>
      <c r="I2" s="2"/>
      <c r="J2" s="2"/>
      <c r="K2" s="10" t="s">
        <v>32</v>
      </c>
      <c r="L2" s="2"/>
      <c r="M2" s="2"/>
      <c r="N2" s="2"/>
      <c r="O2" s="2"/>
      <c r="P2" s="2"/>
      <c r="Q2" s="2"/>
    </row>
    <row r="3" spans="1:17" x14ac:dyDescent="0.3">
      <c r="B3" s="2"/>
      <c r="C3" s="2"/>
      <c r="D3" s="2"/>
      <c r="E3" s="2"/>
      <c r="F3" s="2"/>
      <c r="G3" s="2"/>
      <c r="H3" s="2"/>
      <c r="I3" s="2"/>
      <c r="J3" s="2"/>
      <c r="K3" s="2"/>
      <c r="L3" s="2"/>
      <c r="M3" s="2"/>
      <c r="N3" s="2"/>
      <c r="O3" s="2"/>
      <c r="P3" s="2"/>
      <c r="Q3" s="2"/>
    </row>
    <row r="4" spans="1:17" x14ac:dyDescent="0.3">
      <c r="B4" s="2"/>
      <c r="C4" s="2"/>
      <c r="D4" s="2"/>
      <c r="E4" s="2"/>
      <c r="F4" s="2"/>
      <c r="G4" s="2"/>
      <c r="H4" s="2"/>
      <c r="I4" s="2"/>
      <c r="J4" s="2"/>
      <c r="K4" s="2"/>
      <c r="L4" s="2"/>
      <c r="M4" s="2"/>
      <c r="N4" s="2"/>
      <c r="O4" s="2"/>
      <c r="P4" s="2"/>
      <c r="Q4" s="2"/>
    </row>
    <row r="5" spans="1:17" x14ac:dyDescent="0.3">
      <c r="B5" s="2"/>
      <c r="C5" s="2"/>
      <c r="D5" s="2"/>
      <c r="E5" s="2"/>
      <c r="F5" s="2"/>
      <c r="G5" s="2"/>
      <c r="H5" s="2"/>
      <c r="I5" s="2"/>
      <c r="J5" s="2"/>
      <c r="K5" s="2"/>
      <c r="L5" s="2"/>
      <c r="M5" s="2"/>
      <c r="N5" s="2"/>
      <c r="O5" s="2"/>
      <c r="P5" s="2"/>
      <c r="Q5" s="2"/>
    </row>
    <row r="6" spans="1:17" x14ac:dyDescent="0.3">
      <c r="B6" s="2"/>
      <c r="C6" s="2"/>
      <c r="D6" s="2"/>
      <c r="E6" s="2"/>
      <c r="F6" s="2"/>
      <c r="G6" s="2"/>
      <c r="H6" s="2"/>
      <c r="I6" s="2"/>
      <c r="J6" s="2"/>
      <c r="K6" s="2"/>
      <c r="L6" s="2"/>
      <c r="M6" s="2"/>
      <c r="N6" s="2"/>
      <c r="O6" s="2"/>
      <c r="P6" s="2"/>
      <c r="Q6" s="2"/>
    </row>
    <row r="7" spans="1:17" x14ac:dyDescent="0.3">
      <c r="B7" s="2"/>
      <c r="C7" s="2"/>
      <c r="D7" s="2"/>
      <c r="E7" s="2"/>
      <c r="F7" s="2"/>
      <c r="G7" s="2"/>
      <c r="H7" s="2"/>
      <c r="I7" s="2"/>
      <c r="J7" s="2"/>
      <c r="K7" s="2"/>
      <c r="L7" s="2"/>
      <c r="M7" s="2"/>
      <c r="N7" s="2"/>
      <c r="O7" s="2"/>
      <c r="P7" s="2"/>
      <c r="Q7" s="2"/>
    </row>
    <row r="8" spans="1:17" x14ac:dyDescent="0.3">
      <c r="B8" s="2"/>
      <c r="C8" s="2"/>
      <c r="D8" s="2"/>
      <c r="E8" s="2"/>
      <c r="F8" s="2"/>
      <c r="G8" s="2"/>
      <c r="H8" s="2"/>
      <c r="I8" s="2"/>
      <c r="J8" s="2"/>
      <c r="K8" s="2"/>
      <c r="L8" s="2"/>
      <c r="M8" s="2"/>
      <c r="N8" s="2"/>
      <c r="O8" s="2"/>
      <c r="P8" s="2"/>
      <c r="Q8" s="2"/>
    </row>
    <row r="9" spans="1:17" x14ac:dyDescent="0.3">
      <c r="B9" s="2"/>
      <c r="C9" s="2"/>
      <c r="D9" s="2"/>
      <c r="E9" s="2"/>
      <c r="F9" s="2"/>
      <c r="G9" s="2"/>
      <c r="H9" s="2"/>
      <c r="I9" s="2"/>
      <c r="J9" s="2"/>
      <c r="K9" s="2"/>
      <c r="L9" s="2"/>
      <c r="M9" s="2"/>
      <c r="N9" s="2"/>
      <c r="O9" s="2"/>
      <c r="P9" s="2"/>
      <c r="Q9" s="2"/>
    </row>
    <row r="10" spans="1:17" x14ac:dyDescent="0.3">
      <c r="B10" s="2"/>
      <c r="C10" s="2"/>
      <c r="D10" s="2"/>
      <c r="E10" s="2"/>
      <c r="F10" s="2"/>
      <c r="G10" s="2"/>
      <c r="H10" s="2"/>
      <c r="I10" s="2"/>
      <c r="J10" s="2"/>
      <c r="K10" s="2"/>
      <c r="L10" s="2"/>
      <c r="M10" s="2"/>
      <c r="N10" s="2"/>
      <c r="O10" s="2"/>
      <c r="P10" s="2"/>
      <c r="Q10" s="2"/>
    </row>
    <row r="11" spans="1:17" x14ac:dyDescent="0.3">
      <c r="B11" s="2"/>
      <c r="C11" s="2"/>
      <c r="D11" s="2"/>
      <c r="E11" s="2"/>
      <c r="F11" s="2"/>
      <c r="G11" s="2"/>
      <c r="H11" s="2"/>
      <c r="I11" s="2"/>
      <c r="J11" s="2"/>
      <c r="K11" s="2"/>
      <c r="L11" s="2"/>
      <c r="M11" s="2"/>
      <c r="N11" s="2"/>
      <c r="O11" s="2"/>
      <c r="P11" s="2"/>
      <c r="Q11" s="2"/>
    </row>
    <row r="12" spans="1:17" x14ac:dyDescent="0.3">
      <c r="B12" s="2"/>
      <c r="C12" s="2"/>
      <c r="D12" s="2"/>
      <c r="E12" s="2"/>
      <c r="F12" s="2"/>
      <c r="G12" s="2"/>
      <c r="H12" s="2"/>
      <c r="I12" s="2"/>
      <c r="J12" s="2"/>
      <c r="K12" s="2"/>
      <c r="L12" s="2"/>
      <c r="M12" s="2"/>
      <c r="N12" s="2"/>
      <c r="O12" s="2"/>
      <c r="P12" s="2"/>
      <c r="Q12" s="2"/>
    </row>
    <row r="13" spans="1:17" x14ac:dyDescent="0.3">
      <c r="A13" s="2"/>
      <c r="B13" s="10" t="s">
        <v>33</v>
      </c>
      <c r="C13" s="2"/>
      <c r="D13" s="2"/>
      <c r="E13" s="2"/>
      <c r="F13" s="2"/>
      <c r="G13" s="2"/>
      <c r="H13" s="2"/>
      <c r="J13" s="2"/>
      <c r="K13" s="10" t="s">
        <v>30</v>
      </c>
      <c r="L13" s="2"/>
      <c r="M13" s="2"/>
      <c r="N13" s="2"/>
      <c r="O13" s="2"/>
      <c r="P13" s="2"/>
      <c r="Q13" s="2"/>
    </row>
    <row r="14" spans="1:17" x14ac:dyDescent="0.3">
      <c r="A14" s="2"/>
      <c r="B14" s="2"/>
      <c r="C14" s="2"/>
      <c r="D14" s="2"/>
      <c r="E14" s="2"/>
      <c r="F14" s="2"/>
      <c r="G14" s="2"/>
      <c r="H14" s="2"/>
      <c r="J14" s="2"/>
      <c r="K14" s="2"/>
      <c r="L14" s="2"/>
      <c r="M14" s="2"/>
      <c r="N14" s="2"/>
      <c r="O14" s="2"/>
      <c r="P14" s="2"/>
      <c r="Q14" s="2"/>
    </row>
    <row r="15" spans="1:17" x14ac:dyDescent="0.3">
      <c r="A15" s="2"/>
      <c r="B15" s="2"/>
      <c r="C15" s="2"/>
      <c r="D15" s="2"/>
      <c r="E15" s="2"/>
      <c r="F15" s="2"/>
      <c r="G15" s="2"/>
      <c r="H15" s="2"/>
      <c r="J15" s="2"/>
      <c r="K15" s="2"/>
      <c r="L15" s="2"/>
      <c r="M15" s="2"/>
      <c r="N15" s="2"/>
      <c r="O15" s="2"/>
      <c r="P15" s="2"/>
      <c r="Q15" s="2"/>
    </row>
    <row r="16" spans="1:17" x14ac:dyDescent="0.3">
      <c r="A16" s="2"/>
      <c r="B16" s="2"/>
      <c r="C16" s="2"/>
      <c r="D16" s="2"/>
      <c r="E16" s="2"/>
      <c r="F16" s="2"/>
      <c r="G16" s="2"/>
      <c r="H16" s="2"/>
      <c r="J16" s="2"/>
      <c r="K16" s="2"/>
      <c r="L16" s="2"/>
      <c r="M16" s="2"/>
      <c r="N16" s="2"/>
      <c r="O16" s="2"/>
      <c r="P16" s="2"/>
      <c r="Q16" s="2"/>
    </row>
    <row r="17" spans="1:17" x14ac:dyDescent="0.3">
      <c r="A17" s="2"/>
      <c r="B17" s="2"/>
      <c r="C17" s="2"/>
      <c r="D17" s="2"/>
      <c r="E17" s="2"/>
      <c r="F17" s="2"/>
      <c r="G17" s="2"/>
      <c r="H17" s="2"/>
      <c r="J17" s="2"/>
      <c r="K17" s="2"/>
      <c r="L17" s="2"/>
      <c r="M17" s="2"/>
      <c r="N17" s="2"/>
      <c r="O17" s="2"/>
      <c r="P17" s="2"/>
      <c r="Q17" s="2"/>
    </row>
    <row r="18" spans="1:17" x14ac:dyDescent="0.3">
      <c r="A18" s="2"/>
      <c r="B18" s="2"/>
      <c r="C18" s="2"/>
      <c r="D18" s="2"/>
      <c r="E18" s="2"/>
      <c r="F18" s="2"/>
      <c r="G18" s="2"/>
      <c r="H18" s="2"/>
      <c r="J18" s="2"/>
      <c r="K18" s="2"/>
      <c r="L18" s="2"/>
      <c r="M18" s="2"/>
      <c r="N18" s="2"/>
      <c r="O18" s="2"/>
      <c r="P18" s="2"/>
      <c r="Q18" s="2"/>
    </row>
    <row r="19" spans="1:17" x14ac:dyDescent="0.3">
      <c r="A19" s="2"/>
      <c r="B19" s="2"/>
      <c r="C19" s="2"/>
      <c r="D19" s="2"/>
      <c r="E19" s="2"/>
      <c r="F19" s="2"/>
      <c r="G19" s="2"/>
      <c r="H19" s="2"/>
      <c r="J19" s="2"/>
      <c r="K19" s="2"/>
      <c r="L19" s="2"/>
      <c r="M19" s="2"/>
      <c r="N19" s="2"/>
      <c r="O19" s="2"/>
      <c r="P19" s="2"/>
      <c r="Q19" s="2"/>
    </row>
    <row r="20" spans="1:17" x14ac:dyDescent="0.3">
      <c r="A20" s="2"/>
      <c r="B20" s="2"/>
      <c r="C20" s="2"/>
      <c r="D20" s="2"/>
      <c r="E20" s="2"/>
      <c r="F20" s="2"/>
      <c r="G20" s="2"/>
      <c r="H20" s="2"/>
      <c r="J20" s="2"/>
      <c r="K20" s="2"/>
      <c r="L20" s="2"/>
      <c r="M20" s="2"/>
      <c r="N20" s="2"/>
      <c r="O20" s="2"/>
      <c r="P20" s="2"/>
      <c r="Q20" s="2"/>
    </row>
    <row r="21" spans="1:17" x14ac:dyDescent="0.3">
      <c r="A21" s="2"/>
      <c r="B21" s="2"/>
      <c r="C21" s="2"/>
      <c r="D21" s="2"/>
      <c r="E21" s="2"/>
      <c r="F21" s="2"/>
      <c r="G21" s="2"/>
      <c r="H21" s="2"/>
      <c r="J21" s="2"/>
      <c r="K21" s="2"/>
      <c r="L21" s="2"/>
      <c r="M21" s="2"/>
      <c r="N21" s="2"/>
      <c r="O21" s="2"/>
      <c r="P21" s="2"/>
      <c r="Q21" s="2"/>
    </row>
    <row r="22" spans="1:17" x14ac:dyDescent="0.3">
      <c r="A22" s="2"/>
      <c r="B22" s="2"/>
      <c r="C22" s="2"/>
      <c r="D22" s="2"/>
      <c r="E22" s="2"/>
      <c r="F22" s="2"/>
      <c r="G22" s="2"/>
      <c r="H22" s="2"/>
      <c r="J22" s="2"/>
      <c r="K22" s="2"/>
      <c r="L22" s="2"/>
      <c r="M22" s="2"/>
      <c r="N22" s="2"/>
      <c r="O22" s="2"/>
      <c r="P22" s="2"/>
      <c r="Q22" s="2"/>
    </row>
    <row r="23" spans="1:17" x14ac:dyDescent="0.3">
      <c r="A23" s="2"/>
      <c r="B23" s="2"/>
      <c r="C23" s="2"/>
      <c r="D23" s="2"/>
      <c r="E23" s="2"/>
      <c r="F23" s="2"/>
      <c r="G23" s="2"/>
      <c r="H23" s="2"/>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094A2-61E2-435C-BA52-919F006F4966}">
  <sheetPr>
    <tabColor rgb="FF00B0F0"/>
  </sheetPr>
  <dimension ref="A1"/>
  <sheetViews>
    <sheetView workbookViewId="0">
      <selection activeCell="E39" sqref="E39"/>
    </sheetView>
  </sheetViews>
  <sheetFormatPr defaultRowHeight="14.4" x14ac:dyDescent="0.3"/>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E8127-4E52-47FA-B101-7C8DB9322DFC}">
  <dimension ref="A3:K46"/>
  <sheetViews>
    <sheetView showGridLines="0" workbookViewId="0">
      <selection activeCell="A37" sqref="A37"/>
    </sheetView>
  </sheetViews>
  <sheetFormatPr defaultRowHeight="14.4" x14ac:dyDescent="0.3"/>
  <cols>
    <col min="2" max="2" width="15.88671875" bestFit="1" customWidth="1"/>
    <col min="3" max="3" width="11.21875" bestFit="1" customWidth="1"/>
    <col min="4" max="4" width="5.44140625" customWidth="1"/>
    <col min="5" max="5" width="5.5546875" bestFit="1" customWidth="1"/>
    <col min="6" max="6" width="6.77734375" bestFit="1" customWidth="1"/>
    <col min="7" max="7" width="15.88671875" bestFit="1" customWidth="1"/>
    <col min="8" max="8" width="11.21875" bestFit="1" customWidth="1"/>
    <col min="9" max="9" width="4" bestFit="1" customWidth="1"/>
    <col min="10" max="10" width="8" bestFit="1" customWidth="1"/>
    <col min="11" max="11" width="7.88671875" bestFit="1" customWidth="1"/>
  </cols>
  <sheetData>
    <row r="3" spans="1:11" x14ac:dyDescent="0.3">
      <c r="A3" s="71" t="s">
        <v>8</v>
      </c>
      <c r="B3" s="1" t="s">
        <v>66</v>
      </c>
      <c r="C3" s="4" t="s">
        <v>78</v>
      </c>
      <c r="E3" s="4" t="s">
        <v>2</v>
      </c>
      <c r="F3" s="4" t="s">
        <v>6</v>
      </c>
      <c r="G3" s="4" t="s">
        <v>66</v>
      </c>
      <c r="H3" s="4" t="s">
        <v>78</v>
      </c>
      <c r="I3" s="4" t="s">
        <v>39</v>
      </c>
      <c r="J3" s="4" t="s">
        <v>79</v>
      </c>
      <c r="K3" s="4" t="s">
        <v>40</v>
      </c>
    </row>
    <row r="4" spans="1:11" x14ac:dyDescent="0.3">
      <c r="B4" s="2" t="s">
        <v>17</v>
      </c>
      <c r="C4" s="50">
        <v>4426</v>
      </c>
      <c r="E4" s="3" t="s">
        <v>112</v>
      </c>
      <c r="F4" s="3" t="s">
        <v>8</v>
      </c>
      <c r="G4" s="3" t="s">
        <v>17</v>
      </c>
      <c r="H4" s="50">
        <f>C4</f>
        <v>4426</v>
      </c>
      <c r="I4" s="3" t="s">
        <v>41</v>
      </c>
      <c r="J4" s="3" t="s">
        <v>42</v>
      </c>
      <c r="K4" s="3" t="s">
        <v>43</v>
      </c>
    </row>
    <row r="5" spans="1:11" x14ac:dyDescent="0.3">
      <c r="B5" s="2" t="s">
        <v>16</v>
      </c>
      <c r="C5" s="50">
        <v>1604</v>
      </c>
      <c r="E5" s="3" t="s">
        <v>112</v>
      </c>
      <c r="F5" s="3" t="s">
        <v>8</v>
      </c>
      <c r="G5" s="3" t="s">
        <v>16</v>
      </c>
      <c r="H5" s="50">
        <f t="shared" ref="H5:H9" si="0">C5</f>
        <v>1604</v>
      </c>
      <c r="I5" s="3" t="s">
        <v>41</v>
      </c>
      <c r="J5" s="3" t="s">
        <v>42</v>
      </c>
      <c r="K5" s="3" t="s">
        <v>43</v>
      </c>
    </row>
    <row r="6" spans="1:11" x14ac:dyDescent="0.3">
      <c r="B6" s="2" t="s">
        <v>15</v>
      </c>
      <c r="C6" s="50">
        <v>1559</v>
      </c>
      <c r="E6" s="3" t="s">
        <v>112</v>
      </c>
      <c r="F6" s="3" t="s">
        <v>8</v>
      </c>
      <c r="G6" s="3" t="s">
        <v>15</v>
      </c>
      <c r="H6" s="50">
        <f t="shared" si="0"/>
        <v>1559</v>
      </c>
      <c r="I6" s="3" t="s">
        <v>41</v>
      </c>
      <c r="J6" s="3" t="s">
        <v>42</v>
      </c>
      <c r="K6" s="3" t="s">
        <v>43</v>
      </c>
    </row>
    <row r="7" spans="1:11" x14ac:dyDescent="0.3">
      <c r="B7" s="2" t="s">
        <v>18</v>
      </c>
      <c r="C7" s="50">
        <v>1477</v>
      </c>
      <c r="E7" s="3" t="s">
        <v>112</v>
      </c>
      <c r="F7" s="3" t="s">
        <v>8</v>
      </c>
      <c r="G7" s="3" t="s">
        <v>18</v>
      </c>
      <c r="H7" s="50">
        <f t="shared" si="0"/>
        <v>1477</v>
      </c>
      <c r="I7" s="3" t="s">
        <v>41</v>
      </c>
      <c r="J7" s="3" t="s">
        <v>42</v>
      </c>
      <c r="K7" s="3" t="s">
        <v>43</v>
      </c>
    </row>
    <row r="8" spans="1:11" x14ac:dyDescent="0.3">
      <c r="B8" s="2" t="s">
        <v>19</v>
      </c>
      <c r="C8" s="50">
        <v>817</v>
      </c>
      <c r="E8" s="3" t="s">
        <v>112</v>
      </c>
      <c r="F8" s="3" t="s">
        <v>8</v>
      </c>
      <c r="G8" s="3" t="s">
        <v>19</v>
      </c>
      <c r="H8" s="50">
        <f t="shared" si="0"/>
        <v>817</v>
      </c>
      <c r="I8" s="3" t="s">
        <v>41</v>
      </c>
      <c r="J8" s="3" t="s">
        <v>42</v>
      </c>
      <c r="K8" s="3" t="s">
        <v>43</v>
      </c>
    </row>
    <row r="9" spans="1:11" x14ac:dyDescent="0.3">
      <c r="B9" s="2" t="s">
        <v>22</v>
      </c>
      <c r="C9" s="50">
        <v>1195</v>
      </c>
      <c r="E9" s="3" t="s">
        <v>112</v>
      </c>
      <c r="F9" s="3" t="s">
        <v>8</v>
      </c>
      <c r="G9" s="3" t="s">
        <v>22</v>
      </c>
      <c r="H9" s="50">
        <f t="shared" si="0"/>
        <v>1195</v>
      </c>
      <c r="I9" s="3" t="s">
        <v>41</v>
      </c>
      <c r="J9" s="3" t="s">
        <v>42</v>
      </c>
      <c r="K9" s="3" t="s">
        <v>43</v>
      </c>
    </row>
    <row r="10" spans="1:11" x14ac:dyDescent="0.3">
      <c r="B10" s="2" t="s">
        <v>77</v>
      </c>
      <c r="C10" s="50">
        <f>SUM(C4:C9)</f>
        <v>11078</v>
      </c>
      <c r="E10" s="3" t="s">
        <v>112</v>
      </c>
      <c r="F10" s="3" t="s">
        <v>8</v>
      </c>
      <c r="G10" s="3" t="s">
        <v>77</v>
      </c>
      <c r="H10" s="50">
        <f>SUM(H4:H9)</f>
        <v>11078</v>
      </c>
      <c r="I10" s="3" t="s">
        <v>41</v>
      </c>
      <c r="J10" s="3" t="s">
        <v>42</v>
      </c>
      <c r="K10" s="3" t="s">
        <v>43</v>
      </c>
    </row>
    <row r="14" spans="1:11" x14ac:dyDescent="0.3">
      <c r="A14" s="71" t="s">
        <v>7</v>
      </c>
      <c r="B14" s="1" t="s">
        <v>66</v>
      </c>
      <c r="C14" s="4" t="s">
        <v>78</v>
      </c>
      <c r="D14" s="4"/>
      <c r="E14" s="4" t="s">
        <v>2</v>
      </c>
      <c r="F14" s="4" t="s">
        <v>6</v>
      </c>
      <c r="G14" s="4" t="s">
        <v>66</v>
      </c>
      <c r="H14" s="4" t="s">
        <v>78</v>
      </c>
      <c r="I14" s="4" t="s">
        <v>39</v>
      </c>
      <c r="J14" s="4" t="s">
        <v>79</v>
      </c>
      <c r="K14" s="4" t="s">
        <v>40</v>
      </c>
    </row>
    <row r="15" spans="1:11" x14ac:dyDescent="0.3">
      <c r="B15" s="2" t="s">
        <v>17</v>
      </c>
      <c r="C15" s="50">
        <v>4524</v>
      </c>
      <c r="D15" s="14"/>
      <c r="E15" s="3" t="s">
        <v>112</v>
      </c>
      <c r="F15" s="3" t="s">
        <v>7</v>
      </c>
      <c r="G15" s="3" t="s">
        <v>17</v>
      </c>
      <c r="H15" s="50">
        <f>C15</f>
        <v>4524</v>
      </c>
      <c r="I15" s="3" t="s">
        <v>41</v>
      </c>
      <c r="J15" s="3" t="s">
        <v>42</v>
      </c>
      <c r="K15" s="3" t="s">
        <v>43</v>
      </c>
    </row>
    <row r="16" spans="1:11" x14ac:dyDescent="0.3">
      <c r="B16" s="2" t="s">
        <v>16</v>
      </c>
      <c r="C16" s="50">
        <v>1954</v>
      </c>
      <c r="D16" s="14"/>
      <c r="E16" s="3" t="s">
        <v>112</v>
      </c>
      <c r="F16" s="3" t="s">
        <v>7</v>
      </c>
      <c r="G16" s="3" t="s">
        <v>16</v>
      </c>
      <c r="H16" s="50">
        <f t="shared" ref="H16:H20" si="1">C16</f>
        <v>1954</v>
      </c>
      <c r="I16" s="3" t="s">
        <v>41</v>
      </c>
      <c r="J16" s="3" t="s">
        <v>42</v>
      </c>
      <c r="K16" s="3" t="s">
        <v>43</v>
      </c>
    </row>
    <row r="17" spans="1:11" x14ac:dyDescent="0.3">
      <c r="B17" s="2" t="s">
        <v>15</v>
      </c>
      <c r="C17" s="50">
        <v>1601</v>
      </c>
      <c r="D17" s="14"/>
      <c r="E17" s="3" t="s">
        <v>112</v>
      </c>
      <c r="F17" s="3" t="s">
        <v>7</v>
      </c>
      <c r="G17" s="3" t="s">
        <v>15</v>
      </c>
      <c r="H17" s="50">
        <f t="shared" si="1"/>
        <v>1601</v>
      </c>
      <c r="I17" s="3" t="s">
        <v>41</v>
      </c>
      <c r="J17" s="3" t="s">
        <v>42</v>
      </c>
      <c r="K17" s="3" t="s">
        <v>43</v>
      </c>
    </row>
    <row r="18" spans="1:11" x14ac:dyDescent="0.3">
      <c r="B18" s="2" t="s">
        <v>18</v>
      </c>
      <c r="C18" s="50">
        <v>1580</v>
      </c>
      <c r="D18" s="14"/>
      <c r="E18" s="3" t="s">
        <v>112</v>
      </c>
      <c r="F18" s="3" t="s">
        <v>7</v>
      </c>
      <c r="G18" s="3" t="s">
        <v>18</v>
      </c>
      <c r="H18" s="50">
        <f t="shared" si="1"/>
        <v>1580</v>
      </c>
      <c r="I18" s="3" t="s">
        <v>41</v>
      </c>
      <c r="J18" s="3" t="s">
        <v>42</v>
      </c>
      <c r="K18" s="3" t="s">
        <v>43</v>
      </c>
    </row>
    <row r="19" spans="1:11" x14ac:dyDescent="0.3">
      <c r="B19" s="2" t="s">
        <v>19</v>
      </c>
      <c r="C19" s="50">
        <v>853</v>
      </c>
      <c r="D19" s="14"/>
      <c r="E19" s="3" t="s">
        <v>112</v>
      </c>
      <c r="F19" s="3" t="s">
        <v>7</v>
      </c>
      <c r="G19" s="3" t="s">
        <v>19</v>
      </c>
      <c r="H19" s="50">
        <f t="shared" si="1"/>
        <v>853</v>
      </c>
      <c r="I19" s="3" t="s">
        <v>41</v>
      </c>
      <c r="J19" s="3" t="s">
        <v>42</v>
      </c>
      <c r="K19" s="3" t="s">
        <v>43</v>
      </c>
    </row>
    <row r="20" spans="1:11" x14ac:dyDescent="0.3">
      <c r="B20" s="2" t="s">
        <v>22</v>
      </c>
      <c r="C20" s="50">
        <v>1031</v>
      </c>
      <c r="D20" s="14"/>
      <c r="E20" s="3" t="s">
        <v>112</v>
      </c>
      <c r="F20" s="3" t="s">
        <v>7</v>
      </c>
      <c r="G20" s="3" t="s">
        <v>22</v>
      </c>
      <c r="H20" s="50">
        <f t="shared" si="1"/>
        <v>1031</v>
      </c>
      <c r="I20" s="3" t="s">
        <v>41</v>
      </c>
      <c r="J20" s="3" t="s">
        <v>42</v>
      </c>
      <c r="K20" s="3" t="s">
        <v>43</v>
      </c>
    </row>
    <row r="21" spans="1:11" x14ac:dyDescent="0.3">
      <c r="B21" s="2" t="s">
        <v>77</v>
      </c>
      <c r="C21" s="50">
        <f>SUM(C15:C20)</f>
        <v>11543</v>
      </c>
      <c r="D21" s="14"/>
      <c r="E21" s="3" t="s">
        <v>112</v>
      </c>
      <c r="F21" s="3" t="s">
        <v>7</v>
      </c>
      <c r="G21" s="3" t="s">
        <v>77</v>
      </c>
      <c r="H21" s="50">
        <f>SUM(H15:H20)</f>
        <v>11543</v>
      </c>
      <c r="I21" s="3" t="s">
        <v>41</v>
      </c>
      <c r="J21" s="3" t="s">
        <v>42</v>
      </c>
      <c r="K21" s="3" t="s">
        <v>43</v>
      </c>
    </row>
    <row r="25" spans="1:11" x14ac:dyDescent="0.3">
      <c r="B25" s="2"/>
      <c r="C25" s="2"/>
    </row>
    <row r="26" spans="1:11" x14ac:dyDescent="0.3">
      <c r="A26" s="71" t="s">
        <v>9</v>
      </c>
      <c r="B26" s="1" t="s">
        <v>66</v>
      </c>
      <c r="C26" s="4" t="s">
        <v>78</v>
      </c>
      <c r="E26" s="4" t="s">
        <v>2</v>
      </c>
      <c r="F26" s="4" t="s">
        <v>6</v>
      </c>
      <c r="G26" s="4" t="s">
        <v>66</v>
      </c>
      <c r="H26" s="4" t="s">
        <v>78</v>
      </c>
      <c r="I26" s="4" t="s">
        <v>39</v>
      </c>
      <c r="J26" s="4" t="s">
        <v>79</v>
      </c>
      <c r="K26" s="4" t="s">
        <v>40</v>
      </c>
    </row>
    <row r="27" spans="1:11" x14ac:dyDescent="0.3">
      <c r="B27" s="2" t="s">
        <v>17</v>
      </c>
      <c r="C27" s="50">
        <v>4628</v>
      </c>
      <c r="E27" s="3" t="s">
        <v>112</v>
      </c>
      <c r="F27" s="3" t="s">
        <v>9</v>
      </c>
      <c r="G27" s="3" t="s">
        <v>17</v>
      </c>
      <c r="H27" s="50">
        <f t="shared" ref="H27:H32" si="2">C27</f>
        <v>4628</v>
      </c>
      <c r="I27" s="3" t="s">
        <v>41</v>
      </c>
      <c r="J27" s="3" t="s">
        <v>42</v>
      </c>
      <c r="K27" s="3" t="s">
        <v>43</v>
      </c>
    </row>
    <row r="28" spans="1:11" x14ac:dyDescent="0.3">
      <c r="B28" s="2" t="s">
        <v>16</v>
      </c>
      <c r="C28" s="50">
        <v>1979</v>
      </c>
      <c r="E28" s="3" t="s">
        <v>112</v>
      </c>
      <c r="F28" s="3" t="s">
        <v>9</v>
      </c>
      <c r="G28" s="3" t="s">
        <v>16</v>
      </c>
      <c r="H28" s="50">
        <f t="shared" si="2"/>
        <v>1979</v>
      </c>
      <c r="I28" s="3" t="s">
        <v>41</v>
      </c>
      <c r="J28" s="3" t="s">
        <v>42</v>
      </c>
      <c r="K28" s="3" t="s">
        <v>43</v>
      </c>
    </row>
    <row r="29" spans="1:11" x14ac:dyDescent="0.3">
      <c r="B29" s="2" t="s">
        <v>15</v>
      </c>
      <c r="C29" s="50">
        <v>1706</v>
      </c>
      <c r="E29" s="3" t="s">
        <v>112</v>
      </c>
      <c r="F29" s="3" t="s">
        <v>9</v>
      </c>
      <c r="G29" s="3" t="s">
        <v>15</v>
      </c>
      <c r="H29" s="50">
        <f t="shared" si="2"/>
        <v>1706</v>
      </c>
      <c r="I29" s="3" t="s">
        <v>41</v>
      </c>
      <c r="J29" s="3" t="s">
        <v>42</v>
      </c>
      <c r="K29" s="3" t="s">
        <v>43</v>
      </c>
    </row>
    <row r="30" spans="1:11" x14ac:dyDescent="0.3">
      <c r="B30" s="2" t="s">
        <v>18</v>
      </c>
      <c r="C30" s="50">
        <v>1606</v>
      </c>
      <c r="E30" s="3" t="s">
        <v>112</v>
      </c>
      <c r="F30" s="3" t="s">
        <v>9</v>
      </c>
      <c r="G30" s="3" t="s">
        <v>18</v>
      </c>
      <c r="H30" s="50">
        <f t="shared" si="2"/>
        <v>1606</v>
      </c>
      <c r="I30" s="3" t="s">
        <v>41</v>
      </c>
      <c r="J30" s="3" t="s">
        <v>42</v>
      </c>
      <c r="K30" s="3" t="s">
        <v>43</v>
      </c>
    </row>
    <row r="31" spans="1:11" x14ac:dyDescent="0.3">
      <c r="B31" s="2" t="s">
        <v>19</v>
      </c>
      <c r="C31" s="50">
        <v>904</v>
      </c>
      <c r="E31" s="3" t="s">
        <v>112</v>
      </c>
      <c r="F31" s="3" t="s">
        <v>9</v>
      </c>
      <c r="G31" s="3" t="s">
        <v>19</v>
      </c>
      <c r="H31" s="50">
        <f t="shared" si="2"/>
        <v>904</v>
      </c>
      <c r="I31" s="3" t="s">
        <v>41</v>
      </c>
      <c r="J31" s="3" t="s">
        <v>42</v>
      </c>
      <c r="K31" s="3" t="s">
        <v>43</v>
      </c>
    </row>
    <row r="32" spans="1:11" x14ac:dyDescent="0.3">
      <c r="B32" s="2" t="s">
        <v>22</v>
      </c>
      <c r="C32" s="50">
        <v>1110</v>
      </c>
      <c r="E32" s="3" t="s">
        <v>112</v>
      </c>
      <c r="F32" s="3" t="s">
        <v>9</v>
      </c>
      <c r="G32" s="3" t="s">
        <v>22</v>
      </c>
      <c r="H32" s="50">
        <f t="shared" si="2"/>
        <v>1110</v>
      </c>
      <c r="I32" s="3" t="s">
        <v>41</v>
      </c>
      <c r="J32" s="3" t="s">
        <v>42</v>
      </c>
      <c r="K32" s="3" t="s">
        <v>43</v>
      </c>
    </row>
    <row r="33" spans="1:11" x14ac:dyDescent="0.3">
      <c r="B33" s="2" t="s">
        <v>77</v>
      </c>
      <c r="C33" s="50">
        <f>SUM(C27:C32)</f>
        <v>11933</v>
      </c>
      <c r="E33" s="3" t="s">
        <v>112</v>
      </c>
      <c r="F33" s="3" t="s">
        <v>9</v>
      </c>
      <c r="G33" s="3" t="s">
        <v>77</v>
      </c>
      <c r="H33" s="50">
        <f>SUM(H27:H32)</f>
        <v>11933</v>
      </c>
      <c r="I33" s="3" t="s">
        <v>41</v>
      </c>
      <c r="J33" s="3" t="s">
        <v>42</v>
      </c>
      <c r="K33" s="3" t="s">
        <v>43</v>
      </c>
    </row>
    <row r="37" spans="1:11" x14ac:dyDescent="0.3">
      <c r="A37" s="71" t="s">
        <v>10</v>
      </c>
      <c r="B37" s="1" t="s">
        <v>66</v>
      </c>
      <c r="C37" s="4" t="s">
        <v>78</v>
      </c>
      <c r="E37" s="4" t="s">
        <v>2</v>
      </c>
      <c r="F37" s="4" t="s">
        <v>6</v>
      </c>
      <c r="G37" s="4" t="s">
        <v>66</v>
      </c>
      <c r="H37" s="4" t="s">
        <v>78</v>
      </c>
      <c r="I37" s="4" t="s">
        <v>39</v>
      </c>
      <c r="J37" s="4" t="s">
        <v>79</v>
      </c>
      <c r="K37" s="4" t="s">
        <v>40</v>
      </c>
    </row>
    <row r="38" spans="1:11" x14ac:dyDescent="0.3">
      <c r="A38" s="2"/>
      <c r="B38" s="2" t="s">
        <v>17</v>
      </c>
      <c r="C38" s="50">
        <v>4692</v>
      </c>
      <c r="E38" s="3" t="s">
        <v>112</v>
      </c>
      <c r="F38" s="3" t="s">
        <v>10</v>
      </c>
      <c r="G38" s="3" t="s">
        <v>17</v>
      </c>
      <c r="H38" s="50">
        <f t="shared" ref="H38:H43" si="3">C38</f>
        <v>4692</v>
      </c>
      <c r="I38" s="3" t="s">
        <v>41</v>
      </c>
      <c r="J38" s="3" t="s">
        <v>42</v>
      </c>
      <c r="K38" s="3" t="s">
        <v>43</v>
      </c>
    </row>
    <row r="39" spans="1:11" x14ac:dyDescent="0.3">
      <c r="A39" s="17"/>
      <c r="B39" s="2" t="s">
        <v>16</v>
      </c>
      <c r="C39" s="50">
        <v>2007</v>
      </c>
      <c r="E39" s="3" t="s">
        <v>112</v>
      </c>
      <c r="F39" s="3" t="s">
        <v>10</v>
      </c>
      <c r="G39" s="3" t="s">
        <v>16</v>
      </c>
      <c r="H39" s="50">
        <f t="shared" si="3"/>
        <v>2007</v>
      </c>
      <c r="I39" s="3" t="s">
        <v>41</v>
      </c>
      <c r="J39" s="3" t="s">
        <v>42</v>
      </c>
      <c r="K39" s="3" t="s">
        <v>43</v>
      </c>
    </row>
    <row r="40" spans="1:11" x14ac:dyDescent="0.3">
      <c r="A40" s="17"/>
      <c r="B40" s="2" t="s">
        <v>15</v>
      </c>
      <c r="C40" s="50">
        <v>1766</v>
      </c>
      <c r="E40" s="3" t="s">
        <v>112</v>
      </c>
      <c r="F40" s="3" t="s">
        <v>10</v>
      </c>
      <c r="G40" s="3" t="s">
        <v>15</v>
      </c>
      <c r="H40" s="50">
        <f t="shared" si="3"/>
        <v>1766</v>
      </c>
      <c r="I40" s="3" t="s">
        <v>41</v>
      </c>
      <c r="J40" s="3" t="s">
        <v>42</v>
      </c>
      <c r="K40" s="3" t="s">
        <v>43</v>
      </c>
    </row>
    <row r="41" spans="1:11" x14ac:dyDescent="0.3">
      <c r="A41" s="17"/>
      <c r="B41" s="2" t="s">
        <v>18</v>
      </c>
      <c r="C41" s="50">
        <v>1692</v>
      </c>
      <c r="E41" s="3" t="s">
        <v>112</v>
      </c>
      <c r="F41" s="3" t="s">
        <v>10</v>
      </c>
      <c r="G41" s="3" t="s">
        <v>18</v>
      </c>
      <c r="H41" s="50">
        <f t="shared" si="3"/>
        <v>1692</v>
      </c>
      <c r="I41" s="3" t="s">
        <v>41</v>
      </c>
      <c r="J41" s="3" t="s">
        <v>42</v>
      </c>
      <c r="K41" s="3" t="s">
        <v>43</v>
      </c>
    </row>
    <row r="42" spans="1:11" x14ac:dyDescent="0.3">
      <c r="A42" s="2"/>
      <c r="B42" s="2" t="s">
        <v>19</v>
      </c>
      <c r="C42" s="50">
        <v>946</v>
      </c>
      <c r="E42" s="3" t="s">
        <v>112</v>
      </c>
      <c r="F42" s="3" t="s">
        <v>10</v>
      </c>
      <c r="G42" s="3" t="s">
        <v>19</v>
      </c>
      <c r="H42" s="50">
        <f t="shared" si="3"/>
        <v>946</v>
      </c>
      <c r="I42" s="3" t="s">
        <v>41</v>
      </c>
      <c r="J42" s="3" t="s">
        <v>42</v>
      </c>
      <c r="K42" s="3" t="s">
        <v>43</v>
      </c>
    </row>
    <row r="43" spans="1:11" x14ac:dyDescent="0.3">
      <c r="A43" s="2"/>
      <c r="B43" s="2" t="s">
        <v>22</v>
      </c>
      <c r="C43" s="50">
        <v>1239</v>
      </c>
      <c r="E43" s="3" t="s">
        <v>112</v>
      </c>
      <c r="F43" s="3" t="s">
        <v>10</v>
      </c>
      <c r="G43" s="3" t="s">
        <v>22</v>
      </c>
      <c r="H43" s="50">
        <f t="shared" si="3"/>
        <v>1239</v>
      </c>
      <c r="I43" s="3" t="s">
        <v>41</v>
      </c>
      <c r="J43" s="3" t="s">
        <v>42</v>
      </c>
      <c r="K43" s="3" t="s">
        <v>43</v>
      </c>
    </row>
    <row r="44" spans="1:11" x14ac:dyDescent="0.3">
      <c r="A44" s="2"/>
      <c r="B44" s="2" t="s">
        <v>77</v>
      </c>
      <c r="C44" s="50">
        <f>SUM(C38:C43)</f>
        <v>12342</v>
      </c>
      <c r="E44" s="3" t="s">
        <v>112</v>
      </c>
      <c r="F44" s="3" t="s">
        <v>10</v>
      </c>
      <c r="G44" s="3" t="s">
        <v>77</v>
      </c>
      <c r="H44" s="50">
        <f>SUM(H38:H43)</f>
        <v>12342</v>
      </c>
      <c r="I44" s="3" t="s">
        <v>41</v>
      </c>
      <c r="J44" s="3" t="s">
        <v>42</v>
      </c>
      <c r="K44" s="3" t="s">
        <v>43</v>
      </c>
    </row>
    <row r="45" spans="1:11" x14ac:dyDescent="0.3">
      <c r="A45" s="2"/>
    </row>
    <row r="46" spans="1:11" x14ac:dyDescent="0.3">
      <c r="A46" s="2"/>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020D-56AA-44FC-948A-BBC3CB78D70A}">
  <dimension ref="B2:I102"/>
  <sheetViews>
    <sheetView showGridLines="0" topLeftCell="A75" workbookViewId="0">
      <selection activeCell="G25" sqref="G25"/>
    </sheetView>
  </sheetViews>
  <sheetFormatPr defaultRowHeight="13.8" x14ac:dyDescent="0.3"/>
  <cols>
    <col min="1" max="1" width="3.5546875" style="89" customWidth="1"/>
    <col min="2" max="2" width="15.88671875" style="89" bestFit="1" customWidth="1"/>
    <col min="3" max="3" width="11.21875" style="89" bestFit="1" customWidth="1"/>
    <col min="4" max="4" width="8.88671875" style="89"/>
    <col min="5" max="5" width="15.88671875" style="89" bestFit="1" customWidth="1"/>
    <col min="6" max="6" width="11.21875" style="89" bestFit="1" customWidth="1"/>
    <col min="7" max="16384" width="8.88671875" style="89"/>
  </cols>
  <sheetData>
    <row r="2" spans="2:9" x14ac:dyDescent="0.3">
      <c r="B2" s="92" t="s">
        <v>246</v>
      </c>
    </row>
    <row r="14" spans="2:9" ht="14.4" x14ac:dyDescent="0.3">
      <c r="B14" s="7" t="s">
        <v>24</v>
      </c>
      <c r="C14" s="2"/>
      <c r="D14" s="2"/>
      <c r="E14" s="7" t="s">
        <v>1</v>
      </c>
    </row>
    <row r="15" spans="2:9" ht="14.4" x14ac:dyDescent="0.3">
      <c r="F15" s="2"/>
      <c r="G15" s="2"/>
      <c r="H15" s="2"/>
      <c r="I15" s="2"/>
    </row>
    <row r="16" spans="2:9" ht="14.4" x14ac:dyDescent="0.3">
      <c r="B16" s="1" t="s">
        <v>66</v>
      </c>
      <c r="C16" s="4" t="s">
        <v>78</v>
      </c>
      <c r="D16" s="2"/>
      <c r="E16" s="1" t="s">
        <v>66</v>
      </c>
      <c r="F16" s="4" t="s">
        <v>78</v>
      </c>
      <c r="G16" s="2"/>
      <c r="H16" s="2" t="b">
        <f>B16=E16</f>
        <v>1</v>
      </c>
      <c r="I16" s="2" t="b">
        <f>C16=F16</f>
        <v>1</v>
      </c>
    </row>
    <row r="17" spans="2:9" ht="14.4" x14ac:dyDescent="0.3">
      <c r="B17" s="2" t="s">
        <v>17</v>
      </c>
      <c r="C17" s="55">
        <v>4.4000000000000004</v>
      </c>
      <c r="D17" s="2"/>
      <c r="E17" s="2" t="s">
        <v>17</v>
      </c>
      <c r="F17" s="55">
        <v>4.4000000000000004</v>
      </c>
      <c r="G17" s="2"/>
      <c r="H17" s="2" t="b">
        <f t="shared" ref="H17:I23" si="0">B17=E17</f>
        <v>1</v>
      </c>
      <c r="I17" s="2" t="b">
        <f t="shared" si="0"/>
        <v>1</v>
      </c>
    </row>
    <row r="18" spans="2:9" ht="14.4" x14ac:dyDescent="0.3">
      <c r="B18" s="2" t="s">
        <v>16</v>
      </c>
      <c r="C18" s="55">
        <v>1.6</v>
      </c>
      <c r="D18" s="2"/>
      <c r="E18" s="2" t="s">
        <v>16</v>
      </c>
      <c r="F18" s="55">
        <v>1.6</v>
      </c>
      <c r="G18" s="2"/>
      <c r="H18" s="2" t="b">
        <f t="shared" si="0"/>
        <v>1</v>
      </c>
      <c r="I18" s="2" t="b">
        <f t="shared" si="0"/>
        <v>1</v>
      </c>
    </row>
    <row r="19" spans="2:9" ht="14.4" x14ac:dyDescent="0.3">
      <c r="B19" s="2" t="s">
        <v>15</v>
      </c>
      <c r="C19" s="55">
        <v>1.6</v>
      </c>
      <c r="D19" s="2"/>
      <c r="E19" s="2" t="s">
        <v>15</v>
      </c>
      <c r="F19" s="55">
        <v>1.6</v>
      </c>
      <c r="G19" s="2"/>
      <c r="H19" s="2" t="b">
        <f t="shared" si="0"/>
        <v>1</v>
      </c>
      <c r="I19" s="2" t="b">
        <f t="shared" si="0"/>
        <v>1</v>
      </c>
    </row>
    <row r="20" spans="2:9" ht="14.4" x14ac:dyDescent="0.3">
      <c r="B20" s="2" t="s">
        <v>18</v>
      </c>
      <c r="C20" s="55">
        <v>1.5</v>
      </c>
      <c r="D20" s="2"/>
      <c r="E20" s="2" t="s">
        <v>18</v>
      </c>
      <c r="F20" s="55">
        <v>1.5</v>
      </c>
      <c r="G20" s="2"/>
      <c r="H20" s="2" t="b">
        <f t="shared" si="0"/>
        <v>1</v>
      </c>
      <c r="I20" s="2" t="b">
        <f t="shared" si="0"/>
        <v>1</v>
      </c>
    </row>
    <row r="21" spans="2:9" ht="14.4" x14ac:dyDescent="0.3">
      <c r="B21" s="2" t="s">
        <v>19</v>
      </c>
      <c r="C21" s="55">
        <v>0.8</v>
      </c>
      <c r="D21" s="2"/>
      <c r="E21" s="2" t="s">
        <v>19</v>
      </c>
      <c r="F21" s="55">
        <v>0.8</v>
      </c>
      <c r="G21" s="2"/>
      <c r="H21" s="2" t="b">
        <f t="shared" si="0"/>
        <v>1</v>
      </c>
      <c r="I21" s="2" t="b">
        <f t="shared" si="0"/>
        <v>1</v>
      </c>
    </row>
    <row r="22" spans="2:9" ht="14.4" x14ac:dyDescent="0.3">
      <c r="B22" s="2" t="s">
        <v>22</v>
      </c>
      <c r="C22" s="55">
        <v>1.2</v>
      </c>
      <c r="D22" s="2"/>
      <c r="E22" s="2" t="s">
        <v>22</v>
      </c>
      <c r="F22" s="55">
        <v>1.2</v>
      </c>
      <c r="G22" s="2"/>
      <c r="H22" s="2" t="b">
        <f t="shared" si="0"/>
        <v>1</v>
      </c>
      <c r="I22" s="2" t="b">
        <f t="shared" si="0"/>
        <v>1</v>
      </c>
    </row>
    <row r="23" spans="2:9" ht="14.4" x14ac:dyDescent="0.3">
      <c r="B23" s="2" t="s">
        <v>77</v>
      </c>
      <c r="C23" s="55">
        <f>SUM(C17:C22)</f>
        <v>11.1</v>
      </c>
      <c r="D23" s="2"/>
      <c r="E23" s="2" t="s">
        <v>77</v>
      </c>
      <c r="F23" s="55">
        <f>SUM(F17:F22)</f>
        <v>11.1</v>
      </c>
      <c r="G23" s="2"/>
      <c r="H23" s="2" t="b">
        <f t="shared" si="0"/>
        <v>1</v>
      </c>
      <c r="I23" s="2" t="b">
        <f t="shared" si="0"/>
        <v>1</v>
      </c>
    </row>
    <row r="24" spans="2:9" ht="14.4" x14ac:dyDescent="0.3">
      <c r="B24" s="2"/>
      <c r="C24" s="2"/>
      <c r="D24" s="2"/>
      <c r="E24" s="2"/>
      <c r="F24" s="2"/>
      <c r="G24" s="2"/>
      <c r="H24" s="2"/>
      <c r="I24" s="2"/>
    </row>
    <row r="25" spans="2:9" ht="14.4" x14ac:dyDescent="0.3">
      <c r="B25" s="2"/>
      <c r="C25" s="2"/>
      <c r="D25" s="2"/>
      <c r="E25" s="1" t="s">
        <v>5</v>
      </c>
      <c r="F25" s="14">
        <f>16/16</f>
        <v>1</v>
      </c>
      <c r="G25" s="2"/>
      <c r="H25" s="2"/>
      <c r="I25" s="2"/>
    </row>
    <row r="27" spans="2:9" x14ac:dyDescent="0.3">
      <c r="B27" s="92" t="s">
        <v>243</v>
      </c>
    </row>
    <row r="40" spans="2:9" ht="14.4" x14ac:dyDescent="0.3">
      <c r="B40" s="7" t="s">
        <v>24</v>
      </c>
      <c r="C40" s="2"/>
      <c r="D40" s="2"/>
      <c r="E40" s="7" t="s">
        <v>1</v>
      </c>
      <c r="F40" s="2"/>
    </row>
    <row r="41" spans="2:9" ht="14.4" x14ac:dyDescent="0.3">
      <c r="B41" s="2"/>
      <c r="C41" s="2"/>
      <c r="D41" s="2"/>
      <c r="E41" s="2"/>
      <c r="F41" s="2"/>
    </row>
    <row r="42" spans="2:9" ht="14.4" x14ac:dyDescent="0.3">
      <c r="B42" s="1" t="s">
        <v>66</v>
      </c>
      <c r="C42" s="4" t="s">
        <v>78</v>
      </c>
      <c r="D42" s="2"/>
      <c r="E42" s="1" t="s">
        <v>66</v>
      </c>
      <c r="F42" s="4" t="s">
        <v>78</v>
      </c>
      <c r="H42" s="89" t="b">
        <f t="shared" ref="H42:I49" si="1">B42=E42</f>
        <v>1</v>
      </c>
      <c r="I42" s="89" t="b">
        <f t="shared" si="1"/>
        <v>1</v>
      </c>
    </row>
    <row r="43" spans="2:9" ht="14.4" x14ac:dyDescent="0.3">
      <c r="B43" s="2" t="s">
        <v>17</v>
      </c>
      <c r="C43" s="55">
        <v>4.5</v>
      </c>
      <c r="D43" s="2"/>
      <c r="E43" s="2" t="s">
        <v>17</v>
      </c>
      <c r="F43" s="3">
        <v>4.5</v>
      </c>
      <c r="H43" s="89" t="b">
        <f t="shared" si="1"/>
        <v>1</v>
      </c>
      <c r="I43" s="89" t="b">
        <f t="shared" si="1"/>
        <v>1</v>
      </c>
    </row>
    <row r="44" spans="2:9" ht="14.4" x14ac:dyDescent="0.3">
      <c r="B44" s="2" t="s">
        <v>16</v>
      </c>
      <c r="C44" s="55">
        <v>2</v>
      </c>
      <c r="D44" s="2"/>
      <c r="E44" s="2" t="s">
        <v>16</v>
      </c>
      <c r="F44" s="16">
        <v>2</v>
      </c>
      <c r="H44" s="89" t="b">
        <f t="shared" si="1"/>
        <v>1</v>
      </c>
      <c r="I44" s="89" t="b">
        <f t="shared" si="1"/>
        <v>1</v>
      </c>
    </row>
    <row r="45" spans="2:9" ht="14.4" x14ac:dyDescent="0.3">
      <c r="B45" s="2" t="s">
        <v>15</v>
      </c>
      <c r="C45" s="55">
        <v>1.6</v>
      </c>
      <c r="D45" s="2"/>
      <c r="E45" s="2" t="s">
        <v>15</v>
      </c>
      <c r="F45" s="3">
        <v>1.6</v>
      </c>
      <c r="H45" s="89" t="b">
        <f t="shared" si="1"/>
        <v>1</v>
      </c>
      <c r="I45" s="89" t="b">
        <f t="shared" si="1"/>
        <v>1</v>
      </c>
    </row>
    <row r="46" spans="2:9" ht="14.4" x14ac:dyDescent="0.3">
      <c r="B46" s="2" t="s">
        <v>18</v>
      </c>
      <c r="C46" s="55">
        <v>1.6</v>
      </c>
      <c r="D46" s="2"/>
      <c r="E46" s="2" t="s">
        <v>18</v>
      </c>
      <c r="F46" s="3">
        <v>1.6</v>
      </c>
      <c r="H46" s="89" t="b">
        <f t="shared" si="1"/>
        <v>1</v>
      </c>
      <c r="I46" s="89" t="b">
        <f t="shared" si="1"/>
        <v>1</v>
      </c>
    </row>
    <row r="47" spans="2:9" ht="14.4" x14ac:dyDescent="0.3">
      <c r="B47" s="2" t="s">
        <v>19</v>
      </c>
      <c r="C47" s="55">
        <v>0.9</v>
      </c>
      <c r="D47" s="2"/>
      <c r="E47" s="2" t="s">
        <v>19</v>
      </c>
      <c r="F47" s="3">
        <v>0.9</v>
      </c>
      <c r="H47" s="89" t="b">
        <f t="shared" si="1"/>
        <v>1</v>
      </c>
      <c r="I47" s="89" t="b">
        <f t="shared" si="1"/>
        <v>1</v>
      </c>
    </row>
    <row r="48" spans="2:9" ht="14.4" x14ac:dyDescent="0.3">
      <c r="B48" s="2" t="s">
        <v>22</v>
      </c>
      <c r="C48" s="55">
        <v>0.9</v>
      </c>
      <c r="D48" s="2"/>
      <c r="E48" s="2" t="s">
        <v>22</v>
      </c>
      <c r="F48" s="3">
        <v>0.9</v>
      </c>
      <c r="H48" s="89" t="b">
        <f t="shared" si="1"/>
        <v>1</v>
      </c>
      <c r="I48" s="89" t="b">
        <f t="shared" si="1"/>
        <v>1</v>
      </c>
    </row>
    <row r="49" spans="2:9" ht="14.4" x14ac:dyDescent="0.3">
      <c r="B49" s="2" t="s">
        <v>77</v>
      </c>
      <c r="C49" s="55">
        <f>SUM(C43:C48)</f>
        <v>11.5</v>
      </c>
      <c r="D49" s="2"/>
      <c r="E49" s="2" t="s">
        <v>77</v>
      </c>
      <c r="F49" s="3">
        <v>11.5</v>
      </c>
      <c r="H49" s="89" t="b">
        <f t="shared" si="1"/>
        <v>1</v>
      </c>
      <c r="I49" s="89" t="b">
        <f t="shared" si="1"/>
        <v>1</v>
      </c>
    </row>
    <row r="51" spans="2:9" x14ac:dyDescent="0.3">
      <c r="E51" s="90" t="s">
        <v>5</v>
      </c>
      <c r="F51" s="57">
        <f>16/16</f>
        <v>1</v>
      </c>
    </row>
    <row r="53" spans="2:9" x14ac:dyDescent="0.3">
      <c r="B53" s="92" t="s">
        <v>247</v>
      </c>
    </row>
    <row r="65" spans="2:9" ht="14.4" x14ac:dyDescent="0.3">
      <c r="B65" s="7" t="s">
        <v>24</v>
      </c>
      <c r="C65" s="2"/>
      <c r="D65" s="2"/>
      <c r="E65" s="7" t="s">
        <v>1</v>
      </c>
    </row>
    <row r="66" spans="2:9" ht="14.4" x14ac:dyDescent="0.3">
      <c r="F66" s="2"/>
      <c r="G66" s="2"/>
      <c r="H66" s="2"/>
      <c r="I66" s="2"/>
    </row>
    <row r="67" spans="2:9" ht="14.4" x14ac:dyDescent="0.3">
      <c r="B67" s="1" t="s">
        <v>66</v>
      </c>
      <c r="C67" s="4" t="s">
        <v>78</v>
      </c>
      <c r="D67" s="2"/>
      <c r="E67" s="1" t="s">
        <v>66</v>
      </c>
      <c r="F67" s="4" t="s">
        <v>78</v>
      </c>
      <c r="G67" s="2"/>
      <c r="H67" s="2" t="b">
        <f>B67=E67</f>
        <v>1</v>
      </c>
      <c r="I67" s="2" t="b">
        <f>C67=F67</f>
        <v>1</v>
      </c>
    </row>
    <row r="68" spans="2:9" ht="14.4" x14ac:dyDescent="0.3">
      <c r="B68" s="2" t="s">
        <v>17</v>
      </c>
      <c r="C68" s="55">
        <v>4.5999999999999996</v>
      </c>
      <c r="D68" s="2"/>
      <c r="E68" s="2" t="s">
        <v>17</v>
      </c>
      <c r="F68" s="55">
        <v>4.5999999999999996</v>
      </c>
      <c r="G68" s="2"/>
      <c r="H68" s="2" t="b">
        <f t="shared" ref="H68:I74" si="2">B68=E68</f>
        <v>1</v>
      </c>
      <c r="I68" s="2" t="b">
        <f t="shared" si="2"/>
        <v>1</v>
      </c>
    </row>
    <row r="69" spans="2:9" ht="14.4" x14ac:dyDescent="0.3">
      <c r="B69" s="2" t="s">
        <v>16</v>
      </c>
      <c r="C69" s="55">
        <v>2</v>
      </c>
      <c r="D69" s="2"/>
      <c r="E69" s="2" t="s">
        <v>16</v>
      </c>
      <c r="F69" s="55">
        <v>2</v>
      </c>
      <c r="G69" s="2"/>
      <c r="H69" s="2" t="b">
        <f t="shared" si="2"/>
        <v>1</v>
      </c>
      <c r="I69" s="2" t="b">
        <f t="shared" si="2"/>
        <v>1</v>
      </c>
    </row>
    <row r="70" spans="2:9" ht="14.4" x14ac:dyDescent="0.3">
      <c r="B70" s="2" t="s">
        <v>15</v>
      </c>
      <c r="C70" s="55">
        <v>1.7</v>
      </c>
      <c r="D70" s="2"/>
      <c r="E70" s="2" t="s">
        <v>15</v>
      </c>
      <c r="F70" s="55">
        <v>1.7</v>
      </c>
      <c r="G70" s="2"/>
      <c r="H70" s="2" t="b">
        <f t="shared" si="2"/>
        <v>1</v>
      </c>
      <c r="I70" s="2" t="b">
        <f t="shared" si="2"/>
        <v>1</v>
      </c>
    </row>
    <row r="71" spans="2:9" ht="14.4" x14ac:dyDescent="0.3">
      <c r="B71" s="2" t="s">
        <v>18</v>
      </c>
      <c r="C71" s="55">
        <v>1.6</v>
      </c>
      <c r="D71" s="2"/>
      <c r="E71" s="2" t="s">
        <v>18</v>
      </c>
      <c r="F71" s="55">
        <v>1.6</v>
      </c>
      <c r="G71" s="2"/>
      <c r="H71" s="2" t="b">
        <f t="shared" si="2"/>
        <v>1</v>
      </c>
      <c r="I71" s="2" t="b">
        <f t="shared" si="2"/>
        <v>1</v>
      </c>
    </row>
    <row r="72" spans="2:9" ht="14.4" x14ac:dyDescent="0.3">
      <c r="B72" s="2" t="s">
        <v>19</v>
      </c>
      <c r="C72" s="55">
        <v>0.9</v>
      </c>
      <c r="D72" s="2"/>
      <c r="E72" s="2" t="s">
        <v>19</v>
      </c>
      <c r="F72" s="55">
        <v>0.9</v>
      </c>
      <c r="G72" s="2"/>
      <c r="H72" s="2" t="b">
        <f t="shared" si="2"/>
        <v>1</v>
      </c>
      <c r="I72" s="2" t="b">
        <f t="shared" si="2"/>
        <v>1</v>
      </c>
    </row>
    <row r="73" spans="2:9" ht="14.4" x14ac:dyDescent="0.3">
      <c r="B73" s="2" t="s">
        <v>22</v>
      </c>
      <c r="C73" s="55">
        <v>1.1000000000000001</v>
      </c>
      <c r="D73" s="2"/>
      <c r="E73" s="2" t="s">
        <v>22</v>
      </c>
      <c r="F73" s="55">
        <v>1.1000000000000001</v>
      </c>
      <c r="G73" s="2"/>
      <c r="H73" s="2" t="b">
        <f t="shared" si="2"/>
        <v>1</v>
      </c>
      <c r="I73" s="2" t="b">
        <f t="shared" si="2"/>
        <v>1</v>
      </c>
    </row>
    <row r="74" spans="2:9" ht="14.4" x14ac:dyDescent="0.3">
      <c r="B74" s="2" t="s">
        <v>77</v>
      </c>
      <c r="C74" s="55">
        <f>SUM(C68:C73)</f>
        <v>11.899999999999999</v>
      </c>
      <c r="D74" s="2"/>
      <c r="E74" s="2" t="s">
        <v>77</v>
      </c>
      <c r="F74" s="55">
        <f>SUM(F68:F73)</f>
        <v>11.899999999999999</v>
      </c>
      <c r="G74" s="2"/>
      <c r="H74" s="2" t="b">
        <f t="shared" si="2"/>
        <v>1</v>
      </c>
      <c r="I74" s="2" t="b">
        <f t="shared" si="2"/>
        <v>1</v>
      </c>
    </row>
    <row r="75" spans="2:9" ht="14.4" x14ac:dyDescent="0.3">
      <c r="B75" s="2"/>
      <c r="C75" s="2"/>
      <c r="D75" s="2"/>
      <c r="E75" s="2"/>
      <c r="F75" s="2"/>
      <c r="G75" s="2"/>
      <c r="H75" s="2"/>
      <c r="I75" s="2"/>
    </row>
    <row r="76" spans="2:9" ht="14.4" x14ac:dyDescent="0.3">
      <c r="B76" s="2"/>
      <c r="C76" s="2"/>
      <c r="D76" s="2"/>
      <c r="E76" s="1" t="s">
        <v>5</v>
      </c>
      <c r="F76" s="14">
        <f>16/16</f>
        <v>1</v>
      </c>
      <c r="G76" s="2"/>
      <c r="H76" s="2"/>
      <c r="I76" s="2"/>
    </row>
    <row r="77" spans="2:9" x14ac:dyDescent="0.3">
      <c r="E77" s="90"/>
      <c r="F77" s="57"/>
    </row>
    <row r="79" spans="2:9" x14ac:dyDescent="0.3">
      <c r="B79" s="92" t="s">
        <v>248</v>
      </c>
    </row>
    <row r="92" spans="2:9" ht="14.4" x14ac:dyDescent="0.3">
      <c r="B92" s="7" t="s">
        <v>24</v>
      </c>
      <c r="C92" s="2"/>
      <c r="D92" s="2"/>
      <c r="E92" s="7" t="s">
        <v>1</v>
      </c>
      <c r="F92" s="2"/>
      <c r="G92" s="2"/>
      <c r="H92" s="2"/>
      <c r="I92" s="2"/>
    </row>
    <row r="93" spans="2:9" ht="14.4" x14ac:dyDescent="0.3">
      <c r="B93" s="1" t="s">
        <v>66</v>
      </c>
      <c r="C93" s="4" t="s">
        <v>78</v>
      </c>
      <c r="D93" s="2"/>
      <c r="E93" s="1" t="s">
        <v>66</v>
      </c>
      <c r="F93" s="4" t="s">
        <v>78</v>
      </c>
      <c r="G93" s="2"/>
      <c r="H93" s="2" t="b">
        <f>B93=E93</f>
        <v>1</v>
      </c>
      <c r="I93" s="2" t="b">
        <f>C93=F93</f>
        <v>1</v>
      </c>
    </row>
    <row r="94" spans="2:9" ht="14.4" x14ac:dyDescent="0.3">
      <c r="B94" s="2" t="s">
        <v>17</v>
      </c>
      <c r="C94" s="55">
        <v>4.7</v>
      </c>
      <c r="D94" s="2"/>
      <c r="E94" s="2" t="s">
        <v>17</v>
      </c>
      <c r="F94" s="55">
        <v>4.7</v>
      </c>
      <c r="G94" s="2"/>
      <c r="H94" s="2" t="b">
        <f t="shared" ref="H94:I100" si="3">B94=E94</f>
        <v>1</v>
      </c>
      <c r="I94" s="2" t="b">
        <f t="shared" si="3"/>
        <v>1</v>
      </c>
    </row>
    <row r="95" spans="2:9" ht="14.4" x14ac:dyDescent="0.3">
      <c r="B95" s="2" t="s">
        <v>16</v>
      </c>
      <c r="C95" s="55">
        <v>2</v>
      </c>
      <c r="D95" s="2"/>
      <c r="E95" s="2" t="s">
        <v>16</v>
      </c>
      <c r="F95" s="55">
        <v>2</v>
      </c>
      <c r="G95" s="2"/>
      <c r="H95" s="2" t="b">
        <f t="shared" si="3"/>
        <v>1</v>
      </c>
      <c r="I95" s="2" t="b">
        <f t="shared" si="3"/>
        <v>1</v>
      </c>
    </row>
    <row r="96" spans="2:9" ht="14.4" x14ac:dyDescent="0.3">
      <c r="B96" s="2" t="s">
        <v>15</v>
      </c>
      <c r="C96" s="55">
        <v>1.8</v>
      </c>
      <c r="D96" s="2"/>
      <c r="E96" s="2" t="s">
        <v>15</v>
      </c>
      <c r="F96" s="55">
        <v>1.8</v>
      </c>
      <c r="G96" s="2"/>
      <c r="H96" s="2" t="b">
        <f t="shared" si="3"/>
        <v>1</v>
      </c>
      <c r="I96" s="2" t="b">
        <f t="shared" si="3"/>
        <v>1</v>
      </c>
    </row>
    <row r="97" spans="2:9" ht="14.4" x14ac:dyDescent="0.3">
      <c r="B97" s="2" t="s">
        <v>18</v>
      </c>
      <c r="C97" s="55">
        <v>1.7</v>
      </c>
      <c r="D97" s="2"/>
      <c r="E97" s="2" t="s">
        <v>18</v>
      </c>
      <c r="F97" s="55">
        <v>1.7</v>
      </c>
      <c r="G97" s="2"/>
      <c r="H97" s="2" t="b">
        <f t="shared" si="3"/>
        <v>1</v>
      </c>
      <c r="I97" s="2" t="b">
        <f t="shared" si="3"/>
        <v>1</v>
      </c>
    </row>
    <row r="98" spans="2:9" ht="14.4" x14ac:dyDescent="0.3">
      <c r="B98" s="2" t="s">
        <v>19</v>
      </c>
      <c r="C98" s="55">
        <v>0.9</v>
      </c>
      <c r="D98" s="2"/>
      <c r="E98" s="2" t="s">
        <v>19</v>
      </c>
      <c r="F98" s="55">
        <v>0.9</v>
      </c>
      <c r="G98" s="2"/>
      <c r="H98" s="2" t="b">
        <f t="shared" si="3"/>
        <v>1</v>
      </c>
      <c r="I98" s="2" t="b">
        <f t="shared" si="3"/>
        <v>1</v>
      </c>
    </row>
    <row r="99" spans="2:9" ht="14.4" x14ac:dyDescent="0.3">
      <c r="B99" s="2" t="s">
        <v>22</v>
      </c>
      <c r="C99" s="55">
        <v>1.2</v>
      </c>
      <c r="D99" s="2"/>
      <c r="E99" s="2" t="s">
        <v>22</v>
      </c>
      <c r="F99" s="55">
        <v>1.2</v>
      </c>
      <c r="G99" s="2"/>
      <c r="H99" s="2" t="b">
        <f t="shared" si="3"/>
        <v>1</v>
      </c>
      <c r="I99" s="2" t="b">
        <f t="shared" si="3"/>
        <v>1</v>
      </c>
    </row>
    <row r="100" spans="2:9" ht="14.4" x14ac:dyDescent="0.3">
      <c r="B100" s="2" t="s">
        <v>77</v>
      </c>
      <c r="C100" s="55">
        <f>SUM(C94:C99)</f>
        <v>12.299999999999999</v>
      </c>
      <c r="D100" s="2"/>
      <c r="E100" s="2" t="s">
        <v>77</v>
      </c>
      <c r="F100" s="55">
        <f>SUM(F94:F99)</f>
        <v>12.299999999999999</v>
      </c>
      <c r="G100" s="2"/>
      <c r="H100" s="2" t="b">
        <f t="shared" si="3"/>
        <v>1</v>
      </c>
      <c r="I100" s="2" t="b">
        <f t="shared" si="3"/>
        <v>1</v>
      </c>
    </row>
    <row r="101" spans="2:9" ht="14.4" x14ac:dyDescent="0.3">
      <c r="B101" s="2"/>
      <c r="C101" s="2"/>
      <c r="D101" s="2"/>
      <c r="E101" s="2"/>
      <c r="F101" s="2"/>
      <c r="G101" s="2"/>
      <c r="H101" s="2"/>
      <c r="I101" s="2"/>
    </row>
    <row r="102" spans="2:9" ht="14.4" x14ac:dyDescent="0.3">
      <c r="B102" s="2"/>
      <c r="C102" s="2"/>
      <c r="D102" s="2"/>
      <c r="E102" s="1" t="s">
        <v>5</v>
      </c>
      <c r="F102" s="14">
        <f>16/16</f>
        <v>1</v>
      </c>
      <c r="G102" s="2"/>
      <c r="H102" s="2"/>
      <c r="I102" s="2"/>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61CF-30B4-45D1-AC8E-C320171360F8}">
  <dimension ref="B2:R23"/>
  <sheetViews>
    <sheetView showGridLines="0" workbookViewId="0">
      <selection activeCell="J28" sqref="J28"/>
    </sheetView>
  </sheetViews>
  <sheetFormatPr defaultRowHeight="14.4" x14ac:dyDescent="0.3"/>
  <cols>
    <col min="1" max="1" width="3.6640625" customWidth="1"/>
  </cols>
  <sheetData>
    <row r="2" spans="2:18" x14ac:dyDescent="0.3">
      <c r="B2" s="10" t="s">
        <v>31</v>
      </c>
      <c r="C2" s="50"/>
      <c r="D2" s="2"/>
      <c r="E2" s="2"/>
      <c r="F2" s="2"/>
      <c r="G2" s="2"/>
      <c r="H2" s="2"/>
      <c r="K2" s="10" t="s">
        <v>32</v>
      </c>
      <c r="L2" s="2"/>
      <c r="M2" s="2"/>
      <c r="N2" s="2"/>
      <c r="O2" s="2"/>
      <c r="P2" s="2"/>
      <c r="Q2" s="2"/>
      <c r="R2" s="2"/>
    </row>
    <row r="3" spans="2:18" x14ac:dyDescent="0.3">
      <c r="B3" s="2"/>
      <c r="C3" s="50"/>
      <c r="D3" s="2"/>
      <c r="E3" s="2"/>
      <c r="F3" s="2"/>
      <c r="G3" s="2"/>
      <c r="H3" s="2"/>
      <c r="K3" s="2"/>
      <c r="L3" s="2"/>
      <c r="M3" s="2"/>
      <c r="N3" s="2"/>
      <c r="O3" s="2"/>
      <c r="P3" s="2"/>
      <c r="Q3" s="2"/>
      <c r="R3" s="2"/>
    </row>
    <row r="4" spans="2:18" x14ac:dyDescent="0.3">
      <c r="B4" s="2"/>
      <c r="C4" s="50"/>
      <c r="D4" s="2"/>
      <c r="E4" s="2"/>
      <c r="F4" s="2"/>
      <c r="G4" s="2"/>
      <c r="H4" s="2"/>
      <c r="K4" s="2"/>
      <c r="L4" s="2"/>
      <c r="M4" s="2"/>
      <c r="N4" s="2"/>
      <c r="O4" s="2"/>
      <c r="P4" s="2"/>
      <c r="Q4" s="2"/>
      <c r="R4" s="2"/>
    </row>
    <row r="5" spans="2:18" x14ac:dyDescent="0.3">
      <c r="B5" s="2"/>
      <c r="C5" s="50"/>
      <c r="D5" s="2"/>
      <c r="E5" s="2"/>
      <c r="F5" s="2"/>
      <c r="G5" s="2"/>
      <c r="H5" s="2"/>
      <c r="K5" s="2"/>
      <c r="L5" s="2"/>
      <c r="M5" s="2"/>
      <c r="N5" s="2"/>
      <c r="O5" s="2"/>
      <c r="P5" s="2"/>
      <c r="Q5" s="2"/>
      <c r="R5" s="2"/>
    </row>
    <row r="6" spans="2:18" x14ac:dyDescent="0.3">
      <c r="B6" s="2"/>
      <c r="C6" s="50"/>
      <c r="D6" s="2"/>
      <c r="E6" s="2"/>
      <c r="F6" s="2"/>
      <c r="G6" s="2"/>
      <c r="H6" s="2"/>
      <c r="K6" s="2"/>
      <c r="L6" s="2"/>
      <c r="M6" s="2"/>
      <c r="N6" s="2"/>
      <c r="O6" s="2"/>
      <c r="P6" s="2"/>
      <c r="Q6" s="2"/>
      <c r="R6" s="2"/>
    </row>
    <row r="7" spans="2:18" x14ac:dyDescent="0.3">
      <c r="B7" s="2"/>
      <c r="C7" s="50"/>
      <c r="D7" s="2"/>
      <c r="E7" s="2"/>
      <c r="F7" s="2"/>
      <c r="G7" s="2"/>
      <c r="H7" s="2"/>
      <c r="K7" s="2"/>
      <c r="L7" s="2"/>
      <c r="M7" s="2"/>
      <c r="N7" s="2"/>
      <c r="O7" s="2"/>
      <c r="P7" s="2"/>
      <c r="Q7" s="2"/>
      <c r="R7" s="2"/>
    </row>
    <row r="8" spans="2:18" x14ac:dyDescent="0.3">
      <c r="B8" s="2"/>
      <c r="C8" s="50"/>
      <c r="D8" s="2"/>
      <c r="E8" s="2"/>
      <c r="F8" s="2"/>
      <c r="G8" s="2"/>
      <c r="H8" s="2"/>
      <c r="K8" s="2"/>
      <c r="L8" s="2"/>
      <c r="M8" s="2"/>
      <c r="N8" s="2"/>
      <c r="O8" s="2"/>
      <c r="P8" s="2"/>
      <c r="Q8" s="2"/>
      <c r="R8" s="2"/>
    </row>
    <row r="9" spans="2:18" x14ac:dyDescent="0.3">
      <c r="B9" s="2"/>
      <c r="C9" s="50"/>
      <c r="D9" s="2"/>
      <c r="E9" s="2"/>
      <c r="F9" s="2"/>
      <c r="G9" s="2"/>
      <c r="H9" s="2"/>
      <c r="K9" s="2"/>
      <c r="L9" s="2"/>
      <c r="M9" s="2"/>
      <c r="N9" s="2"/>
      <c r="O9" s="2"/>
      <c r="P9" s="2"/>
      <c r="Q9" s="2"/>
      <c r="R9" s="2"/>
    </row>
    <row r="10" spans="2:18" x14ac:dyDescent="0.3">
      <c r="B10" s="2"/>
      <c r="C10" s="50"/>
      <c r="D10" s="2"/>
      <c r="E10" s="2"/>
      <c r="F10" s="2"/>
      <c r="G10" s="2"/>
      <c r="H10" s="2"/>
      <c r="K10" s="2"/>
      <c r="L10" s="2"/>
      <c r="M10" s="2"/>
      <c r="N10" s="2"/>
      <c r="O10" s="2"/>
      <c r="P10" s="2"/>
      <c r="Q10" s="2"/>
      <c r="R10" s="2"/>
    </row>
    <row r="11" spans="2:18" x14ac:dyDescent="0.3">
      <c r="B11" s="2"/>
      <c r="C11" s="50"/>
      <c r="D11" s="2"/>
      <c r="E11" s="2"/>
      <c r="F11" s="2"/>
      <c r="G11" s="2"/>
      <c r="H11" s="2"/>
      <c r="K11" s="2"/>
      <c r="L11" s="2"/>
      <c r="M11" s="2"/>
      <c r="N11" s="2"/>
      <c r="O11" s="2"/>
      <c r="P11" s="2"/>
      <c r="Q11" s="2"/>
      <c r="R11" s="2"/>
    </row>
    <row r="12" spans="2:18" x14ac:dyDescent="0.3">
      <c r="B12" s="2"/>
      <c r="C12" s="50"/>
      <c r="D12" s="2"/>
      <c r="E12" s="2"/>
      <c r="F12" s="2"/>
      <c r="G12" s="2"/>
      <c r="H12" s="2"/>
      <c r="K12" s="2"/>
      <c r="L12" s="2"/>
      <c r="M12" s="2"/>
      <c r="N12" s="2"/>
      <c r="O12" s="2"/>
      <c r="P12" s="2"/>
      <c r="Q12" s="2"/>
      <c r="R12" s="2"/>
    </row>
    <row r="13" spans="2:18" x14ac:dyDescent="0.3">
      <c r="B13" s="10" t="s">
        <v>33</v>
      </c>
      <c r="C13" s="2"/>
      <c r="D13" s="2"/>
      <c r="E13" s="2"/>
      <c r="F13" s="2"/>
      <c r="G13" s="2"/>
      <c r="H13" s="2"/>
      <c r="K13" s="10" t="s">
        <v>30</v>
      </c>
      <c r="L13" s="50"/>
      <c r="M13" s="2"/>
      <c r="N13" s="2"/>
      <c r="O13" s="2"/>
      <c r="P13" s="2"/>
      <c r="Q13" s="2"/>
    </row>
    <row r="14" spans="2:18" ht="3.6" customHeight="1" x14ac:dyDescent="0.3">
      <c r="B14" s="2"/>
      <c r="C14" s="2"/>
      <c r="D14" s="2"/>
      <c r="E14" s="2"/>
      <c r="F14" s="2"/>
      <c r="G14" s="2"/>
      <c r="H14" s="2"/>
      <c r="K14" s="2"/>
      <c r="L14" s="50"/>
      <c r="M14" s="2"/>
      <c r="N14" s="2"/>
      <c r="O14" s="2"/>
      <c r="P14" s="2"/>
      <c r="Q14" s="2"/>
    </row>
    <row r="15" spans="2:18" x14ac:dyDescent="0.3">
      <c r="B15" s="2"/>
      <c r="C15" s="2"/>
      <c r="D15" s="2"/>
      <c r="E15" s="2"/>
      <c r="F15" s="2"/>
      <c r="G15" s="2"/>
      <c r="H15" s="2"/>
      <c r="K15" s="2"/>
      <c r="L15" s="50"/>
      <c r="M15" s="2"/>
      <c r="N15" s="2"/>
      <c r="O15" s="2"/>
      <c r="P15" s="2"/>
      <c r="Q15" s="2"/>
    </row>
    <row r="16" spans="2:18" x14ac:dyDescent="0.3">
      <c r="B16" s="2"/>
      <c r="C16" s="2"/>
      <c r="D16" s="2"/>
      <c r="E16" s="2"/>
      <c r="F16" s="2"/>
      <c r="G16" s="2"/>
      <c r="H16" s="2"/>
      <c r="K16" s="2"/>
      <c r="L16" s="50"/>
      <c r="M16" s="2"/>
      <c r="N16" s="2"/>
      <c r="O16" s="2"/>
      <c r="P16" s="2"/>
      <c r="Q16" s="2"/>
    </row>
    <row r="17" spans="2:17" x14ac:dyDescent="0.3">
      <c r="B17" s="2"/>
      <c r="C17" s="2"/>
      <c r="D17" s="2"/>
      <c r="E17" s="2"/>
      <c r="F17" s="2"/>
      <c r="G17" s="2"/>
      <c r="H17" s="2"/>
      <c r="K17" s="2"/>
      <c r="L17" s="50"/>
      <c r="M17" s="2"/>
      <c r="N17" s="2"/>
      <c r="O17" s="2"/>
      <c r="P17" s="2"/>
      <c r="Q17" s="2"/>
    </row>
    <row r="18" spans="2:17" x14ac:dyDescent="0.3">
      <c r="B18" s="2"/>
      <c r="C18" s="2"/>
      <c r="D18" s="2"/>
      <c r="E18" s="2"/>
      <c r="F18" s="2"/>
      <c r="G18" s="2"/>
      <c r="H18" s="2"/>
      <c r="K18" s="2"/>
      <c r="L18" s="50"/>
      <c r="M18" s="2"/>
      <c r="N18" s="2"/>
      <c r="O18" s="2"/>
      <c r="P18" s="2"/>
      <c r="Q18" s="2"/>
    </row>
    <row r="19" spans="2:17" x14ac:dyDescent="0.3">
      <c r="B19" s="2"/>
      <c r="C19" s="2"/>
      <c r="D19" s="2"/>
      <c r="E19" s="2"/>
      <c r="F19" s="2"/>
      <c r="G19" s="2"/>
      <c r="H19" s="2"/>
      <c r="K19" s="2"/>
      <c r="L19" s="50"/>
      <c r="M19" s="2"/>
      <c r="N19" s="2"/>
      <c r="O19" s="2"/>
      <c r="P19" s="2"/>
      <c r="Q19" s="2"/>
    </row>
    <row r="20" spans="2:17" x14ac:dyDescent="0.3">
      <c r="B20" s="2"/>
      <c r="C20" s="2"/>
      <c r="D20" s="2"/>
      <c r="E20" s="2"/>
      <c r="F20" s="2"/>
      <c r="G20" s="2"/>
      <c r="H20" s="2"/>
      <c r="K20" s="2"/>
      <c r="L20" s="50"/>
      <c r="M20" s="2"/>
      <c r="N20" s="2"/>
      <c r="O20" s="2"/>
      <c r="P20" s="2"/>
      <c r="Q20" s="2"/>
    </row>
    <row r="21" spans="2:17" x14ac:dyDescent="0.3">
      <c r="B21" s="2"/>
      <c r="C21" s="2"/>
      <c r="D21" s="2"/>
      <c r="E21" s="2"/>
      <c r="F21" s="2"/>
      <c r="G21" s="2"/>
      <c r="H21" s="2"/>
      <c r="K21" s="2"/>
      <c r="L21" s="50"/>
      <c r="M21" s="2"/>
      <c r="N21" s="2"/>
      <c r="O21" s="2"/>
      <c r="P21" s="2"/>
      <c r="Q21" s="2"/>
    </row>
    <row r="22" spans="2:17" x14ac:dyDescent="0.3">
      <c r="B22" s="2"/>
      <c r="C22" s="2"/>
      <c r="D22" s="2"/>
      <c r="E22" s="2"/>
      <c r="F22" s="2"/>
      <c r="G22" s="2"/>
      <c r="H22" s="2"/>
      <c r="K22" s="2"/>
      <c r="L22" s="50"/>
      <c r="M22" s="2"/>
      <c r="N22" s="2"/>
      <c r="O22" s="2"/>
      <c r="P22" s="2"/>
      <c r="Q22" s="2"/>
    </row>
    <row r="23" spans="2:17" x14ac:dyDescent="0.3">
      <c r="B23" s="2"/>
      <c r="C23" s="2"/>
      <c r="D23" s="2"/>
      <c r="E23" s="2"/>
      <c r="F23" s="2"/>
      <c r="G23" s="2"/>
      <c r="H23" s="2"/>
      <c r="K23" s="2"/>
      <c r="L23" s="50"/>
      <c r="M23" s="2"/>
      <c r="N23" s="2"/>
      <c r="O23" s="2"/>
      <c r="P23" s="2"/>
      <c r="Q23" s="2"/>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CBA00-CB90-4AF0-A284-1203A14A5BDB}">
  <sheetPr>
    <tabColor rgb="FF00B0F0"/>
  </sheetPr>
  <dimension ref="A1"/>
  <sheetViews>
    <sheetView workbookViewId="0">
      <selection activeCell="E39" sqref="E39"/>
    </sheetView>
  </sheetViews>
  <sheetFormatPr defaultRowHeight="14.4" x14ac:dyDescent="0.3"/>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83D7B-5006-40B1-98FE-7B6D30D6F64D}">
  <dimension ref="A2:N65"/>
  <sheetViews>
    <sheetView showGridLines="0" workbookViewId="0">
      <selection activeCell="F46" sqref="F46"/>
    </sheetView>
  </sheetViews>
  <sheetFormatPr defaultRowHeight="14.4" x14ac:dyDescent="0.3"/>
  <cols>
    <col min="2" max="2" width="26.33203125" bestFit="1" customWidth="1"/>
    <col min="3" max="3" width="11.21875" bestFit="1" customWidth="1"/>
    <col min="4" max="4" width="4.21875" customWidth="1"/>
    <col min="5" max="5" width="15.88671875" bestFit="1" customWidth="1"/>
    <col min="6" max="6" width="11.21875" bestFit="1" customWidth="1"/>
    <col min="7" max="7" width="5.21875" customWidth="1"/>
    <col min="8" max="8" width="5.5546875" bestFit="1" customWidth="1"/>
    <col min="9" max="9" width="6.77734375" bestFit="1" customWidth="1"/>
    <col min="10" max="10" width="15.88671875" bestFit="1" customWidth="1"/>
    <col min="11" max="11" width="11.21875" bestFit="1" customWidth="1"/>
    <col min="12" max="12" width="4" bestFit="1" customWidth="1"/>
  </cols>
  <sheetData>
    <row r="2" spans="1:14" x14ac:dyDescent="0.3">
      <c r="A2" s="71" t="s">
        <v>8</v>
      </c>
      <c r="B2" s="10" t="s">
        <v>174</v>
      </c>
      <c r="C2" s="2"/>
      <c r="D2" s="2"/>
      <c r="E2" s="2"/>
      <c r="F2" s="2"/>
    </row>
    <row r="3" spans="1:14" x14ac:dyDescent="0.3">
      <c r="B3" s="10"/>
      <c r="C3" s="2"/>
      <c r="D3" s="2"/>
      <c r="E3" s="2"/>
      <c r="F3" s="2"/>
    </row>
    <row r="4" spans="1:14" x14ac:dyDescent="0.3">
      <c r="B4" s="1" t="s">
        <v>66</v>
      </c>
      <c r="C4" s="4" t="s">
        <v>78</v>
      </c>
      <c r="D4" s="2"/>
      <c r="E4" s="4" t="s">
        <v>66</v>
      </c>
      <c r="F4" s="4" t="s">
        <v>78</v>
      </c>
      <c r="H4" s="1" t="s">
        <v>2</v>
      </c>
      <c r="I4" s="4" t="s">
        <v>6</v>
      </c>
      <c r="J4" s="4" t="s">
        <v>66</v>
      </c>
      <c r="K4" s="4" t="s">
        <v>78</v>
      </c>
      <c r="L4" s="1" t="s">
        <v>39</v>
      </c>
      <c r="M4" s="4" t="s">
        <v>79</v>
      </c>
      <c r="N4" s="4" t="s">
        <v>40</v>
      </c>
    </row>
    <row r="5" spans="1:14" x14ac:dyDescent="0.3">
      <c r="B5" s="5" t="s">
        <v>17</v>
      </c>
      <c r="C5" s="76">
        <v>9791</v>
      </c>
      <c r="D5" s="2"/>
      <c r="E5" s="5" t="s">
        <v>17</v>
      </c>
      <c r="F5" s="50">
        <f>C5</f>
        <v>9791</v>
      </c>
      <c r="H5" s="5" t="s">
        <v>129</v>
      </c>
      <c r="I5" s="3" t="s">
        <v>8</v>
      </c>
      <c r="J5" s="50" t="s">
        <v>17</v>
      </c>
      <c r="K5" s="50">
        <f>F5</f>
        <v>9791</v>
      </c>
      <c r="L5" s="2" t="s">
        <v>41</v>
      </c>
      <c r="M5" s="50" t="s">
        <v>42</v>
      </c>
      <c r="N5" s="3" t="s">
        <v>43</v>
      </c>
    </row>
    <row r="6" spans="1:14" x14ac:dyDescent="0.3">
      <c r="B6" s="5" t="s">
        <v>15</v>
      </c>
      <c r="C6" s="3"/>
      <c r="D6" s="2"/>
      <c r="E6" s="5" t="s">
        <v>15</v>
      </c>
      <c r="F6" s="50">
        <f>SUM(C7:C8)</f>
        <v>5065</v>
      </c>
      <c r="H6" s="5" t="s">
        <v>129</v>
      </c>
      <c r="I6" s="3" t="s">
        <v>8</v>
      </c>
      <c r="J6" s="50" t="s">
        <v>15</v>
      </c>
      <c r="K6" s="50">
        <f t="shared" ref="K6:K10" si="0">F6</f>
        <v>5065</v>
      </c>
      <c r="L6" s="2" t="s">
        <v>41</v>
      </c>
      <c r="M6" s="50" t="s">
        <v>42</v>
      </c>
      <c r="N6" s="3" t="s">
        <v>43</v>
      </c>
    </row>
    <row r="7" spans="1:14" x14ac:dyDescent="0.3">
      <c r="B7" s="5" t="s">
        <v>208</v>
      </c>
      <c r="C7" s="50">
        <v>2135</v>
      </c>
      <c r="D7" s="2"/>
      <c r="E7" s="5" t="s">
        <v>18</v>
      </c>
      <c r="F7" s="50">
        <f>C9</f>
        <v>2940</v>
      </c>
      <c r="H7" s="5" t="s">
        <v>129</v>
      </c>
      <c r="I7" s="3" t="s">
        <v>8</v>
      </c>
      <c r="J7" s="50" t="s">
        <v>18</v>
      </c>
      <c r="K7" s="50">
        <f t="shared" si="0"/>
        <v>2940</v>
      </c>
      <c r="L7" s="2" t="s">
        <v>41</v>
      </c>
      <c r="M7" s="50" t="s">
        <v>42</v>
      </c>
      <c r="N7" s="3" t="s">
        <v>43</v>
      </c>
    </row>
    <row r="8" spans="1:14" x14ac:dyDescent="0.3">
      <c r="B8" s="5" t="s">
        <v>209</v>
      </c>
      <c r="C8" s="50">
        <v>2930</v>
      </c>
      <c r="D8" s="2"/>
      <c r="E8" s="5" t="s">
        <v>16</v>
      </c>
      <c r="F8" s="50">
        <f>C10</f>
        <v>3575</v>
      </c>
      <c r="H8" s="5" t="s">
        <v>129</v>
      </c>
      <c r="I8" s="3" t="s">
        <v>8</v>
      </c>
      <c r="J8" s="50" t="s">
        <v>16</v>
      </c>
      <c r="K8" s="50">
        <f t="shared" si="0"/>
        <v>3575</v>
      </c>
      <c r="L8" s="2" t="s">
        <v>41</v>
      </c>
      <c r="M8" s="50" t="s">
        <v>42</v>
      </c>
      <c r="N8" s="3" t="s">
        <v>43</v>
      </c>
    </row>
    <row r="9" spans="1:14" x14ac:dyDescent="0.3">
      <c r="B9" s="5" t="s">
        <v>18</v>
      </c>
      <c r="C9" s="50">
        <v>2940</v>
      </c>
      <c r="D9" s="2"/>
      <c r="E9" s="5" t="s">
        <v>19</v>
      </c>
      <c r="F9" s="50">
        <f>C13</f>
        <v>418</v>
      </c>
      <c r="H9" s="5" t="s">
        <v>129</v>
      </c>
      <c r="I9" s="3" t="s">
        <v>8</v>
      </c>
      <c r="J9" s="3" t="s">
        <v>19</v>
      </c>
      <c r="K9" s="50">
        <f t="shared" si="0"/>
        <v>418</v>
      </c>
      <c r="L9" s="2" t="s">
        <v>41</v>
      </c>
      <c r="M9" s="50" t="s">
        <v>42</v>
      </c>
      <c r="N9" s="3" t="s">
        <v>43</v>
      </c>
    </row>
    <row r="10" spans="1:14" x14ac:dyDescent="0.3">
      <c r="B10" s="5" t="s">
        <v>16</v>
      </c>
      <c r="C10" s="50">
        <v>3575</v>
      </c>
      <c r="D10" s="2"/>
      <c r="E10" s="5" t="s">
        <v>22</v>
      </c>
      <c r="F10" s="50">
        <f>SUM(C14,C11:C12)</f>
        <v>5436</v>
      </c>
      <c r="H10" s="5" t="s">
        <v>129</v>
      </c>
      <c r="I10" s="3" t="s">
        <v>8</v>
      </c>
      <c r="J10" s="50" t="s">
        <v>22</v>
      </c>
      <c r="K10" s="50">
        <f t="shared" si="0"/>
        <v>5436</v>
      </c>
      <c r="L10" s="2" t="s">
        <v>41</v>
      </c>
      <c r="M10" s="50" t="s">
        <v>42</v>
      </c>
      <c r="N10" s="3" t="s">
        <v>43</v>
      </c>
    </row>
    <row r="11" spans="1:14" x14ac:dyDescent="0.3">
      <c r="B11" s="5" t="s">
        <v>124</v>
      </c>
      <c r="C11" s="50">
        <v>1802</v>
      </c>
      <c r="D11" s="2"/>
      <c r="E11" s="5" t="s">
        <v>77</v>
      </c>
      <c r="F11" s="50">
        <f>SUM(F5:F10)</f>
        <v>27225</v>
      </c>
      <c r="H11" s="5" t="s">
        <v>129</v>
      </c>
      <c r="I11" s="3" t="s">
        <v>8</v>
      </c>
      <c r="J11" s="50" t="s">
        <v>77</v>
      </c>
      <c r="K11" s="50">
        <f>SUM(K5:K10)</f>
        <v>27225</v>
      </c>
      <c r="L11" s="2" t="s">
        <v>41</v>
      </c>
      <c r="M11" s="50" t="s">
        <v>42</v>
      </c>
      <c r="N11" s="3" t="s">
        <v>43</v>
      </c>
    </row>
    <row r="12" spans="1:14" x14ac:dyDescent="0.3">
      <c r="B12" s="5" t="s">
        <v>125</v>
      </c>
      <c r="C12" s="50">
        <v>1024</v>
      </c>
      <c r="D12" s="2"/>
      <c r="E12" s="2"/>
      <c r="F12" s="2"/>
    </row>
    <row r="13" spans="1:14" x14ac:dyDescent="0.3">
      <c r="B13" s="5" t="s">
        <v>126</v>
      </c>
      <c r="C13" s="3">
        <v>418</v>
      </c>
      <c r="D13" s="2"/>
      <c r="E13" s="2"/>
      <c r="F13" s="2"/>
    </row>
    <row r="14" spans="1:14" x14ac:dyDescent="0.3">
      <c r="B14" s="5" t="s">
        <v>22</v>
      </c>
      <c r="C14" s="50">
        <v>2610</v>
      </c>
      <c r="D14" s="2"/>
      <c r="E14" s="2"/>
      <c r="F14" s="2"/>
    </row>
    <row r="15" spans="1:14" x14ac:dyDescent="0.3">
      <c r="B15" s="5" t="s">
        <v>77</v>
      </c>
      <c r="C15" s="76">
        <f>SUM(C5:C14)</f>
        <v>27225</v>
      </c>
      <c r="D15" s="2"/>
      <c r="E15" s="2"/>
      <c r="F15" s="2"/>
    </row>
    <row r="22" spans="1:14" x14ac:dyDescent="0.3">
      <c r="A22" s="71" t="s">
        <v>7</v>
      </c>
      <c r="B22" s="1" t="s">
        <v>66</v>
      </c>
      <c r="C22" s="4" t="s">
        <v>78</v>
      </c>
      <c r="D22" s="4"/>
      <c r="E22" s="4" t="s">
        <v>66</v>
      </c>
      <c r="F22" s="4" t="s">
        <v>78</v>
      </c>
      <c r="G22" s="4"/>
      <c r="H22" s="1" t="s">
        <v>2</v>
      </c>
      <c r="I22" s="4" t="s">
        <v>6</v>
      </c>
      <c r="J22" s="4" t="s">
        <v>66</v>
      </c>
      <c r="K22" s="4" t="s">
        <v>78</v>
      </c>
      <c r="L22" s="1" t="s">
        <v>39</v>
      </c>
      <c r="M22" s="4" t="s">
        <v>79</v>
      </c>
      <c r="N22" s="4" t="s">
        <v>40</v>
      </c>
    </row>
    <row r="23" spans="1:14" x14ac:dyDescent="0.3">
      <c r="B23" s="2" t="s">
        <v>17</v>
      </c>
      <c r="C23" s="50">
        <v>9952</v>
      </c>
      <c r="D23" s="14"/>
      <c r="E23" s="5" t="s">
        <v>17</v>
      </c>
      <c r="F23" s="50">
        <f>C23</f>
        <v>9952</v>
      </c>
      <c r="G23" s="50"/>
      <c r="H23" s="5" t="s">
        <v>129</v>
      </c>
      <c r="I23" s="3" t="s">
        <v>7</v>
      </c>
      <c r="J23" s="50" t="s">
        <v>17</v>
      </c>
      <c r="K23" s="50">
        <v>9952</v>
      </c>
      <c r="L23" s="2" t="s">
        <v>41</v>
      </c>
      <c r="M23" s="50" t="s">
        <v>42</v>
      </c>
      <c r="N23" s="3" t="s">
        <v>43</v>
      </c>
    </row>
    <row r="24" spans="1:14" x14ac:dyDescent="0.3">
      <c r="B24" s="2" t="s">
        <v>15</v>
      </c>
      <c r="C24" s="3"/>
      <c r="D24" s="14"/>
      <c r="E24" s="5" t="s">
        <v>15</v>
      </c>
      <c r="F24" s="50">
        <f>SUM(C25:C26)</f>
        <v>5376</v>
      </c>
      <c r="G24" s="50"/>
      <c r="H24" s="5" t="s">
        <v>129</v>
      </c>
      <c r="I24" s="3" t="s">
        <v>7</v>
      </c>
      <c r="J24" s="50" t="s">
        <v>15</v>
      </c>
      <c r="K24" s="50">
        <v>5376</v>
      </c>
      <c r="L24" s="2" t="s">
        <v>41</v>
      </c>
      <c r="M24" s="50" t="s">
        <v>42</v>
      </c>
      <c r="N24" s="3" t="s">
        <v>43</v>
      </c>
    </row>
    <row r="25" spans="1:14" x14ac:dyDescent="0.3">
      <c r="B25" s="2" t="s">
        <v>127</v>
      </c>
      <c r="C25" s="50">
        <v>2220</v>
      </c>
      <c r="D25" s="14"/>
      <c r="E25" s="5" t="s">
        <v>18</v>
      </c>
      <c r="F25" s="50">
        <f>C27</f>
        <v>2987</v>
      </c>
      <c r="G25" s="50"/>
      <c r="H25" s="5" t="s">
        <v>129</v>
      </c>
      <c r="I25" s="3" t="s">
        <v>7</v>
      </c>
      <c r="J25" s="50" t="s">
        <v>18</v>
      </c>
      <c r="K25" s="50">
        <v>2987</v>
      </c>
      <c r="L25" s="2" t="s">
        <v>41</v>
      </c>
      <c r="M25" s="50" t="s">
        <v>42</v>
      </c>
      <c r="N25" s="3" t="s">
        <v>43</v>
      </c>
    </row>
    <row r="26" spans="1:14" x14ac:dyDescent="0.3">
      <c r="B26" s="2" t="s">
        <v>128</v>
      </c>
      <c r="C26" s="50">
        <v>3156</v>
      </c>
      <c r="D26" s="14"/>
      <c r="E26" s="5" t="s">
        <v>16</v>
      </c>
      <c r="F26" s="50">
        <f>C28</f>
        <v>3744</v>
      </c>
      <c r="G26" s="50"/>
      <c r="H26" s="5" t="s">
        <v>129</v>
      </c>
      <c r="I26" s="3" t="s">
        <v>7</v>
      </c>
      <c r="J26" s="50" t="s">
        <v>16</v>
      </c>
      <c r="K26" s="50">
        <v>3744</v>
      </c>
      <c r="L26" s="2" t="s">
        <v>41</v>
      </c>
      <c r="M26" s="50" t="s">
        <v>42</v>
      </c>
      <c r="N26" s="3" t="s">
        <v>43</v>
      </c>
    </row>
    <row r="27" spans="1:14" x14ac:dyDescent="0.3">
      <c r="B27" s="2" t="s">
        <v>18</v>
      </c>
      <c r="C27" s="50">
        <v>2987</v>
      </c>
      <c r="D27" s="14"/>
      <c r="E27" s="5" t="s">
        <v>19</v>
      </c>
      <c r="F27" s="3">
        <f>C31</f>
        <v>423</v>
      </c>
      <c r="G27" s="50"/>
      <c r="H27" s="5" t="s">
        <v>129</v>
      </c>
      <c r="I27" s="3" t="s">
        <v>7</v>
      </c>
      <c r="J27" s="3" t="s">
        <v>19</v>
      </c>
      <c r="K27" s="50">
        <v>423</v>
      </c>
      <c r="L27" s="2" t="s">
        <v>41</v>
      </c>
      <c r="M27" s="50" t="s">
        <v>42</v>
      </c>
      <c r="N27" s="3" t="s">
        <v>43</v>
      </c>
    </row>
    <row r="28" spans="1:14" x14ac:dyDescent="0.3">
      <c r="B28" s="2" t="s">
        <v>16</v>
      </c>
      <c r="C28" s="50">
        <v>3744</v>
      </c>
      <c r="D28" s="14"/>
      <c r="E28" s="5" t="s">
        <v>22</v>
      </c>
      <c r="F28" s="50">
        <f>SUM(C32,C29:C30)</f>
        <v>5501</v>
      </c>
      <c r="G28" s="50"/>
      <c r="H28" s="5" t="s">
        <v>129</v>
      </c>
      <c r="I28" s="3" t="s">
        <v>7</v>
      </c>
      <c r="J28" s="50" t="s">
        <v>22</v>
      </c>
      <c r="K28" s="50">
        <v>5501</v>
      </c>
      <c r="L28" s="2" t="s">
        <v>41</v>
      </c>
      <c r="M28" s="50" t="s">
        <v>42</v>
      </c>
      <c r="N28" s="3" t="s">
        <v>43</v>
      </c>
    </row>
    <row r="29" spans="1:14" x14ac:dyDescent="0.3">
      <c r="B29" s="2" t="s">
        <v>124</v>
      </c>
      <c r="C29" s="50">
        <v>1807</v>
      </c>
      <c r="D29" s="14"/>
      <c r="E29" s="5" t="s">
        <v>77</v>
      </c>
      <c r="F29" s="50">
        <f>SUM(F23:F28)</f>
        <v>27983</v>
      </c>
      <c r="G29" s="50"/>
      <c r="H29" s="5" t="s">
        <v>129</v>
      </c>
      <c r="I29" s="3" t="s">
        <v>7</v>
      </c>
      <c r="J29" s="50" t="s">
        <v>77</v>
      </c>
      <c r="K29" s="50">
        <v>27983</v>
      </c>
      <c r="L29" s="2" t="s">
        <v>41</v>
      </c>
      <c r="M29" s="50" t="s">
        <v>42</v>
      </c>
      <c r="N29" s="3" t="s">
        <v>43</v>
      </c>
    </row>
    <row r="30" spans="1:14" x14ac:dyDescent="0.3">
      <c r="B30" s="2" t="s">
        <v>125</v>
      </c>
      <c r="C30" s="50">
        <v>991</v>
      </c>
      <c r="D30" s="14"/>
      <c r="E30" s="2"/>
      <c r="F30" s="3"/>
      <c r="G30" s="50"/>
      <c r="H30" s="3"/>
      <c r="I30" s="2"/>
      <c r="J30" s="2"/>
      <c r="K30" s="2"/>
      <c r="L30" s="2"/>
      <c r="M30" s="50"/>
      <c r="N30" s="3"/>
    </row>
    <row r="31" spans="1:14" x14ac:dyDescent="0.3">
      <c r="B31" s="2" t="s">
        <v>126</v>
      </c>
      <c r="C31" s="3">
        <v>423</v>
      </c>
      <c r="D31" s="14"/>
      <c r="E31" s="2"/>
      <c r="F31" s="3"/>
      <c r="G31" s="50"/>
      <c r="H31" s="3"/>
      <c r="I31" s="2"/>
      <c r="J31" s="2"/>
      <c r="K31" s="2"/>
      <c r="L31" s="2"/>
      <c r="M31" s="50"/>
      <c r="N31" s="3"/>
    </row>
    <row r="32" spans="1:14" x14ac:dyDescent="0.3">
      <c r="B32" s="2" t="s">
        <v>22</v>
      </c>
      <c r="C32" s="50">
        <v>2703</v>
      </c>
      <c r="D32" s="14"/>
      <c r="E32" s="2"/>
      <c r="F32" s="3"/>
      <c r="G32" s="50"/>
      <c r="H32" s="3"/>
      <c r="I32" s="2"/>
      <c r="J32" s="2"/>
      <c r="K32" s="2"/>
      <c r="L32" s="2"/>
      <c r="M32" s="50"/>
      <c r="N32" s="3"/>
    </row>
    <row r="33" spans="1:14" x14ac:dyDescent="0.3">
      <c r="B33" s="2" t="s">
        <v>77</v>
      </c>
      <c r="C33" s="50">
        <f>SUM(C23:C32)</f>
        <v>27983</v>
      </c>
      <c r="D33" s="14"/>
      <c r="E33" s="2"/>
      <c r="F33" s="3"/>
      <c r="G33" s="50"/>
      <c r="H33" s="3"/>
      <c r="I33" s="2"/>
      <c r="J33" s="2"/>
      <c r="K33" s="2"/>
      <c r="L33" s="2"/>
      <c r="M33" s="50"/>
      <c r="N33" s="3"/>
    </row>
    <row r="37" spans="1:14" x14ac:dyDescent="0.3">
      <c r="A37" s="71" t="s">
        <v>9</v>
      </c>
      <c r="B37" s="1" t="s">
        <v>66</v>
      </c>
      <c r="C37" s="4" t="s">
        <v>78</v>
      </c>
      <c r="D37" s="2"/>
      <c r="E37" s="10" t="s">
        <v>66</v>
      </c>
      <c r="F37" s="4" t="s">
        <v>78</v>
      </c>
      <c r="H37" s="1" t="s">
        <v>2</v>
      </c>
      <c r="I37" s="4" t="s">
        <v>6</v>
      </c>
      <c r="J37" s="4" t="s">
        <v>66</v>
      </c>
      <c r="K37" s="4" t="s">
        <v>78</v>
      </c>
      <c r="L37" s="1" t="s">
        <v>39</v>
      </c>
      <c r="M37" s="4" t="s">
        <v>79</v>
      </c>
      <c r="N37" s="4" t="s">
        <v>40</v>
      </c>
    </row>
    <row r="38" spans="1:14" x14ac:dyDescent="0.3">
      <c r="B38" s="2" t="s">
        <v>17</v>
      </c>
      <c r="C38" s="76">
        <v>9689</v>
      </c>
      <c r="D38" s="2"/>
      <c r="E38" s="5" t="s">
        <v>17</v>
      </c>
      <c r="F38" s="76">
        <f>C38</f>
        <v>9689</v>
      </c>
      <c r="H38" s="5" t="s">
        <v>129</v>
      </c>
      <c r="I38" s="3" t="s">
        <v>9</v>
      </c>
      <c r="J38" s="50" t="s">
        <v>17</v>
      </c>
      <c r="K38" s="50">
        <f>F38</f>
        <v>9689</v>
      </c>
      <c r="L38" s="2" t="s">
        <v>41</v>
      </c>
      <c r="M38" s="50" t="s">
        <v>42</v>
      </c>
      <c r="N38" s="3" t="s">
        <v>43</v>
      </c>
    </row>
    <row r="39" spans="1:14" x14ac:dyDescent="0.3">
      <c r="B39" s="2" t="s">
        <v>15</v>
      </c>
      <c r="C39" s="3"/>
      <c r="D39" s="2"/>
      <c r="E39" s="5" t="s">
        <v>15</v>
      </c>
      <c r="F39" s="50">
        <f>SUM(C40:C41)</f>
        <v>5626</v>
      </c>
      <c r="H39" s="5" t="s">
        <v>129</v>
      </c>
      <c r="I39" s="3" t="s">
        <v>9</v>
      </c>
      <c r="J39" s="50" t="s">
        <v>15</v>
      </c>
      <c r="K39" s="50">
        <f t="shared" ref="K39:K43" si="1">F39</f>
        <v>5626</v>
      </c>
      <c r="L39" s="2" t="s">
        <v>41</v>
      </c>
      <c r="M39" s="50" t="s">
        <v>42</v>
      </c>
      <c r="N39" s="3" t="s">
        <v>43</v>
      </c>
    </row>
    <row r="40" spans="1:14" x14ac:dyDescent="0.3">
      <c r="B40" s="2" t="s">
        <v>273</v>
      </c>
      <c r="C40" s="50">
        <v>2303</v>
      </c>
      <c r="D40" s="2"/>
      <c r="E40" s="5" t="s">
        <v>18</v>
      </c>
      <c r="F40" s="50">
        <f>C42</f>
        <v>3322</v>
      </c>
      <c r="H40" s="5" t="s">
        <v>129</v>
      </c>
      <c r="I40" s="3" t="s">
        <v>9</v>
      </c>
      <c r="J40" s="50" t="s">
        <v>18</v>
      </c>
      <c r="K40" s="50">
        <f t="shared" si="1"/>
        <v>3322</v>
      </c>
      <c r="L40" s="2" t="s">
        <v>41</v>
      </c>
      <c r="M40" s="50" t="s">
        <v>42</v>
      </c>
      <c r="N40" s="3" t="s">
        <v>43</v>
      </c>
    </row>
    <row r="41" spans="1:14" x14ac:dyDescent="0.3">
      <c r="B41" s="2" t="s">
        <v>209</v>
      </c>
      <c r="C41" s="50">
        <v>3323</v>
      </c>
      <c r="D41" s="2"/>
      <c r="E41" s="5" t="s">
        <v>16</v>
      </c>
      <c r="F41" s="50">
        <f>C43</f>
        <v>3689</v>
      </c>
      <c r="H41" s="5" t="s">
        <v>129</v>
      </c>
      <c r="I41" s="3" t="s">
        <v>9</v>
      </c>
      <c r="J41" s="50" t="s">
        <v>16</v>
      </c>
      <c r="K41" s="50">
        <f t="shared" si="1"/>
        <v>3689</v>
      </c>
      <c r="L41" s="2" t="s">
        <v>41</v>
      </c>
      <c r="M41" s="50" t="s">
        <v>42</v>
      </c>
      <c r="N41" s="3" t="s">
        <v>43</v>
      </c>
    </row>
    <row r="42" spans="1:14" x14ac:dyDescent="0.3">
      <c r="B42" s="2" t="s">
        <v>18</v>
      </c>
      <c r="C42" s="50">
        <v>3322</v>
      </c>
      <c r="D42" s="2"/>
      <c r="E42" s="5" t="s">
        <v>19</v>
      </c>
      <c r="F42" s="3">
        <f>C46</f>
        <v>425</v>
      </c>
      <c r="H42" s="5" t="s">
        <v>129</v>
      </c>
      <c r="I42" s="3" t="s">
        <v>9</v>
      </c>
      <c r="J42" s="3" t="s">
        <v>19</v>
      </c>
      <c r="K42" s="50">
        <f t="shared" si="1"/>
        <v>425</v>
      </c>
      <c r="L42" s="2" t="s">
        <v>41</v>
      </c>
      <c r="M42" s="50" t="s">
        <v>42</v>
      </c>
      <c r="N42" s="3" t="s">
        <v>43</v>
      </c>
    </row>
    <row r="43" spans="1:14" x14ac:dyDescent="0.3">
      <c r="B43" s="2" t="s">
        <v>16</v>
      </c>
      <c r="C43" s="50">
        <v>3689</v>
      </c>
      <c r="D43" s="2"/>
      <c r="E43" s="5" t="s">
        <v>22</v>
      </c>
      <c r="F43" s="50">
        <f>SUM(C47,C44:C45)</f>
        <v>5560</v>
      </c>
      <c r="H43" s="5" t="s">
        <v>129</v>
      </c>
      <c r="I43" s="3" t="s">
        <v>9</v>
      </c>
      <c r="J43" s="50" t="s">
        <v>22</v>
      </c>
      <c r="K43" s="50">
        <f t="shared" si="1"/>
        <v>5560</v>
      </c>
      <c r="L43" s="2" t="s">
        <v>41</v>
      </c>
      <c r="M43" s="50" t="s">
        <v>42</v>
      </c>
      <c r="N43" s="3" t="s">
        <v>43</v>
      </c>
    </row>
    <row r="44" spans="1:14" x14ac:dyDescent="0.3">
      <c r="B44" s="2" t="s">
        <v>124</v>
      </c>
      <c r="C44" s="50">
        <v>1810</v>
      </c>
      <c r="D44" s="2"/>
      <c r="E44" s="5" t="s">
        <v>77</v>
      </c>
      <c r="F44" s="76">
        <f>SUM(F38:F43)</f>
        <v>28311</v>
      </c>
      <c r="H44" s="5" t="s">
        <v>129</v>
      </c>
      <c r="I44" s="3" t="s">
        <v>9</v>
      </c>
      <c r="J44" s="50" t="s">
        <v>77</v>
      </c>
      <c r="K44" s="50">
        <f>SUM(K38:K43)</f>
        <v>28311</v>
      </c>
      <c r="L44" s="2" t="s">
        <v>41</v>
      </c>
      <c r="M44" s="50" t="s">
        <v>42</v>
      </c>
      <c r="N44" s="3" t="s">
        <v>43</v>
      </c>
    </row>
    <row r="45" spans="1:14" x14ac:dyDescent="0.3">
      <c r="B45" s="2" t="s">
        <v>125</v>
      </c>
      <c r="C45" s="3">
        <v>679</v>
      </c>
      <c r="D45" s="2"/>
      <c r="E45" s="2"/>
      <c r="F45" s="2"/>
    </row>
    <row r="46" spans="1:14" x14ac:dyDescent="0.3">
      <c r="B46" s="2" t="s">
        <v>126</v>
      </c>
      <c r="C46" s="3">
        <v>425</v>
      </c>
      <c r="D46" s="2"/>
      <c r="E46" s="2"/>
      <c r="F46" s="2"/>
    </row>
    <row r="47" spans="1:14" x14ac:dyDescent="0.3">
      <c r="B47" s="2" t="s">
        <v>22</v>
      </c>
      <c r="C47" s="50">
        <v>3071</v>
      </c>
      <c r="D47" s="2"/>
      <c r="E47" s="2"/>
      <c r="F47" s="2"/>
    </row>
    <row r="48" spans="1:14" x14ac:dyDescent="0.3">
      <c r="B48" s="2" t="s">
        <v>77</v>
      </c>
      <c r="C48" s="76">
        <f>SUM(C38:C47)</f>
        <v>28311</v>
      </c>
      <c r="D48" s="2"/>
      <c r="E48" s="2"/>
      <c r="F48" s="2"/>
    </row>
    <row r="53" spans="1:14" x14ac:dyDescent="0.3">
      <c r="A53" s="71" t="s">
        <v>10</v>
      </c>
      <c r="B53" s="1" t="s">
        <v>66</v>
      </c>
      <c r="C53" s="4" t="s">
        <v>78</v>
      </c>
      <c r="D53" s="2"/>
      <c r="E53" s="4" t="s">
        <v>66</v>
      </c>
      <c r="F53" s="4" t="s">
        <v>78</v>
      </c>
      <c r="H53" s="1" t="s">
        <v>2</v>
      </c>
      <c r="I53" s="4" t="s">
        <v>6</v>
      </c>
      <c r="J53" s="4" t="s">
        <v>66</v>
      </c>
      <c r="K53" s="4" t="s">
        <v>78</v>
      </c>
      <c r="L53" s="1" t="s">
        <v>39</v>
      </c>
      <c r="M53" s="4" t="s">
        <v>79</v>
      </c>
      <c r="N53" s="4" t="s">
        <v>40</v>
      </c>
    </row>
    <row r="54" spans="1:14" x14ac:dyDescent="0.3">
      <c r="B54" s="5" t="s">
        <v>17</v>
      </c>
      <c r="C54" s="50">
        <v>9491</v>
      </c>
      <c r="D54" s="2"/>
      <c r="E54" s="5" t="s">
        <v>17</v>
      </c>
      <c r="F54" s="50">
        <f>C54</f>
        <v>9491</v>
      </c>
      <c r="H54" s="5" t="s">
        <v>129</v>
      </c>
      <c r="I54" s="3" t="s">
        <v>10</v>
      </c>
      <c r="J54" s="50" t="s">
        <v>17</v>
      </c>
      <c r="K54" s="50">
        <f>F54</f>
        <v>9491</v>
      </c>
      <c r="L54" s="2" t="s">
        <v>41</v>
      </c>
      <c r="M54" s="50" t="s">
        <v>42</v>
      </c>
      <c r="N54" s="3" t="s">
        <v>43</v>
      </c>
    </row>
    <row r="55" spans="1:14" x14ac:dyDescent="0.3">
      <c r="B55" s="5" t="s">
        <v>15</v>
      </c>
      <c r="C55" s="2"/>
      <c r="D55" s="2"/>
      <c r="E55" s="5" t="s">
        <v>15</v>
      </c>
      <c r="F55" s="50">
        <f>SUM(C56:C57)</f>
        <v>5708</v>
      </c>
      <c r="H55" s="5" t="s">
        <v>129</v>
      </c>
      <c r="I55" s="3" t="s">
        <v>10</v>
      </c>
      <c r="J55" s="50" t="s">
        <v>15</v>
      </c>
      <c r="K55" s="50">
        <f t="shared" ref="K55:K59" si="2">F55</f>
        <v>5708</v>
      </c>
      <c r="L55" s="2" t="s">
        <v>41</v>
      </c>
      <c r="M55" s="50" t="s">
        <v>42</v>
      </c>
      <c r="N55" s="3" t="s">
        <v>43</v>
      </c>
    </row>
    <row r="56" spans="1:14" x14ac:dyDescent="0.3">
      <c r="B56" s="5" t="s">
        <v>208</v>
      </c>
      <c r="C56" s="50">
        <v>2265</v>
      </c>
      <c r="D56" s="2"/>
      <c r="E56" s="5" t="s">
        <v>18</v>
      </c>
      <c r="F56" s="50">
        <f>C58</f>
        <v>3376</v>
      </c>
      <c r="H56" s="5" t="s">
        <v>129</v>
      </c>
      <c r="I56" s="3" t="s">
        <v>10</v>
      </c>
      <c r="J56" s="50" t="s">
        <v>18</v>
      </c>
      <c r="K56" s="50">
        <f t="shared" si="2"/>
        <v>3376</v>
      </c>
      <c r="L56" s="2" t="s">
        <v>41</v>
      </c>
      <c r="M56" s="50" t="s">
        <v>42</v>
      </c>
      <c r="N56" s="3" t="s">
        <v>43</v>
      </c>
    </row>
    <row r="57" spans="1:14" x14ac:dyDescent="0.3">
      <c r="B57" s="5" t="s">
        <v>209</v>
      </c>
      <c r="C57" s="50">
        <v>3443</v>
      </c>
      <c r="D57" s="2"/>
      <c r="E57" s="5" t="s">
        <v>16</v>
      </c>
      <c r="F57" s="50">
        <f>C59</f>
        <v>4079</v>
      </c>
      <c r="H57" s="5" t="s">
        <v>129</v>
      </c>
      <c r="I57" s="3" t="s">
        <v>10</v>
      </c>
      <c r="J57" s="50" t="s">
        <v>16</v>
      </c>
      <c r="K57" s="50">
        <f t="shared" si="2"/>
        <v>4079</v>
      </c>
      <c r="L57" s="2" t="s">
        <v>41</v>
      </c>
      <c r="M57" s="50" t="s">
        <v>42</v>
      </c>
      <c r="N57" s="3" t="s">
        <v>43</v>
      </c>
    </row>
    <row r="58" spans="1:14" x14ac:dyDescent="0.3">
      <c r="B58" s="5" t="s">
        <v>18</v>
      </c>
      <c r="C58" s="50">
        <v>3376</v>
      </c>
      <c r="D58" s="2"/>
      <c r="E58" s="5" t="s">
        <v>19</v>
      </c>
      <c r="F58" s="50">
        <f>C62</f>
        <v>552</v>
      </c>
      <c r="H58" s="5" t="s">
        <v>129</v>
      </c>
      <c r="I58" s="3" t="s">
        <v>10</v>
      </c>
      <c r="J58" s="3" t="s">
        <v>19</v>
      </c>
      <c r="K58" s="50">
        <f t="shared" si="2"/>
        <v>552</v>
      </c>
      <c r="L58" s="2" t="s">
        <v>41</v>
      </c>
      <c r="M58" s="50" t="s">
        <v>42</v>
      </c>
      <c r="N58" s="3" t="s">
        <v>43</v>
      </c>
    </row>
    <row r="59" spans="1:14" x14ac:dyDescent="0.3">
      <c r="B59" s="5" t="s">
        <v>16</v>
      </c>
      <c r="C59" s="50">
        <v>4079</v>
      </c>
      <c r="D59" s="2"/>
      <c r="E59" s="5" t="s">
        <v>22</v>
      </c>
      <c r="F59" s="50">
        <f>SUM(C63,C60:C61)</f>
        <v>5666</v>
      </c>
      <c r="H59" s="5" t="s">
        <v>129</v>
      </c>
      <c r="I59" s="3" t="s">
        <v>10</v>
      </c>
      <c r="J59" s="50" t="s">
        <v>22</v>
      </c>
      <c r="K59" s="50">
        <f t="shared" si="2"/>
        <v>5666</v>
      </c>
      <c r="L59" s="2" t="s">
        <v>41</v>
      </c>
      <c r="M59" s="50" t="s">
        <v>42</v>
      </c>
      <c r="N59" s="3" t="s">
        <v>43</v>
      </c>
    </row>
    <row r="60" spans="1:14" x14ac:dyDescent="0.3">
      <c r="B60" s="5" t="s">
        <v>124</v>
      </c>
      <c r="C60" s="50">
        <v>1816</v>
      </c>
      <c r="D60" s="2"/>
      <c r="E60" s="5" t="s">
        <v>77</v>
      </c>
      <c r="F60" s="50">
        <f>SUM(F54:F59)</f>
        <v>28872</v>
      </c>
      <c r="H60" s="5" t="s">
        <v>129</v>
      </c>
      <c r="I60" s="3" t="s">
        <v>10</v>
      </c>
      <c r="J60" s="50" t="s">
        <v>77</v>
      </c>
      <c r="K60" s="50">
        <f>SUM(K54:K59)</f>
        <v>28872</v>
      </c>
      <c r="L60" s="2" t="s">
        <v>41</v>
      </c>
      <c r="M60" s="50" t="s">
        <v>42</v>
      </c>
      <c r="N60" s="3" t="s">
        <v>43</v>
      </c>
    </row>
    <row r="61" spans="1:14" x14ac:dyDescent="0.3">
      <c r="B61" s="5" t="s">
        <v>125</v>
      </c>
      <c r="C61" s="50">
        <v>722</v>
      </c>
      <c r="D61" s="2"/>
      <c r="E61" s="3"/>
      <c r="F61" s="2"/>
    </row>
    <row r="62" spans="1:14" x14ac:dyDescent="0.3">
      <c r="B62" s="5" t="s">
        <v>126</v>
      </c>
      <c r="C62" s="50">
        <v>552</v>
      </c>
      <c r="D62" s="2"/>
      <c r="E62" s="3"/>
      <c r="F62" s="2"/>
    </row>
    <row r="63" spans="1:14" x14ac:dyDescent="0.3">
      <c r="B63" s="5" t="s">
        <v>22</v>
      </c>
      <c r="C63" s="50">
        <v>3128</v>
      </c>
      <c r="D63" s="2"/>
      <c r="E63" s="3"/>
      <c r="F63" s="2"/>
    </row>
    <row r="64" spans="1:14" x14ac:dyDescent="0.3">
      <c r="B64" s="5" t="s">
        <v>77</v>
      </c>
      <c r="C64" s="50">
        <f>SUM(C54:C63)</f>
        <v>28872</v>
      </c>
      <c r="D64" s="2"/>
      <c r="E64" s="3"/>
      <c r="F64" s="2"/>
    </row>
    <row r="65" spans="2:6" x14ac:dyDescent="0.3">
      <c r="B65" s="10"/>
      <c r="C65" s="55"/>
      <c r="D65" s="2"/>
      <c r="E65" s="3"/>
      <c r="F65" s="2"/>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DDEEE-E849-449F-990D-18F6178AF3AD}">
  <dimension ref="B2:J132"/>
  <sheetViews>
    <sheetView showGridLines="0" topLeftCell="A64" workbookViewId="0">
      <selection activeCell="Q20" sqref="Q20"/>
    </sheetView>
  </sheetViews>
  <sheetFormatPr defaultRowHeight="13.8" x14ac:dyDescent="0.3"/>
  <cols>
    <col min="1" max="1" width="4.21875" style="89" customWidth="1"/>
    <col min="2" max="2" width="15.88671875" style="89" bestFit="1" customWidth="1"/>
    <col min="3" max="3" width="11.21875" style="89" bestFit="1" customWidth="1"/>
    <col min="4" max="4" width="8.88671875" style="89"/>
    <col min="5" max="5" width="15.88671875" style="89" bestFit="1" customWidth="1"/>
    <col min="6" max="6" width="11.21875" style="89" bestFit="1" customWidth="1"/>
    <col min="7" max="7" width="6.109375" style="89" customWidth="1"/>
    <col min="8" max="16384" width="8.88671875" style="89"/>
  </cols>
  <sheetData>
    <row r="2" spans="2:9" x14ac:dyDescent="0.3">
      <c r="B2" s="92" t="s">
        <v>246</v>
      </c>
    </row>
    <row r="12" spans="2:9" ht="14.4" x14ac:dyDescent="0.3">
      <c r="B12" s="2"/>
      <c r="C12" s="55"/>
      <c r="D12" s="2"/>
      <c r="E12" s="2"/>
      <c r="F12" s="55"/>
      <c r="G12" s="2"/>
    </row>
    <row r="13" spans="2:9" ht="14.4" x14ac:dyDescent="0.3">
      <c r="B13" s="7" t="s">
        <v>24</v>
      </c>
      <c r="C13" s="2"/>
      <c r="D13" s="2"/>
      <c r="E13" s="7" t="s">
        <v>1</v>
      </c>
      <c r="F13" s="2"/>
      <c r="G13" s="2"/>
      <c r="H13" s="2"/>
      <c r="I13" s="2"/>
    </row>
    <row r="14" spans="2:9" ht="14.4" x14ac:dyDescent="0.3">
      <c r="B14" s="2"/>
      <c r="C14" s="2"/>
      <c r="D14" s="2"/>
      <c r="E14" s="2"/>
      <c r="F14" s="2"/>
      <c r="G14" s="2"/>
      <c r="H14" s="2"/>
      <c r="I14" s="2"/>
    </row>
    <row r="15" spans="2:9" ht="14.4" x14ac:dyDescent="0.3">
      <c r="B15" s="1" t="s">
        <v>66</v>
      </c>
      <c r="C15" s="4" t="s">
        <v>78</v>
      </c>
      <c r="D15" s="2"/>
      <c r="E15" s="1" t="s">
        <v>66</v>
      </c>
      <c r="F15" s="4" t="s">
        <v>78</v>
      </c>
      <c r="G15" s="2"/>
      <c r="H15" s="2" t="b">
        <f>B15=E15</f>
        <v>1</v>
      </c>
      <c r="I15" s="2" t="b">
        <f>C15=F15</f>
        <v>1</v>
      </c>
    </row>
    <row r="16" spans="2:9" ht="14.4" x14ac:dyDescent="0.3">
      <c r="B16" s="2" t="s">
        <v>17</v>
      </c>
      <c r="C16" s="55">
        <v>9.8000000000000007</v>
      </c>
      <c r="D16" s="2"/>
      <c r="E16" s="2" t="s">
        <v>17</v>
      </c>
      <c r="F16" s="55">
        <v>9.8000000000000007</v>
      </c>
      <c r="G16" s="2"/>
      <c r="H16" s="2" t="b">
        <f t="shared" ref="H16:H22" si="0">B16=E16</f>
        <v>1</v>
      </c>
      <c r="I16" s="2" t="b">
        <f t="shared" ref="I16:I22" si="1">C16=F16</f>
        <v>1</v>
      </c>
    </row>
    <row r="17" spans="2:9" ht="14.4" x14ac:dyDescent="0.3">
      <c r="B17" s="2" t="s">
        <v>15</v>
      </c>
      <c r="C17" s="55">
        <v>5.0999999999999996</v>
      </c>
      <c r="D17" s="2"/>
      <c r="E17" s="2" t="s">
        <v>15</v>
      </c>
      <c r="F17" s="55">
        <v>5.0999999999999996</v>
      </c>
      <c r="G17" s="2"/>
      <c r="H17" s="2" t="b">
        <f t="shared" si="0"/>
        <v>1</v>
      </c>
      <c r="I17" s="2" t="b">
        <f t="shared" si="1"/>
        <v>1</v>
      </c>
    </row>
    <row r="18" spans="2:9" ht="14.4" x14ac:dyDescent="0.3">
      <c r="B18" s="2" t="s">
        <v>16</v>
      </c>
      <c r="C18" s="55">
        <v>3.6</v>
      </c>
      <c r="D18" s="2"/>
      <c r="E18" s="2" t="s">
        <v>16</v>
      </c>
      <c r="F18" s="55">
        <v>3.6</v>
      </c>
      <c r="G18" s="2"/>
      <c r="H18" s="2" t="b">
        <f t="shared" si="0"/>
        <v>1</v>
      </c>
      <c r="I18" s="2" t="b">
        <f t="shared" si="1"/>
        <v>1</v>
      </c>
    </row>
    <row r="19" spans="2:9" ht="14.4" x14ac:dyDescent="0.3">
      <c r="B19" s="2" t="s">
        <v>18</v>
      </c>
      <c r="C19" s="55">
        <v>2.9</v>
      </c>
      <c r="D19" s="2"/>
      <c r="E19" s="2" t="s">
        <v>18</v>
      </c>
      <c r="F19" s="55">
        <v>2.9</v>
      </c>
      <c r="G19" s="2"/>
      <c r="H19" s="2" t="b">
        <f t="shared" si="0"/>
        <v>1</v>
      </c>
      <c r="I19" s="2" t="b">
        <f t="shared" si="1"/>
        <v>1</v>
      </c>
    </row>
    <row r="20" spans="2:9" ht="14.4" x14ac:dyDescent="0.3">
      <c r="B20" s="2" t="s">
        <v>19</v>
      </c>
      <c r="C20" s="55">
        <v>0.4</v>
      </c>
      <c r="D20" s="2"/>
      <c r="E20" s="2" t="s">
        <v>19</v>
      </c>
      <c r="F20" s="55">
        <v>0.4</v>
      </c>
      <c r="G20" s="2"/>
      <c r="H20" s="2" t="b">
        <f t="shared" si="0"/>
        <v>1</v>
      </c>
      <c r="I20" s="2" t="b">
        <f t="shared" si="1"/>
        <v>1</v>
      </c>
    </row>
    <row r="21" spans="2:9" ht="14.4" x14ac:dyDescent="0.3">
      <c r="B21" s="2" t="s">
        <v>22</v>
      </c>
      <c r="C21" s="55">
        <f>2.6+1.8+1</f>
        <v>5.4</v>
      </c>
      <c r="D21" s="2"/>
      <c r="E21" s="2" t="s">
        <v>22</v>
      </c>
      <c r="F21" s="55">
        <v>5.4</v>
      </c>
      <c r="G21" s="2"/>
      <c r="H21" s="2" t="b">
        <f t="shared" si="0"/>
        <v>1</v>
      </c>
      <c r="I21" s="2" t="b">
        <f t="shared" si="1"/>
        <v>1</v>
      </c>
    </row>
    <row r="22" spans="2:9" ht="14.4" x14ac:dyDescent="0.3">
      <c r="B22" s="2" t="s">
        <v>77</v>
      </c>
      <c r="C22" s="55">
        <f>SUM(C16:C21)</f>
        <v>27.199999999999996</v>
      </c>
      <c r="D22" s="2"/>
      <c r="E22" s="2" t="s">
        <v>77</v>
      </c>
      <c r="F22" s="55">
        <f>SUM(F16:F21)</f>
        <v>27.199999999999996</v>
      </c>
      <c r="G22" s="2"/>
      <c r="H22" s="2" t="b">
        <f t="shared" si="0"/>
        <v>1</v>
      </c>
      <c r="I22" s="2" t="b">
        <f t="shared" si="1"/>
        <v>1</v>
      </c>
    </row>
    <row r="23" spans="2:9" ht="14.4" x14ac:dyDescent="0.3">
      <c r="B23" s="5"/>
      <c r="C23" s="29"/>
      <c r="D23" s="2"/>
      <c r="E23" s="5"/>
      <c r="F23" s="29"/>
      <c r="I23"/>
    </row>
    <row r="24" spans="2:9" ht="14.4" x14ac:dyDescent="0.3">
      <c r="B24" s="5"/>
      <c r="C24" s="29"/>
      <c r="D24" s="2"/>
      <c r="E24" s="4" t="s">
        <v>5</v>
      </c>
      <c r="F24" s="14">
        <f>16/16</f>
        <v>1</v>
      </c>
      <c r="I24"/>
    </row>
    <row r="25" spans="2:9" ht="14.4" x14ac:dyDescent="0.3">
      <c r="B25" s="5"/>
      <c r="C25" s="29"/>
      <c r="D25" s="2"/>
      <c r="E25" s="4"/>
      <c r="F25" s="14"/>
      <c r="I25"/>
    </row>
    <row r="26" spans="2:9" x14ac:dyDescent="0.3">
      <c r="B26" s="92" t="s">
        <v>243</v>
      </c>
    </row>
    <row r="39" spans="2:10" ht="14.4" x14ac:dyDescent="0.3">
      <c r="B39" s="7" t="s">
        <v>24</v>
      </c>
      <c r="C39" s="2"/>
      <c r="D39" s="2"/>
      <c r="E39" s="7" t="s">
        <v>1</v>
      </c>
      <c r="F39" s="2"/>
      <c r="G39" s="2"/>
      <c r="H39" s="2"/>
      <c r="I39" s="2"/>
      <c r="J39" s="2"/>
    </row>
    <row r="40" spans="2:10" ht="14.4" x14ac:dyDescent="0.3">
      <c r="B40" s="2"/>
      <c r="C40" s="2"/>
      <c r="D40" s="2"/>
      <c r="E40" s="2"/>
      <c r="F40" s="2"/>
      <c r="G40" s="2"/>
      <c r="H40" s="2"/>
      <c r="I40" s="2"/>
      <c r="J40" s="2"/>
    </row>
    <row r="41" spans="2:10" ht="14.4" x14ac:dyDescent="0.3">
      <c r="B41" s="1" t="s">
        <v>66</v>
      </c>
      <c r="C41" s="4" t="s">
        <v>78</v>
      </c>
      <c r="D41" s="2"/>
      <c r="E41" s="1" t="s">
        <v>66</v>
      </c>
      <c r="F41" s="4" t="s">
        <v>78</v>
      </c>
      <c r="G41" s="2"/>
      <c r="H41" s="2" t="b">
        <f>B41=E41</f>
        <v>1</v>
      </c>
      <c r="I41" s="2" t="b">
        <f>C41=F41</f>
        <v>1</v>
      </c>
    </row>
    <row r="42" spans="2:10" ht="14.4" x14ac:dyDescent="0.3">
      <c r="B42" s="2" t="s">
        <v>17</v>
      </c>
      <c r="C42" s="55">
        <v>10</v>
      </c>
      <c r="D42" s="2"/>
      <c r="E42" s="2" t="s">
        <v>17</v>
      </c>
      <c r="F42" s="55">
        <v>10</v>
      </c>
      <c r="G42" s="2"/>
      <c r="H42" s="2" t="b">
        <f t="shared" ref="H42:H48" si="2">B42=E42</f>
        <v>1</v>
      </c>
      <c r="I42" s="2" t="b">
        <f t="shared" ref="I42:I48" si="3">C42=F42</f>
        <v>1</v>
      </c>
    </row>
    <row r="43" spans="2:10" ht="14.4" x14ac:dyDescent="0.3">
      <c r="B43" s="2" t="s">
        <v>15</v>
      </c>
      <c r="C43" s="55">
        <v>5.4</v>
      </c>
      <c r="D43" s="2"/>
      <c r="E43" s="2" t="s">
        <v>15</v>
      </c>
      <c r="F43" s="55">
        <v>5.4</v>
      </c>
      <c r="G43" s="2"/>
      <c r="H43" s="2" t="b">
        <f t="shared" si="2"/>
        <v>1</v>
      </c>
      <c r="I43" s="2" t="b">
        <f t="shared" si="3"/>
        <v>1</v>
      </c>
    </row>
    <row r="44" spans="2:10" ht="14.4" x14ac:dyDescent="0.3">
      <c r="B44" s="2" t="s">
        <v>16</v>
      </c>
      <c r="C44" s="55">
        <v>3.7</v>
      </c>
      <c r="D44" s="2"/>
      <c r="E44" s="2" t="s">
        <v>16</v>
      </c>
      <c r="F44" s="55">
        <v>3.7</v>
      </c>
      <c r="G44" s="2"/>
      <c r="H44" s="2" t="b">
        <f t="shared" si="2"/>
        <v>1</v>
      </c>
      <c r="I44" s="2" t="b">
        <f t="shared" si="3"/>
        <v>1</v>
      </c>
    </row>
    <row r="45" spans="2:10" ht="14.4" x14ac:dyDescent="0.3">
      <c r="B45" s="2" t="s">
        <v>18</v>
      </c>
      <c r="C45" s="55">
        <v>3</v>
      </c>
      <c r="D45" s="2"/>
      <c r="E45" s="2" t="s">
        <v>18</v>
      </c>
      <c r="F45" s="55">
        <v>3</v>
      </c>
      <c r="G45" s="2"/>
      <c r="H45" s="2" t="b">
        <f t="shared" si="2"/>
        <v>1</v>
      </c>
      <c r="I45" s="2" t="b">
        <f t="shared" si="3"/>
        <v>1</v>
      </c>
    </row>
    <row r="46" spans="2:10" ht="14.4" x14ac:dyDescent="0.3">
      <c r="B46" s="2" t="s">
        <v>19</v>
      </c>
      <c r="C46" s="55">
        <v>0.4</v>
      </c>
      <c r="D46" s="2"/>
      <c r="E46" s="2" t="s">
        <v>19</v>
      </c>
      <c r="F46" s="55">
        <v>0.4</v>
      </c>
      <c r="G46" s="2"/>
      <c r="H46" s="2" t="b">
        <f t="shared" si="2"/>
        <v>1</v>
      </c>
      <c r="I46" s="2" t="b">
        <f t="shared" si="3"/>
        <v>1</v>
      </c>
    </row>
    <row r="47" spans="2:10" ht="14.4" x14ac:dyDescent="0.3">
      <c r="B47" s="2" t="s">
        <v>22</v>
      </c>
      <c r="C47" s="55">
        <f>2.7+1.8+1</f>
        <v>5.5</v>
      </c>
      <c r="D47" s="2"/>
      <c r="E47" s="2" t="s">
        <v>22</v>
      </c>
      <c r="F47" s="55">
        <v>5.5</v>
      </c>
      <c r="G47" s="2"/>
      <c r="H47" s="2" t="b">
        <f t="shared" si="2"/>
        <v>1</v>
      </c>
      <c r="I47" s="2" t="b">
        <f t="shared" si="3"/>
        <v>1</v>
      </c>
    </row>
    <row r="48" spans="2:10" ht="14.4" x14ac:dyDescent="0.3">
      <c r="B48" s="2" t="s">
        <v>77</v>
      </c>
      <c r="C48" s="55">
        <f>SUM(C42:C47)</f>
        <v>28</v>
      </c>
      <c r="D48" s="2"/>
      <c r="E48" s="2" t="s">
        <v>77</v>
      </c>
      <c r="F48" s="55">
        <f>SUM(F42:F47)</f>
        <v>28</v>
      </c>
      <c r="G48" s="2"/>
      <c r="H48" s="2" t="b">
        <f t="shared" si="2"/>
        <v>1</v>
      </c>
      <c r="I48" s="2" t="b">
        <f t="shared" si="3"/>
        <v>1</v>
      </c>
    </row>
    <row r="49" spans="2:10" ht="14.4" x14ac:dyDescent="0.3">
      <c r="B49" s="3"/>
      <c r="C49" s="2"/>
      <c r="D49" s="2"/>
      <c r="E49" s="2"/>
      <c r="F49" s="2"/>
      <c r="G49" s="2"/>
      <c r="H49" s="2"/>
      <c r="I49" s="2"/>
      <c r="J49" s="2"/>
    </row>
    <row r="50" spans="2:10" ht="14.4" x14ac:dyDescent="0.3">
      <c r="B50" s="1"/>
      <c r="C50" s="1"/>
      <c r="D50" s="1"/>
      <c r="E50" s="4" t="s">
        <v>5</v>
      </c>
      <c r="F50" s="14">
        <f>16/16</f>
        <v>1</v>
      </c>
      <c r="G50" s="1"/>
      <c r="H50" s="2"/>
      <c r="I50" s="2"/>
      <c r="J50" s="2"/>
    </row>
    <row r="52" spans="2:10" x14ac:dyDescent="0.3">
      <c r="B52" s="92" t="s">
        <v>247</v>
      </c>
    </row>
    <row r="64" spans="2:10" ht="14.4" x14ac:dyDescent="0.3">
      <c r="B64" s="7" t="s">
        <v>24</v>
      </c>
      <c r="C64" s="2"/>
      <c r="D64" s="2"/>
      <c r="E64" s="7" t="s">
        <v>1</v>
      </c>
      <c r="F64" s="2"/>
      <c r="G64" s="2"/>
      <c r="H64" s="2"/>
      <c r="I64" s="2"/>
    </row>
    <row r="65" spans="2:9" ht="14.4" x14ac:dyDescent="0.3">
      <c r="B65" s="2"/>
      <c r="C65" s="2"/>
      <c r="D65" s="2"/>
      <c r="E65" s="2"/>
      <c r="F65" s="2"/>
      <c r="G65" s="2"/>
      <c r="H65" s="2"/>
      <c r="I65" s="2"/>
    </row>
    <row r="66" spans="2:9" ht="14.4" x14ac:dyDescent="0.3">
      <c r="B66" s="1" t="s">
        <v>66</v>
      </c>
      <c r="C66" s="4" t="s">
        <v>78</v>
      </c>
      <c r="D66" s="2"/>
      <c r="E66" s="1" t="s">
        <v>66</v>
      </c>
      <c r="F66" s="4" t="s">
        <v>78</v>
      </c>
      <c r="G66" s="2"/>
      <c r="H66" s="2" t="b">
        <f>B66=E66</f>
        <v>1</v>
      </c>
      <c r="I66" s="2" t="b">
        <f>C66=F66</f>
        <v>1</v>
      </c>
    </row>
    <row r="67" spans="2:9" ht="14.4" x14ac:dyDescent="0.3">
      <c r="B67" s="2" t="s">
        <v>17</v>
      </c>
      <c r="C67" s="55">
        <v>9.6999999999999993</v>
      </c>
      <c r="D67" s="2"/>
      <c r="E67" s="2" t="s">
        <v>17</v>
      </c>
      <c r="F67" s="55">
        <v>9.6999999999999993</v>
      </c>
      <c r="G67" s="2"/>
      <c r="H67" s="2" t="b">
        <f t="shared" ref="H67:H73" si="4">B67=E67</f>
        <v>1</v>
      </c>
      <c r="I67" s="2" t="b">
        <f t="shared" ref="I67:I73" si="5">C67=F67</f>
        <v>1</v>
      </c>
    </row>
    <row r="68" spans="2:9" ht="14.4" x14ac:dyDescent="0.3">
      <c r="B68" s="2" t="s">
        <v>15</v>
      </c>
      <c r="C68" s="55">
        <f>2.3+3.3</f>
        <v>5.6</v>
      </c>
      <c r="D68" s="2"/>
      <c r="E68" s="2" t="s">
        <v>15</v>
      </c>
      <c r="F68" s="55">
        <v>5.6</v>
      </c>
      <c r="G68" s="2"/>
      <c r="H68" s="2" t="b">
        <f t="shared" si="4"/>
        <v>1</v>
      </c>
      <c r="I68" s="2" t="b">
        <f t="shared" si="5"/>
        <v>1</v>
      </c>
    </row>
    <row r="69" spans="2:9" ht="14.4" x14ac:dyDescent="0.3">
      <c r="B69" s="2" t="s">
        <v>16</v>
      </c>
      <c r="C69" s="55">
        <v>3.7</v>
      </c>
      <c r="D69" s="2"/>
      <c r="E69" s="2" t="s">
        <v>16</v>
      </c>
      <c r="F69" s="55">
        <v>3.7</v>
      </c>
      <c r="G69" s="2"/>
      <c r="H69" s="2" t="b">
        <f t="shared" si="4"/>
        <v>1</v>
      </c>
      <c r="I69" s="2" t="b">
        <f t="shared" si="5"/>
        <v>1</v>
      </c>
    </row>
    <row r="70" spans="2:9" ht="14.4" x14ac:dyDescent="0.3">
      <c r="B70" s="2" t="s">
        <v>18</v>
      </c>
      <c r="C70" s="55">
        <v>3.3</v>
      </c>
      <c r="D70" s="2"/>
      <c r="E70" s="2" t="s">
        <v>18</v>
      </c>
      <c r="F70" s="55">
        <v>3.3</v>
      </c>
      <c r="G70" s="2"/>
      <c r="H70" s="2" t="b">
        <f t="shared" si="4"/>
        <v>1</v>
      </c>
      <c r="I70" s="2" t="b">
        <f t="shared" si="5"/>
        <v>1</v>
      </c>
    </row>
    <row r="71" spans="2:9" ht="14.4" x14ac:dyDescent="0.3">
      <c r="B71" s="2" t="s">
        <v>19</v>
      </c>
      <c r="C71" s="55">
        <v>0.4</v>
      </c>
      <c r="D71" s="2"/>
      <c r="E71" s="2" t="s">
        <v>19</v>
      </c>
      <c r="F71" s="55">
        <v>0.4</v>
      </c>
      <c r="G71" s="2"/>
      <c r="H71" s="2" t="b">
        <f t="shared" si="4"/>
        <v>1</v>
      </c>
      <c r="I71" s="2" t="b">
        <f t="shared" si="5"/>
        <v>1</v>
      </c>
    </row>
    <row r="72" spans="2:9" ht="14.4" x14ac:dyDescent="0.3">
      <c r="B72" s="2" t="s">
        <v>22</v>
      </c>
      <c r="C72" s="55">
        <f>1.8+0.7+3.1</f>
        <v>5.6</v>
      </c>
      <c r="D72" s="2"/>
      <c r="E72" s="2" t="s">
        <v>22</v>
      </c>
      <c r="F72" s="55">
        <f>3.1+1.8+0.7</f>
        <v>5.6000000000000005</v>
      </c>
      <c r="G72" s="2"/>
      <c r="H72" s="2" t="b">
        <f t="shared" si="4"/>
        <v>1</v>
      </c>
      <c r="I72" s="2" t="b">
        <f t="shared" si="5"/>
        <v>1</v>
      </c>
    </row>
    <row r="73" spans="2:9" ht="14.4" x14ac:dyDescent="0.3">
      <c r="B73" s="2" t="s">
        <v>77</v>
      </c>
      <c r="C73" s="55">
        <f>SUM(C67:C72)</f>
        <v>28.299999999999997</v>
      </c>
      <c r="D73" s="2"/>
      <c r="E73" s="2" t="s">
        <v>77</v>
      </c>
      <c r="F73" s="55">
        <f>SUM(F67:F72)</f>
        <v>28.3</v>
      </c>
      <c r="G73" s="2"/>
      <c r="H73" s="2" t="b">
        <f t="shared" si="4"/>
        <v>1</v>
      </c>
      <c r="I73" s="2" t="b">
        <f t="shared" si="5"/>
        <v>1</v>
      </c>
    </row>
    <row r="74" spans="2:9" ht="14.4" x14ac:dyDescent="0.3">
      <c r="B74" s="5"/>
      <c r="C74" s="29"/>
      <c r="D74" s="2"/>
      <c r="E74" s="5"/>
      <c r="F74" s="29"/>
      <c r="G74" s="2"/>
      <c r="H74" s="2"/>
      <c r="I74" s="2"/>
    </row>
    <row r="75" spans="2:9" ht="14.4" x14ac:dyDescent="0.3">
      <c r="B75" s="5"/>
      <c r="C75" s="15"/>
      <c r="D75" s="2"/>
      <c r="E75" s="4" t="s">
        <v>5</v>
      </c>
      <c r="F75" s="14">
        <f>16/16</f>
        <v>1</v>
      </c>
      <c r="G75" s="2"/>
      <c r="H75" s="2"/>
      <c r="I75" s="2"/>
    </row>
    <row r="77" spans="2:9" x14ac:dyDescent="0.3">
      <c r="B77" s="92" t="s">
        <v>248</v>
      </c>
    </row>
    <row r="89" spans="2:9" ht="14.4" x14ac:dyDescent="0.3">
      <c r="B89" s="7" t="s">
        <v>24</v>
      </c>
      <c r="C89" s="2"/>
      <c r="D89" s="2"/>
      <c r="E89" s="7" t="s">
        <v>1</v>
      </c>
      <c r="F89" s="2"/>
      <c r="G89" s="2"/>
      <c r="H89" s="2"/>
      <c r="I89" s="2"/>
    </row>
    <row r="90" spans="2:9" ht="14.4" x14ac:dyDescent="0.3">
      <c r="B90" s="2"/>
      <c r="C90" s="2"/>
      <c r="D90" s="2"/>
      <c r="E90" s="2"/>
      <c r="F90" s="2"/>
      <c r="G90" s="2"/>
      <c r="H90" s="2"/>
      <c r="I90" s="2"/>
    </row>
    <row r="91" spans="2:9" ht="14.4" x14ac:dyDescent="0.3">
      <c r="B91" s="1" t="s">
        <v>66</v>
      </c>
      <c r="C91" s="4" t="s">
        <v>78</v>
      </c>
      <c r="D91" s="2"/>
      <c r="E91" s="1" t="s">
        <v>66</v>
      </c>
      <c r="F91" s="4" t="s">
        <v>78</v>
      </c>
      <c r="G91" s="2"/>
      <c r="H91" s="2" t="b">
        <f>B91=E91</f>
        <v>1</v>
      </c>
      <c r="I91" s="2" t="b">
        <f>C91=F91</f>
        <v>1</v>
      </c>
    </row>
    <row r="92" spans="2:9" ht="14.4" x14ac:dyDescent="0.3">
      <c r="B92" s="2" t="s">
        <v>17</v>
      </c>
      <c r="C92" s="55">
        <v>9.5</v>
      </c>
      <c r="D92" s="2"/>
      <c r="E92" s="2" t="s">
        <v>17</v>
      </c>
      <c r="F92" s="55">
        <v>9.5</v>
      </c>
      <c r="G92" s="2"/>
      <c r="H92" s="2" t="b">
        <f t="shared" ref="H92:H98" si="6">B92=E92</f>
        <v>1</v>
      </c>
      <c r="I92" s="2" t="b">
        <f t="shared" ref="I92:I98" si="7">C92=F92</f>
        <v>1</v>
      </c>
    </row>
    <row r="93" spans="2:9" ht="14.4" x14ac:dyDescent="0.3">
      <c r="B93" s="2" t="s">
        <v>15</v>
      </c>
      <c r="C93" s="55">
        <f>2.3+3.4</f>
        <v>5.6999999999999993</v>
      </c>
      <c r="D93" s="2"/>
      <c r="E93" s="2" t="s">
        <v>15</v>
      </c>
      <c r="F93" s="55">
        <v>5.7</v>
      </c>
      <c r="G93" s="2"/>
      <c r="H93" s="2" t="b">
        <f t="shared" si="6"/>
        <v>1</v>
      </c>
      <c r="I93" s="2" t="b">
        <f t="shared" si="7"/>
        <v>1</v>
      </c>
    </row>
    <row r="94" spans="2:9" ht="14.4" x14ac:dyDescent="0.3">
      <c r="B94" s="2" t="s">
        <v>16</v>
      </c>
      <c r="C94" s="55">
        <v>4.0999999999999996</v>
      </c>
      <c r="D94" s="2"/>
      <c r="E94" s="2" t="s">
        <v>16</v>
      </c>
      <c r="F94" s="55">
        <v>4.0999999999999996</v>
      </c>
      <c r="G94" s="2"/>
      <c r="H94" s="2" t="b">
        <f t="shared" si="6"/>
        <v>1</v>
      </c>
      <c r="I94" s="2" t="b">
        <f t="shared" si="7"/>
        <v>1</v>
      </c>
    </row>
    <row r="95" spans="2:9" ht="14.4" x14ac:dyDescent="0.3">
      <c r="B95" s="2" t="s">
        <v>18</v>
      </c>
      <c r="C95" s="55">
        <v>3.4</v>
      </c>
      <c r="D95" s="2"/>
      <c r="E95" s="2" t="s">
        <v>18</v>
      </c>
      <c r="F95" s="55">
        <v>3.4</v>
      </c>
      <c r="G95" s="2"/>
      <c r="H95" s="2" t="b">
        <f t="shared" si="6"/>
        <v>1</v>
      </c>
      <c r="I95" s="2" t="b">
        <f t="shared" si="7"/>
        <v>1</v>
      </c>
    </row>
    <row r="96" spans="2:9" ht="14.4" x14ac:dyDescent="0.3">
      <c r="B96" s="2" t="s">
        <v>19</v>
      </c>
      <c r="C96" s="55">
        <v>0.6</v>
      </c>
      <c r="D96" s="2"/>
      <c r="E96" s="2" t="s">
        <v>19</v>
      </c>
      <c r="F96" s="55">
        <v>0.6</v>
      </c>
      <c r="G96" s="2"/>
      <c r="H96" s="2" t="b">
        <f t="shared" si="6"/>
        <v>1</v>
      </c>
      <c r="I96" s="2" t="b">
        <f t="shared" si="7"/>
        <v>1</v>
      </c>
    </row>
    <row r="97" spans="2:9" ht="14.4" x14ac:dyDescent="0.3">
      <c r="B97" s="2" t="s">
        <v>22</v>
      </c>
      <c r="C97" s="55">
        <f>3.1+1.8+0.7</f>
        <v>5.6000000000000005</v>
      </c>
      <c r="D97" s="2"/>
      <c r="E97" s="2" t="s">
        <v>22</v>
      </c>
      <c r="F97" s="55">
        <v>5.6</v>
      </c>
      <c r="G97" s="2"/>
      <c r="H97" s="2" t="b">
        <f t="shared" si="6"/>
        <v>1</v>
      </c>
      <c r="I97" s="2" t="b">
        <f t="shared" si="7"/>
        <v>1</v>
      </c>
    </row>
    <row r="98" spans="2:9" ht="14.4" x14ac:dyDescent="0.3">
      <c r="B98" s="2" t="s">
        <v>77</v>
      </c>
      <c r="C98" s="55">
        <f>SUM(C92:C97)</f>
        <v>28.9</v>
      </c>
      <c r="D98" s="2"/>
      <c r="E98" s="2" t="s">
        <v>77</v>
      </c>
      <c r="F98" s="55">
        <f>SUM(F92:F97)</f>
        <v>28.9</v>
      </c>
      <c r="G98" s="2"/>
      <c r="H98" s="2" t="b">
        <f t="shared" si="6"/>
        <v>1</v>
      </c>
      <c r="I98" s="2" t="b">
        <f t="shared" si="7"/>
        <v>1</v>
      </c>
    </row>
    <row r="99" spans="2:9" ht="14.4" x14ac:dyDescent="0.3">
      <c r="B99" s="5"/>
      <c r="C99" s="29"/>
      <c r="D99" s="2"/>
      <c r="E99" s="5"/>
      <c r="F99" s="29"/>
      <c r="G99" s="2"/>
      <c r="H99" s="2"/>
      <c r="I99" s="2"/>
    </row>
    <row r="100" spans="2:9" ht="14.4" x14ac:dyDescent="0.3">
      <c r="B100" s="5"/>
      <c r="C100" s="29"/>
      <c r="D100" s="2"/>
      <c r="E100" s="4" t="s">
        <v>5</v>
      </c>
      <c r="F100" s="14">
        <f>16/16</f>
        <v>1</v>
      </c>
      <c r="G100" s="2"/>
      <c r="H100" s="2"/>
      <c r="I100" s="2"/>
    </row>
    <row r="101" spans="2:9" ht="14.4" x14ac:dyDescent="0.3">
      <c r="B101" s="2"/>
      <c r="C101" s="2"/>
      <c r="D101" s="2"/>
      <c r="E101" s="22"/>
      <c r="F101" s="21"/>
      <c r="G101" s="2"/>
      <c r="H101" s="2"/>
      <c r="I101" s="2"/>
    </row>
    <row r="125" spans="2:9" ht="14.4" x14ac:dyDescent="0.3">
      <c r="B125" s="5"/>
      <c r="C125" s="29"/>
      <c r="D125" s="2"/>
      <c r="E125" s="5"/>
      <c r="F125" s="97"/>
      <c r="I125"/>
    </row>
    <row r="126" spans="2:9" ht="14.4" x14ac:dyDescent="0.3">
      <c r="B126" s="5"/>
      <c r="C126" s="29"/>
      <c r="D126" s="2"/>
      <c r="E126" s="5"/>
      <c r="F126" s="29"/>
      <c r="I126"/>
    </row>
    <row r="127" spans="2:9" ht="14.4" x14ac:dyDescent="0.3">
      <c r="B127" s="5"/>
      <c r="C127" s="29"/>
      <c r="D127" s="2"/>
      <c r="E127" s="5"/>
      <c r="F127" s="29"/>
      <c r="I127"/>
    </row>
    <row r="128" spans="2:9" ht="14.4" x14ac:dyDescent="0.3">
      <c r="B128" s="5"/>
      <c r="C128" s="29"/>
      <c r="D128" s="2"/>
      <c r="E128" s="5"/>
      <c r="F128" s="29"/>
      <c r="I128"/>
    </row>
    <row r="129" spans="2:9" ht="14.4" x14ac:dyDescent="0.3">
      <c r="B129" s="5"/>
      <c r="C129" s="29"/>
      <c r="D129" s="2"/>
      <c r="E129" s="5"/>
      <c r="F129" s="29"/>
      <c r="I129"/>
    </row>
    <row r="130" spans="2:9" ht="14.4" x14ac:dyDescent="0.3">
      <c r="B130" s="5"/>
      <c r="C130" s="29"/>
      <c r="D130" s="2"/>
      <c r="E130" s="5"/>
      <c r="F130" s="29"/>
      <c r="I130"/>
    </row>
    <row r="131" spans="2:9" ht="14.4" x14ac:dyDescent="0.3">
      <c r="B131" s="2"/>
      <c r="C131" s="2"/>
      <c r="D131" s="2"/>
      <c r="E131" s="2"/>
      <c r="F131" s="2"/>
      <c r="I131"/>
    </row>
    <row r="132" spans="2:9" ht="14.4" x14ac:dyDescent="0.3">
      <c r="B132" s="2"/>
      <c r="C132" s="2"/>
      <c r="D132" s="2"/>
      <c r="E132" s="22"/>
      <c r="F132" s="21"/>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ABE2E-0022-4105-B8D9-97FA8BEA9903}">
  <dimension ref="B1:P22"/>
  <sheetViews>
    <sheetView showGridLines="0" workbookViewId="0">
      <selection activeCell="L28" sqref="L28"/>
    </sheetView>
  </sheetViews>
  <sheetFormatPr defaultRowHeight="14.4" x14ac:dyDescent="0.3"/>
  <cols>
    <col min="1" max="1" width="4" customWidth="1"/>
    <col min="10" max="10" width="3.77734375" customWidth="1"/>
  </cols>
  <sheetData>
    <row r="1" spans="2:16" ht="8.4" customHeight="1" x14ac:dyDescent="0.3"/>
    <row r="2" spans="2:16" x14ac:dyDescent="0.3">
      <c r="B2" s="10" t="s">
        <v>31</v>
      </c>
      <c r="C2" s="2"/>
      <c r="D2" s="2"/>
      <c r="E2" s="2"/>
      <c r="F2" s="2"/>
      <c r="G2" s="2"/>
      <c r="K2" s="10" t="s">
        <v>32</v>
      </c>
      <c r="L2" s="2"/>
      <c r="M2" s="2"/>
      <c r="N2" s="2"/>
      <c r="O2" s="2"/>
      <c r="P2" s="2"/>
    </row>
    <row r="3" spans="2:16" x14ac:dyDescent="0.3">
      <c r="B3" s="2"/>
      <c r="C3" s="2"/>
      <c r="D3" s="2"/>
      <c r="E3" s="2"/>
      <c r="F3" s="2"/>
      <c r="G3" s="2"/>
      <c r="K3" s="2"/>
      <c r="L3" s="2"/>
      <c r="M3" s="2"/>
      <c r="N3" s="2"/>
      <c r="O3" s="2"/>
      <c r="P3" s="2"/>
    </row>
    <row r="4" spans="2:16" x14ac:dyDescent="0.3">
      <c r="B4" s="2"/>
      <c r="C4" s="2"/>
      <c r="D4" s="2"/>
      <c r="E4" s="2"/>
      <c r="F4" s="2"/>
      <c r="G4" s="2"/>
      <c r="K4" s="2"/>
      <c r="L4" s="2"/>
      <c r="M4" s="2"/>
      <c r="N4" s="2"/>
      <c r="O4" s="2"/>
      <c r="P4" s="2"/>
    </row>
    <row r="5" spans="2:16" x14ac:dyDescent="0.3">
      <c r="B5" s="2"/>
      <c r="C5" s="2"/>
      <c r="D5" s="2"/>
      <c r="E5" s="2"/>
      <c r="F5" s="2"/>
      <c r="G5" s="2"/>
      <c r="K5" s="2"/>
      <c r="L5" s="2"/>
      <c r="M5" s="2"/>
      <c r="N5" s="2"/>
      <c r="O5" s="2"/>
      <c r="P5" s="2"/>
    </row>
    <row r="6" spans="2:16" x14ac:dyDescent="0.3">
      <c r="B6" s="2"/>
      <c r="C6" s="2"/>
      <c r="D6" s="2"/>
      <c r="E6" s="2"/>
      <c r="F6" s="2"/>
      <c r="G6" s="2"/>
      <c r="K6" s="2"/>
      <c r="L6" s="2"/>
      <c r="M6" s="2"/>
      <c r="N6" s="2"/>
      <c r="O6" s="2"/>
      <c r="P6" s="2"/>
    </row>
    <row r="7" spans="2:16" x14ac:dyDescent="0.3">
      <c r="B7" s="2"/>
      <c r="C7" s="2"/>
      <c r="D7" s="2"/>
      <c r="E7" s="2"/>
      <c r="F7" s="2"/>
      <c r="G7" s="2"/>
      <c r="K7" s="2"/>
      <c r="L7" s="2"/>
      <c r="M7" s="2"/>
      <c r="N7" s="2"/>
      <c r="O7" s="2"/>
      <c r="P7" s="2"/>
    </row>
    <row r="8" spans="2:16" x14ac:dyDescent="0.3">
      <c r="B8" s="2"/>
      <c r="C8" s="2"/>
      <c r="D8" s="2"/>
      <c r="E8" s="2"/>
      <c r="F8" s="2"/>
      <c r="G8" s="2"/>
      <c r="K8" s="2"/>
      <c r="L8" s="2"/>
      <c r="M8" s="2"/>
      <c r="N8" s="2"/>
      <c r="O8" s="2"/>
      <c r="P8" s="2"/>
    </row>
    <row r="9" spans="2:16" x14ac:dyDescent="0.3">
      <c r="B9" s="2"/>
      <c r="C9" s="2"/>
      <c r="D9" s="2"/>
      <c r="E9" s="2"/>
      <c r="F9" s="2"/>
      <c r="G9" s="2"/>
      <c r="K9" s="2"/>
      <c r="L9" s="2"/>
      <c r="M9" s="2"/>
      <c r="N9" s="2"/>
      <c r="O9" s="2"/>
      <c r="P9" s="2"/>
    </row>
    <row r="10" spans="2:16" x14ac:dyDescent="0.3">
      <c r="B10" s="2"/>
      <c r="C10" s="2"/>
      <c r="D10" s="2"/>
      <c r="E10" s="2"/>
      <c r="F10" s="2"/>
      <c r="G10" s="2"/>
      <c r="K10" s="2"/>
      <c r="L10" s="2"/>
      <c r="M10" s="2"/>
      <c r="N10" s="2"/>
      <c r="O10" s="2"/>
      <c r="P10" s="2"/>
    </row>
    <row r="11" spans="2:16" x14ac:dyDescent="0.3">
      <c r="B11" s="2"/>
      <c r="C11" s="2"/>
      <c r="D11" s="2"/>
      <c r="E11" s="2"/>
      <c r="F11" s="2"/>
      <c r="G11" s="2"/>
      <c r="K11" s="2"/>
      <c r="L11" s="2"/>
      <c r="M11" s="2"/>
      <c r="N11" s="2"/>
      <c r="O11" s="2"/>
      <c r="P11" s="2"/>
    </row>
    <row r="12" spans="2:16" x14ac:dyDescent="0.3">
      <c r="B12" s="10" t="s">
        <v>33</v>
      </c>
      <c r="C12" s="55"/>
      <c r="D12" s="2"/>
      <c r="E12" s="3"/>
      <c r="F12" s="2"/>
      <c r="G12" s="2"/>
      <c r="K12" s="10" t="s">
        <v>30</v>
      </c>
      <c r="L12" s="55"/>
      <c r="M12" s="2"/>
      <c r="N12" s="3"/>
      <c r="O12" s="2"/>
      <c r="P12" s="2"/>
    </row>
    <row r="13" spans="2:16" ht="7.2" customHeight="1" x14ac:dyDescent="0.3">
      <c r="B13" s="2"/>
      <c r="C13" s="55"/>
      <c r="D13" s="2"/>
      <c r="E13" s="3"/>
      <c r="F13" s="2"/>
      <c r="G13" s="2"/>
      <c r="K13" s="2"/>
      <c r="L13" s="55"/>
      <c r="M13" s="2"/>
      <c r="N13" s="3"/>
      <c r="O13" s="2"/>
      <c r="P13" s="2"/>
    </row>
    <row r="14" spans="2:16" x14ac:dyDescent="0.3">
      <c r="B14" s="2"/>
      <c r="C14" s="55"/>
      <c r="D14" s="2"/>
      <c r="E14" s="16"/>
      <c r="F14" s="2"/>
      <c r="G14" s="2"/>
      <c r="K14" s="2"/>
      <c r="L14" s="55"/>
      <c r="M14" s="2"/>
      <c r="N14" s="16"/>
      <c r="O14" s="2"/>
      <c r="P14" s="2"/>
    </row>
    <row r="15" spans="2:16" x14ac:dyDescent="0.3">
      <c r="B15" s="2"/>
      <c r="C15" s="55"/>
      <c r="D15" s="2"/>
      <c r="E15" s="3"/>
      <c r="F15" s="2"/>
      <c r="G15" s="2"/>
      <c r="K15" s="2"/>
      <c r="L15" s="55"/>
      <c r="M15" s="2"/>
      <c r="N15" s="3"/>
      <c r="O15" s="2"/>
      <c r="P15" s="2"/>
    </row>
    <row r="16" spans="2:16" x14ac:dyDescent="0.3">
      <c r="B16" s="2"/>
      <c r="C16" s="55"/>
      <c r="D16" s="2"/>
      <c r="E16" s="3"/>
      <c r="F16" s="2"/>
      <c r="G16" s="2"/>
      <c r="K16" s="2"/>
      <c r="L16" s="55"/>
      <c r="M16" s="2"/>
      <c r="N16" s="3"/>
      <c r="O16" s="2"/>
      <c r="P16" s="2"/>
    </row>
    <row r="17" spans="2:16" x14ac:dyDescent="0.3">
      <c r="B17" s="2"/>
      <c r="C17" s="55"/>
      <c r="D17" s="2"/>
      <c r="E17" s="3"/>
      <c r="F17" s="2"/>
      <c r="G17" s="2"/>
      <c r="K17" s="2"/>
      <c r="L17" s="55"/>
      <c r="M17" s="2"/>
      <c r="N17" s="3"/>
      <c r="O17" s="2"/>
      <c r="P17" s="2"/>
    </row>
    <row r="18" spans="2:16" x14ac:dyDescent="0.3">
      <c r="B18" s="2"/>
      <c r="C18" s="55"/>
      <c r="D18" s="2"/>
      <c r="E18" s="3"/>
      <c r="F18" s="2"/>
      <c r="G18" s="2"/>
      <c r="K18" s="2"/>
      <c r="L18" s="55"/>
      <c r="M18" s="2"/>
      <c r="N18" s="3"/>
      <c r="O18" s="2"/>
      <c r="P18" s="2"/>
    </row>
    <row r="19" spans="2:16" x14ac:dyDescent="0.3">
      <c r="B19" s="2"/>
      <c r="C19" s="55"/>
      <c r="D19" s="2"/>
      <c r="E19" s="3"/>
      <c r="F19" s="2"/>
      <c r="G19" s="2"/>
      <c r="K19" s="2"/>
      <c r="L19" s="55"/>
      <c r="M19" s="2"/>
      <c r="N19" s="3"/>
      <c r="O19" s="2"/>
      <c r="P19" s="2"/>
    </row>
    <row r="20" spans="2:16" x14ac:dyDescent="0.3">
      <c r="B20" s="2"/>
      <c r="C20" s="2"/>
      <c r="D20" s="2"/>
      <c r="E20" s="2"/>
      <c r="F20" s="2"/>
      <c r="G20" s="2"/>
      <c r="K20" s="2"/>
      <c r="L20" s="2"/>
      <c r="M20" s="2"/>
      <c r="N20" s="2"/>
      <c r="O20" s="2"/>
      <c r="P20" s="2"/>
    </row>
    <row r="21" spans="2:16" x14ac:dyDescent="0.3">
      <c r="B21" s="2"/>
      <c r="C21" s="2"/>
      <c r="D21" s="2"/>
      <c r="E21" s="14"/>
      <c r="F21" s="2"/>
      <c r="G21" s="2"/>
      <c r="K21" s="2"/>
      <c r="L21" s="2"/>
      <c r="M21" s="2"/>
      <c r="N21" s="14"/>
      <c r="O21" s="2"/>
      <c r="P21" s="2"/>
    </row>
    <row r="22" spans="2:16" x14ac:dyDescent="0.3">
      <c r="B22" s="2"/>
      <c r="C22" s="2"/>
      <c r="D22" s="2"/>
      <c r="E22" s="2"/>
      <c r="F22" s="2"/>
      <c r="G22" s="2"/>
      <c r="K22" s="2"/>
      <c r="L22" s="2"/>
      <c r="M22" s="2"/>
      <c r="N22" s="2"/>
      <c r="O22" s="2"/>
      <c r="P22" s="2"/>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9FB3-1C22-4229-9997-995D8CAF38FE}">
  <sheetPr>
    <tabColor rgb="FF00B0F0"/>
  </sheetPr>
  <dimension ref="A1"/>
  <sheetViews>
    <sheetView workbookViewId="0">
      <selection activeCell="E39" sqref="E39"/>
    </sheetView>
  </sheetViews>
  <sheetFormatPr defaultRowHeight="14.4" x14ac:dyDescent="0.3"/>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F1F8F-D7DB-4885-9355-30379FBE98DD}">
  <dimension ref="A2:N89"/>
  <sheetViews>
    <sheetView showGridLines="0" workbookViewId="0">
      <selection activeCell="K19" sqref="K19"/>
    </sheetView>
  </sheetViews>
  <sheetFormatPr defaultRowHeight="13.8" x14ac:dyDescent="0.25"/>
  <cols>
    <col min="1" max="1" width="8.88671875" style="2"/>
    <col min="2" max="2" width="17.6640625" style="2" bestFit="1" customWidth="1"/>
    <col min="3" max="3" width="11.21875" style="2" bestFit="1" customWidth="1"/>
    <col min="4" max="4" width="8.88671875" style="2"/>
    <col min="5" max="5" width="15.88671875" style="2" bestFit="1" customWidth="1"/>
    <col min="6" max="6" width="11.21875" style="2" bestFit="1" customWidth="1"/>
    <col min="7" max="7" width="8.88671875" style="2"/>
    <col min="8" max="8" width="5.5546875" style="2" bestFit="1" customWidth="1"/>
    <col min="9" max="9" width="6.77734375" style="2" bestFit="1" customWidth="1"/>
    <col min="10" max="10" width="15.88671875" style="2" bestFit="1" customWidth="1"/>
    <col min="11" max="11" width="11.21875" style="2" bestFit="1" customWidth="1"/>
    <col min="12" max="12" width="4" style="2" bestFit="1" customWidth="1"/>
    <col min="13" max="13" width="8" style="2" bestFit="1" customWidth="1"/>
    <col min="14" max="14" width="7.88671875" style="2" bestFit="1" customWidth="1"/>
    <col min="15" max="16384" width="8.88671875" style="2"/>
  </cols>
  <sheetData>
    <row r="2" spans="1:14" x14ac:dyDescent="0.25">
      <c r="A2" s="71" t="s">
        <v>8</v>
      </c>
    </row>
    <row r="11" spans="1:14" x14ac:dyDescent="0.25">
      <c r="B11" s="1" t="s">
        <v>66</v>
      </c>
      <c r="C11" s="4" t="s">
        <v>78</v>
      </c>
      <c r="D11" s="4"/>
      <c r="E11" s="1" t="s">
        <v>66</v>
      </c>
      <c r="F11" s="4" t="s">
        <v>78</v>
      </c>
      <c r="H11" s="4" t="s">
        <v>2</v>
      </c>
      <c r="I11" s="4" t="s">
        <v>6</v>
      </c>
      <c r="J11" s="4" t="s">
        <v>66</v>
      </c>
      <c r="K11" s="4" t="s">
        <v>78</v>
      </c>
      <c r="L11" s="4" t="s">
        <v>39</v>
      </c>
      <c r="M11" s="4" t="s">
        <v>79</v>
      </c>
      <c r="N11" s="4" t="s">
        <v>40</v>
      </c>
    </row>
    <row r="12" spans="1:14" x14ac:dyDescent="0.25">
      <c r="B12" s="2" t="s">
        <v>17</v>
      </c>
      <c r="C12" s="50">
        <v>4185.5450000000001</v>
      </c>
      <c r="E12" s="2" t="s">
        <v>17</v>
      </c>
      <c r="F12" s="50">
        <f>C12</f>
        <v>4185.5450000000001</v>
      </c>
      <c r="H12" s="50" t="s">
        <v>136</v>
      </c>
      <c r="I12" s="3" t="s">
        <v>9</v>
      </c>
      <c r="J12" s="3" t="s">
        <v>17</v>
      </c>
      <c r="K12" s="50">
        <f>F12</f>
        <v>4185.5450000000001</v>
      </c>
      <c r="L12" s="3" t="s">
        <v>41</v>
      </c>
      <c r="M12" s="50" t="s">
        <v>42</v>
      </c>
      <c r="N12" s="3" t="s">
        <v>43</v>
      </c>
    </row>
    <row r="13" spans="1:14" x14ac:dyDescent="0.25">
      <c r="B13" s="2" t="s">
        <v>141</v>
      </c>
      <c r="C13" s="50">
        <v>1769.384</v>
      </c>
      <c r="E13" s="2" t="s">
        <v>19</v>
      </c>
      <c r="F13" s="50">
        <f>C13</f>
        <v>1769.384</v>
      </c>
      <c r="H13" s="50" t="s">
        <v>136</v>
      </c>
      <c r="I13" s="3" t="s">
        <v>9</v>
      </c>
      <c r="J13" s="3" t="s">
        <v>19</v>
      </c>
      <c r="K13" s="50">
        <f t="shared" ref="K13:K16" si="0">F13</f>
        <v>1769.384</v>
      </c>
      <c r="L13" s="3" t="s">
        <v>41</v>
      </c>
      <c r="M13" s="50" t="s">
        <v>42</v>
      </c>
      <c r="N13" s="3" t="s">
        <v>43</v>
      </c>
    </row>
    <row r="14" spans="1:14" x14ac:dyDescent="0.25">
      <c r="B14" s="2" t="s">
        <v>237</v>
      </c>
      <c r="C14" s="50">
        <v>1743.329</v>
      </c>
      <c r="E14" s="2" t="s">
        <v>15</v>
      </c>
      <c r="F14" s="50">
        <f>C14</f>
        <v>1743.329</v>
      </c>
      <c r="H14" s="50" t="s">
        <v>136</v>
      </c>
      <c r="I14" s="3" t="s">
        <v>9</v>
      </c>
      <c r="J14" s="3" t="s">
        <v>15</v>
      </c>
      <c r="K14" s="50">
        <f t="shared" si="0"/>
        <v>1743.329</v>
      </c>
      <c r="L14" s="3" t="s">
        <v>41</v>
      </c>
      <c r="M14" s="50" t="s">
        <v>42</v>
      </c>
      <c r="N14" s="3" t="s">
        <v>43</v>
      </c>
    </row>
    <row r="15" spans="1:14" x14ac:dyDescent="0.25">
      <c r="B15" s="2" t="s">
        <v>238</v>
      </c>
      <c r="C15" s="50">
        <v>1273.4390000000001</v>
      </c>
      <c r="E15" s="2" t="s">
        <v>18</v>
      </c>
      <c r="F15" s="50">
        <f>C15</f>
        <v>1273.4390000000001</v>
      </c>
      <c r="H15" s="50" t="s">
        <v>136</v>
      </c>
      <c r="I15" s="3" t="s">
        <v>9</v>
      </c>
      <c r="J15" s="3" t="s">
        <v>18</v>
      </c>
      <c r="K15" s="50">
        <f t="shared" si="0"/>
        <v>1273.4390000000001</v>
      </c>
      <c r="L15" s="3" t="s">
        <v>41</v>
      </c>
      <c r="M15" s="50" t="s">
        <v>42</v>
      </c>
      <c r="N15" s="3" t="s">
        <v>43</v>
      </c>
    </row>
    <row r="16" spans="1:14" x14ac:dyDescent="0.25">
      <c r="B16" s="2" t="s">
        <v>221</v>
      </c>
      <c r="C16" s="50">
        <v>846.02499999999998</v>
      </c>
      <c r="E16" s="2" t="s">
        <v>16</v>
      </c>
      <c r="F16" s="50">
        <f>C16</f>
        <v>846.02499999999998</v>
      </c>
      <c r="H16" s="50" t="s">
        <v>136</v>
      </c>
      <c r="I16" s="3" t="s">
        <v>9</v>
      </c>
      <c r="J16" s="3" t="s">
        <v>16</v>
      </c>
      <c r="K16" s="50">
        <f t="shared" si="0"/>
        <v>846.02499999999998</v>
      </c>
      <c r="L16" s="3" t="s">
        <v>41</v>
      </c>
      <c r="M16" s="50" t="s">
        <v>42</v>
      </c>
      <c r="N16" s="3" t="s">
        <v>43</v>
      </c>
    </row>
    <row r="17" spans="1:14" x14ac:dyDescent="0.25">
      <c r="B17" s="2" t="s">
        <v>222</v>
      </c>
      <c r="C17" s="50">
        <v>1363.482</v>
      </c>
      <c r="E17" s="2" t="s">
        <v>21</v>
      </c>
      <c r="F17" s="50">
        <f>C19</f>
        <v>545.91800000000001</v>
      </c>
      <c r="H17" s="50" t="s">
        <v>136</v>
      </c>
      <c r="I17" s="3" t="s">
        <v>9</v>
      </c>
      <c r="J17" s="3" t="s">
        <v>22</v>
      </c>
      <c r="K17" s="50">
        <f>F18</f>
        <v>1650.979</v>
      </c>
      <c r="L17" s="3" t="s">
        <v>41</v>
      </c>
      <c r="M17" s="50" t="s">
        <v>42</v>
      </c>
      <c r="N17" s="3" t="s">
        <v>43</v>
      </c>
    </row>
    <row r="18" spans="1:14" x14ac:dyDescent="0.25">
      <c r="B18" s="7" t="s">
        <v>147</v>
      </c>
      <c r="C18" s="58">
        <f>SUM(C12:C17)</f>
        <v>11181.204</v>
      </c>
      <c r="E18" s="2" t="s">
        <v>22</v>
      </c>
      <c r="F18" s="50">
        <f>SUM(C17,C20)</f>
        <v>1650.979</v>
      </c>
      <c r="H18" s="50" t="s">
        <v>136</v>
      </c>
      <c r="I18" s="3" t="s">
        <v>9</v>
      </c>
      <c r="J18" s="3" t="s">
        <v>21</v>
      </c>
      <c r="K18" s="50">
        <f>F17</f>
        <v>545.91800000000001</v>
      </c>
      <c r="L18" s="3" t="s">
        <v>41</v>
      </c>
      <c r="M18" s="50" t="s">
        <v>42</v>
      </c>
      <c r="N18" s="3" t="s">
        <v>43</v>
      </c>
    </row>
    <row r="19" spans="1:14" x14ac:dyDescent="0.25">
      <c r="B19" s="2" t="s">
        <v>21</v>
      </c>
      <c r="C19" s="50">
        <v>545.91800000000001</v>
      </c>
      <c r="E19" s="2" t="s">
        <v>77</v>
      </c>
      <c r="F19" s="50">
        <f>SUM(F12:F18)</f>
        <v>12014.618999999999</v>
      </c>
      <c r="H19" s="50" t="s">
        <v>136</v>
      </c>
      <c r="I19" s="3" t="s">
        <v>9</v>
      </c>
      <c r="J19" s="3" t="s">
        <v>77</v>
      </c>
      <c r="K19" s="50">
        <f>SUM(K12:K18)</f>
        <v>12014.618999999999</v>
      </c>
      <c r="L19" s="3" t="s">
        <v>41</v>
      </c>
      <c r="M19" s="50" t="s">
        <v>42</v>
      </c>
      <c r="N19" s="3" t="s">
        <v>43</v>
      </c>
    </row>
    <row r="20" spans="1:14" x14ac:dyDescent="0.25">
      <c r="B20" s="2" t="s">
        <v>148</v>
      </c>
      <c r="C20" s="50">
        <v>287.49700000000001</v>
      </c>
      <c r="F20" s="50"/>
    </row>
    <row r="21" spans="1:14" x14ac:dyDescent="0.25">
      <c r="B21" s="7" t="s">
        <v>77</v>
      </c>
      <c r="C21" s="58">
        <f>SUM(C18:C20)</f>
        <v>12014.618999999999</v>
      </c>
      <c r="F21" s="50"/>
    </row>
    <row r="25" spans="1:14" x14ac:dyDescent="0.25">
      <c r="A25" s="71" t="s">
        <v>7</v>
      </c>
    </row>
    <row r="34" spans="1:14" x14ac:dyDescent="0.25">
      <c r="B34" s="1" t="s">
        <v>66</v>
      </c>
      <c r="C34" s="4" t="s">
        <v>78</v>
      </c>
      <c r="D34" s="4"/>
      <c r="E34" s="1" t="s">
        <v>66</v>
      </c>
      <c r="F34" s="4" t="s">
        <v>78</v>
      </c>
      <c r="H34" s="4" t="s">
        <v>2</v>
      </c>
      <c r="I34" s="4" t="s">
        <v>6</v>
      </c>
      <c r="J34" s="4" t="s">
        <v>66</v>
      </c>
      <c r="K34" s="4" t="s">
        <v>78</v>
      </c>
      <c r="L34" s="4" t="s">
        <v>39</v>
      </c>
      <c r="M34" s="4" t="s">
        <v>79</v>
      </c>
      <c r="N34" s="4" t="s">
        <v>40</v>
      </c>
    </row>
    <row r="35" spans="1:14" x14ac:dyDescent="0.25">
      <c r="B35" s="2" t="s">
        <v>17</v>
      </c>
      <c r="C35" s="50">
        <v>4379.4589999999998</v>
      </c>
      <c r="E35" s="2" t="s">
        <v>17</v>
      </c>
      <c r="F35" s="50">
        <v>4379.4589999999998</v>
      </c>
      <c r="H35" s="50" t="s">
        <v>136</v>
      </c>
      <c r="I35" s="3" t="s">
        <v>7</v>
      </c>
      <c r="J35" s="3" t="s">
        <v>17</v>
      </c>
      <c r="K35" s="50">
        <v>4379.4589999999998</v>
      </c>
      <c r="L35" s="3" t="s">
        <v>41</v>
      </c>
      <c r="M35" s="50" t="s">
        <v>42</v>
      </c>
      <c r="N35" s="3" t="s">
        <v>43</v>
      </c>
    </row>
    <row r="36" spans="1:14" x14ac:dyDescent="0.25">
      <c r="B36" s="2" t="s">
        <v>19</v>
      </c>
      <c r="C36" s="50">
        <v>1738.068</v>
      </c>
      <c r="E36" s="2" t="s">
        <v>19</v>
      </c>
      <c r="F36" s="50">
        <v>1738.068</v>
      </c>
      <c r="H36" s="50" t="s">
        <v>136</v>
      </c>
      <c r="I36" s="3" t="s">
        <v>7</v>
      </c>
      <c r="J36" s="3" t="s">
        <v>19</v>
      </c>
      <c r="K36" s="50">
        <v>1738.068</v>
      </c>
      <c r="L36" s="3" t="s">
        <v>41</v>
      </c>
      <c r="M36" s="50" t="s">
        <v>42</v>
      </c>
      <c r="N36" s="3" t="s">
        <v>43</v>
      </c>
    </row>
    <row r="37" spans="1:14" x14ac:dyDescent="0.25">
      <c r="B37" s="2" t="s">
        <v>15</v>
      </c>
      <c r="C37" s="50">
        <v>1778.6980000000001</v>
      </c>
      <c r="E37" s="2" t="s">
        <v>15</v>
      </c>
      <c r="F37" s="50">
        <v>1778.6980000000001</v>
      </c>
      <c r="H37" s="50" t="s">
        <v>136</v>
      </c>
      <c r="I37" s="3" t="s">
        <v>7</v>
      </c>
      <c r="J37" s="3" t="s">
        <v>15</v>
      </c>
      <c r="K37" s="50">
        <v>1778.6980000000001</v>
      </c>
      <c r="L37" s="3" t="s">
        <v>41</v>
      </c>
      <c r="M37" s="50" t="s">
        <v>42</v>
      </c>
      <c r="N37" s="3" t="s">
        <v>43</v>
      </c>
    </row>
    <row r="38" spans="1:14" x14ac:dyDescent="0.25">
      <c r="B38" s="2" t="s">
        <v>18</v>
      </c>
      <c r="C38" s="50">
        <v>1260.46</v>
      </c>
      <c r="E38" s="2" t="s">
        <v>18</v>
      </c>
      <c r="F38" s="50">
        <v>1260.46</v>
      </c>
      <c r="H38" s="50" t="s">
        <v>136</v>
      </c>
      <c r="I38" s="3" t="s">
        <v>7</v>
      </c>
      <c r="J38" s="3" t="s">
        <v>18</v>
      </c>
      <c r="K38" s="50">
        <v>1260.46</v>
      </c>
      <c r="L38" s="3" t="s">
        <v>41</v>
      </c>
      <c r="M38" s="50" t="s">
        <v>42</v>
      </c>
      <c r="N38" s="3" t="s">
        <v>43</v>
      </c>
    </row>
    <row r="39" spans="1:14" x14ac:dyDescent="0.25">
      <c r="B39" s="2" t="s">
        <v>16</v>
      </c>
      <c r="C39" s="50">
        <v>837.14499999999998</v>
      </c>
      <c r="E39" s="2" t="s">
        <v>16</v>
      </c>
      <c r="F39" s="50">
        <v>837.14499999999998</v>
      </c>
      <c r="H39" s="50" t="s">
        <v>136</v>
      </c>
      <c r="I39" s="3" t="s">
        <v>7</v>
      </c>
      <c r="J39" s="3" t="s">
        <v>16</v>
      </c>
      <c r="K39" s="50">
        <v>837.14499999999998</v>
      </c>
      <c r="L39" s="3" t="s">
        <v>41</v>
      </c>
      <c r="M39" s="50" t="s">
        <v>42</v>
      </c>
      <c r="N39" s="3" t="s">
        <v>43</v>
      </c>
    </row>
    <row r="40" spans="1:14" x14ac:dyDescent="0.25">
      <c r="B40" s="2" t="s">
        <v>22</v>
      </c>
      <c r="C40" s="50">
        <v>1352.7190000000001</v>
      </c>
      <c r="E40" s="2" t="s">
        <v>21</v>
      </c>
      <c r="F40" s="50">
        <v>528.13</v>
      </c>
      <c r="H40" s="50" t="s">
        <v>136</v>
      </c>
      <c r="I40" s="3" t="s">
        <v>7</v>
      </c>
      <c r="J40" s="3" t="s">
        <v>22</v>
      </c>
      <c r="K40" s="50">
        <v>1655.5240000000001</v>
      </c>
      <c r="L40" s="3" t="s">
        <v>41</v>
      </c>
      <c r="M40" s="50" t="s">
        <v>42</v>
      </c>
      <c r="N40" s="3" t="s">
        <v>43</v>
      </c>
    </row>
    <row r="41" spans="1:14" x14ac:dyDescent="0.25">
      <c r="B41" s="7" t="s">
        <v>147</v>
      </c>
      <c r="C41" s="58">
        <f>SUM(C35:C40)</f>
        <v>11346.549000000003</v>
      </c>
      <c r="E41" s="2" t="s">
        <v>22</v>
      </c>
      <c r="F41" s="50">
        <f>C40+C43</f>
        <v>1655.5240000000001</v>
      </c>
      <c r="H41" s="50" t="s">
        <v>136</v>
      </c>
      <c r="I41" s="3" t="s">
        <v>7</v>
      </c>
      <c r="J41" s="3" t="s">
        <v>21</v>
      </c>
      <c r="K41" s="50">
        <v>528</v>
      </c>
      <c r="L41" s="3" t="s">
        <v>41</v>
      </c>
      <c r="M41" s="50" t="s">
        <v>42</v>
      </c>
      <c r="N41" s="3" t="s">
        <v>43</v>
      </c>
    </row>
    <row r="42" spans="1:14" x14ac:dyDescent="0.25">
      <c r="B42" s="2" t="s">
        <v>21</v>
      </c>
      <c r="C42" s="50">
        <v>528.13</v>
      </c>
      <c r="E42" s="2" t="s">
        <v>77</v>
      </c>
      <c r="F42" s="50">
        <f>SUM(F35:F41)</f>
        <v>12177.484</v>
      </c>
      <c r="H42" s="50" t="s">
        <v>136</v>
      </c>
      <c r="I42" s="3" t="s">
        <v>7</v>
      </c>
      <c r="J42" s="3" t="s">
        <v>77</v>
      </c>
      <c r="K42" s="50">
        <f>SUM(K35:K41)</f>
        <v>12177.354000000001</v>
      </c>
      <c r="L42" s="3" t="s">
        <v>41</v>
      </c>
      <c r="M42" s="50" t="s">
        <v>42</v>
      </c>
      <c r="N42" s="3" t="s">
        <v>43</v>
      </c>
    </row>
    <row r="43" spans="1:14" x14ac:dyDescent="0.25">
      <c r="B43" s="2" t="s">
        <v>148</v>
      </c>
      <c r="C43" s="50">
        <v>302.80500000000001</v>
      </c>
      <c r="F43" s="50"/>
      <c r="G43" s="3"/>
      <c r="J43" s="3"/>
      <c r="K43" s="50"/>
      <c r="L43" s="3"/>
      <c r="M43" s="3"/>
      <c r="N43" s="3"/>
    </row>
    <row r="44" spans="1:14" x14ac:dyDescent="0.25">
      <c r="B44" s="7" t="s">
        <v>77</v>
      </c>
      <c r="C44" s="58">
        <f>SUM(C41:C43)</f>
        <v>12177.484000000002</v>
      </c>
      <c r="F44" s="50"/>
      <c r="G44" s="3"/>
      <c r="J44" s="3"/>
      <c r="K44" s="50"/>
      <c r="L44" s="3"/>
      <c r="M44" s="3"/>
      <c r="N44" s="3"/>
    </row>
    <row r="47" spans="1:14" x14ac:dyDescent="0.25">
      <c r="A47" s="71" t="s">
        <v>9</v>
      </c>
    </row>
    <row r="55" spans="2:14" x14ac:dyDescent="0.25">
      <c r="B55" s="1" t="s">
        <v>66</v>
      </c>
      <c r="C55" s="4" t="s">
        <v>78</v>
      </c>
      <c r="D55" s="4"/>
      <c r="E55" s="1" t="s">
        <v>66</v>
      </c>
      <c r="F55" s="4" t="s">
        <v>78</v>
      </c>
      <c r="H55" s="4" t="s">
        <v>2</v>
      </c>
      <c r="I55" s="4" t="s">
        <v>6</v>
      </c>
      <c r="J55" s="4" t="s">
        <v>66</v>
      </c>
      <c r="K55" s="4" t="s">
        <v>78</v>
      </c>
      <c r="L55" s="4" t="s">
        <v>39</v>
      </c>
      <c r="M55" s="4" t="s">
        <v>79</v>
      </c>
      <c r="N55" s="4" t="s">
        <v>40</v>
      </c>
    </row>
    <row r="56" spans="2:14" x14ac:dyDescent="0.25">
      <c r="B56" s="2" t="s">
        <v>218</v>
      </c>
      <c r="C56" s="50">
        <v>4288.4359999999997</v>
      </c>
      <c r="E56" s="2" t="s">
        <v>17</v>
      </c>
      <c r="F56" s="50">
        <f>C56</f>
        <v>4288.4359999999997</v>
      </c>
      <c r="H56" s="50" t="s">
        <v>136</v>
      </c>
      <c r="I56" s="3" t="s">
        <v>9</v>
      </c>
      <c r="J56" s="3" t="s">
        <v>17</v>
      </c>
      <c r="K56" s="50">
        <f>F56</f>
        <v>4288.4359999999997</v>
      </c>
      <c r="L56" s="3" t="s">
        <v>41</v>
      </c>
      <c r="M56" s="50" t="s">
        <v>42</v>
      </c>
      <c r="N56" s="3" t="s">
        <v>43</v>
      </c>
    </row>
    <row r="57" spans="2:14" x14ac:dyDescent="0.25">
      <c r="B57" s="2" t="s">
        <v>141</v>
      </c>
      <c r="C57" s="50">
        <v>1802.076</v>
      </c>
      <c r="E57" s="2" t="s">
        <v>19</v>
      </c>
      <c r="F57" s="50">
        <f>C57</f>
        <v>1802.076</v>
      </c>
      <c r="H57" s="50" t="s">
        <v>136</v>
      </c>
      <c r="I57" s="3" t="s">
        <v>9</v>
      </c>
      <c r="J57" s="3" t="s">
        <v>19</v>
      </c>
      <c r="K57" s="50">
        <f t="shared" ref="K57:K60" si="1">F57</f>
        <v>1802.076</v>
      </c>
      <c r="L57" s="3" t="s">
        <v>41</v>
      </c>
      <c r="M57" s="50" t="s">
        <v>42</v>
      </c>
      <c r="N57" s="3" t="s">
        <v>43</v>
      </c>
    </row>
    <row r="58" spans="2:14" x14ac:dyDescent="0.25">
      <c r="B58" s="2" t="s">
        <v>220</v>
      </c>
      <c r="C58" s="50">
        <v>1801.9449999999999</v>
      </c>
      <c r="E58" s="2" t="s">
        <v>15</v>
      </c>
      <c r="F58" s="50">
        <f>C58</f>
        <v>1801.9449999999999</v>
      </c>
      <c r="H58" s="50" t="s">
        <v>136</v>
      </c>
      <c r="I58" s="3" t="s">
        <v>9</v>
      </c>
      <c r="J58" s="3" t="s">
        <v>15</v>
      </c>
      <c r="K58" s="50">
        <f t="shared" si="1"/>
        <v>1801.9449999999999</v>
      </c>
      <c r="L58" s="3" t="s">
        <v>41</v>
      </c>
      <c r="M58" s="50" t="s">
        <v>42</v>
      </c>
      <c r="N58" s="3" t="s">
        <v>43</v>
      </c>
    </row>
    <row r="59" spans="2:14" x14ac:dyDescent="0.25">
      <c r="B59" s="2" t="s">
        <v>140</v>
      </c>
      <c r="C59" s="50">
        <v>1298.9670000000001</v>
      </c>
      <c r="E59" s="2" t="s">
        <v>18</v>
      </c>
      <c r="F59" s="50">
        <f>C59</f>
        <v>1298.9670000000001</v>
      </c>
      <c r="H59" s="50" t="s">
        <v>136</v>
      </c>
      <c r="I59" s="3" t="s">
        <v>9</v>
      </c>
      <c r="J59" s="3" t="s">
        <v>18</v>
      </c>
      <c r="K59" s="50">
        <f t="shared" si="1"/>
        <v>1298.9670000000001</v>
      </c>
      <c r="L59" s="3" t="s">
        <v>41</v>
      </c>
      <c r="M59" s="50" t="s">
        <v>42</v>
      </c>
      <c r="N59" s="3" t="s">
        <v>43</v>
      </c>
    </row>
    <row r="60" spans="2:14" x14ac:dyDescent="0.25">
      <c r="B60" s="2" t="s">
        <v>221</v>
      </c>
      <c r="C60" s="50">
        <v>865.35900000000004</v>
      </c>
      <c r="E60" s="2" t="s">
        <v>16</v>
      </c>
      <c r="F60" s="50">
        <f>C60</f>
        <v>865.35900000000004</v>
      </c>
      <c r="H60" s="50" t="s">
        <v>136</v>
      </c>
      <c r="I60" s="3" t="s">
        <v>9</v>
      </c>
      <c r="J60" s="3" t="s">
        <v>16</v>
      </c>
      <c r="K60" s="50">
        <f t="shared" si="1"/>
        <v>865.35900000000004</v>
      </c>
      <c r="L60" s="3" t="s">
        <v>41</v>
      </c>
      <c r="M60" s="50" t="s">
        <v>42</v>
      </c>
      <c r="N60" s="3" t="s">
        <v>43</v>
      </c>
    </row>
    <row r="61" spans="2:14" x14ac:dyDescent="0.25">
      <c r="B61" s="2" t="s">
        <v>222</v>
      </c>
      <c r="C61" s="50">
        <v>1271.2660000000001</v>
      </c>
      <c r="E61" s="2" t="s">
        <v>21</v>
      </c>
      <c r="F61" s="50">
        <f>C63</f>
        <v>552.54700000000003</v>
      </c>
      <c r="H61" s="50" t="s">
        <v>136</v>
      </c>
      <c r="I61" s="3" t="s">
        <v>9</v>
      </c>
      <c r="J61" s="3" t="s">
        <v>22</v>
      </c>
      <c r="K61" s="50">
        <f>F62</f>
        <v>1606.1570000000002</v>
      </c>
      <c r="L61" s="3" t="s">
        <v>41</v>
      </c>
      <c r="M61" s="50" t="s">
        <v>42</v>
      </c>
      <c r="N61" s="3" t="s">
        <v>43</v>
      </c>
    </row>
    <row r="62" spans="2:14" x14ac:dyDescent="0.25">
      <c r="B62" s="7" t="s">
        <v>147</v>
      </c>
      <c r="C62" s="58">
        <f>SUM(C56:C61)</f>
        <v>11328.048999999999</v>
      </c>
      <c r="E62" s="2" t="s">
        <v>22</v>
      </c>
      <c r="F62" s="50">
        <f>SUM(C61,C64)</f>
        <v>1606.1570000000002</v>
      </c>
      <c r="H62" s="50" t="s">
        <v>136</v>
      </c>
      <c r="I62" s="3" t="s">
        <v>9</v>
      </c>
      <c r="J62" s="3" t="s">
        <v>21</v>
      </c>
      <c r="K62" s="50">
        <f>F61</f>
        <v>552.54700000000003</v>
      </c>
      <c r="L62" s="3" t="s">
        <v>41</v>
      </c>
      <c r="M62" s="50" t="s">
        <v>42</v>
      </c>
      <c r="N62" s="3" t="s">
        <v>43</v>
      </c>
    </row>
    <row r="63" spans="2:14" x14ac:dyDescent="0.25">
      <c r="B63" s="2" t="s">
        <v>21</v>
      </c>
      <c r="C63" s="50">
        <v>552.54700000000003</v>
      </c>
      <c r="E63" s="2" t="s">
        <v>77</v>
      </c>
      <c r="F63" s="50">
        <f>SUM(F56:F62)</f>
        <v>12215.487000000001</v>
      </c>
      <c r="H63" s="50" t="s">
        <v>136</v>
      </c>
      <c r="I63" s="3" t="s">
        <v>9</v>
      </c>
      <c r="J63" s="3" t="s">
        <v>77</v>
      </c>
      <c r="K63" s="50">
        <f>SUM(K56:K62)</f>
        <v>12215.486999999999</v>
      </c>
      <c r="L63" s="3" t="s">
        <v>41</v>
      </c>
      <c r="M63" s="50" t="s">
        <v>42</v>
      </c>
      <c r="N63" s="3" t="s">
        <v>43</v>
      </c>
    </row>
    <row r="64" spans="2:14" x14ac:dyDescent="0.25">
      <c r="B64" s="2" t="s">
        <v>148</v>
      </c>
      <c r="C64" s="50">
        <v>334.89100000000002</v>
      </c>
      <c r="F64" s="50"/>
    </row>
    <row r="65" spans="1:14" x14ac:dyDescent="0.25">
      <c r="B65" s="7" t="s">
        <v>77</v>
      </c>
      <c r="C65" s="58">
        <f>SUM(C62:C64)</f>
        <v>12215.486999999999</v>
      </c>
      <c r="F65" s="50"/>
    </row>
    <row r="68" spans="1:14" x14ac:dyDescent="0.25">
      <c r="A68" s="71" t="s">
        <v>10</v>
      </c>
    </row>
    <row r="79" spans="1:14" x14ac:dyDescent="0.25">
      <c r="B79" s="1" t="s">
        <v>66</v>
      </c>
      <c r="C79" s="4" t="s">
        <v>78</v>
      </c>
      <c r="D79" s="4"/>
      <c r="E79" s="1" t="s">
        <v>66</v>
      </c>
      <c r="F79" s="4" t="s">
        <v>78</v>
      </c>
      <c r="H79" s="4" t="s">
        <v>2</v>
      </c>
      <c r="I79" s="4" t="s">
        <v>6</v>
      </c>
      <c r="J79" s="4" t="s">
        <v>66</v>
      </c>
      <c r="K79" s="4" t="s">
        <v>78</v>
      </c>
      <c r="L79" s="4" t="s">
        <v>39</v>
      </c>
      <c r="M79" s="4" t="s">
        <v>79</v>
      </c>
      <c r="N79" s="4" t="s">
        <v>40</v>
      </c>
    </row>
    <row r="80" spans="1:14" x14ac:dyDescent="0.25">
      <c r="B80" s="2" t="s">
        <v>218</v>
      </c>
      <c r="C80" s="50">
        <v>4199.4350000000004</v>
      </c>
      <c r="E80" s="2" t="s">
        <v>17</v>
      </c>
      <c r="F80" s="50">
        <f>C80</f>
        <v>4199.4350000000004</v>
      </c>
      <c r="H80" s="50" t="s">
        <v>136</v>
      </c>
      <c r="I80" s="3" t="s">
        <v>10</v>
      </c>
      <c r="J80" s="3" t="s">
        <v>17</v>
      </c>
      <c r="K80" s="50">
        <f>F80</f>
        <v>4199.4350000000004</v>
      </c>
      <c r="L80" s="3" t="s">
        <v>41</v>
      </c>
      <c r="M80" s="50" t="s">
        <v>42</v>
      </c>
      <c r="N80" s="3" t="s">
        <v>43</v>
      </c>
    </row>
    <row r="81" spans="2:14" x14ac:dyDescent="0.25">
      <c r="B81" s="2" t="s">
        <v>141</v>
      </c>
      <c r="C81" s="50">
        <v>1790.5050000000001</v>
      </c>
      <c r="E81" s="2" t="s">
        <v>19</v>
      </c>
      <c r="F81" s="50">
        <f>C81</f>
        <v>1790.5050000000001</v>
      </c>
      <c r="H81" s="50" t="s">
        <v>136</v>
      </c>
      <c r="I81" s="3" t="s">
        <v>10</v>
      </c>
      <c r="J81" s="3" t="s">
        <v>19</v>
      </c>
      <c r="K81" s="50">
        <f t="shared" ref="K81:K84" si="2">F81</f>
        <v>1790.5050000000001</v>
      </c>
      <c r="L81" s="3" t="s">
        <v>41</v>
      </c>
      <c r="M81" s="50" t="s">
        <v>42</v>
      </c>
      <c r="N81" s="3" t="s">
        <v>43</v>
      </c>
    </row>
    <row r="82" spans="2:14" x14ac:dyDescent="0.25">
      <c r="B82" s="2" t="s">
        <v>220</v>
      </c>
      <c r="C82" s="50">
        <v>1852.2080000000001</v>
      </c>
      <c r="E82" s="2" t="s">
        <v>15</v>
      </c>
      <c r="F82" s="50">
        <f>C82</f>
        <v>1852.2080000000001</v>
      </c>
      <c r="H82" s="50" t="s">
        <v>136</v>
      </c>
      <c r="I82" s="3" t="s">
        <v>10</v>
      </c>
      <c r="J82" s="3" t="s">
        <v>15</v>
      </c>
      <c r="K82" s="50">
        <f t="shared" si="2"/>
        <v>1852.2080000000001</v>
      </c>
      <c r="L82" s="3" t="s">
        <v>41</v>
      </c>
      <c r="M82" s="50" t="s">
        <v>42</v>
      </c>
      <c r="N82" s="3" t="s">
        <v>43</v>
      </c>
    </row>
    <row r="83" spans="2:14" x14ac:dyDescent="0.25">
      <c r="B83" s="2" t="s">
        <v>140</v>
      </c>
      <c r="C83" s="50">
        <v>1302.7539999999999</v>
      </c>
      <c r="E83" s="2" t="s">
        <v>18</v>
      </c>
      <c r="F83" s="50">
        <f>C83</f>
        <v>1302.7539999999999</v>
      </c>
      <c r="H83" s="50" t="s">
        <v>136</v>
      </c>
      <c r="I83" s="3" t="s">
        <v>10</v>
      </c>
      <c r="J83" s="3" t="s">
        <v>18</v>
      </c>
      <c r="K83" s="50">
        <f t="shared" si="2"/>
        <v>1302.7539999999999</v>
      </c>
      <c r="L83" s="3" t="s">
        <v>41</v>
      </c>
      <c r="M83" s="50" t="s">
        <v>42</v>
      </c>
      <c r="N83" s="3" t="s">
        <v>43</v>
      </c>
    </row>
    <row r="84" spans="2:14" x14ac:dyDescent="0.25">
      <c r="B84" s="2" t="s">
        <v>221</v>
      </c>
      <c r="C84" s="50">
        <v>871.66200000000003</v>
      </c>
      <c r="E84" s="2" t="s">
        <v>16</v>
      </c>
      <c r="F84" s="50">
        <f>C84</f>
        <v>871.66200000000003</v>
      </c>
      <c r="H84" s="50" t="s">
        <v>136</v>
      </c>
      <c r="I84" s="3" t="s">
        <v>10</v>
      </c>
      <c r="J84" s="3" t="s">
        <v>16</v>
      </c>
      <c r="K84" s="50">
        <f t="shared" si="2"/>
        <v>871.66200000000003</v>
      </c>
      <c r="L84" s="3" t="s">
        <v>41</v>
      </c>
      <c r="M84" s="50" t="s">
        <v>42</v>
      </c>
      <c r="N84" s="3" t="s">
        <v>43</v>
      </c>
    </row>
    <row r="85" spans="2:14" x14ac:dyDescent="0.25">
      <c r="B85" s="2" t="s">
        <v>222</v>
      </c>
      <c r="C85" s="50">
        <v>1294.317</v>
      </c>
      <c r="E85" s="2" t="s">
        <v>21</v>
      </c>
      <c r="F85" s="50">
        <f>C87</f>
        <v>580.13800000000003</v>
      </c>
      <c r="H85" s="50" t="s">
        <v>136</v>
      </c>
      <c r="I85" s="3" t="s">
        <v>10</v>
      </c>
      <c r="J85" s="3" t="s">
        <v>22</v>
      </c>
      <c r="K85" s="50">
        <f>F86</f>
        <v>1597.317</v>
      </c>
      <c r="L85" s="3" t="s">
        <v>41</v>
      </c>
      <c r="M85" s="50" t="s">
        <v>42</v>
      </c>
      <c r="N85" s="3" t="s">
        <v>43</v>
      </c>
    </row>
    <row r="86" spans="2:14" x14ac:dyDescent="0.25">
      <c r="B86" s="7" t="s">
        <v>147</v>
      </c>
      <c r="C86" s="58">
        <f>SUM(C80:C85)</f>
        <v>11310.881000000001</v>
      </c>
      <c r="E86" s="2" t="s">
        <v>22</v>
      </c>
      <c r="F86" s="50">
        <f>SUM(C85,C88)</f>
        <v>1597.317</v>
      </c>
      <c r="H86" s="50" t="s">
        <v>136</v>
      </c>
      <c r="I86" s="3" t="s">
        <v>10</v>
      </c>
      <c r="J86" s="3" t="s">
        <v>21</v>
      </c>
      <c r="K86" s="50">
        <f>F85</f>
        <v>580.13800000000003</v>
      </c>
      <c r="L86" s="3" t="s">
        <v>41</v>
      </c>
      <c r="M86" s="50" t="s">
        <v>42</v>
      </c>
      <c r="N86" s="3" t="s">
        <v>43</v>
      </c>
    </row>
    <row r="87" spans="2:14" x14ac:dyDescent="0.25">
      <c r="B87" s="2" t="s">
        <v>21</v>
      </c>
      <c r="C87" s="50">
        <v>580.13800000000003</v>
      </c>
      <c r="E87" s="2" t="s">
        <v>77</v>
      </c>
      <c r="F87" s="50">
        <f>SUM(F80:F86)</f>
        <v>12194.019000000004</v>
      </c>
      <c r="H87" s="50" t="s">
        <v>136</v>
      </c>
      <c r="I87" s="3" t="s">
        <v>10</v>
      </c>
      <c r="J87" s="3" t="s">
        <v>77</v>
      </c>
      <c r="K87" s="50">
        <f>SUM(K80:K86)</f>
        <v>12194.019000000002</v>
      </c>
      <c r="L87" s="3" t="s">
        <v>41</v>
      </c>
      <c r="M87" s="50" t="s">
        <v>42</v>
      </c>
      <c r="N87" s="3" t="s">
        <v>43</v>
      </c>
    </row>
    <row r="88" spans="2:14" x14ac:dyDescent="0.25">
      <c r="B88" s="2" t="s">
        <v>148</v>
      </c>
      <c r="C88" s="50">
        <v>303</v>
      </c>
      <c r="F88" s="50"/>
    </row>
    <row r="89" spans="2:14" x14ac:dyDescent="0.25">
      <c r="B89" s="7" t="s">
        <v>77</v>
      </c>
      <c r="C89" s="58">
        <f>SUM(C86:C88)</f>
        <v>12194.019000000002</v>
      </c>
      <c r="F89" s="50"/>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9ADC2-1A5A-4AC8-A413-A97656C67F33}">
  <dimension ref="B2:J185"/>
  <sheetViews>
    <sheetView showGridLines="0" workbookViewId="0">
      <selection activeCell="J33" sqref="J33"/>
    </sheetView>
  </sheetViews>
  <sheetFormatPr defaultRowHeight="13.8" x14ac:dyDescent="0.3"/>
  <cols>
    <col min="1" max="1" width="3" style="89" customWidth="1"/>
    <col min="2" max="2" width="15.88671875" style="89" bestFit="1" customWidth="1"/>
    <col min="3" max="3" width="11.21875" style="89" bestFit="1" customWidth="1"/>
    <col min="4" max="4" width="8.88671875" style="89"/>
    <col min="5" max="5" width="15.88671875" style="89" bestFit="1" customWidth="1"/>
    <col min="6" max="6" width="11.21875" style="89" bestFit="1" customWidth="1"/>
    <col min="7" max="16384" width="8.88671875" style="89"/>
  </cols>
  <sheetData>
    <row r="2" spans="2:2" x14ac:dyDescent="0.3">
      <c r="B2" s="92" t="s">
        <v>246</v>
      </c>
    </row>
    <row r="21" spans="2:9" ht="14.4" x14ac:dyDescent="0.3">
      <c r="B21" s="2"/>
      <c r="C21" s="55"/>
      <c r="D21" s="2"/>
      <c r="E21" s="2"/>
      <c r="F21" s="55"/>
      <c r="G21" s="2"/>
    </row>
    <row r="22" spans="2:9" ht="14.4" x14ac:dyDescent="0.3">
      <c r="B22" s="7" t="s">
        <v>24</v>
      </c>
      <c r="C22" s="3"/>
      <c r="D22" s="2"/>
      <c r="E22" s="7" t="s">
        <v>1</v>
      </c>
      <c r="F22" s="2"/>
      <c r="G22" s="2"/>
      <c r="H22" s="2"/>
      <c r="I22" s="2"/>
    </row>
    <row r="23" spans="2:9" ht="14.4" x14ac:dyDescent="0.3">
      <c r="B23" s="2"/>
      <c r="C23" s="2"/>
      <c r="D23" s="2"/>
      <c r="E23" s="2"/>
      <c r="F23" s="2"/>
      <c r="G23" s="2"/>
      <c r="H23" s="2"/>
      <c r="I23" s="2"/>
    </row>
    <row r="24" spans="2:9" ht="14.4" x14ac:dyDescent="0.3">
      <c r="B24" s="1" t="s">
        <v>66</v>
      </c>
      <c r="C24" s="4" t="s">
        <v>78</v>
      </c>
      <c r="D24" s="2"/>
      <c r="E24" s="1" t="s">
        <v>66</v>
      </c>
      <c r="F24" s="4" t="s">
        <v>78</v>
      </c>
      <c r="G24" s="2"/>
      <c r="H24" s="2" t="b">
        <f>B24=E24</f>
        <v>1</v>
      </c>
      <c r="I24" s="2" t="b">
        <f>C24=F24</f>
        <v>1</v>
      </c>
    </row>
    <row r="25" spans="2:9" ht="14.4" x14ac:dyDescent="0.3">
      <c r="B25" s="2" t="s">
        <v>15</v>
      </c>
      <c r="C25" s="50">
        <v>1743</v>
      </c>
      <c r="D25" s="2"/>
      <c r="E25" s="2" t="s">
        <v>15</v>
      </c>
      <c r="F25" s="50">
        <v>1743</v>
      </c>
      <c r="G25" s="2"/>
      <c r="H25" s="2" t="b">
        <f t="shared" ref="H25:I32" si="0">B25=E25</f>
        <v>1</v>
      </c>
      <c r="I25" s="2" t="b">
        <f t="shared" si="0"/>
        <v>1</v>
      </c>
    </row>
    <row r="26" spans="2:9" ht="14.4" x14ac:dyDescent="0.3">
      <c r="B26" s="2" t="s">
        <v>17</v>
      </c>
      <c r="C26" s="50">
        <v>4186</v>
      </c>
      <c r="D26" s="2"/>
      <c r="E26" s="2" t="s">
        <v>17</v>
      </c>
      <c r="F26" s="50">
        <v>4186</v>
      </c>
      <c r="G26" s="2"/>
      <c r="H26" s="2" t="b">
        <f t="shared" si="0"/>
        <v>1</v>
      </c>
      <c r="I26" s="2" t="b">
        <f t="shared" si="0"/>
        <v>1</v>
      </c>
    </row>
    <row r="27" spans="2:9" ht="14.4" x14ac:dyDescent="0.3">
      <c r="B27" s="2" t="s">
        <v>18</v>
      </c>
      <c r="C27" s="50">
        <v>1273</v>
      </c>
      <c r="D27" s="2"/>
      <c r="E27" s="2" t="s">
        <v>18</v>
      </c>
      <c r="F27" s="50">
        <v>1273</v>
      </c>
      <c r="G27" s="2"/>
      <c r="H27" s="2" t="b">
        <f t="shared" si="0"/>
        <v>1</v>
      </c>
      <c r="I27" s="2" t="b">
        <f t="shared" si="0"/>
        <v>1</v>
      </c>
    </row>
    <row r="28" spans="2:9" ht="14.4" x14ac:dyDescent="0.3">
      <c r="B28" s="2" t="s">
        <v>19</v>
      </c>
      <c r="C28" s="50">
        <v>1769</v>
      </c>
      <c r="D28" s="2"/>
      <c r="E28" s="2" t="s">
        <v>19</v>
      </c>
      <c r="F28" s="50">
        <v>1769</v>
      </c>
      <c r="G28" s="2"/>
      <c r="H28" s="2" t="b">
        <f t="shared" si="0"/>
        <v>1</v>
      </c>
      <c r="I28" s="2" t="b">
        <f t="shared" si="0"/>
        <v>1</v>
      </c>
    </row>
    <row r="29" spans="2:9" ht="14.4" x14ac:dyDescent="0.3">
      <c r="B29" s="2" t="s">
        <v>22</v>
      </c>
      <c r="C29" s="50">
        <f>1363+287</f>
        <v>1650</v>
      </c>
      <c r="D29" s="2"/>
      <c r="E29" s="2" t="s">
        <v>22</v>
      </c>
      <c r="F29" s="50">
        <v>1650</v>
      </c>
      <c r="G29" s="2"/>
      <c r="H29" s="2" t="b">
        <f t="shared" si="0"/>
        <v>1</v>
      </c>
      <c r="I29" s="2" t="b">
        <f t="shared" si="0"/>
        <v>1</v>
      </c>
    </row>
    <row r="30" spans="2:9" ht="14.4" x14ac:dyDescent="0.3">
      <c r="B30" s="2" t="s">
        <v>16</v>
      </c>
      <c r="C30" s="50">
        <v>846</v>
      </c>
      <c r="D30" s="2"/>
      <c r="E30" s="2" t="s">
        <v>16</v>
      </c>
      <c r="F30" s="50">
        <v>846</v>
      </c>
      <c r="G30" s="2"/>
      <c r="H30" s="2" t="b">
        <f t="shared" si="0"/>
        <v>1</v>
      </c>
      <c r="I30" s="2" t="b">
        <f t="shared" si="0"/>
        <v>1</v>
      </c>
    </row>
    <row r="31" spans="2:9" ht="14.4" x14ac:dyDescent="0.3">
      <c r="B31" s="2" t="s">
        <v>21</v>
      </c>
      <c r="C31" s="50">
        <v>546</v>
      </c>
      <c r="D31" s="2"/>
      <c r="E31" s="2" t="s">
        <v>21</v>
      </c>
      <c r="F31" s="50">
        <v>546</v>
      </c>
      <c r="G31" s="2"/>
      <c r="H31" s="2" t="b">
        <f t="shared" si="0"/>
        <v>1</v>
      </c>
      <c r="I31" s="2" t="b">
        <f t="shared" si="0"/>
        <v>1</v>
      </c>
    </row>
    <row r="32" spans="2:9" ht="14.4" x14ac:dyDescent="0.3">
      <c r="B32" s="2" t="s">
        <v>77</v>
      </c>
      <c r="C32" s="50">
        <f>SUM(C25:C31)</f>
        <v>12013</v>
      </c>
      <c r="D32" s="2"/>
      <c r="E32" s="2" t="s">
        <v>77</v>
      </c>
      <c r="F32" s="50">
        <f>SUM(F25:F31)</f>
        <v>12013</v>
      </c>
      <c r="G32" s="2"/>
      <c r="H32" s="2" t="b">
        <f t="shared" si="0"/>
        <v>1</v>
      </c>
      <c r="I32" s="2" t="b">
        <f t="shared" si="0"/>
        <v>1</v>
      </c>
    </row>
    <row r="33" spans="2:9" ht="14.4" x14ac:dyDescent="0.3">
      <c r="B33" s="2"/>
      <c r="C33" s="2"/>
      <c r="D33" s="2"/>
      <c r="E33" s="2"/>
      <c r="F33" s="2"/>
      <c r="G33" s="2"/>
      <c r="H33" s="2"/>
      <c r="I33" s="2"/>
    </row>
    <row r="34" spans="2:9" ht="14.4" x14ac:dyDescent="0.3">
      <c r="B34" s="2"/>
      <c r="C34" s="2"/>
      <c r="D34" s="2"/>
      <c r="E34" s="4" t="s">
        <v>5</v>
      </c>
      <c r="F34" s="57">
        <f>18/18</f>
        <v>1</v>
      </c>
      <c r="G34" s="2"/>
      <c r="H34" s="2"/>
      <c r="I34" s="2"/>
    </row>
    <row r="36" spans="2:9" x14ac:dyDescent="0.3">
      <c r="B36" s="92" t="s">
        <v>243</v>
      </c>
    </row>
    <row r="58" spans="2:10" ht="14.4" x14ac:dyDescent="0.3">
      <c r="B58" s="7" t="s">
        <v>24</v>
      </c>
      <c r="C58" s="3"/>
      <c r="D58" s="2"/>
      <c r="E58" s="7" t="s">
        <v>1</v>
      </c>
      <c r="F58" s="2"/>
      <c r="G58" s="2"/>
      <c r="H58" s="2"/>
      <c r="I58" s="2"/>
    </row>
    <row r="59" spans="2:10" ht="14.4" x14ac:dyDescent="0.3">
      <c r="B59" s="2"/>
      <c r="C59" s="2"/>
      <c r="D59" s="2"/>
      <c r="E59" s="2"/>
      <c r="F59" s="2"/>
      <c r="G59" s="2"/>
      <c r="H59" s="2"/>
      <c r="I59" s="2"/>
      <c r="J59" s="2"/>
    </row>
    <row r="60" spans="2:10" ht="14.4" x14ac:dyDescent="0.3">
      <c r="B60" s="1" t="s">
        <v>66</v>
      </c>
      <c r="C60" s="4" t="s">
        <v>78</v>
      </c>
      <c r="D60" s="2"/>
      <c r="E60" s="1" t="s">
        <v>66</v>
      </c>
      <c r="F60" s="4" t="s">
        <v>78</v>
      </c>
      <c r="G60" s="2"/>
      <c r="H60" s="2" t="b">
        <f>B60=E60</f>
        <v>1</v>
      </c>
      <c r="I60" s="2" t="b">
        <f>C60=F60</f>
        <v>1</v>
      </c>
      <c r="J60" s="2"/>
    </row>
    <row r="61" spans="2:10" ht="14.4" x14ac:dyDescent="0.3">
      <c r="B61" s="2" t="s">
        <v>15</v>
      </c>
      <c r="C61" s="50">
        <v>1779</v>
      </c>
      <c r="D61" s="2"/>
      <c r="E61" s="2" t="s">
        <v>15</v>
      </c>
      <c r="F61" s="50">
        <v>1779</v>
      </c>
      <c r="G61" s="2"/>
      <c r="H61" s="2" t="b">
        <f t="shared" ref="H61:I68" si="1">B61=E61</f>
        <v>1</v>
      </c>
      <c r="I61" s="2" t="b">
        <f t="shared" si="1"/>
        <v>1</v>
      </c>
    </row>
    <row r="62" spans="2:10" ht="14.4" x14ac:dyDescent="0.3">
      <c r="B62" s="2" t="s">
        <v>17</v>
      </c>
      <c r="C62" s="50">
        <v>4379</v>
      </c>
      <c r="D62" s="2"/>
      <c r="E62" s="2" t="s">
        <v>17</v>
      </c>
      <c r="F62" s="50">
        <v>4379</v>
      </c>
      <c r="G62" s="2"/>
      <c r="H62" s="2" t="b">
        <f t="shared" si="1"/>
        <v>1</v>
      </c>
      <c r="I62" s="2" t="b">
        <f t="shared" si="1"/>
        <v>1</v>
      </c>
    </row>
    <row r="63" spans="2:10" ht="14.4" x14ac:dyDescent="0.3">
      <c r="B63" s="2" t="s">
        <v>18</v>
      </c>
      <c r="C63" s="50">
        <v>1260</v>
      </c>
      <c r="D63" s="2"/>
      <c r="E63" s="2" t="s">
        <v>18</v>
      </c>
      <c r="F63" s="50">
        <v>1260</v>
      </c>
      <c r="G63" s="2"/>
      <c r="H63" s="2" t="b">
        <f t="shared" si="1"/>
        <v>1</v>
      </c>
      <c r="I63" s="2" t="b">
        <f t="shared" si="1"/>
        <v>1</v>
      </c>
    </row>
    <row r="64" spans="2:10" ht="14.4" x14ac:dyDescent="0.3">
      <c r="B64" s="2" t="s">
        <v>141</v>
      </c>
      <c r="C64" s="50">
        <v>1738</v>
      </c>
      <c r="D64" s="2"/>
      <c r="E64" s="2" t="s">
        <v>141</v>
      </c>
      <c r="F64" s="50">
        <v>1738</v>
      </c>
      <c r="G64" s="2"/>
      <c r="H64" s="2" t="b">
        <f t="shared" si="1"/>
        <v>1</v>
      </c>
      <c r="I64" s="2" t="b">
        <f t="shared" si="1"/>
        <v>1</v>
      </c>
    </row>
    <row r="65" spans="2:9" ht="14.4" x14ac:dyDescent="0.3">
      <c r="B65" s="2" t="s">
        <v>22</v>
      </c>
      <c r="C65" s="50">
        <f>1353+303</f>
        <v>1656</v>
      </c>
      <c r="D65" s="2"/>
      <c r="E65" s="2" t="s">
        <v>22</v>
      </c>
      <c r="F65" s="50">
        <v>1656</v>
      </c>
      <c r="G65" s="2"/>
      <c r="H65" s="2" t="b">
        <f t="shared" si="1"/>
        <v>1</v>
      </c>
      <c r="I65" s="2" t="b">
        <f t="shared" si="1"/>
        <v>1</v>
      </c>
    </row>
    <row r="66" spans="2:9" ht="14.4" x14ac:dyDescent="0.3">
      <c r="B66" s="2" t="s">
        <v>16</v>
      </c>
      <c r="C66" s="50">
        <v>837</v>
      </c>
      <c r="D66" s="2"/>
      <c r="E66" s="2" t="s">
        <v>16</v>
      </c>
      <c r="F66" s="50">
        <v>837</v>
      </c>
      <c r="G66" s="2"/>
      <c r="H66" s="2" t="b">
        <f t="shared" si="1"/>
        <v>1</v>
      </c>
      <c r="I66" s="2" t="b">
        <f t="shared" si="1"/>
        <v>1</v>
      </c>
    </row>
    <row r="67" spans="2:9" ht="14.4" x14ac:dyDescent="0.3">
      <c r="B67" s="2" t="s">
        <v>21</v>
      </c>
      <c r="C67" s="50">
        <v>528</v>
      </c>
      <c r="D67" s="2"/>
      <c r="E67" s="2" t="s">
        <v>21</v>
      </c>
      <c r="F67" s="50">
        <v>528</v>
      </c>
      <c r="G67" s="2"/>
      <c r="H67" s="2" t="b">
        <f t="shared" si="1"/>
        <v>1</v>
      </c>
      <c r="I67" s="2" t="b">
        <f t="shared" si="1"/>
        <v>1</v>
      </c>
    </row>
    <row r="68" spans="2:9" ht="14.4" x14ac:dyDescent="0.3">
      <c r="B68" s="2" t="s">
        <v>77</v>
      </c>
      <c r="C68" s="50">
        <f>SUM(C61:C67)</f>
        <v>12177</v>
      </c>
      <c r="D68" s="2"/>
      <c r="E68" s="2" t="s">
        <v>77</v>
      </c>
      <c r="F68" s="50">
        <f>SUM(F61:F67)</f>
        <v>12177</v>
      </c>
      <c r="G68" s="2"/>
      <c r="H68" s="2" t="b">
        <f t="shared" si="1"/>
        <v>1</v>
      </c>
      <c r="I68" s="2" t="b">
        <f t="shared" si="1"/>
        <v>1</v>
      </c>
    </row>
    <row r="69" spans="2:9" ht="14.4" x14ac:dyDescent="0.3">
      <c r="B69" s="2"/>
      <c r="C69" s="2"/>
      <c r="D69" s="2"/>
      <c r="E69" s="2"/>
      <c r="F69" s="2"/>
      <c r="G69" s="2"/>
      <c r="H69" s="2"/>
      <c r="I69" s="2"/>
    </row>
    <row r="70" spans="2:9" ht="14.4" x14ac:dyDescent="0.3">
      <c r="B70" s="2"/>
      <c r="C70" s="2"/>
      <c r="D70" s="2"/>
      <c r="E70" s="4" t="s">
        <v>5</v>
      </c>
      <c r="F70" s="57">
        <f>18/18</f>
        <v>1</v>
      </c>
      <c r="G70" s="2"/>
      <c r="H70" s="2"/>
      <c r="I70" s="2"/>
    </row>
    <row r="71" spans="2:9" ht="14.4" x14ac:dyDescent="0.3">
      <c r="G71" s="2"/>
      <c r="H71" s="2"/>
      <c r="I71" s="2"/>
    </row>
    <row r="72" spans="2:9" x14ac:dyDescent="0.3">
      <c r="B72" s="92" t="s">
        <v>247</v>
      </c>
    </row>
    <row r="92" spans="2:9" ht="14.4" x14ac:dyDescent="0.3">
      <c r="B92" s="7" t="s">
        <v>24</v>
      </c>
      <c r="C92" s="3"/>
      <c r="D92" s="2"/>
      <c r="E92" s="7" t="s">
        <v>1</v>
      </c>
      <c r="F92" s="2"/>
      <c r="G92" s="2"/>
      <c r="H92" s="2"/>
      <c r="I92" s="2"/>
    </row>
    <row r="93" spans="2:9" ht="14.4" x14ac:dyDescent="0.3">
      <c r="B93" s="2"/>
      <c r="C93" s="2"/>
      <c r="D93" s="2"/>
      <c r="E93" s="2"/>
      <c r="F93" s="2"/>
      <c r="G93" s="2"/>
      <c r="H93" s="2"/>
      <c r="I93" s="2"/>
    </row>
    <row r="94" spans="2:9" ht="14.4" x14ac:dyDescent="0.3">
      <c r="B94" s="1" t="s">
        <v>66</v>
      </c>
      <c r="C94" s="4" t="s">
        <v>78</v>
      </c>
      <c r="D94" s="2"/>
      <c r="E94" s="1" t="s">
        <v>66</v>
      </c>
      <c r="F94" s="4" t="s">
        <v>78</v>
      </c>
      <c r="G94" s="2"/>
      <c r="H94" s="2" t="b">
        <f>B94=E94</f>
        <v>1</v>
      </c>
      <c r="I94" s="2" t="b">
        <f>C94=F94</f>
        <v>1</v>
      </c>
    </row>
    <row r="95" spans="2:9" ht="14.4" x14ac:dyDescent="0.3">
      <c r="B95" s="2" t="s">
        <v>15</v>
      </c>
      <c r="C95" s="50">
        <v>1802</v>
      </c>
      <c r="D95" s="2"/>
      <c r="E95" s="2" t="s">
        <v>15</v>
      </c>
      <c r="F95" s="50">
        <v>1802</v>
      </c>
      <c r="G95" s="2"/>
      <c r="H95" s="2" t="b">
        <f t="shared" ref="H95:I102" si="2">B95=E95</f>
        <v>1</v>
      </c>
      <c r="I95" s="2" t="b">
        <f t="shared" si="2"/>
        <v>1</v>
      </c>
    </row>
    <row r="96" spans="2:9" ht="14.4" x14ac:dyDescent="0.3">
      <c r="B96" s="2" t="s">
        <v>17</v>
      </c>
      <c r="C96" s="50">
        <v>4288</v>
      </c>
      <c r="D96" s="2"/>
      <c r="E96" s="2" t="s">
        <v>17</v>
      </c>
      <c r="F96" s="50">
        <v>4288</v>
      </c>
      <c r="G96" s="2"/>
      <c r="H96" s="2" t="b">
        <f t="shared" si="2"/>
        <v>1</v>
      </c>
      <c r="I96" s="2" t="b">
        <f t="shared" si="2"/>
        <v>1</v>
      </c>
    </row>
    <row r="97" spans="2:9" ht="14.4" x14ac:dyDescent="0.3">
      <c r="B97" s="2" t="s">
        <v>18</v>
      </c>
      <c r="C97" s="50">
        <v>1299</v>
      </c>
      <c r="D97" s="2"/>
      <c r="E97" s="2" t="s">
        <v>18</v>
      </c>
      <c r="F97" s="50">
        <v>1299</v>
      </c>
      <c r="G97" s="2"/>
      <c r="H97" s="2" t="b">
        <f t="shared" si="2"/>
        <v>1</v>
      </c>
      <c r="I97" s="2" t="b">
        <f t="shared" si="2"/>
        <v>1</v>
      </c>
    </row>
    <row r="98" spans="2:9" ht="14.4" x14ac:dyDescent="0.3">
      <c r="B98" s="2" t="s">
        <v>19</v>
      </c>
      <c r="C98" s="50">
        <v>1802</v>
      </c>
      <c r="D98" s="2"/>
      <c r="E98" s="2" t="s">
        <v>19</v>
      </c>
      <c r="F98" s="50">
        <v>1802</v>
      </c>
      <c r="G98" s="2"/>
      <c r="H98" s="2" t="b">
        <f t="shared" si="2"/>
        <v>1</v>
      </c>
      <c r="I98" s="2" t="b">
        <f t="shared" si="2"/>
        <v>1</v>
      </c>
    </row>
    <row r="99" spans="2:9" ht="14.4" x14ac:dyDescent="0.3">
      <c r="B99" s="2" t="s">
        <v>22</v>
      </c>
      <c r="C99" s="50">
        <f>1271+335</f>
        <v>1606</v>
      </c>
      <c r="D99" s="2"/>
      <c r="E99" s="2" t="s">
        <v>22</v>
      </c>
      <c r="F99" s="50">
        <v>1606</v>
      </c>
      <c r="G99" s="2"/>
      <c r="H99" s="2" t="b">
        <f t="shared" si="2"/>
        <v>1</v>
      </c>
      <c r="I99" s="2" t="b">
        <f t="shared" si="2"/>
        <v>1</v>
      </c>
    </row>
    <row r="100" spans="2:9" ht="14.4" x14ac:dyDescent="0.3">
      <c r="B100" s="2" t="s">
        <v>16</v>
      </c>
      <c r="C100" s="50">
        <v>865</v>
      </c>
      <c r="D100" s="2"/>
      <c r="E100" s="2" t="s">
        <v>16</v>
      </c>
      <c r="F100" s="50">
        <v>865</v>
      </c>
      <c r="G100" s="2"/>
      <c r="H100" s="2" t="b">
        <f t="shared" si="2"/>
        <v>1</v>
      </c>
      <c r="I100" s="2" t="b">
        <f t="shared" si="2"/>
        <v>1</v>
      </c>
    </row>
    <row r="101" spans="2:9" ht="14.4" x14ac:dyDescent="0.3">
      <c r="B101" s="2" t="s">
        <v>21</v>
      </c>
      <c r="C101" s="50">
        <v>553</v>
      </c>
      <c r="D101" s="2"/>
      <c r="E101" s="2" t="s">
        <v>21</v>
      </c>
      <c r="F101" s="50">
        <v>553</v>
      </c>
      <c r="G101" s="2"/>
      <c r="H101" s="2" t="b">
        <f t="shared" si="2"/>
        <v>1</v>
      </c>
      <c r="I101" s="2" t="b">
        <f t="shared" si="2"/>
        <v>1</v>
      </c>
    </row>
    <row r="102" spans="2:9" ht="14.4" x14ac:dyDescent="0.3">
      <c r="B102" s="2" t="s">
        <v>77</v>
      </c>
      <c r="C102" s="50">
        <f>SUM(C95:C101)</f>
        <v>12215</v>
      </c>
      <c r="D102" s="2"/>
      <c r="E102" s="2" t="s">
        <v>77</v>
      </c>
      <c r="F102" s="50">
        <f>SUM(F95:F101)</f>
        <v>12215</v>
      </c>
      <c r="G102" s="2"/>
      <c r="H102" s="2" t="b">
        <f t="shared" si="2"/>
        <v>1</v>
      </c>
      <c r="I102" s="2" t="b">
        <f t="shared" si="2"/>
        <v>1</v>
      </c>
    </row>
    <row r="103" spans="2:9" ht="14.4" x14ac:dyDescent="0.3">
      <c r="B103" s="2"/>
      <c r="C103" s="2"/>
      <c r="D103" s="2"/>
      <c r="E103" s="2"/>
      <c r="F103" s="2"/>
      <c r="G103" s="2"/>
      <c r="H103" s="2"/>
      <c r="I103" s="2"/>
    </row>
    <row r="104" spans="2:9" ht="14.4" x14ac:dyDescent="0.3">
      <c r="B104" s="2"/>
      <c r="C104" s="2"/>
      <c r="D104" s="2"/>
      <c r="E104" s="4" t="s">
        <v>5</v>
      </c>
      <c r="F104" s="57">
        <f>18/18</f>
        <v>1</v>
      </c>
      <c r="G104" s="2"/>
      <c r="H104" s="2"/>
      <c r="I104" s="2"/>
    </row>
    <row r="105" spans="2:9" ht="14.4" x14ac:dyDescent="0.3">
      <c r="B105" s="2"/>
      <c r="C105" s="2"/>
      <c r="D105" s="2"/>
      <c r="E105" s="22"/>
      <c r="F105" s="21"/>
      <c r="G105" s="2"/>
      <c r="H105" s="2"/>
      <c r="I105" s="2"/>
    </row>
    <row r="106" spans="2:9" x14ac:dyDescent="0.3">
      <c r="B106" s="92" t="s">
        <v>248</v>
      </c>
    </row>
    <row r="127" spans="2:9" ht="14.4" x14ac:dyDescent="0.3">
      <c r="B127" s="7" t="s">
        <v>24</v>
      </c>
      <c r="C127" s="3"/>
      <c r="D127" s="2"/>
      <c r="E127" s="7" t="s">
        <v>1</v>
      </c>
      <c r="F127" s="2"/>
      <c r="G127" s="2"/>
      <c r="H127" s="2"/>
      <c r="I127" s="2"/>
    </row>
    <row r="128" spans="2:9" ht="14.4" x14ac:dyDescent="0.3">
      <c r="B128" s="2"/>
      <c r="C128" s="2"/>
      <c r="D128" s="2"/>
      <c r="E128" s="2"/>
      <c r="F128" s="2"/>
      <c r="G128" s="2"/>
      <c r="H128" s="2"/>
      <c r="I128" s="2"/>
    </row>
    <row r="129" spans="2:9" ht="14.4" x14ac:dyDescent="0.3">
      <c r="B129" s="1" t="s">
        <v>66</v>
      </c>
      <c r="C129" s="4" t="s">
        <v>78</v>
      </c>
      <c r="D129" s="2"/>
      <c r="E129" s="1" t="s">
        <v>66</v>
      </c>
      <c r="F129" s="4" t="s">
        <v>78</v>
      </c>
      <c r="G129" s="2"/>
      <c r="H129" s="2" t="b">
        <f>B129=E129</f>
        <v>1</v>
      </c>
      <c r="I129" s="2" t="b">
        <f>C129=F129</f>
        <v>1</v>
      </c>
    </row>
    <row r="130" spans="2:9" ht="14.4" x14ac:dyDescent="0.3">
      <c r="B130" s="2" t="s">
        <v>15</v>
      </c>
      <c r="C130" s="50">
        <v>1852</v>
      </c>
      <c r="D130" s="2"/>
      <c r="E130" s="2" t="s">
        <v>15</v>
      </c>
      <c r="F130" s="50">
        <v>1852</v>
      </c>
      <c r="G130" s="2"/>
      <c r="H130" s="2" t="b">
        <f t="shared" ref="H130:I137" si="3">B130=E130</f>
        <v>1</v>
      </c>
      <c r="I130" s="2" t="b">
        <f t="shared" si="3"/>
        <v>1</v>
      </c>
    </row>
    <row r="131" spans="2:9" ht="14.4" x14ac:dyDescent="0.3">
      <c r="B131" s="2" t="s">
        <v>17</v>
      </c>
      <c r="C131" s="50">
        <v>4199</v>
      </c>
      <c r="D131" s="2"/>
      <c r="E131" s="2" t="s">
        <v>17</v>
      </c>
      <c r="F131" s="50">
        <v>4199</v>
      </c>
      <c r="G131" s="2"/>
      <c r="H131" s="2" t="b">
        <f t="shared" si="3"/>
        <v>1</v>
      </c>
      <c r="I131" s="2" t="b">
        <f t="shared" si="3"/>
        <v>1</v>
      </c>
    </row>
    <row r="132" spans="2:9" ht="14.4" x14ac:dyDescent="0.3">
      <c r="B132" s="2" t="s">
        <v>18</v>
      </c>
      <c r="C132" s="50">
        <v>1303</v>
      </c>
      <c r="D132" s="2"/>
      <c r="E132" s="2" t="s">
        <v>18</v>
      </c>
      <c r="F132" s="50">
        <v>1303</v>
      </c>
      <c r="G132" s="2"/>
      <c r="H132" s="2" t="b">
        <f t="shared" si="3"/>
        <v>1</v>
      </c>
      <c r="I132" s="2" t="b">
        <f t="shared" si="3"/>
        <v>1</v>
      </c>
    </row>
    <row r="133" spans="2:9" ht="14.4" x14ac:dyDescent="0.3">
      <c r="B133" s="2" t="s">
        <v>19</v>
      </c>
      <c r="C133" s="50">
        <v>1791</v>
      </c>
      <c r="D133" s="2"/>
      <c r="E133" s="2" t="s">
        <v>19</v>
      </c>
      <c r="F133" s="50">
        <v>1791</v>
      </c>
      <c r="G133" s="2"/>
      <c r="H133" s="2" t="b">
        <f t="shared" si="3"/>
        <v>1</v>
      </c>
      <c r="I133" s="2" t="b">
        <f t="shared" si="3"/>
        <v>1</v>
      </c>
    </row>
    <row r="134" spans="2:9" ht="14.4" x14ac:dyDescent="0.3">
      <c r="B134" s="2" t="s">
        <v>22</v>
      </c>
      <c r="C134" s="50">
        <f>1294+303</f>
        <v>1597</v>
      </c>
      <c r="D134" s="2"/>
      <c r="E134" s="2" t="s">
        <v>22</v>
      </c>
      <c r="F134" s="50">
        <f>1294+303</f>
        <v>1597</v>
      </c>
      <c r="G134" s="2"/>
      <c r="H134" s="2" t="b">
        <f t="shared" si="3"/>
        <v>1</v>
      </c>
      <c r="I134" s="2" t="b">
        <f t="shared" si="3"/>
        <v>1</v>
      </c>
    </row>
    <row r="135" spans="2:9" ht="14.4" x14ac:dyDescent="0.3">
      <c r="B135" s="2" t="s">
        <v>16</v>
      </c>
      <c r="C135" s="50">
        <v>872</v>
      </c>
      <c r="D135" s="2"/>
      <c r="E135" s="2" t="s">
        <v>16</v>
      </c>
      <c r="F135" s="50">
        <v>872</v>
      </c>
      <c r="G135" s="2"/>
      <c r="H135" s="2" t="b">
        <f t="shared" si="3"/>
        <v>1</v>
      </c>
      <c r="I135" s="2" t="b">
        <f t="shared" si="3"/>
        <v>1</v>
      </c>
    </row>
    <row r="136" spans="2:9" ht="14.4" x14ac:dyDescent="0.3">
      <c r="B136" s="2" t="s">
        <v>21</v>
      </c>
      <c r="C136" s="50">
        <v>580</v>
      </c>
      <c r="D136" s="2"/>
      <c r="E136" s="2" t="s">
        <v>21</v>
      </c>
      <c r="F136" s="50">
        <v>580</v>
      </c>
      <c r="G136" s="2"/>
      <c r="H136" s="2" t="b">
        <f t="shared" si="3"/>
        <v>1</v>
      </c>
      <c r="I136" s="2" t="b">
        <f t="shared" si="3"/>
        <v>1</v>
      </c>
    </row>
    <row r="137" spans="2:9" ht="14.4" x14ac:dyDescent="0.3">
      <c r="B137" s="2" t="s">
        <v>77</v>
      </c>
      <c r="C137" s="50">
        <f>SUM(C130:C136)</f>
        <v>12194</v>
      </c>
      <c r="D137" s="2"/>
      <c r="E137" s="2" t="s">
        <v>77</v>
      </c>
      <c r="F137" s="50">
        <f>SUM(F130:F136)</f>
        <v>12194</v>
      </c>
      <c r="G137" s="2"/>
      <c r="H137" s="2" t="b">
        <f t="shared" si="3"/>
        <v>1</v>
      </c>
      <c r="I137" s="2" t="b">
        <f t="shared" si="3"/>
        <v>1</v>
      </c>
    </row>
    <row r="138" spans="2:9" ht="14.4" x14ac:dyDescent="0.3">
      <c r="B138" s="2"/>
      <c r="C138" s="2"/>
      <c r="D138" s="2"/>
      <c r="E138" s="2"/>
      <c r="F138" s="2"/>
      <c r="G138" s="2"/>
      <c r="H138" s="2"/>
      <c r="I138" s="2"/>
    </row>
    <row r="139" spans="2:9" ht="14.4" x14ac:dyDescent="0.3">
      <c r="B139" s="2"/>
      <c r="C139" s="2"/>
      <c r="D139" s="2"/>
      <c r="E139" s="4" t="s">
        <v>5</v>
      </c>
      <c r="F139" s="57">
        <f>18/18</f>
        <v>1</v>
      </c>
      <c r="G139" s="2"/>
      <c r="H139" s="2"/>
      <c r="I139" s="2"/>
    </row>
    <row r="140" spans="2:9" ht="14.4" x14ac:dyDescent="0.3">
      <c r="B140" s="2"/>
      <c r="C140" s="55"/>
      <c r="D140" s="2"/>
      <c r="E140" s="2"/>
      <c r="F140" s="55"/>
      <c r="G140" s="2"/>
      <c r="H140" s="2"/>
      <c r="I140" s="2"/>
    </row>
    <row r="141" spans="2:9" ht="14.4" x14ac:dyDescent="0.3">
      <c r="B141" s="2"/>
      <c r="C141" s="2"/>
      <c r="D141" s="2"/>
      <c r="E141" s="22"/>
      <c r="F141" s="21"/>
      <c r="G141" s="2"/>
      <c r="H141" s="2"/>
      <c r="I141" s="2"/>
    </row>
    <row r="175" spans="2:9" ht="14.4" x14ac:dyDescent="0.3">
      <c r="B175" s="2"/>
      <c r="C175" s="55"/>
      <c r="D175" s="2"/>
      <c r="E175" s="2"/>
      <c r="F175" s="55"/>
      <c r="G175" s="2"/>
      <c r="H175" s="2"/>
      <c r="I175" s="2"/>
    </row>
    <row r="176" spans="2:9" ht="14.4" x14ac:dyDescent="0.3">
      <c r="B176" s="5"/>
      <c r="C176" s="29"/>
      <c r="D176" s="2"/>
      <c r="E176" s="5"/>
      <c r="F176" s="29"/>
      <c r="I176"/>
    </row>
    <row r="177" spans="2:9" ht="14.4" x14ac:dyDescent="0.3">
      <c r="B177" s="5"/>
      <c r="C177" s="29"/>
      <c r="D177" s="2"/>
      <c r="E177" s="5"/>
      <c r="F177" s="96"/>
      <c r="I177"/>
    </row>
    <row r="178" spans="2:9" ht="14.4" x14ac:dyDescent="0.3">
      <c r="B178" s="5"/>
      <c r="C178" s="29"/>
      <c r="D178" s="2"/>
      <c r="E178" s="5"/>
      <c r="F178" s="97"/>
      <c r="I178"/>
    </row>
    <row r="179" spans="2:9" ht="14.4" x14ac:dyDescent="0.3">
      <c r="B179" s="5"/>
      <c r="C179" s="29"/>
      <c r="D179" s="2"/>
      <c r="E179" s="5"/>
      <c r="F179" s="29"/>
      <c r="I179"/>
    </row>
    <row r="180" spans="2:9" ht="14.4" x14ac:dyDescent="0.3">
      <c r="B180" s="5"/>
      <c r="C180" s="29"/>
      <c r="D180" s="2"/>
      <c r="E180" s="5"/>
      <c r="F180" s="29"/>
      <c r="I180"/>
    </row>
    <row r="181" spans="2:9" ht="14.4" x14ac:dyDescent="0.3">
      <c r="B181" s="5"/>
      <c r="C181" s="29"/>
      <c r="D181" s="2"/>
      <c r="E181" s="5"/>
      <c r="F181" s="29"/>
      <c r="I181"/>
    </row>
    <row r="182" spans="2:9" ht="14.4" x14ac:dyDescent="0.3">
      <c r="B182" s="5"/>
      <c r="C182" s="29"/>
      <c r="D182" s="2"/>
      <c r="E182" s="5"/>
      <c r="F182" s="29"/>
      <c r="I182"/>
    </row>
    <row r="183" spans="2:9" ht="14.4" x14ac:dyDescent="0.3">
      <c r="B183" s="5"/>
      <c r="C183" s="29"/>
      <c r="D183" s="2"/>
      <c r="E183" s="5"/>
      <c r="F183" s="29"/>
      <c r="I183"/>
    </row>
    <row r="184" spans="2:9" ht="14.4" x14ac:dyDescent="0.3">
      <c r="B184" s="2"/>
      <c r="C184" s="2"/>
      <c r="D184" s="2"/>
      <c r="E184" s="2"/>
      <c r="F184" s="2"/>
      <c r="I184"/>
    </row>
    <row r="185" spans="2:9" ht="14.4" x14ac:dyDescent="0.3">
      <c r="B185" s="2"/>
      <c r="C185" s="2"/>
      <c r="D185" s="2"/>
      <c r="E185" s="22"/>
      <c r="F185" s="21"/>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A1FD-7117-495B-816C-57D3DE325B13}">
  <dimension ref="B2:X24"/>
  <sheetViews>
    <sheetView showGridLines="0" workbookViewId="0">
      <selection activeCell="J9" sqref="J9"/>
    </sheetView>
  </sheetViews>
  <sheetFormatPr defaultRowHeight="14.4" x14ac:dyDescent="0.3"/>
  <cols>
    <col min="1" max="1" width="3.109375" customWidth="1"/>
    <col min="10" max="10" width="3.109375" customWidth="1"/>
  </cols>
  <sheetData>
    <row r="2" spans="2:24" x14ac:dyDescent="0.3">
      <c r="B2" s="10" t="s">
        <v>31</v>
      </c>
      <c r="K2" s="10" t="s">
        <v>32</v>
      </c>
    </row>
    <row r="13" spans="2:24" x14ac:dyDescent="0.3">
      <c r="B13" s="10" t="s">
        <v>33</v>
      </c>
      <c r="K13" s="10" t="s">
        <v>30</v>
      </c>
      <c r="L13" s="2"/>
      <c r="M13" s="2"/>
      <c r="N13" s="2"/>
      <c r="O13" s="2"/>
      <c r="P13" s="2"/>
    </row>
    <row r="14" spans="2:24" x14ac:dyDescent="0.3">
      <c r="B14" s="2"/>
      <c r="C14" s="2"/>
      <c r="D14" s="2"/>
      <c r="E14" s="2"/>
      <c r="F14" s="2"/>
      <c r="G14" s="2"/>
      <c r="H14" s="2"/>
      <c r="I14" s="2"/>
      <c r="J14" s="2"/>
      <c r="K14" s="2"/>
      <c r="L14" s="2"/>
      <c r="M14" s="2"/>
      <c r="N14" s="2"/>
      <c r="O14" s="2"/>
      <c r="P14" s="2"/>
      <c r="Q14" s="2"/>
      <c r="R14" s="2"/>
      <c r="S14" s="2"/>
      <c r="T14" s="2"/>
      <c r="U14" s="2"/>
      <c r="V14" s="2"/>
      <c r="W14" s="2"/>
      <c r="X14" s="2"/>
    </row>
    <row r="15" spans="2:24" x14ac:dyDescent="0.3">
      <c r="B15" s="2"/>
      <c r="C15" s="2"/>
      <c r="D15" s="2"/>
      <c r="E15" s="2"/>
      <c r="F15" s="2"/>
      <c r="G15" s="2"/>
      <c r="H15" s="2"/>
      <c r="I15" s="2"/>
      <c r="J15" s="2"/>
      <c r="K15" s="2"/>
      <c r="L15" s="2"/>
      <c r="M15" s="2"/>
      <c r="N15" s="2"/>
      <c r="O15" s="2"/>
      <c r="P15" s="2"/>
      <c r="Q15" s="2"/>
      <c r="R15" s="2"/>
      <c r="S15" s="2"/>
      <c r="T15" s="2"/>
      <c r="U15" s="2"/>
      <c r="V15" s="2"/>
      <c r="W15" s="2"/>
      <c r="X15" s="2"/>
    </row>
    <row r="16" spans="2:24" x14ac:dyDescent="0.3">
      <c r="B16" s="2"/>
      <c r="C16" s="2"/>
      <c r="D16" s="2"/>
      <c r="E16" s="2"/>
      <c r="F16" s="2"/>
      <c r="G16" s="2"/>
      <c r="H16" s="2"/>
      <c r="I16" s="2"/>
      <c r="J16" s="2"/>
      <c r="K16" s="2"/>
      <c r="L16" s="2"/>
      <c r="M16" s="2"/>
      <c r="N16" s="2"/>
      <c r="O16" s="2"/>
      <c r="P16" s="2"/>
      <c r="Q16" s="2"/>
      <c r="R16" s="2"/>
      <c r="S16" s="2"/>
      <c r="T16" s="2"/>
      <c r="U16" s="2"/>
      <c r="V16" s="2"/>
      <c r="W16" s="2"/>
      <c r="X16" s="2"/>
    </row>
    <row r="17" spans="2:24" x14ac:dyDescent="0.3">
      <c r="B17" s="2"/>
      <c r="C17" s="2"/>
      <c r="D17" s="2"/>
      <c r="E17" s="2"/>
      <c r="F17" s="2"/>
      <c r="G17" s="2"/>
      <c r="H17" s="2"/>
      <c r="I17" s="2"/>
      <c r="J17" s="2"/>
      <c r="K17" s="2"/>
      <c r="L17" s="2"/>
      <c r="M17" s="2"/>
      <c r="N17" s="2"/>
      <c r="O17" s="2"/>
      <c r="P17" s="2"/>
      <c r="Q17" s="2"/>
      <c r="R17" s="2"/>
      <c r="S17" s="2"/>
      <c r="T17" s="2"/>
      <c r="U17" s="2"/>
      <c r="V17" s="2"/>
      <c r="W17" s="2"/>
      <c r="X17" s="2"/>
    </row>
    <row r="18" spans="2:24" x14ac:dyDescent="0.3">
      <c r="B18" s="2"/>
      <c r="C18" s="2"/>
      <c r="D18" s="2"/>
      <c r="E18" s="2"/>
      <c r="F18" s="2"/>
      <c r="G18" s="2"/>
      <c r="H18" s="2"/>
      <c r="I18" s="2"/>
      <c r="J18" s="2"/>
      <c r="K18" s="2"/>
      <c r="L18" s="2"/>
      <c r="M18" s="2"/>
      <c r="N18" s="2"/>
      <c r="O18" s="2"/>
      <c r="P18" s="2"/>
      <c r="Q18" s="2"/>
      <c r="R18" s="2"/>
      <c r="S18" s="2"/>
      <c r="T18" s="2"/>
      <c r="U18" s="2"/>
      <c r="V18" s="2"/>
      <c r="W18" s="2"/>
      <c r="X18" s="2"/>
    </row>
    <row r="19" spans="2:24" x14ac:dyDescent="0.3">
      <c r="B19" s="2"/>
      <c r="C19" s="2"/>
      <c r="D19" s="2"/>
      <c r="E19" s="2"/>
      <c r="F19" s="2"/>
      <c r="G19" s="2"/>
      <c r="H19" s="2"/>
      <c r="I19" s="2"/>
      <c r="J19" s="2"/>
      <c r="K19" s="2"/>
      <c r="L19" s="2"/>
      <c r="M19" s="2"/>
      <c r="N19" s="2"/>
      <c r="O19" s="2"/>
      <c r="P19" s="2"/>
      <c r="Q19" s="2"/>
      <c r="R19" s="2"/>
      <c r="S19" s="2"/>
      <c r="T19" s="2"/>
      <c r="U19" s="2"/>
      <c r="V19" s="2"/>
      <c r="W19" s="2"/>
      <c r="X19" s="2"/>
    </row>
    <row r="20" spans="2:24" x14ac:dyDescent="0.3">
      <c r="B20" s="2"/>
      <c r="C20" s="2"/>
      <c r="D20" s="2"/>
      <c r="E20" s="2"/>
      <c r="F20" s="2"/>
      <c r="G20" s="2"/>
      <c r="H20" s="2"/>
      <c r="I20" s="2"/>
      <c r="J20" s="2"/>
      <c r="K20" s="2"/>
      <c r="L20" s="2"/>
      <c r="M20" s="2"/>
      <c r="N20" s="2"/>
      <c r="O20" s="2"/>
      <c r="P20" s="2"/>
      <c r="Q20" s="2"/>
      <c r="R20" s="2"/>
      <c r="S20" s="2"/>
      <c r="T20" s="2"/>
      <c r="U20" s="2"/>
      <c r="V20" s="2"/>
      <c r="W20" s="2"/>
      <c r="X20" s="2"/>
    </row>
    <row r="21" spans="2:24" x14ac:dyDescent="0.3">
      <c r="B21" s="2"/>
      <c r="C21" s="2"/>
      <c r="D21" s="2"/>
      <c r="E21" s="2"/>
      <c r="F21" s="2"/>
      <c r="G21" s="2"/>
      <c r="H21" s="2"/>
      <c r="I21" s="2"/>
      <c r="J21" s="2"/>
      <c r="K21" s="2"/>
      <c r="L21" s="2"/>
      <c r="M21" s="2"/>
      <c r="N21" s="2"/>
      <c r="O21" s="2"/>
      <c r="P21" s="2"/>
      <c r="Q21" s="2"/>
      <c r="R21" s="2"/>
      <c r="S21" s="2"/>
      <c r="T21" s="2"/>
      <c r="U21" s="2"/>
      <c r="V21" s="2"/>
      <c r="W21" s="2"/>
      <c r="X21" s="2"/>
    </row>
    <row r="22" spans="2:24" x14ac:dyDescent="0.3">
      <c r="B22" s="2"/>
      <c r="C22" s="2"/>
      <c r="D22" s="2"/>
      <c r="E22" s="2"/>
      <c r="F22" s="2"/>
      <c r="G22" s="2"/>
      <c r="H22" s="2"/>
      <c r="I22" s="2"/>
      <c r="J22" s="2"/>
      <c r="K22" s="2"/>
      <c r="L22" s="2"/>
      <c r="M22" s="2"/>
      <c r="N22" s="2"/>
      <c r="O22" s="2"/>
      <c r="P22" s="2"/>
      <c r="Q22" s="2"/>
      <c r="R22" s="2"/>
      <c r="S22" s="2"/>
      <c r="T22" s="2"/>
      <c r="U22" s="2"/>
      <c r="V22" s="2"/>
      <c r="W22" s="2"/>
      <c r="X22" s="2"/>
    </row>
    <row r="23" spans="2:24" x14ac:dyDescent="0.3">
      <c r="B23" s="2"/>
      <c r="C23" s="2"/>
      <c r="D23" s="2"/>
      <c r="E23" s="2"/>
      <c r="F23" s="2"/>
      <c r="G23" s="2"/>
      <c r="H23" s="2"/>
      <c r="I23" s="2"/>
      <c r="J23" s="2"/>
      <c r="K23" s="2"/>
      <c r="L23" s="2"/>
      <c r="M23" s="2"/>
      <c r="N23" s="2"/>
      <c r="O23" s="2"/>
      <c r="P23" s="2"/>
      <c r="Q23" s="2"/>
      <c r="R23" s="2"/>
      <c r="S23" s="2"/>
      <c r="T23" s="2"/>
      <c r="U23" s="2"/>
      <c r="V23" s="2"/>
      <c r="W23" s="2"/>
      <c r="X23" s="2"/>
    </row>
    <row r="24" spans="2:24" x14ac:dyDescent="0.3">
      <c r="B24" s="2"/>
      <c r="C24" s="2"/>
      <c r="D24" s="2"/>
      <c r="E24" s="2"/>
      <c r="F24" s="2"/>
      <c r="G24" s="2"/>
      <c r="H24" s="2"/>
      <c r="I24" s="2"/>
      <c r="J24" s="2"/>
      <c r="K24" s="2"/>
      <c r="L24" s="2"/>
      <c r="M24" s="2"/>
      <c r="N24" s="2"/>
      <c r="O24" s="2"/>
      <c r="P24" s="2"/>
      <c r="Q24" s="2"/>
      <c r="R24" s="2"/>
      <c r="S24" s="2"/>
      <c r="T24" s="2"/>
      <c r="U24" s="2"/>
      <c r="V24" s="2"/>
      <c r="W24" s="2"/>
      <c r="X24" s="2"/>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1054A-E755-4DFE-89C4-EDD8EAA3679A}">
  <sheetPr>
    <tabColor rgb="FF00B0F0"/>
  </sheetPr>
  <dimension ref="A1"/>
  <sheetViews>
    <sheetView workbookViewId="0">
      <selection activeCell="G38" sqref="G38"/>
    </sheetView>
  </sheetViews>
  <sheetFormatPr defaultRowHeight="14.4" x14ac:dyDescent="0.3"/>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9E25A-045D-474B-8EF4-04D9C8E2D5BF}">
  <dimension ref="A2:N73"/>
  <sheetViews>
    <sheetView showGridLines="0" workbookViewId="0">
      <selection activeCell="I31" sqref="I31"/>
    </sheetView>
  </sheetViews>
  <sheetFormatPr defaultRowHeight="13.8" x14ac:dyDescent="0.25"/>
  <cols>
    <col min="1" max="1" width="8.88671875" style="2"/>
    <col min="2" max="2" width="16.5546875" style="2" bestFit="1" customWidth="1"/>
    <col min="3" max="3" width="11.21875" style="2" bestFit="1" customWidth="1"/>
    <col min="4" max="4" width="8.88671875" style="2"/>
    <col min="5" max="5" width="15.88671875" style="2" bestFit="1" customWidth="1"/>
    <col min="6" max="6" width="11.21875" style="2" bestFit="1" customWidth="1"/>
    <col min="7" max="7" width="8.88671875" style="2"/>
    <col min="8" max="8" width="6.5546875" style="2" bestFit="1" customWidth="1"/>
    <col min="9" max="9" width="6.77734375" style="2" bestFit="1" customWidth="1"/>
    <col min="10" max="10" width="15.88671875" style="2" bestFit="1" customWidth="1"/>
    <col min="11" max="11" width="11.21875" style="2" bestFit="1" customWidth="1"/>
    <col min="12" max="12" width="4" style="2" bestFit="1" customWidth="1"/>
    <col min="13" max="13" width="8" style="2" bestFit="1" customWidth="1"/>
    <col min="14" max="14" width="7.88671875" style="2" bestFit="1" customWidth="1"/>
    <col min="15" max="16384" width="8.88671875" style="2"/>
  </cols>
  <sheetData>
    <row r="2" spans="1:14" ht="14.4" x14ac:dyDescent="0.3">
      <c r="A2" s="121" t="s">
        <v>8</v>
      </c>
      <c r="B2" s="1" t="s">
        <v>66</v>
      </c>
      <c r="C2" s="4" t="s">
        <v>78</v>
      </c>
      <c r="E2" s="1" t="s">
        <v>66</v>
      </c>
      <c r="F2" s="4" t="s">
        <v>78</v>
      </c>
      <c r="H2" s="4" t="s">
        <v>2</v>
      </c>
      <c r="I2" s="4" t="s">
        <v>6</v>
      </c>
      <c r="J2" s="4" t="s">
        <v>66</v>
      </c>
      <c r="K2" s="4" t="s">
        <v>78</v>
      </c>
      <c r="L2" s="4" t="s">
        <v>39</v>
      </c>
      <c r="M2" s="4" t="s">
        <v>79</v>
      </c>
      <c r="N2" s="4" t="s">
        <v>40</v>
      </c>
    </row>
    <row r="3" spans="1:14" x14ac:dyDescent="0.25">
      <c r="B3" s="2" t="s">
        <v>218</v>
      </c>
      <c r="C3" s="50">
        <v>5713</v>
      </c>
      <c r="E3" s="2" t="s">
        <v>17</v>
      </c>
      <c r="F3" s="73">
        <f>C3</f>
        <v>5713</v>
      </c>
      <c r="H3" s="2" t="s">
        <v>135</v>
      </c>
      <c r="I3" s="3" t="s">
        <v>8</v>
      </c>
      <c r="J3" s="50" t="s">
        <v>17</v>
      </c>
      <c r="K3" s="50">
        <f t="shared" ref="K3:K8" si="0">F3</f>
        <v>5713</v>
      </c>
      <c r="L3" s="3" t="s">
        <v>41</v>
      </c>
      <c r="M3" s="50" t="s">
        <v>42</v>
      </c>
      <c r="N3" s="3" t="s">
        <v>43</v>
      </c>
    </row>
    <row r="4" spans="1:14" x14ac:dyDescent="0.25">
      <c r="B4" s="2" t="s">
        <v>115</v>
      </c>
      <c r="C4" s="50">
        <v>3707</v>
      </c>
      <c r="E4" s="2" t="s">
        <v>15</v>
      </c>
      <c r="F4" s="73">
        <f>C4+C6</f>
        <v>6183</v>
      </c>
      <c r="H4" s="2" t="s">
        <v>135</v>
      </c>
      <c r="I4" s="3" t="s">
        <v>8</v>
      </c>
      <c r="J4" s="50" t="s">
        <v>15</v>
      </c>
      <c r="K4" s="50">
        <f t="shared" si="0"/>
        <v>6183</v>
      </c>
      <c r="L4" s="3" t="s">
        <v>41</v>
      </c>
      <c r="M4" s="50" t="s">
        <v>42</v>
      </c>
      <c r="N4" s="3" t="s">
        <v>43</v>
      </c>
    </row>
    <row r="5" spans="1:14" x14ac:dyDescent="0.25">
      <c r="B5" s="2" t="s">
        <v>231</v>
      </c>
      <c r="C5" s="50">
        <v>3604</v>
      </c>
      <c r="E5" s="2" t="s">
        <v>16</v>
      </c>
      <c r="F5" s="73">
        <f>C5</f>
        <v>3604</v>
      </c>
      <c r="H5" s="2" t="s">
        <v>135</v>
      </c>
      <c r="I5" s="3" t="s">
        <v>8</v>
      </c>
      <c r="J5" s="50" t="s">
        <v>16</v>
      </c>
      <c r="K5" s="50">
        <f t="shared" si="0"/>
        <v>3604</v>
      </c>
      <c r="L5" s="3" t="s">
        <v>41</v>
      </c>
      <c r="M5" s="50" t="s">
        <v>42</v>
      </c>
      <c r="N5" s="3" t="s">
        <v>43</v>
      </c>
    </row>
    <row r="6" spans="1:14" x14ac:dyDescent="0.25">
      <c r="B6" s="2" t="s">
        <v>134</v>
      </c>
      <c r="C6" s="50">
        <v>2476</v>
      </c>
      <c r="E6" s="2" t="s">
        <v>18</v>
      </c>
      <c r="F6" s="73">
        <f>C7</f>
        <v>1995</v>
      </c>
      <c r="H6" s="2" t="s">
        <v>135</v>
      </c>
      <c r="I6" s="3" t="s">
        <v>8</v>
      </c>
      <c r="J6" s="50" t="s">
        <v>18</v>
      </c>
      <c r="K6" s="50">
        <f t="shared" si="0"/>
        <v>1995</v>
      </c>
      <c r="L6" s="3" t="s">
        <v>41</v>
      </c>
      <c r="M6" s="50" t="s">
        <v>42</v>
      </c>
      <c r="N6" s="3" t="s">
        <v>43</v>
      </c>
    </row>
    <row r="7" spans="1:14" x14ac:dyDescent="0.25">
      <c r="B7" s="2" t="s">
        <v>18</v>
      </c>
      <c r="C7" s="50">
        <v>1995</v>
      </c>
      <c r="E7" s="2" t="s">
        <v>19</v>
      </c>
      <c r="F7" s="73">
        <f>C8</f>
        <v>876</v>
      </c>
      <c r="H7" s="2" t="s">
        <v>135</v>
      </c>
      <c r="I7" s="3" t="s">
        <v>8</v>
      </c>
      <c r="J7" s="3" t="s">
        <v>19</v>
      </c>
      <c r="K7" s="50">
        <f t="shared" si="0"/>
        <v>876</v>
      </c>
      <c r="L7" s="3" t="s">
        <v>41</v>
      </c>
      <c r="M7" s="50" t="s">
        <v>42</v>
      </c>
      <c r="N7" s="3" t="s">
        <v>43</v>
      </c>
    </row>
    <row r="8" spans="1:14" x14ac:dyDescent="0.25">
      <c r="B8" s="2" t="s">
        <v>219</v>
      </c>
      <c r="C8" s="50">
        <v>876</v>
      </c>
      <c r="E8" s="2" t="s">
        <v>22</v>
      </c>
      <c r="F8" s="73">
        <f>C9</f>
        <v>4546</v>
      </c>
      <c r="H8" s="2" t="s">
        <v>135</v>
      </c>
      <c r="I8" s="3" t="s">
        <v>8</v>
      </c>
      <c r="J8" s="50" t="s">
        <v>22</v>
      </c>
      <c r="K8" s="50">
        <f t="shared" si="0"/>
        <v>4546</v>
      </c>
      <c r="L8" s="3" t="s">
        <v>41</v>
      </c>
      <c r="M8" s="50" t="s">
        <v>42</v>
      </c>
      <c r="N8" s="3" t="s">
        <v>43</v>
      </c>
    </row>
    <row r="9" spans="1:14" x14ac:dyDescent="0.25">
      <c r="B9" s="2" t="s">
        <v>22</v>
      </c>
      <c r="C9" s="50">
        <v>4546</v>
      </c>
      <c r="E9" s="2" t="s">
        <v>77</v>
      </c>
      <c r="F9" s="73">
        <f>SUM(F3:F8)</f>
        <v>22917</v>
      </c>
      <c r="H9" s="2" t="s">
        <v>135</v>
      </c>
      <c r="I9" s="3" t="s">
        <v>8</v>
      </c>
      <c r="J9" s="50" t="s">
        <v>77</v>
      </c>
      <c r="K9" s="50">
        <f>SUM(K3:K8)</f>
        <v>22917</v>
      </c>
      <c r="L9" s="3" t="s">
        <v>41</v>
      </c>
      <c r="M9" s="50" t="s">
        <v>42</v>
      </c>
      <c r="N9" s="3" t="s">
        <v>43</v>
      </c>
    </row>
    <row r="10" spans="1:14" x14ac:dyDescent="0.25">
      <c r="B10" s="2" t="s">
        <v>77</v>
      </c>
      <c r="C10" s="50">
        <f>SUM(C3:C9)</f>
        <v>22917</v>
      </c>
    </row>
    <row r="22" spans="1:14" ht="14.4" x14ac:dyDescent="0.3">
      <c r="A22" s="121" t="s">
        <v>7</v>
      </c>
      <c r="B22" s="1" t="s">
        <v>66</v>
      </c>
      <c r="C22" s="4" t="s">
        <v>78</v>
      </c>
      <c r="D22" s="4"/>
      <c r="E22" s="1" t="s">
        <v>66</v>
      </c>
      <c r="F22" s="4" t="s">
        <v>78</v>
      </c>
      <c r="G22" s="4"/>
      <c r="H22" s="4" t="s">
        <v>2</v>
      </c>
      <c r="I22" s="4" t="s">
        <v>6</v>
      </c>
      <c r="J22" s="4" t="s">
        <v>66</v>
      </c>
      <c r="K22" s="4" t="s">
        <v>78</v>
      </c>
      <c r="L22" s="4" t="s">
        <v>39</v>
      </c>
      <c r="M22" s="4" t="s">
        <v>79</v>
      </c>
      <c r="N22" s="4" t="s">
        <v>40</v>
      </c>
    </row>
    <row r="23" spans="1:14" x14ac:dyDescent="0.25">
      <c r="B23" s="2" t="s">
        <v>17</v>
      </c>
      <c r="C23" s="50">
        <v>5715</v>
      </c>
      <c r="E23" s="2" t="s">
        <v>17</v>
      </c>
      <c r="F23" s="50">
        <v>5715</v>
      </c>
      <c r="H23" s="3" t="s">
        <v>135</v>
      </c>
      <c r="I23" s="3" t="s">
        <v>7</v>
      </c>
      <c r="J23" s="3" t="s">
        <v>17</v>
      </c>
      <c r="K23" s="50">
        <f>F23</f>
        <v>5715</v>
      </c>
      <c r="L23" s="3" t="s">
        <v>41</v>
      </c>
      <c r="M23" s="3" t="s">
        <v>42</v>
      </c>
      <c r="N23" s="3" t="s">
        <v>43</v>
      </c>
    </row>
    <row r="24" spans="1:14" x14ac:dyDescent="0.25">
      <c r="B24" s="2" t="s">
        <v>115</v>
      </c>
      <c r="C24" s="50">
        <v>3704</v>
      </c>
      <c r="E24" s="2" t="s">
        <v>15</v>
      </c>
      <c r="F24" s="50">
        <f>SUM(C24:C25)</f>
        <v>6240</v>
      </c>
      <c r="H24" s="3" t="s">
        <v>135</v>
      </c>
      <c r="I24" s="3" t="s">
        <v>7</v>
      </c>
      <c r="J24" s="3" t="s">
        <v>15</v>
      </c>
      <c r="K24" s="50">
        <f t="shared" ref="K24:K28" si="1">F24</f>
        <v>6240</v>
      </c>
      <c r="L24" s="3" t="s">
        <v>41</v>
      </c>
      <c r="M24" s="3" t="s">
        <v>42</v>
      </c>
      <c r="N24" s="3" t="s">
        <v>43</v>
      </c>
    </row>
    <row r="25" spans="1:14" x14ac:dyDescent="0.25">
      <c r="B25" s="2" t="s">
        <v>134</v>
      </c>
      <c r="C25" s="50">
        <v>2536</v>
      </c>
      <c r="E25" s="2" t="s">
        <v>16</v>
      </c>
      <c r="F25" s="50">
        <v>3544</v>
      </c>
      <c r="H25" s="3" t="s">
        <v>135</v>
      </c>
      <c r="I25" s="3" t="s">
        <v>7</v>
      </c>
      <c r="J25" s="3" t="s">
        <v>16</v>
      </c>
      <c r="K25" s="50">
        <f t="shared" si="1"/>
        <v>3544</v>
      </c>
      <c r="L25" s="3" t="s">
        <v>41</v>
      </c>
      <c r="M25" s="3" t="s">
        <v>42</v>
      </c>
      <c r="N25" s="3" t="s">
        <v>43</v>
      </c>
    </row>
    <row r="26" spans="1:14" x14ac:dyDescent="0.25">
      <c r="B26" s="2" t="s">
        <v>16</v>
      </c>
      <c r="C26" s="50">
        <v>3544</v>
      </c>
      <c r="E26" s="2" t="s">
        <v>18</v>
      </c>
      <c r="F26" s="50">
        <v>1959</v>
      </c>
      <c r="H26" s="3" t="s">
        <v>135</v>
      </c>
      <c r="I26" s="3" t="s">
        <v>7</v>
      </c>
      <c r="J26" s="3" t="s">
        <v>18</v>
      </c>
      <c r="K26" s="50">
        <f t="shared" si="1"/>
        <v>1959</v>
      </c>
      <c r="L26" s="3" t="s">
        <v>41</v>
      </c>
      <c r="M26" s="3" t="s">
        <v>42</v>
      </c>
      <c r="N26" s="3" t="s">
        <v>43</v>
      </c>
    </row>
    <row r="27" spans="1:14" x14ac:dyDescent="0.25">
      <c r="B27" s="2" t="s">
        <v>18</v>
      </c>
      <c r="C27" s="50">
        <v>1959</v>
      </c>
      <c r="E27" s="2" t="s">
        <v>19</v>
      </c>
      <c r="F27" s="50">
        <v>860</v>
      </c>
      <c r="H27" s="3" t="s">
        <v>135</v>
      </c>
      <c r="I27" s="3" t="s">
        <v>7</v>
      </c>
      <c r="J27" s="3" t="s">
        <v>19</v>
      </c>
      <c r="K27" s="50">
        <f t="shared" si="1"/>
        <v>860</v>
      </c>
      <c r="L27" s="3" t="s">
        <v>41</v>
      </c>
      <c r="M27" s="3" t="s">
        <v>42</v>
      </c>
      <c r="N27" s="3" t="s">
        <v>43</v>
      </c>
    </row>
    <row r="28" spans="1:14" x14ac:dyDescent="0.25">
      <c r="B28" s="2" t="s">
        <v>19</v>
      </c>
      <c r="C28" s="50">
        <v>860</v>
      </c>
      <c r="E28" s="2" t="s">
        <v>22</v>
      </c>
      <c r="F28" s="50">
        <v>4371</v>
      </c>
      <c r="H28" s="3" t="s">
        <v>135</v>
      </c>
      <c r="I28" s="3" t="s">
        <v>7</v>
      </c>
      <c r="J28" s="3" t="s">
        <v>22</v>
      </c>
      <c r="K28" s="50">
        <f t="shared" si="1"/>
        <v>4371</v>
      </c>
      <c r="L28" s="3" t="s">
        <v>41</v>
      </c>
      <c r="M28" s="3" t="s">
        <v>42</v>
      </c>
      <c r="N28" s="3" t="s">
        <v>43</v>
      </c>
    </row>
    <row r="29" spans="1:14" x14ac:dyDescent="0.25">
      <c r="B29" s="2" t="s">
        <v>22</v>
      </c>
      <c r="C29" s="50">
        <v>4371</v>
      </c>
      <c r="E29" s="2" t="s">
        <v>77</v>
      </c>
      <c r="F29" s="50">
        <v>22689</v>
      </c>
      <c r="H29" s="3" t="s">
        <v>135</v>
      </c>
      <c r="I29" s="3" t="s">
        <v>7</v>
      </c>
      <c r="J29" s="3" t="s">
        <v>77</v>
      </c>
      <c r="K29" s="50">
        <f>SUM(K23:K28)</f>
        <v>22689</v>
      </c>
      <c r="L29" s="3" t="s">
        <v>41</v>
      </c>
      <c r="M29" s="3" t="s">
        <v>42</v>
      </c>
      <c r="N29" s="3" t="s">
        <v>43</v>
      </c>
    </row>
    <row r="30" spans="1:14" x14ac:dyDescent="0.25">
      <c r="B30" s="2" t="s">
        <v>77</v>
      </c>
      <c r="C30" s="50">
        <f>SUM(C23:C29)</f>
        <v>22689</v>
      </c>
    </row>
    <row r="43" spans="1:14" ht="14.4" x14ac:dyDescent="0.3">
      <c r="A43" s="121" t="s">
        <v>9</v>
      </c>
      <c r="B43" s="1" t="s">
        <v>66</v>
      </c>
      <c r="C43" s="4" t="s">
        <v>78</v>
      </c>
      <c r="E43" s="1" t="s">
        <v>66</v>
      </c>
      <c r="F43" s="4" t="s">
        <v>78</v>
      </c>
      <c r="H43" s="4" t="s">
        <v>2</v>
      </c>
      <c r="I43" s="4" t="s">
        <v>6</v>
      </c>
      <c r="J43" s="4" t="s">
        <v>66</v>
      </c>
      <c r="K43" s="4" t="s">
        <v>78</v>
      </c>
      <c r="L43" s="4" t="s">
        <v>39</v>
      </c>
      <c r="M43" s="4" t="s">
        <v>79</v>
      </c>
      <c r="N43" s="4" t="s">
        <v>40</v>
      </c>
    </row>
    <row r="44" spans="1:14" x14ac:dyDescent="0.25">
      <c r="B44" s="2" t="s">
        <v>218</v>
      </c>
      <c r="C44" s="50">
        <v>5538</v>
      </c>
      <c r="E44" s="2" t="s">
        <v>17</v>
      </c>
      <c r="F44" s="73">
        <f>C44</f>
        <v>5538</v>
      </c>
      <c r="H44" s="3" t="s">
        <v>135</v>
      </c>
      <c r="I44" s="3" t="s">
        <v>7</v>
      </c>
      <c r="J44" s="3" t="s">
        <v>17</v>
      </c>
      <c r="K44" s="50">
        <f>F44</f>
        <v>5538</v>
      </c>
      <c r="L44" s="3" t="s">
        <v>41</v>
      </c>
      <c r="M44" s="3" t="s">
        <v>42</v>
      </c>
      <c r="N44" s="3" t="s">
        <v>43</v>
      </c>
    </row>
    <row r="45" spans="1:14" x14ac:dyDescent="0.25">
      <c r="B45" s="2" t="s">
        <v>115</v>
      </c>
      <c r="C45" s="50">
        <v>3598</v>
      </c>
      <c r="E45" s="2" t="s">
        <v>15</v>
      </c>
      <c r="F45" s="73">
        <f>C45+C47</f>
        <v>6281</v>
      </c>
      <c r="H45" s="3" t="s">
        <v>135</v>
      </c>
      <c r="I45" s="3" t="s">
        <v>7</v>
      </c>
      <c r="J45" s="3" t="s">
        <v>15</v>
      </c>
      <c r="K45" s="50">
        <f t="shared" ref="K45:K49" si="2">F45</f>
        <v>6281</v>
      </c>
      <c r="L45" s="3" t="s">
        <v>41</v>
      </c>
      <c r="M45" s="3" t="s">
        <v>42</v>
      </c>
      <c r="N45" s="3" t="s">
        <v>43</v>
      </c>
    </row>
    <row r="46" spans="1:14" x14ac:dyDescent="0.25">
      <c r="B46" s="2" t="s">
        <v>204</v>
      </c>
      <c r="C46" s="50">
        <v>3296</v>
      </c>
      <c r="E46" s="2" t="s">
        <v>16</v>
      </c>
      <c r="F46" s="73">
        <f>C46</f>
        <v>3296</v>
      </c>
      <c r="H46" s="3" t="s">
        <v>135</v>
      </c>
      <c r="I46" s="3" t="s">
        <v>7</v>
      </c>
      <c r="J46" s="3" t="s">
        <v>16</v>
      </c>
      <c r="K46" s="50">
        <f t="shared" si="2"/>
        <v>3296</v>
      </c>
      <c r="L46" s="3" t="s">
        <v>41</v>
      </c>
      <c r="M46" s="3" t="s">
        <v>42</v>
      </c>
      <c r="N46" s="3" t="s">
        <v>43</v>
      </c>
    </row>
    <row r="47" spans="1:14" x14ac:dyDescent="0.25">
      <c r="B47" s="2" t="s">
        <v>134</v>
      </c>
      <c r="C47" s="50">
        <v>2683</v>
      </c>
      <c r="E47" s="2" t="s">
        <v>18</v>
      </c>
      <c r="F47" s="73">
        <f>C48</f>
        <v>1949</v>
      </c>
      <c r="H47" s="3" t="s">
        <v>135</v>
      </c>
      <c r="I47" s="3" t="s">
        <v>7</v>
      </c>
      <c r="J47" s="3" t="s">
        <v>18</v>
      </c>
      <c r="K47" s="50">
        <f t="shared" si="2"/>
        <v>1949</v>
      </c>
      <c r="L47" s="3" t="s">
        <v>41</v>
      </c>
      <c r="M47" s="3" t="s">
        <v>42</v>
      </c>
      <c r="N47" s="3" t="s">
        <v>43</v>
      </c>
    </row>
    <row r="48" spans="1:14" x14ac:dyDescent="0.25">
      <c r="B48" s="2" t="s">
        <v>18</v>
      </c>
      <c r="C48" s="50">
        <v>1949</v>
      </c>
      <c r="E48" s="2" t="s">
        <v>19</v>
      </c>
      <c r="F48" s="73">
        <f>C49</f>
        <v>778</v>
      </c>
      <c r="H48" s="3" t="s">
        <v>135</v>
      </c>
      <c r="I48" s="3" t="s">
        <v>7</v>
      </c>
      <c r="J48" s="3" t="s">
        <v>19</v>
      </c>
      <c r="K48" s="50">
        <f t="shared" si="2"/>
        <v>778</v>
      </c>
      <c r="L48" s="3" t="s">
        <v>41</v>
      </c>
      <c r="M48" s="3" t="s">
        <v>42</v>
      </c>
      <c r="N48" s="3" t="s">
        <v>43</v>
      </c>
    </row>
    <row r="49" spans="2:14" x14ac:dyDescent="0.25">
      <c r="B49" s="2" t="s">
        <v>232</v>
      </c>
      <c r="C49" s="50">
        <v>778</v>
      </c>
      <c r="E49" s="2" t="s">
        <v>22</v>
      </c>
      <c r="F49" s="73">
        <f>C50</f>
        <v>3974</v>
      </c>
      <c r="H49" s="3" t="s">
        <v>135</v>
      </c>
      <c r="I49" s="3" t="s">
        <v>7</v>
      </c>
      <c r="J49" s="3" t="s">
        <v>22</v>
      </c>
      <c r="K49" s="50">
        <f t="shared" si="2"/>
        <v>3974</v>
      </c>
      <c r="L49" s="3" t="s">
        <v>41</v>
      </c>
      <c r="M49" s="3" t="s">
        <v>42</v>
      </c>
      <c r="N49" s="3" t="s">
        <v>43</v>
      </c>
    </row>
    <row r="50" spans="2:14" x14ac:dyDescent="0.25">
      <c r="B50" s="2" t="s">
        <v>22</v>
      </c>
      <c r="C50" s="50">
        <v>3974</v>
      </c>
      <c r="E50" s="2" t="s">
        <v>77</v>
      </c>
      <c r="F50" s="73">
        <f>SUM(F44:F49)</f>
        <v>21816</v>
      </c>
      <c r="H50" s="3" t="s">
        <v>135</v>
      </c>
      <c r="I50" s="3" t="s">
        <v>7</v>
      </c>
      <c r="J50" s="3" t="s">
        <v>77</v>
      </c>
      <c r="K50" s="50">
        <f>SUM(K44:K49)</f>
        <v>21816</v>
      </c>
      <c r="L50" s="3" t="s">
        <v>41</v>
      </c>
      <c r="M50" s="3" t="s">
        <v>42</v>
      </c>
      <c r="N50" s="3" t="s">
        <v>43</v>
      </c>
    </row>
    <row r="51" spans="2:14" x14ac:dyDescent="0.25">
      <c r="B51" s="2" t="s">
        <v>77</v>
      </c>
      <c r="C51" s="50">
        <f>SUM(C44:C50)</f>
        <v>21816</v>
      </c>
    </row>
    <row r="65" spans="1:14" ht="14.4" x14ac:dyDescent="0.3">
      <c r="A65" s="121" t="s">
        <v>10</v>
      </c>
      <c r="B65" s="1" t="s">
        <v>66</v>
      </c>
      <c r="C65" s="4" t="s">
        <v>78</v>
      </c>
      <c r="E65" s="1" t="s">
        <v>66</v>
      </c>
      <c r="F65" s="4" t="s">
        <v>78</v>
      </c>
      <c r="H65" s="4" t="s">
        <v>2</v>
      </c>
      <c r="I65" s="4" t="s">
        <v>6</v>
      </c>
      <c r="J65" s="4" t="s">
        <v>66</v>
      </c>
      <c r="K65" s="4" t="s">
        <v>78</v>
      </c>
      <c r="L65" s="4" t="s">
        <v>39</v>
      </c>
      <c r="M65" s="4" t="s">
        <v>79</v>
      </c>
      <c r="N65" s="4" t="s">
        <v>40</v>
      </c>
    </row>
    <row r="66" spans="1:14" x14ac:dyDescent="0.25">
      <c r="B66" s="2" t="s">
        <v>218</v>
      </c>
      <c r="C66" s="50">
        <v>5341</v>
      </c>
      <c r="E66" s="2" t="s">
        <v>17</v>
      </c>
      <c r="F66" s="73">
        <f>C66</f>
        <v>5341</v>
      </c>
      <c r="H66" s="3" t="s">
        <v>135</v>
      </c>
      <c r="I66" s="3" t="s">
        <v>10</v>
      </c>
      <c r="J66" s="50" t="s">
        <v>17</v>
      </c>
      <c r="K66" s="50">
        <f t="shared" ref="K66:K71" si="3">F66</f>
        <v>5341</v>
      </c>
      <c r="L66" s="3" t="s">
        <v>41</v>
      </c>
      <c r="M66" s="50" t="s">
        <v>42</v>
      </c>
      <c r="N66" s="3" t="s">
        <v>43</v>
      </c>
    </row>
    <row r="67" spans="1:14" x14ac:dyDescent="0.25">
      <c r="B67" s="2" t="s">
        <v>115</v>
      </c>
      <c r="C67" s="50">
        <v>3443</v>
      </c>
      <c r="E67" s="2" t="s">
        <v>15</v>
      </c>
      <c r="F67" s="73">
        <f>SUM(C67:C68)</f>
        <v>6195</v>
      </c>
      <c r="H67" s="3" t="s">
        <v>135</v>
      </c>
      <c r="I67" s="3" t="s">
        <v>10</v>
      </c>
      <c r="J67" s="50" t="s">
        <v>15</v>
      </c>
      <c r="K67" s="50">
        <f t="shared" si="3"/>
        <v>6195</v>
      </c>
      <c r="L67" s="3" t="s">
        <v>41</v>
      </c>
      <c r="M67" s="50" t="s">
        <v>42</v>
      </c>
      <c r="N67" s="3" t="s">
        <v>43</v>
      </c>
    </row>
    <row r="68" spans="1:14" x14ac:dyDescent="0.25">
      <c r="B68" s="2" t="s">
        <v>134</v>
      </c>
      <c r="C68" s="50">
        <v>2752</v>
      </c>
      <c r="E68" s="2" t="s">
        <v>16</v>
      </c>
      <c r="F68" s="73">
        <f>C69</f>
        <v>3121</v>
      </c>
      <c r="H68" s="3" t="s">
        <v>135</v>
      </c>
      <c r="I68" s="3" t="s">
        <v>10</v>
      </c>
      <c r="J68" s="50" t="s">
        <v>16</v>
      </c>
      <c r="K68" s="50">
        <f t="shared" si="3"/>
        <v>3121</v>
      </c>
      <c r="L68" s="3" t="s">
        <v>41</v>
      </c>
      <c r="M68" s="50" t="s">
        <v>42</v>
      </c>
      <c r="N68" s="3" t="s">
        <v>43</v>
      </c>
    </row>
    <row r="69" spans="1:14" x14ac:dyDescent="0.25">
      <c r="B69" s="2" t="s">
        <v>204</v>
      </c>
      <c r="C69" s="50">
        <v>3121</v>
      </c>
      <c r="E69" s="2" t="s">
        <v>18</v>
      </c>
      <c r="F69" s="73">
        <f>C70</f>
        <v>1955</v>
      </c>
      <c r="H69" s="3" t="s">
        <v>135</v>
      </c>
      <c r="I69" s="3" t="s">
        <v>10</v>
      </c>
      <c r="J69" s="50" t="s">
        <v>18</v>
      </c>
      <c r="K69" s="50">
        <f t="shared" si="3"/>
        <v>1955</v>
      </c>
      <c r="L69" s="3" t="s">
        <v>41</v>
      </c>
      <c r="M69" s="50" t="s">
        <v>42</v>
      </c>
      <c r="N69" s="3" t="s">
        <v>43</v>
      </c>
    </row>
    <row r="70" spans="1:14" x14ac:dyDescent="0.25">
      <c r="B70" s="2" t="s">
        <v>18</v>
      </c>
      <c r="C70" s="50">
        <v>1955</v>
      </c>
      <c r="E70" s="2" t="s">
        <v>19</v>
      </c>
      <c r="F70" s="73">
        <f>C71</f>
        <v>818</v>
      </c>
      <c r="H70" s="3" t="s">
        <v>135</v>
      </c>
      <c r="I70" s="3" t="s">
        <v>10</v>
      </c>
      <c r="J70" s="3" t="s">
        <v>19</v>
      </c>
      <c r="K70" s="50">
        <f t="shared" si="3"/>
        <v>818</v>
      </c>
      <c r="L70" s="3" t="s">
        <v>41</v>
      </c>
      <c r="M70" s="50" t="s">
        <v>42</v>
      </c>
      <c r="N70" s="3" t="s">
        <v>43</v>
      </c>
    </row>
    <row r="71" spans="1:14" x14ac:dyDescent="0.25">
      <c r="B71" s="2" t="s">
        <v>219</v>
      </c>
      <c r="C71" s="50">
        <v>818</v>
      </c>
      <c r="E71" s="2" t="s">
        <v>22</v>
      </c>
      <c r="F71" s="73">
        <f>C72</f>
        <v>3706</v>
      </c>
      <c r="H71" s="3" t="s">
        <v>135</v>
      </c>
      <c r="I71" s="3" t="s">
        <v>10</v>
      </c>
      <c r="J71" s="50" t="s">
        <v>22</v>
      </c>
      <c r="K71" s="50">
        <f t="shared" si="3"/>
        <v>3706</v>
      </c>
      <c r="L71" s="3" t="s">
        <v>41</v>
      </c>
      <c r="M71" s="50" t="s">
        <v>42</v>
      </c>
      <c r="N71" s="3" t="s">
        <v>43</v>
      </c>
    </row>
    <row r="72" spans="1:14" x14ac:dyDescent="0.25">
      <c r="B72" s="2" t="s">
        <v>22</v>
      </c>
      <c r="C72" s="50">
        <v>3706</v>
      </c>
      <c r="E72" s="2" t="s">
        <v>77</v>
      </c>
      <c r="F72" s="73">
        <f>SUM(F66:F71)</f>
        <v>21136</v>
      </c>
      <c r="H72" s="3" t="s">
        <v>135</v>
      </c>
      <c r="I72" s="3" t="s">
        <v>10</v>
      </c>
      <c r="J72" s="50" t="s">
        <v>77</v>
      </c>
      <c r="K72" s="50">
        <f>SUM(K66:K71)</f>
        <v>21136</v>
      </c>
      <c r="L72" s="3" t="s">
        <v>41</v>
      </c>
      <c r="M72" s="50" t="s">
        <v>42</v>
      </c>
      <c r="N72" s="3" t="s">
        <v>43</v>
      </c>
    </row>
    <row r="73" spans="1:14" x14ac:dyDescent="0.25">
      <c r="B73" s="2" t="s">
        <v>77</v>
      </c>
      <c r="C73" s="50">
        <f>SUM(C66:C72)</f>
        <v>21136</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C458-6B4F-45B5-B462-F47B1F4DCD5B}">
  <dimension ref="B2:I99"/>
  <sheetViews>
    <sheetView showGridLines="0" workbookViewId="0">
      <selection activeCell="T15" sqref="T15"/>
    </sheetView>
  </sheetViews>
  <sheetFormatPr defaultRowHeight="13.8" x14ac:dyDescent="0.3"/>
  <cols>
    <col min="1" max="1" width="4.21875" style="89" customWidth="1"/>
    <col min="2" max="2" width="15.88671875" style="89" bestFit="1" customWidth="1"/>
    <col min="3" max="3" width="11.21875" style="89" bestFit="1" customWidth="1"/>
    <col min="4" max="4" width="8.88671875" style="89"/>
    <col min="5" max="5" width="15.88671875" style="89" bestFit="1" customWidth="1"/>
    <col min="6" max="6" width="11.21875" style="89" bestFit="1" customWidth="1"/>
    <col min="7" max="16384" width="8.88671875" style="89"/>
  </cols>
  <sheetData>
    <row r="2" spans="2:9" x14ac:dyDescent="0.3">
      <c r="B2" s="92" t="s">
        <v>246</v>
      </c>
    </row>
    <row r="14" spans="2:9" ht="14.4" x14ac:dyDescent="0.3">
      <c r="B14" s="7" t="s">
        <v>24</v>
      </c>
      <c r="C14" s="3">
        <v>1000</v>
      </c>
      <c r="D14" s="2"/>
      <c r="E14" s="7" t="s">
        <v>1</v>
      </c>
      <c r="F14" s="2"/>
      <c r="G14" s="2"/>
      <c r="H14" s="2"/>
      <c r="I14" s="2"/>
    </row>
    <row r="15" spans="2:9" ht="14.4" x14ac:dyDescent="0.3">
      <c r="B15" s="2"/>
      <c r="C15" s="2"/>
      <c r="D15" s="2"/>
      <c r="E15" s="2"/>
      <c r="F15" s="2"/>
      <c r="G15" s="2"/>
      <c r="H15" s="2"/>
      <c r="I15" s="2"/>
    </row>
    <row r="16" spans="2:9" ht="14.4" x14ac:dyDescent="0.3">
      <c r="B16" s="1" t="s">
        <v>66</v>
      </c>
      <c r="C16" s="4" t="s">
        <v>78</v>
      </c>
      <c r="D16" s="2"/>
      <c r="E16" s="1" t="s">
        <v>66</v>
      </c>
      <c r="F16" s="4" t="s">
        <v>78</v>
      </c>
      <c r="G16" s="2"/>
      <c r="H16" s="89" t="b">
        <f>B16=E16</f>
        <v>1</v>
      </c>
      <c r="I16" s="89" t="b">
        <f>C16=F16</f>
        <v>1</v>
      </c>
    </row>
    <row r="17" spans="2:9" ht="14.4" x14ac:dyDescent="0.3">
      <c r="B17" s="2" t="s">
        <v>17</v>
      </c>
      <c r="C17" s="55">
        <v>5.7</v>
      </c>
      <c r="D17" s="2"/>
      <c r="E17" s="2" t="s">
        <v>17</v>
      </c>
      <c r="F17" s="55">
        <v>5.7</v>
      </c>
      <c r="G17" s="2"/>
      <c r="H17" s="89" t="b">
        <f t="shared" ref="H17:H22" si="0">B17=E17</f>
        <v>1</v>
      </c>
      <c r="I17" s="89" t="b">
        <f t="shared" ref="I17:I22" si="1">C17=F17</f>
        <v>1</v>
      </c>
    </row>
    <row r="18" spans="2:9" ht="14.4" x14ac:dyDescent="0.3">
      <c r="B18" s="2" t="s">
        <v>15</v>
      </c>
      <c r="C18" s="55">
        <f>3.7+2.5</f>
        <v>6.2</v>
      </c>
      <c r="D18" s="2"/>
      <c r="E18" s="2" t="s">
        <v>15</v>
      </c>
      <c r="F18" s="55">
        <v>6.2</v>
      </c>
      <c r="G18" s="2"/>
      <c r="H18" s="89" t="b">
        <f t="shared" si="0"/>
        <v>1</v>
      </c>
      <c r="I18" s="89" t="b">
        <f t="shared" si="1"/>
        <v>1</v>
      </c>
    </row>
    <row r="19" spans="2:9" ht="14.4" x14ac:dyDescent="0.3">
      <c r="B19" s="2" t="s">
        <v>16</v>
      </c>
      <c r="C19" s="55">
        <v>3.6</v>
      </c>
      <c r="D19" s="2"/>
      <c r="E19" s="2" t="s">
        <v>16</v>
      </c>
      <c r="F19" s="55">
        <v>3.6</v>
      </c>
      <c r="G19" s="2"/>
      <c r="H19" s="89" t="b">
        <f t="shared" si="0"/>
        <v>1</v>
      </c>
      <c r="I19" s="89" t="b">
        <f t="shared" si="1"/>
        <v>1</v>
      </c>
    </row>
    <row r="20" spans="2:9" ht="14.4" x14ac:dyDescent="0.3">
      <c r="B20" s="2" t="s">
        <v>18</v>
      </c>
      <c r="C20" s="55">
        <v>2</v>
      </c>
      <c r="D20" s="2"/>
      <c r="E20" s="2" t="s">
        <v>18</v>
      </c>
      <c r="F20" s="55">
        <v>2</v>
      </c>
      <c r="G20" s="2"/>
      <c r="H20" s="89" t="b">
        <f t="shared" si="0"/>
        <v>1</v>
      </c>
      <c r="I20" s="89" t="b">
        <f t="shared" si="1"/>
        <v>1</v>
      </c>
    </row>
    <row r="21" spans="2:9" ht="14.4" x14ac:dyDescent="0.3">
      <c r="B21" s="2" t="s">
        <v>19</v>
      </c>
      <c r="C21" s="55">
        <v>0.9</v>
      </c>
      <c r="D21" s="2"/>
      <c r="E21" s="2" t="s">
        <v>19</v>
      </c>
      <c r="F21" s="55">
        <v>0.9</v>
      </c>
      <c r="H21" s="89" t="b">
        <f t="shared" si="0"/>
        <v>1</v>
      </c>
      <c r="I21" s="89" t="b">
        <f t="shared" si="1"/>
        <v>1</v>
      </c>
    </row>
    <row r="22" spans="2:9" ht="14.4" x14ac:dyDescent="0.3">
      <c r="B22" s="2" t="s">
        <v>22</v>
      </c>
      <c r="C22" s="55">
        <v>4.5</v>
      </c>
      <c r="D22" s="2"/>
      <c r="E22" s="2" t="s">
        <v>22</v>
      </c>
      <c r="F22" s="55">
        <v>4.5</v>
      </c>
      <c r="H22" s="89" t="b">
        <f t="shared" si="0"/>
        <v>1</v>
      </c>
      <c r="I22" s="89" t="b">
        <f t="shared" si="1"/>
        <v>1</v>
      </c>
    </row>
    <row r="23" spans="2:9" ht="14.4" x14ac:dyDescent="0.3">
      <c r="B23" s="2" t="s">
        <v>77</v>
      </c>
      <c r="C23" s="55">
        <f>SUM(C17:C22)</f>
        <v>22.9</v>
      </c>
      <c r="D23" s="2"/>
      <c r="E23" s="2" t="s">
        <v>77</v>
      </c>
      <c r="F23" s="55">
        <f>SUM(F17:F22)</f>
        <v>22.9</v>
      </c>
    </row>
    <row r="24" spans="2:9" ht="14.4" x14ac:dyDescent="0.3">
      <c r="B24" s="2"/>
      <c r="C24" s="55"/>
      <c r="D24" s="2"/>
      <c r="E24" s="2"/>
      <c r="F24" s="55"/>
    </row>
    <row r="25" spans="2:9" ht="14.4" x14ac:dyDescent="0.3">
      <c r="B25" s="2"/>
      <c r="C25" s="55"/>
      <c r="D25" s="2"/>
      <c r="E25" s="6" t="s">
        <v>5</v>
      </c>
      <c r="F25" s="14">
        <f>18/18</f>
        <v>1</v>
      </c>
    </row>
    <row r="27" spans="2:9" x14ac:dyDescent="0.3">
      <c r="B27" s="92" t="s">
        <v>243</v>
      </c>
    </row>
    <row r="38" spans="2:9" x14ac:dyDescent="0.3">
      <c r="B38" s="93" t="s">
        <v>24</v>
      </c>
      <c r="C38" s="93"/>
      <c r="D38" s="93"/>
      <c r="E38" s="93" t="s">
        <v>1</v>
      </c>
    </row>
    <row r="40" spans="2:9" ht="14.4" x14ac:dyDescent="0.3">
      <c r="B40" s="1" t="s">
        <v>66</v>
      </c>
      <c r="C40" s="4" t="s">
        <v>78</v>
      </c>
      <c r="D40" s="2"/>
      <c r="E40" s="1" t="s">
        <v>66</v>
      </c>
      <c r="F40" s="4" t="s">
        <v>78</v>
      </c>
      <c r="H40" s="89" t="b">
        <f>B40=E40</f>
        <v>1</v>
      </c>
      <c r="I40" s="89" t="b">
        <f>C40=F40</f>
        <v>1</v>
      </c>
    </row>
    <row r="41" spans="2:9" ht="14.4" x14ac:dyDescent="0.3">
      <c r="B41" s="2" t="s">
        <v>17</v>
      </c>
      <c r="C41" s="55">
        <v>5.7</v>
      </c>
      <c r="D41" s="2"/>
      <c r="E41" s="2" t="s">
        <v>17</v>
      </c>
      <c r="F41" s="55">
        <v>5.7</v>
      </c>
      <c r="H41" s="89" t="b">
        <f t="shared" ref="H41:H47" si="2">B41=E41</f>
        <v>1</v>
      </c>
      <c r="I41" s="89" t="b">
        <f t="shared" ref="I41:I47" si="3">C41=F41</f>
        <v>1</v>
      </c>
    </row>
    <row r="42" spans="2:9" ht="14.4" x14ac:dyDescent="0.3">
      <c r="B42" s="2" t="s">
        <v>15</v>
      </c>
      <c r="C42" s="55">
        <f>3.7+2.5</f>
        <v>6.2</v>
      </c>
      <c r="D42" s="2"/>
      <c r="E42" s="2" t="s">
        <v>15</v>
      </c>
      <c r="F42" s="55">
        <v>6.2</v>
      </c>
      <c r="H42" s="89" t="b">
        <f t="shared" si="2"/>
        <v>1</v>
      </c>
      <c r="I42" s="89" t="b">
        <f t="shared" si="3"/>
        <v>1</v>
      </c>
    </row>
    <row r="43" spans="2:9" ht="14.4" x14ac:dyDescent="0.3">
      <c r="B43" s="2" t="s">
        <v>16</v>
      </c>
      <c r="C43" s="55">
        <v>3.5</v>
      </c>
      <c r="D43" s="2"/>
      <c r="E43" s="2" t="s">
        <v>16</v>
      </c>
      <c r="F43" s="55">
        <v>3.5</v>
      </c>
      <c r="H43" s="89" t="b">
        <f t="shared" si="2"/>
        <v>1</v>
      </c>
      <c r="I43" s="89" t="b">
        <f t="shared" si="3"/>
        <v>1</v>
      </c>
    </row>
    <row r="44" spans="2:9" ht="14.4" x14ac:dyDescent="0.3">
      <c r="B44" s="2" t="s">
        <v>18</v>
      </c>
      <c r="C44" s="55">
        <v>2</v>
      </c>
      <c r="D44" s="2"/>
      <c r="E44" s="2" t="s">
        <v>18</v>
      </c>
      <c r="F44" s="55">
        <v>2</v>
      </c>
      <c r="H44" s="89" t="b">
        <f t="shared" si="2"/>
        <v>1</v>
      </c>
      <c r="I44" s="89" t="b">
        <f t="shared" si="3"/>
        <v>1</v>
      </c>
    </row>
    <row r="45" spans="2:9" ht="14.4" x14ac:dyDescent="0.3">
      <c r="B45" s="2" t="s">
        <v>19</v>
      </c>
      <c r="C45" s="55">
        <v>0.9</v>
      </c>
      <c r="D45" s="2"/>
      <c r="E45" s="2" t="s">
        <v>19</v>
      </c>
      <c r="F45" s="55">
        <v>0.9</v>
      </c>
      <c r="H45" s="89" t="b">
        <f t="shared" si="2"/>
        <v>1</v>
      </c>
      <c r="I45" s="89" t="b">
        <f t="shared" si="3"/>
        <v>1</v>
      </c>
    </row>
    <row r="46" spans="2:9" ht="14.4" x14ac:dyDescent="0.3">
      <c r="B46" s="2" t="s">
        <v>22</v>
      </c>
      <c r="C46" s="55">
        <v>4.4000000000000004</v>
      </c>
      <c r="D46" s="2"/>
      <c r="E46" s="2" t="s">
        <v>22</v>
      </c>
      <c r="F46" s="55">
        <v>4.4000000000000004</v>
      </c>
      <c r="H46" s="89" t="b">
        <f t="shared" si="2"/>
        <v>1</v>
      </c>
      <c r="I46" s="89" t="b">
        <f t="shared" si="3"/>
        <v>1</v>
      </c>
    </row>
    <row r="47" spans="2:9" ht="14.4" x14ac:dyDescent="0.3">
      <c r="B47" s="2" t="s">
        <v>77</v>
      </c>
      <c r="C47" s="55">
        <v>22.7</v>
      </c>
      <c r="D47" s="2"/>
      <c r="E47" s="2" t="s">
        <v>77</v>
      </c>
      <c r="F47" s="55">
        <f>SUM(F41:F46)</f>
        <v>22.699999999999996</v>
      </c>
      <c r="H47" s="89" t="b">
        <f t="shared" si="2"/>
        <v>1</v>
      </c>
      <c r="I47" s="89" t="b">
        <f t="shared" si="3"/>
        <v>1</v>
      </c>
    </row>
    <row r="48" spans="2:9" ht="14.4" x14ac:dyDescent="0.3">
      <c r="B48" s="2"/>
      <c r="C48" s="55"/>
      <c r="D48" s="2"/>
      <c r="E48" s="2"/>
      <c r="F48" s="3"/>
    </row>
    <row r="49" spans="2:6" ht="14.4" x14ac:dyDescent="0.3">
      <c r="E49" s="6" t="s">
        <v>5</v>
      </c>
      <c r="F49" s="57">
        <f>16/16</f>
        <v>1</v>
      </c>
    </row>
    <row r="50" spans="2:6" x14ac:dyDescent="0.3">
      <c r="E50" s="90"/>
      <c r="F50" s="57"/>
    </row>
    <row r="52" spans="2:6" x14ac:dyDescent="0.3">
      <c r="B52" s="92" t="s">
        <v>247</v>
      </c>
    </row>
    <row r="64" spans="2:6" ht="14.4" x14ac:dyDescent="0.3">
      <c r="B64" s="7" t="s">
        <v>24</v>
      </c>
      <c r="C64" s="3">
        <v>1000</v>
      </c>
      <c r="D64" s="2"/>
      <c r="E64" s="7" t="s">
        <v>1</v>
      </c>
      <c r="F64" s="2"/>
    </row>
    <row r="65" spans="2:9" ht="14.4" x14ac:dyDescent="0.3">
      <c r="B65" s="2"/>
      <c r="C65" s="2"/>
      <c r="D65" s="2"/>
      <c r="E65" s="2"/>
      <c r="F65" s="2"/>
      <c r="G65" s="2"/>
      <c r="H65" s="2"/>
      <c r="I65" s="2"/>
    </row>
    <row r="66" spans="2:9" ht="14.4" x14ac:dyDescent="0.3">
      <c r="B66" s="1" t="s">
        <v>66</v>
      </c>
      <c r="C66" s="4" t="s">
        <v>78</v>
      </c>
      <c r="D66" s="2"/>
      <c r="E66" s="1" t="s">
        <v>66</v>
      </c>
      <c r="F66" s="4" t="s">
        <v>78</v>
      </c>
      <c r="G66" s="2"/>
      <c r="H66" s="89" t="b">
        <f>B66=E66</f>
        <v>1</v>
      </c>
      <c r="I66" s="89" t="b">
        <f>C66=F66</f>
        <v>1</v>
      </c>
    </row>
    <row r="67" spans="2:9" ht="14.4" x14ac:dyDescent="0.3">
      <c r="B67" s="2" t="s">
        <v>17</v>
      </c>
      <c r="C67" s="55">
        <v>5.5</v>
      </c>
      <c r="D67" s="2"/>
      <c r="E67" s="2" t="s">
        <v>17</v>
      </c>
      <c r="F67" s="55">
        <v>5.5</v>
      </c>
      <c r="G67" s="2"/>
      <c r="H67" s="89" t="b">
        <f t="shared" ref="H67:H72" si="4">B67=E67</f>
        <v>1</v>
      </c>
      <c r="I67" s="89" t="b">
        <f t="shared" ref="I67:I72" si="5">C67=F67</f>
        <v>1</v>
      </c>
    </row>
    <row r="68" spans="2:9" ht="14.4" x14ac:dyDescent="0.3">
      <c r="B68" s="2" t="s">
        <v>15</v>
      </c>
      <c r="C68" s="55">
        <f>3.6+2.7</f>
        <v>6.3000000000000007</v>
      </c>
      <c r="D68" s="2"/>
      <c r="E68" s="2" t="s">
        <v>15</v>
      </c>
      <c r="F68" s="55">
        <v>6.3</v>
      </c>
      <c r="G68" s="2"/>
      <c r="H68" s="89" t="b">
        <f t="shared" si="4"/>
        <v>1</v>
      </c>
      <c r="I68" s="89" t="b">
        <f t="shared" si="5"/>
        <v>1</v>
      </c>
    </row>
    <row r="69" spans="2:9" ht="14.4" x14ac:dyDescent="0.3">
      <c r="B69" s="2" t="s">
        <v>16</v>
      </c>
      <c r="C69" s="55">
        <v>3.3</v>
      </c>
      <c r="D69" s="2"/>
      <c r="E69" s="2" t="s">
        <v>16</v>
      </c>
      <c r="F69" s="55">
        <v>3.3</v>
      </c>
      <c r="G69" s="2"/>
      <c r="H69" s="89" t="b">
        <f t="shared" si="4"/>
        <v>1</v>
      </c>
      <c r="I69" s="89" t="b">
        <f t="shared" si="5"/>
        <v>1</v>
      </c>
    </row>
    <row r="70" spans="2:9" ht="14.4" x14ac:dyDescent="0.3">
      <c r="B70" s="2" t="s">
        <v>18</v>
      </c>
      <c r="C70" s="55">
        <v>1.9</v>
      </c>
      <c r="D70" s="2"/>
      <c r="E70" s="2" t="s">
        <v>18</v>
      </c>
      <c r="F70" s="55">
        <v>1.9</v>
      </c>
      <c r="G70" s="2"/>
      <c r="H70" s="89" t="b">
        <f t="shared" si="4"/>
        <v>1</v>
      </c>
      <c r="I70" s="89" t="b">
        <f t="shared" si="5"/>
        <v>1</v>
      </c>
    </row>
    <row r="71" spans="2:9" ht="14.4" x14ac:dyDescent="0.3">
      <c r="B71" s="2" t="s">
        <v>19</v>
      </c>
      <c r="C71" s="55">
        <v>0.8</v>
      </c>
      <c r="D71" s="2"/>
      <c r="E71" s="2" t="s">
        <v>19</v>
      </c>
      <c r="F71" s="55">
        <v>0.8</v>
      </c>
      <c r="G71" s="2"/>
      <c r="H71" s="89" t="b">
        <f t="shared" si="4"/>
        <v>1</v>
      </c>
      <c r="I71" s="89" t="b">
        <f t="shared" si="5"/>
        <v>1</v>
      </c>
    </row>
    <row r="72" spans="2:9" ht="14.4" x14ac:dyDescent="0.3">
      <c r="B72" s="2" t="s">
        <v>22</v>
      </c>
      <c r="C72" s="55">
        <v>4</v>
      </c>
      <c r="D72" s="2"/>
      <c r="E72" s="2" t="s">
        <v>22</v>
      </c>
      <c r="F72" s="55">
        <v>4</v>
      </c>
      <c r="G72" s="2"/>
      <c r="H72" s="89" t="b">
        <f t="shared" si="4"/>
        <v>1</v>
      </c>
      <c r="I72" s="89" t="b">
        <f t="shared" si="5"/>
        <v>1</v>
      </c>
    </row>
    <row r="73" spans="2:9" ht="14.4" x14ac:dyDescent="0.3">
      <c r="B73" s="2" t="s">
        <v>77</v>
      </c>
      <c r="C73" s="55">
        <f>SUM(C67:C72)</f>
        <v>21.8</v>
      </c>
      <c r="D73" s="2"/>
      <c r="E73" s="2" t="s">
        <v>77</v>
      </c>
      <c r="F73" s="55">
        <f>SUM(F67:F72)</f>
        <v>21.8</v>
      </c>
      <c r="G73" s="2"/>
      <c r="H73" s="2"/>
      <c r="I73" s="2"/>
    </row>
    <row r="74" spans="2:9" ht="14.4" x14ac:dyDescent="0.3">
      <c r="B74" s="2"/>
      <c r="C74" s="55"/>
      <c r="D74" s="2"/>
      <c r="E74" s="2"/>
      <c r="F74" s="55"/>
      <c r="G74" s="2"/>
      <c r="H74" s="2"/>
      <c r="I74" s="2"/>
    </row>
    <row r="75" spans="2:9" ht="14.4" x14ac:dyDescent="0.3">
      <c r="B75" s="2"/>
      <c r="C75" s="55"/>
      <c r="D75" s="2"/>
      <c r="E75" s="6" t="s">
        <v>5</v>
      </c>
      <c r="F75" s="14">
        <f>18/18</f>
        <v>1</v>
      </c>
    </row>
    <row r="77" spans="2:9" x14ac:dyDescent="0.3">
      <c r="B77" s="92" t="s">
        <v>248</v>
      </c>
    </row>
    <row r="88" spans="2:9" ht="14.4" x14ac:dyDescent="0.3">
      <c r="B88" s="7" t="s">
        <v>24</v>
      </c>
      <c r="C88" s="3">
        <v>1000</v>
      </c>
      <c r="D88" s="2"/>
      <c r="E88" s="7" t="s">
        <v>1</v>
      </c>
      <c r="F88" s="2"/>
    </row>
    <row r="89" spans="2:9" ht="14.4" x14ac:dyDescent="0.3">
      <c r="B89" s="2"/>
      <c r="C89" s="2"/>
      <c r="D89" s="2"/>
      <c r="E89" s="2"/>
      <c r="F89" s="2"/>
    </row>
    <row r="90" spans="2:9" ht="14.4" x14ac:dyDescent="0.3">
      <c r="B90" s="1" t="s">
        <v>66</v>
      </c>
      <c r="C90" s="4" t="s">
        <v>78</v>
      </c>
      <c r="D90" s="2"/>
      <c r="E90" s="1" t="s">
        <v>66</v>
      </c>
      <c r="F90" s="4" t="s">
        <v>78</v>
      </c>
      <c r="G90" s="2"/>
      <c r="H90" s="89" t="b">
        <f>B90=E90</f>
        <v>1</v>
      </c>
      <c r="I90" s="89" t="b">
        <f>C90=F90</f>
        <v>1</v>
      </c>
    </row>
    <row r="91" spans="2:9" ht="14.4" x14ac:dyDescent="0.3">
      <c r="B91" s="2" t="s">
        <v>17</v>
      </c>
      <c r="C91" s="55">
        <v>5.3</v>
      </c>
      <c r="D91" s="2"/>
      <c r="E91" s="2" t="s">
        <v>17</v>
      </c>
      <c r="F91" s="55">
        <v>5.3</v>
      </c>
      <c r="G91" s="2"/>
      <c r="H91" s="89" t="b">
        <f t="shared" ref="H91:H96" si="6">B91=E91</f>
        <v>1</v>
      </c>
      <c r="I91" s="89" t="b">
        <f t="shared" ref="I91:I96" si="7">C91=F91</f>
        <v>1</v>
      </c>
    </row>
    <row r="92" spans="2:9" ht="14.4" x14ac:dyDescent="0.3">
      <c r="B92" s="2" t="s">
        <v>15</v>
      </c>
      <c r="C92" s="55">
        <f>3.4+2.8</f>
        <v>6.1999999999999993</v>
      </c>
      <c r="D92" s="2"/>
      <c r="E92" s="2" t="s">
        <v>15</v>
      </c>
      <c r="F92" s="55">
        <v>6.2</v>
      </c>
      <c r="G92" s="2"/>
      <c r="H92" s="89" t="b">
        <f t="shared" si="6"/>
        <v>1</v>
      </c>
      <c r="I92" s="89" t="b">
        <f t="shared" si="7"/>
        <v>1</v>
      </c>
    </row>
    <row r="93" spans="2:9" ht="14.4" x14ac:dyDescent="0.3">
      <c r="B93" s="2" t="s">
        <v>16</v>
      </c>
      <c r="C93" s="55">
        <v>3.1</v>
      </c>
      <c r="D93" s="2"/>
      <c r="E93" s="2" t="s">
        <v>16</v>
      </c>
      <c r="F93" s="55">
        <v>3.1</v>
      </c>
      <c r="G93" s="2"/>
      <c r="H93" s="89" t="b">
        <f t="shared" si="6"/>
        <v>1</v>
      </c>
      <c r="I93" s="89" t="b">
        <f t="shared" si="7"/>
        <v>1</v>
      </c>
    </row>
    <row r="94" spans="2:9" ht="14.4" x14ac:dyDescent="0.3">
      <c r="B94" s="2" t="s">
        <v>18</v>
      </c>
      <c r="C94" s="55">
        <v>2</v>
      </c>
      <c r="D94" s="2"/>
      <c r="E94" s="2" t="s">
        <v>18</v>
      </c>
      <c r="F94" s="55">
        <v>2</v>
      </c>
      <c r="G94" s="2"/>
      <c r="H94" s="89" t="b">
        <f t="shared" si="6"/>
        <v>1</v>
      </c>
      <c r="I94" s="89" t="b">
        <f t="shared" si="7"/>
        <v>1</v>
      </c>
    </row>
    <row r="95" spans="2:9" ht="14.4" x14ac:dyDescent="0.3">
      <c r="B95" s="2" t="s">
        <v>19</v>
      </c>
      <c r="C95" s="55">
        <v>0.8</v>
      </c>
      <c r="D95" s="2"/>
      <c r="E95" s="2" t="s">
        <v>19</v>
      </c>
      <c r="F95" s="55">
        <v>0.8</v>
      </c>
      <c r="G95" s="2"/>
      <c r="H95" s="89" t="b">
        <f t="shared" si="6"/>
        <v>1</v>
      </c>
      <c r="I95" s="89" t="b">
        <f t="shared" si="7"/>
        <v>1</v>
      </c>
    </row>
    <row r="96" spans="2:9" ht="14.4" x14ac:dyDescent="0.3">
      <c r="B96" s="2" t="s">
        <v>22</v>
      </c>
      <c r="C96" s="55">
        <v>3.7</v>
      </c>
      <c r="D96" s="2"/>
      <c r="E96" s="2" t="s">
        <v>22</v>
      </c>
      <c r="F96" s="55">
        <v>3.7</v>
      </c>
      <c r="G96" s="2"/>
      <c r="H96" s="89" t="b">
        <f t="shared" si="6"/>
        <v>1</v>
      </c>
      <c r="I96" s="89" t="b">
        <f t="shared" si="7"/>
        <v>1</v>
      </c>
    </row>
    <row r="97" spans="2:9" ht="14.4" x14ac:dyDescent="0.3">
      <c r="B97" s="2" t="s">
        <v>77</v>
      </c>
      <c r="C97" s="55">
        <f>SUM(C91:C96)</f>
        <v>21.1</v>
      </c>
      <c r="D97" s="2"/>
      <c r="E97" s="2" t="s">
        <v>77</v>
      </c>
      <c r="F97" s="55">
        <f>SUM(F91:F96)</f>
        <v>21.1</v>
      </c>
      <c r="G97" s="2"/>
      <c r="H97" s="2"/>
      <c r="I97" s="2"/>
    </row>
    <row r="98" spans="2:9" ht="14.4" x14ac:dyDescent="0.3">
      <c r="B98" s="2"/>
      <c r="C98" s="55"/>
      <c r="D98" s="2"/>
      <c r="E98" s="2"/>
      <c r="F98" s="55"/>
      <c r="G98" s="2"/>
      <c r="H98" s="2"/>
      <c r="I98" s="2"/>
    </row>
    <row r="99" spans="2:9" ht="14.4" x14ac:dyDescent="0.3">
      <c r="B99" s="2"/>
      <c r="C99" s="55"/>
      <c r="D99" s="2"/>
      <c r="E99" s="6" t="s">
        <v>5</v>
      </c>
      <c r="F99" s="14">
        <f>18/18</f>
        <v>1</v>
      </c>
      <c r="G99" s="2"/>
      <c r="H99" s="2"/>
      <c r="I99" s="2"/>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31005-1AB5-434C-83B0-CA4FA0141C13}">
  <dimension ref="B1:Q22"/>
  <sheetViews>
    <sheetView showGridLines="0" workbookViewId="0">
      <selection activeCell="H28" sqref="H28"/>
    </sheetView>
  </sheetViews>
  <sheetFormatPr defaultRowHeight="14.4" x14ac:dyDescent="0.3"/>
  <cols>
    <col min="1" max="1" width="2.44140625" customWidth="1"/>
    <col min="10" max="10" width="5.44140625" customWidth="1"/>
  </cols>
  <sheetData>
    <row r="1" spans="2:17" ht="6" customHeight="1" x14ac:dyDescent="0.3"/>
    <row r="2" spans="2:17" x14ac:dyDescent="0.3">
      <c r="B2" s="10" t="s">
        <v>31</v>
      </c>
      <c r="C2" s="2"/>
      <c r="D2" s="2"/>
      <c r="E2" s="2"/>
      <c r="F2" s="2"/>
      <c r="G2" s="2"/>
      <c r="K2" s="10" t="s">
        <v>32</v>
      </c>
      <c r="L2" s="50"/>
      <c r="M2" s="14"/>
      <c r="N2" s="5"/>
      <c r="O2" s="50"/>
      <c r="P2" s="50"/>
      <c r="Q2" s="5"/>
    </row>
    <row r="3" spans="2:17" x14ac:dyDescent="0.3">
      <c r="B3" s="2"/>
      <c r="C3" s="2"/>
      <c r="D3" s="2"/>
      <c r="E3" s="2"/>
      <c r="F3" s="2"/>
      <c r="G3" s="2"/>
      <c r="K3" s="2"/>
      <c r="L3" s="50"/>
      <c r="M3" s="14"/>
      <c r="N3" s="5"/>
      <c r="O3" s="50"/>
      <c r="P3" s="50"/>
      <c r="Q3" s="5"/>
    </row>
    <row r="4" spans="2:17" x14ac:dyDescent="0.3">
      <c r="B4" s="2"/>
      <c r="C4" s="2"/>
      <c r="D4" s="2"/>
      <c r="E4" s="2"/>
      <c r="F4" s="2"/>
      <c r="G4" s="2"/>
      <c r="K4" s="2"/>
      <c r="L4" s="50"/>
      <c r="M4" s="14"/>
      <c r="N4" s="5"/>
      <c r="O4" s="50"/>
      <c r="P4" s="50"/>
      <c r="Q4" s="5"/>
    </row>
    <row r="5" spans="2:17" x14ac:dyDescent="0.3">
      <c r="B5" s="2"/>
      <c r="C5" s="2"/>
      <c r="D5" s="2"/>
      <c r="E5" s="2"/>
      <c r="F5" s="2"/>
      <c r="G5" s="2"/>
      <c r="K5" s="2"/>
      <c r="L5" s="50"/>
      <c r="M5" s="14"/>
      <c r="N5" s="5"/>
      <c r="O5" s="50"/>
      <c r="P5" s="50"/>
      <c r="Q5" s="5"/>
    </row>
    <row r="6" spans="2:17" x14ac:dyDescent="0.3">
      <c r="B6" s="2"/>
      <c r="C6" s="2"/>
      <c r="D6" s="2"/>
      <c r="E6" s="2"/>
      <c r="F6" s="2"/>
      <c r="G6" s="2"/>
      <c r="K6" s="2"/>
      <c r="L6" s="50"/>
      <c r="M6" s="14"/>
      <c r="N6" s="5"/>
      <c r="O6" s="50"/>
      <c r="P6" s="50"/>
      <c r="Q6" s="5"/>
    </row>
    <row r="7" spans="2:17" x14ac:dyDescent="0.3">
      <c r="B7" s="2"/>
      <c r="C7" s="2"/>
      <c r="D7" s="2"/>
      <c r="E7" s="2"/>
      <c r="F7" s="2"/>
      <c r="G7" s="2"/>
      <c r="K7" s="2"/>
      <c r="L7" s="50"/>
      <c r="M7" s="14"/>
      <c r="N7" s="5"/>
      <c r="O7" s="50"/>
      <c r="P7" s="50"/>
      <c r="Q7" s="5"/>
    </row>
    <row r="8" spans="2:17" x14ac:dyDescent="0.3">
      <c r="B8" s="2"/>
      <c r="C8" s="2"/>
      <c r="D8" s="2"/>
      <c r="E8" s="2"/>
      <c r="F8" s="2"/>
      <c r="G8" s="2"/>
      <c r="K8" s="2"/>
      <c r="L8" s="50"/>
      <c r="M8" s="14"/>
      <c r="N8" s="2"/>
      <c r="O8" s="3"/>
      <c r="P8" s="50"/>
      <c r="Q8" s="3"/>
    </row>
    <row r="9" spans="2:17" x14ac:dyDescent="0.3">
      <c r="B9" s="2"/>
      <c r="C9" s="2"/>
      <c r="D9" s="2"/>
      <c r="E9" s="2"/>
      <c r="F9" s="2"/>
      <c r="G9" s="2"/>
      <c r="K9" s="2"/>
      <c r="L9" s="3"/>
      <c r="M9" s="14"/>
      <c r="N9" s="2"/>
      <c r="O9" s="3"/>
      <c r="P9" s="50"/>
      <c r="Q9" s="3"/>
    </row>
    <row r="10" spans="2:17" x14ac:dyDescent="0.3">
      <c r="B10" s="2"/>
      <c r="C10" s="2"/>
      <c r="D10" s="2"/>
      <c r="E10" s="2"/>
      <c r="F10" s="2"/>
      <c r="G10" s="2"/>
      <c r="K10" s="2"/>
      <c r="L10" s="50"/>
      <c r="M10" s="14"/>
      <c r="N10" s="2"/>
      <c r="O10" s="3"/>
      <c r="P10" s="50"/>
      <c r="Q10" s="3"/>
    </row>
    <row r="11" spans="2:17" x14ac:dyDescent="0.3">
      <c r="B11" s="2"/>
      <c r="C11" s="2"/>
      <c r="D11" s="2"/>
      <c r="E11" s="2"/>
      <c r="F11" s="2"/>
      <c r="G11" s="2"/>
      <c r="K11" s="2"/>
      <c r="L11" s="50"/>
      <c r="M11" s="14"/>
      <c r="N11" s="2"/>
      <c r="O11" s="3"/>
      <c r="P11" s="50"/>
      <c r="Q11" s="3"/>
    </row>
    <row r="12" spans="2:17" x14ac:dyDescent="0.3">
      <c r="B12" s="2"/>
      <c r="C12" s="2"/>
      <c r="D12" s="2"/>
      <c r="E12" s="2"/>
      <c r="F12" s="2"/>
      <c r="G12" s="2"/>
      <c r="K12" s="10" t="s">
        <v>30</v>
      </c>
      <c r="L12" s="2"/>
      <c r="M12" s="2"/>
      <c r="N12" s="2"/>
      <c r="O12" s="2"/>
      <c r="P12" s="2"/>
    </row>
    <row r="13" spans="2:17" x14ac:dyDescent="0.3">
      <c r="B13" s="2"/>
      <c r="C13" s="2"/>
      <c r="D13" s="2"/>
      <c r="E13" s="2"/>
      <c r="F13" s="2"/>
      <c r="G13" s="2"/>
      <c r="K13" s="2"/>
      <c r="L13" s="2"/>
      <c r="M13" s="2"/>
      <c r="N13" s="2"/>
      <c r="O13" s="2"/>
      <c r="P13" s="2"/>
    </row>
    <row r="14" spans="2:17" x14ac:dyDescent="0.3">
      <c r="B14" s="2"/>
      <c r="C14" s="2"/>
      <c r="D14" s="2"/>
      <c r="E14" s="2"/>
      <c r="F14" s="2"/>
      <c r="G14" s="2"/>
      <c r="K14" s="2"/>
      <c r="L14" s="2"/>
      <c r="M14" s="2"/>
      <c r="N14" s="2"/>
      <c r="O14" s="2"/>
      <c r="P14" s="2"/>
    </row>
    <row r="15" spans="2:17" x14ac:dyDescent="0.3">
      <c r="B15" s="2"/>
      <c r="C15" s="2"/>
      <c r="D15" s="2"/>
      <c r="E15" s="2"/>
      <c r="F15" s="2"/>
      <c r="G15" s="2"/>
      <c r="K15" s="2"/>
      <c r="L15" s="2"/>
      <c r="M15" s="2"/>
      <c r="N15" s="2"/>
      <c r="O15" s="2"/>
      <c r="P15" s="2"/>
    </row>
    <row r="16" spans="2:17" x14ac:dyDescent="0.3">
      <c r="B16" s="2"/>
      <c r="C16" s="2"/>
      <c r="D16" s="2"/>
      <c r="E16" s="2"/>
      <c r="F16" s="2"/>
      <c r="G16" s="2"/>
      <c r="K16" s="2"/>
      <c r="L16" s="2"/>
      <c r="M16" s="2"/>
      <c r="N16" s="2"/>
      <c r="O16" s="2"/>
      <c r="P16" s="2"/>
    </row>
    <row r="17" spans="2:16" x14ac:dyDescent="0.3">
      <c r="B17" s="2"/>
      <c r="C17" s="2"/>
      <c r="D17" s="2"/>
      <c r="E17" s="2"/>
      <c r="F17" s="2"/>
      <c r="G17" s="2"/>
      <c r="K17" s="2"/>
      <c r="L17" s="2"/>
      <c r="M17" s="2"/>
      <c r="N17" s="2"/>
      <c r="O17" s="2"/>
      <c r="P17" s="2"/>
    </row>
    <row r="18" spans="2:16" x14ac:dyDescent="0.3">
      <c r="B18" s="2"/>
      <c r="C18" s="2"/>
      <c r="D18" s="2"/>
      <c r="E18" s="2"/>
      <c r="F18" s="2"/>
      <c r="G18" s="2"/>
      <c r="K18" s="2"/>
      <c r="L18" s="2"/>
      <c r="M18" s="2"/>
      <c r="N18" s="2"/>
      <c r="O18" s="2"/>
      <c r="P18" s="2"/>
    </row>
    <row r="19" spans="2:16" x14ac:dyDescent="0.3">
      <c r="B19" s="2"/>
      <c r="C19" s="2"/>
      <c r="D19" s="2"/>
      <c r="E19" s="2"/>
      <c r="F19" s="2"/>
      <c r="G19" s="2"/>
      <c r="K19" s="2"/>
      <c r="L19" s="2"/>
      <c r="M19" s="2"/>
      <c r="N19" s="2"/>
      <c r="O19" s="2"/>
      <c r="P19" s="2"/>
    </row>
    <row r="20" spans="2:16" x14ac:dyDescent="0.3">
      <c r="B20" s="2"/>
      <c r="C20" s="2"/>
      <c r="D20" s="2"/>
      <c r="E20" s="2"/>
      <c r="F20" s="2"/>
      <c r="G20" s="2"/>
      <c r="K20" s="2"/>
      <c r="L20" s="2"/>
      <c r="M20" s="2"/>
      <c r="N20" s="2"/>
      <c r="O20" s="2"/>
      <c r="P20" s="2"/>
    </row>
    <row r="21" spans="2:16" x14ac:dyDescent="0.3">
      <c r="B21" s="2"/>
      <c r="C21" s="2"/>
      <c r="D21" s="2"/>
      <c r="E21" s="2"/>
      <c r="F21" s="2"/>
      <c r="G21" s="2"/>
      <c r="K21" s="2"/>
      <c r="L21" s="2"/>
      <c r="M21" s="2"/>
      <c r="N21" s="2"/>
      <c r="O21" s="2"/>
      <c r="P21" s="2"/>
    </row>
    <row r="22" spans="2:16" x14ac:dyDescent="0.3">
      <c r="K22" s="2"/>
      <c r="L22" s="2"/>
      <c r="M22" s="2"/>
      <c r="N22" s="2"/>
      <c r="O22" s="2"/>
      <c r="P22" s="2"/>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43708-5EB5-4FBB-A82F-8C5D08B04564}">
  <sheetPr>
    <tabColor rgb="FF00B0F0"/>
  </sheetPr>
  <dimension ref="A1"/>
  <sheetViews>
    <sheetView workbookViewId="0">
      <selection activeCell="E39" sqref="E39"/>
    </sheetView>
  </sheetViews>
  <sheetFormatPr defaultRowHeight="14.4" x14ac:dyDescent="0.3"/>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1BEAA-3223-4923-A5F1-B93A48224C97}">
  <dimension ref="A4:N72"/>
  <sheetViews>
    <sheetView showGridLines="0" workbookViewId="0">
      <selection activeCell="J20" sqref="J20"/>
    </sheetView>
  </sheetViews>
  <sheetFormatPr defaultRowHeight="14.4" x14ac:dyDescent="0.3"/>
  <cols>
    <col min="1" max="1" width="4.77734375" bestFit="1" customWidth="1"/>
    <col min="2" max="2" width="15.88671875" bestFit="1" customWidth="1"/>
    <col min="3" max="3" width="11.21875" bestFit="1" customWidth="1"/>
    <col min="5" max="5" width="15.88671875" bestFit="1" customWidth="1"/>
    <col min="6" max="6" width="11.21875" bestFit="1" customWidth="1"/>
    <col min="8" max="8" width="5.5546875" bestFit="1" customWidth="1"/>
    <col min="9" max="9" width="6.77734375" bestFit="1" customWidth="1"/>
    <col min="10" max="10" width="15.88671875" bestFit="1" customWidth="1"/>
    <col min="11" max="11" width="11.21875" bestFit="1" customWidth="1"/>
    <col min="12" max="12" width="4" bestFit="1" customWidth="1"/>
    <col min="13" max="13" width="8" bestFit="1" customWidth="1"/>
    <col min="14" max="14" width="7.88671875" bestFit="1" customWidth="1"/>
  </cols>
  <sheetData>
    <row r="4" spans="1:14" x14ac:dyDescent="0.3">
      <c r="A4" s="71" t="s">
        <v>8</v>
      </c>
      <c r="B4" s="1" t="s">
        <v>66</v>
      </c>
      <c r="C4" s="4" t="s">
        <v>78</v>
      </c>
      <c r="D4" s="2"/>
      <c r="E4" s="1" t="s">
        <v>66</v>
      </c>
      <c r="F4" s="4" t="s">
        <v>78</v>
      </c>
      <c r="H4" s="1" t="s">
        <v>2</v>
      </c>
      <c r="I4" s="1" t="s">
        <v>6</v>
      </c>
      <c r="J4" s="1" t="s">
        <v>66</v>
      </c>
      <c r="K4" s="1" t="s">
        <v>78</v>
      </c>
      <c r="L4" s="1" t="s">
        <v>39</v>
      </c>
      <c r="M4" s="1" t="s">
        <v>79</v>
      </c>
      <c r="N4" s="1" t="s">
        <v>40</v>
      </c>
    </row>
    <row r="5" spans="1:14" x14ac:dyDescent="0.3">
      <c r="B5" s="2" t="s">
        <v>116</v>
      </c>
      <c r="C5" s="50">
        <v>16089</v>
      </c>
      <c r="D5" s="2"/>
      <c r="E5" s="2" t="s">
        <v>17</v>
      </c>
      <c r="F5" s="50">
        <f>C5</f>
        <v>16089</v>
      </c>
      <c r="H5" s="3" t="s">
        <v>100</v>
      </c>
      <c r="I5" s="3" t="s">
        <v>8</v>
      </c>
      <c r="J5" s="3" t="s">
        <v>17</v>
      </c>
      <c r="K5" s="50">
        <f>F5</f>
        <v>16089</v>
      </c>
      <c r="L5" s="3" t="s">
        <v>41</v>
      </c>
      <c r="M5" s="3" t="s">
        <v>42</v>
      </c>
      <c r="N5" s="3" t="s">
        <v>43</v>
      </c>
    </row>
    <row r="6" spans="1:14" x14ac:dyDescent="0.3">
      <c r="B6" s="2" t="s">
        <v>15</v>
      </c>
      <c r="C6" s="50">
        <v>6707</v>
      </c>
      <c r="D6" s="2"/>
      <c r="E6" s="2" t="s">
        <v>15</v>
      </c>
      <c r="F6" s="50">
        <f>C6</f>
        <v>6707</v>
      </c>
      <c r="H6" s="3" t="s">
        <v>100</v>
      </c>
      <c r="I6" s="3" t="s">
        <v>8</v>
      </c>
      <c r="J6" s="3" t="s">
        <v>15</v>
      </c>
      <c r="K6" s="50">
        <f t="shared" ref="K6:K11" si="0">F6</f>
        <v>6707</v>
      </c>
      <c r="L6" s="3" t="s">
        <v>41</v>
      </c>
      <c r="M6" s="3" t="s">
        <v>42</v>
      </c>
      <c r="N6" s="3" t="s">
        <v>43</v>
      </c>
    </row>
    <row r="7" spans="1:14" x14ac:dyDescent="0.3">
      <c r="B7" s="2" t="s">
        <v>67</v>
      </c>
      <c r="C7" s="50">
        <v>3911</v>
      </c>
      <c r="D7" s="2"/>
      <c r="E7" s="2" t="s">
        <v>16</v>
      </c>
      <c r="F7" s="50">
        <f>C7</f>
        <v>3911</v>
      </c>
      <c r="H7" s="3" t="s">
        <v>100</v>
      </c>
      <c r="I7" s="3" t="s">
        <v>8</v>
      </c>
      <c r="J7" s="3" t="s">
        <v>16</v>
      </c>
      <c r="K7" s="50">
        <f t="shared" si="0"/>
        <v>3911</v>
      </c>
      <c r="L7" s="3" t="s">
        <v>41</v>
      </c>
      <c r="M7" s="3" t="s">
        <v>42</v>
      </c>
      <c r="N7" s="3" t="s">
        <v>43</v>
      </c>
    </row>
    <row r="8" spans="1:14" x14ac:dyDescent="0.3">
      <c r="B8" s="2" t="s">
        <v>18</v>
      </c>
      <c r="C8" s="50">
        <v>2090</v>
      </c>
      <c r="D8" s="2"/>
      <c r="E8" s="2" t="s">
        <v>18</v>
      </c>
      <c r="F8" s="50">
        <f>C8</f>
        <v>2090</v>
      </c>
      <c r="H8" s="3" t="s">
        <v>100</v>
      </c>
      <c r="I8" s="3" t="s">
        <v>8</v>
      </c>
      <c r="J8" s="3" t="s">
        <v>18</v>
      </c>
      <c r="K8" s="50">
        <f t="shared" si="0"/>
        <v>2090</v>
      </c>
      <c r="L8" s="3" t="s">
        <v>41</v>
      </c>
      <c r="M8" s="3" t="s">
        <v>42</v>
      </c>
      <c r="N8" s="3" t="s">
        <v>43</v>
      </c>
    </row>
    <row r="9" spans="1:14" x14ac:dyDescent="0.3">
      <c r="B9" s="2" t="s">
        <v>197</v>
      </c>
      <c r="C9" s="50">
        <v>1731</v>
      </c>
      <c r="D9" s="2"/>
      <c r="E9" s="2" t="s">
        <v>19</v>
      </c>
      <c r="F9" s="50">
        <f>C10</f>
        <v>1567</v>
      </c>
      <c r="H9" s="3" t="s">
        <v>100</v>
      </c>
      <c r="I9" s="3" t="s">
        <v>8</v>
      </c>
      <c r="J9" s="3" t="s">
        <v>19</v>
      </c>
      <c r="K9" s="50">
        <f t="shared" si="0"/>
        <v>1567</v>
      </c>
      <c r="L9" s="3" t="s">
        <v>41</v>
      </c>
      <c r="M9" s="3" t="s">
        <v>42</v>
      </c>
      <c r="N9" s="3" t="s">
        <v>43</v>
      </c>
    </row>
    <row r="10" spans="1:14" x14ac:dyDescent="0.3">
      <c r="B10" s="2" t="s">
        <v>69</v>
      </c>
      <c r="C10" s="50">
        <v>1567</v>
      </c>
      <c r="D10" s="2"/>
      <c r="E10" s="2" t="s">
        <v>51</v>
      </c>
      <c r="F10" s="50">
        <f>C11</f>
        <v>336</v>
      </c>
      <c r="H10" s="3" t="s">
        <v>100</v>
      </c>
      <c r="I10" s="3" t="s">
        <v>8</v>
      </c>
      <c r="J10" s="3" t="s">
        <v>51</v>
      </c>
      <c r="K10" s="50">
        <f t="shared" si="0"/>
        <v>336</v>
      </c>
      <c r="L10" s="3" t="s">
        <v>41</v>
      </c>
      <c r="M10" s="3" t="s">
        <v>42</v>
      </c>
      <c r="N10" s="3" t="s">
        <v>43</v>
      </c>
    </row>
    <row r="11" spans="1:14" x14ac:dyDescent="0.3">
      <c r="B11" s="2" t="s">
        <v>198</v>
      </c>
      <c r="C11" s="50">
        <v>336</v>
      </c>
      <c r="D11" s="2"/>
      <c r="E11" s="2" t="s">
        <v>22</v>
      </c>
      <c r="F11" s="50">
        <f>C12+C9</f>
        <v>2919</v>
      </c>
      <c r="H11" s="3" t="s">
        <v>100</v>
      </c>
      <c r="I11" s="3" t="s">
        <v>8</v>
      </c>
      <c r="J11" s="3" t="s">
        <v>22</v>
      </c>
      <c r="K11" s="50">
        <f t="shared" si="0"/>
        <v>2919</v>
      </c>
      <c r="L11" s="3" t="s">
        <v>41</v>
      </c>
      <c r="M11" s="3" t="s">
        <v>42</v>
      </c>
      <c r="N11" s="3" t="s">
        <v>43</v>
      </c>
    </row>
    <row r="12" spans="1:14" x14ac:dyDescent="0.3">
      <c r="B12" s="2" t="s">
        <v>22</v>
      </c>
      <c r="C12" s="50">
        <v>1188</v>
      </c>
      <c r="D12" s="2"/>
      <c r="E12" s="2" t="s">
        <v>77</v>
      </c>
      <c r="F12" s="50">
        <f>SUM(F5:F11)</f>
        <v>33619</v>
      </c>
      <c r="H12" s="3" t="s">
        <v>100</v>
      </c>
      <c r="I12" s="3" t="s">
        <v>8</v>
      </c>
      <c r="J12" s="3" t="s">
        <v>77</v>
      </c>
      <c r="K12" s="50">
        <f>SUM(K5:K11)</f>
        <v>33619</v>
      </c>
      <c r="L12" s="3" t="s">
        <v>41</v>
      </c>
      <c r="M12" s="3" t="s">
        <v>42</v>
      </c>
      <c r="N12" s="3" t="s">
        <v>43</v>
      </c>
    </row>
    <row r="13" spans="1:14" x14ac:dyDescent="0.3">
      <c r="B13" s="2" t="s">
        <v>77</v>
      </c>
      <c r="C13" s="50">
        <f>SUM(C5:C12)</f>
        <v>33619</v>
      </c>
      <c r="D13" s="2"/>
      <c r="E13" s="2"/>
      <c r="F13" s="2"/>
    </row>
    <row r="25" spans="1:14" x14ac:dyDescent="0.3">
      <c r="A25" s="71" t="s">
        <v>7</v>
      </c>
      <c r="B25" s="1" t="s">
        <v>66</v>
      </c>
      <c r="C25" s="4" t="s">
        <v>78</v>
      </c>
      <c r="D25" s="4"/>
      <c r="E25" s="1" t="s">
        <v>66</v>
      </c>
      <c r="F25" s="4" t="s">
        <v>78</v>
      </c>
      <c r="G25" s="2"/>
      <c r="H25" s="1" t="s">
        <v>2</v>
      </c>
      <c r="I25" s="1" t="s">
        <v>6</v>
      </c>
      <c r="J25" s="1" t="s">
        <v>66</v>
      </c>
      <c r="K25" s="1" t="s">
        <v>78</v>
      </c>
      <c r="L25" s="1" t="s">
        <v>39</v>
      </c>
      <c r="M25" s="1" t="s">
        <v>79</v>
      </c>
      <c r="N25" s="1" t="s">
        <v>40</v>
      </c>
    </row>
    <row r="26" spans="1:14" x14ac:dyDescent="0.3">
      <c r="B26" s="2" t="s">
        <v>17</v>
      </c>
      <c r="C26" s="50">
        <v>16678</v>
      </c>
      <c r="D26" s="14"/>
      <c r="E26" s="2" t="s">
        <v>17</v>
      </c>
      <c r="F26" s="50">
        <v>16678</v>
      </c>
      <c r="G26" s="2"/>
      <c r="H26" s="3" t="s">
        <v>100</v>
      </c>
      <c r="I26" s="3" t="s">
        <v>7</v>
      </c>
      <c r="J26" s="3" t="s">
        <v>17</v>
      </c>
      <c r="K26" s="50">
        <v>16678</v>
      </c>
      <c r="L26" s="3" t="s">
        <v>41</v>
      </c>
      <c r="M26" s="3" t="s">
        <v>42</v>
      </c>
      <c r="N26" s="3" t="s">
        <v>43</v>
      </c>
    </row>
    <row r="27" spans="1:14" x14ac:dyDescent="0.3">
      <c r="B27" s="2" t="s">
        <v>15</v>
      </c>
      <c r="C27" s="50">
        <v>7225</v>
      </c>
      <c r="D27" s="14"/>
      <c r="E27" s="2" t="s">
        <v>15</v>
      </c>
      <c r="F27" s="50">
        <v>7225</v>
      </c>
      <c r="G27" s="2"/>
      <c r="H27" s="3" t="s">
        <v>100</v>
      </c>
      <c r="I27" s="3" t="s">
        <v>7</v>
      </c>
      <c r="J27" s="3" t="s">
        <v>15</v>
      </c>
      <c r="K27" s="50">
        <v>7225</v>
      </c>
      <c r="L27" s="3" t="s">
        <v>41</v>
      </c>
      <c r="M27" s="3" t="s">
        <v>42</v>
      </c>
      <c r="N27" s="3" t="s">
        <v>43</v>
      </c>
    </row>
    <row r="28" spans="1:14" x14ac:dyDescent="0.3">
      <c r="B28" s="2" t="s">
        <v>16</v>
      </c>
      <c r="C28" s="50">
        <v>3990</v>
      </c>
      <c r="D28" s="14"/>
      <c r="E28" s="2" t="s">
        <v>16</v>
      </c>
      <c r="F28" s="50">
        <v>3990</v>
      </c>
      <c r="G28" s="2"/>
      <c r="H28" s="3" t="s">
        <v>100</v>
      </c>
      <c r="I28" s="3" t="s">
        <v>7</v>
      </c>
      <c r="J28" s="3" t="s">
        <v>16</v>
      </c>
      <c r="K28" s="50">
        <v>3990</v>
      </c>
      <c r="L28" s="3" t="s">
        <v>41</v>
      </c>
      <c r="M28" s="3" t="s">
        <v>42</v>
      </c>
      <c r="N28" s="3" t="s">
        <v>43</v>
      </c>
    </row>
    <row r="29" spans="1:14" x14ac:dyDescent="0.3">
      <c r="B29" s="2" t="s">
        <v>18</v>
      </c>
      <c r="C29" s="50">
        <v>2174</v>
      </c>
      <c r="D29" s="14"/>
      <c r="E29" s="2" t="s">
        <v>18</v>
      </c>
      <c r="F29" s="50">
        <v>2174</v>
      </c>
      <c r="G29" s="2"/>
      <c r="H29" s="3" t="s">
        <v>100</v>
      </c>
      <c r="I29" s="3" t="s">
        <v>7</v>
      </c>
      <c r="J29" s="3" t="s">
        <v>18</v>
      </c>
      <c r="K29" s="50">
        <v>2174</v>
      </c>
      <c r="L29" s="3" t="s">
        <v>41</v>
      </c>
      <c r="M29" s="3" t="s">
        <v>42</v>
      </c>
      <c r="N29" s="3" t="s">
        <v>43</v>
      </c>
    </row>
    <row r="30" spans="1:14" x14ac:dyDescent="0.3">
      <c r="B30" s="2" t="s">
        <v>101</v>
      </c>
      <c r="C30" s="50">
        <v>1776</v>
      </c>
      <c r="D30" s="14"/>
      <c r="E30" s="2" t="s">
        <v>19</v>
      </c>
      <c r="F30" s="50">
        <v>1696</v>
      </c>
      <c r="G30" s="2"/>
      <c r="H30" s="3" t="s">
        <v>100</v>
      </c>
      <c r="I30" s="3" t="s">
        <v>7</v>
      </c>
      <c r="J30" s="3" t="s">
        <v>19</v>
      </c>
      <c r="K30" s="50">
        <v>1696</v>
      </c>
      <c r="L30" s="3" t="s">
        <v>41</v>
      </c>
      <c r="M30" s="3" t="s">
        <v>42</v>
      </c>
      <c r="N30" s="3" t="s">
        <v>43</v>
      </c>
    </row>
    <row r="31" spans="1:14" x14ac:dyDescent="0.3">
      <c r="B31" s="2" t="s">
        <v>19</v>
      </c>
      <c r="C31" s="50">
        <v>1696</v>
      </c>
      <c r="D31" s="14"/>
      <c r="E31" s="2" t="s">
        <v>51</v>
      </c>
      <c r="F31" s="50">
        <v>348</v>
      </c>
      <c r="G31" s="2"/>
      <c r="H31" s="3" t="s">
        <v>100</v>
      </c>
      <c r="I31" s="3" t="s">
        <v>7</v>
      </c>
      <c r="J31" s="3" t="s">
        <v>51</v>
      </c>
      <c r="K31" s="50">
        <v>348</v>
      </c>
      <c r="L31" s="3" t="s">
        <v>41</v>
      </c>
      <c r="M31" s="3" t="s">
        <v>42</v>
      </c>
      <c r="N31" s="3" t="s">
        <v>43</v>
      </c>
    </row>
    <row r="32" spans="1:14" x14ac:dyDescent="0.3">
      <c r="B32" s="2" t="s">
        <v>51</v>
      </c>
      <c r="C32" s="50">
        <v>348</v>
      </c>
      <c r="D32" s="14"/>
      <c r="E32" s="2" t="s">
        <v>22</v>
      </c>
      <c r="F32" s="50">
        <f>C33+C30</f>
        <v>2993</v>
      </c>
      <c r="G32" s="2"/>
      <c r="H32" s="3" t="s">
        <v>100</v>
      </c>
      <c r="I32" s="3" t="s">
        <v>7</v>
      </c>
      <c r="J32" s="3" t="s">
        <v>22</v>
      </c>
      <c r="K32" s="50">
        <v>2993</v>
      </c>
      <c r="L32" s="3" t="s">
        <v>41</v>
      </c>
      <c r="M32" s="3" t="s">
        <v>42</v>
      </c>
      <c r="N32" s="3" t="s">
        <v>43</v>
      </c>
    </row>
    <row r="33" spans="1:14" x14ac:dyDescent="0.3">
      <c r="B33" s="2" t="s">
        <v>22</v>
      </c>
      <c r="C33" s="50">
        <v>1217</v>
      </c>
      <c r="D33" s="14"/>
      <c r="E33" s="2" t="s">
        <v>77</v>
      </c>
      <c r="F33" s="50">
        <f>SUM(F26:F32)</f>
        <v>35104</v>
      </c>
      <c r="G33" s="2"/>
      <c r="H33" s="3" t="s">
        <v>100</v>
      </c>
      <c r="I33" s="3" t="s">
        <v>7</v>
      </c>
      <c r="J33" s="3" t="s">
        <v>77</v>
      </c>
      <c r="K33" s="50">
        <v>35104</v>
      </c>
      <c r="L33" s="3" t="s">
        <v>41</v>
      </c>
      <c r="M33" s="3" t="s">
        <v>42</v>
      </c>
      <c r="N33" s="3" t="s">
        <v>43</v>
      </c>
    </row>
    <row r="45" spans="1:14" x14ac:dyDescent="0.3">
      <c r="A45" s="71" t="s">
        <v>9</v>
      </c>
      <c r="B45" s="1" t="s">
        <v>66</v>
      </c>
      <c r="C45" s="4" t="s">
        <v>78</v>
      </c>
      <c r="D45" s="2"/>
      <c r="E45" s="1" t="s">
        <v>66</v>
      </c>
      <c r="F45" s="4" t="s">
        <v>78</v>
      </c>
      <c r="H45" s="1" t="s">
        <v>2</v>
      </c>
      <c r="I45" s="1" t="s">
        <v>6</v>
      </c>
      <c r="J45" s="1" t="s">
        <v>66</v>
      </c>
      <c r="K45" s="1" t="s">
        <v>78</v>
      </c>
      <c r="L45" s="1" t="s">
        <v>39</v>
      </c>
      <c r="M45" s="1" t="s">
        <v>79</v>
      </c>
      <c r="N45" s="1" t="s">
        <v>40</v>
      </c>
    </row>
    <row r="46" spans="1:14" x14ac:dyDescent="0.3">
      <c r="B46" s="2" t="s">
        <v>116</v>
      </c>
      <c r="C46" s="50">
        <v>16453</v>
      </c>
      <c r="D46" s="2"/>
      <c r="E46" s="2" t="s">
        <v>17</v>
      </c>
      <c r="F46" s="50">
        <f>C46</f>
        <v>16453</v>
      </c>
      <c r="H46" s="3" t="s">
        <v>100</v>
      </c>
      <c r="I46" s="3" t="s">
        <v>9</v>
      </c>
      <c r="J46" s="3" t="s">
        <v>17</v>
      </c>
      <c r="K46" s="50">
        <f>F46</f>
        <v>16453</v>
      </c>
      <c r="L46" s="3" t="s">
        <v>41</v>
      </c>
      <c r="M46" s="3" t="s">
        <v>42</v>
      </c>
      <c r="N46" s="3" t="s">
        <v>43</v>
      </c>
    </row>
    <row r="47" spans="1:14" x14ac:dyDescent="0.3">
      <c r="B47" s="2" t="s">
        <v>15</v>
      </c>
      <c r="C47" s="50">
        <v>7498</v>
      </c>
      <c r="D47" s="2"/>
      <c r="E47" s="2" t="s">
        <v>15</v>
      </c>
      <c r="F47" s="50">
        <f>C47</f>
        <v>7498</v>
      </c>
      <c r="H47" s="3" t="s">
        <v>100</v>
      </c>
      <c r="I47" s="3" t="s">
        <v>9</v>
      </c>
      <c r="J47" s="3" t="s">
        <v>15</v>
      </c>
      <c r="K47" s="50">
        <f t="shared" ref="K47:K52" si="1">F47</f>
        <v>7498</v>
      </c>
      <c r="L47" s="3" t="s">
        <v>41</v>
      </c>
      <c r="M47" s="3" t="s">
        <v>42</v>
      </c>
      <c r="N47" s="3" t="s">
        <v>43</v>
      </c>
    </row>
    <row r="48" spans="1:14" x14ac:dyDescent="0.3">
      <c r="B48" s="2" t="s">
        <v>67</v>
      </c>
      <c r="C48" s="50">
        <v>4110</v>
      </c>
      <c r="D48" s="2"/>
      <c r="E48" s="2" t="s">
        <v>16</v>
      </c>
      <c r="F48" s="50">
        <f>C48</f>
        <v>4110</v>
      </c>
      <c r="H48" s="3" t="s">
        <v>100</v>
      </c>
      <c r="I48" s="3" t="s">
        <v>9</v>
      </c>
      <c r="J48" s="3" t="s">
        <v>16</v>
      </c>
      <c r="K48" s="50">
        <f t="shared" si="1"/>
        <v>4110</v>
      </c>
      <c r="L48" s="3" t="s">
        <v>41</v>
      </c>
      <c r="M48" s="3" t="s">
        <v>42</v>
      </c>
      <c r="N48" s="3" t="s">
        <v>43</v>
      </c>
    </row>
    <row r="49" spans="1:14" x14ac:dyDescent="0.3">
      <c r="B49" s="2" t="s">
        <v>18</v>
      </c>
      <c r="C49" s="50">
        <v>2238</v>
      </c>
      <c r="D49" s="2"/>
      <c r="E49" s="2" t="s">
        <v>18</v>
      </c>
      <c r="F49" s="50">
        <f>C49</f>
        <v>2238</v>
      </c>
      <c r="H49" s="3" t="s">
        <v>100</v>
      </c>
      <c r="I49" s="3" t="s">
        <v>9</v>
      </c>
      <c r="J49" s="3" t="s">
        <v>18</v>
      </c>
      <c r="K49" s="50">
        <f t="shared" si="1"/>
        <v>2238</v>
      </c>
      <c r="L49" s="3" t="s">
        <v>41</v>
      </c>
      <c r="M49" s="3" t="s">
        <v>42</v>
      </c>
      <c r="N49" s="3" t="s">
        <v>43</v>
      </c>
    </row>
    <row r="50" spans="1:14" x14ac:dyDescent="0.3">
      <c r="B50" s="2" t="s">
        <v>197</v>
      </c>
      <c r="C50" s="50">
        <v>1862</v>
      </c>
      <c r="D50" s="2"/>
      <c r="E50" s="2" t="s">
        <v>19</v>
      </c>
      <c r="F50" s="50">
        <f>C51</f>
        <v>1709</v>
      </c>
      <c r="H50" s="3" t="s">
        <v>100</v>
      </c>
      <c r="I50" s="3" t="s">
        <v>9</v>
      </c>
      <c r="J50" s="3" t="s">
        <v>19</v>
      </c>
      <c r="K50" s="50">
        <f t="shared" si="1"/>
        <v>1709</v>
      </c>
      <c r="L50" s="3" t="s">
        <v>41</v>
      </c>
      <c r="M50" s="3" t="s">
        <v>42</v>
      </c>
      <c r="N50" s="3" t="s">
        <v>43</v>
      </c>
    </row>
    <row r="51" spans="1:14" x14ac:dyDescent="0.3">
      <c r="B51" s="2" t="s">
        <v>69</v>
      </c>
      <c r="C51" s="50">
        <v>1709</v>
      </c>
      <c r="D51" s="2"/>
      <c r="E51" s="2" t="s">
        <v>51</v>
      </c>
      <c r="F51" s="50">
        <f>C52</f>
        <v>387</v>
      </c>
      <c r="H51" s="3" t="s">
        <v>100</v>
      </c>
      <c r="I51" s="3" t="s">
        <v>9</v>
      </c>
      <c r="J51" s="3" t="s">
        <v>51</v>
      </c>
      <c r="K51" s="50">
        <f t="shared" si="1"/>
        <v>387</v>
      </c>
      <c r="L51" s="3" t="s">
        <v>41</v>
      </c>
      <c r="M51" s="3" t="s">
        <v>42</v>
      </c>
      <c r="N51" s="3" t="s">
        <v>43</v>
      </c>
    </row>
    <row r="52" spans="1:14" x14ac:dyDescent="0.3">
      <c r="B52" s="2" t="s">
        <v>198</v>
      </c>
      <c r="C52" s="50">
        <v>387</v>
      </c>
      <c r="D52" s="2"/>
      <c r="E52" s="2" t="s">
        <v>22</v>
      </c>
      <c r="F52" s="50">
        <f>C53+C50</f>
        <v>3103</v>
      </c>
      <c r="H52" s="3" t="s">
        <v>100</v>
      </c>
      <c r="I52" s="3" t="s">
        <v>9</v>
      </c>
      <c r="J52" s="3" t="s">
        <v>22</v>
      </c>
      <c r="K52" s="50">
        <f t="shared" si="1"/>
        <v>3103</v>
      </c>
      <c r="L52" s="3" t="s">
        <v>41</v>
      </c>
      <c r="M52" s="3" t="s">
        <v>42</v>
      </c>
      <c r="N52" s="3" t="s">
        <v>43</v>
      </c>
    </row>
    <row r="53" spans="1:14" x14ac:dyDescent="0.3">
      <c r="B53" s="2" t="s">
        <v>22</v>
      </c>
      <c r="C53" s="50">
        <v>1241</v>
      </c>
      <c r="D53" s="2"/>
      <c r="E53" s="2" t="s">
        <v>77</v>
      </c>
      <c r="F53" s="50">
        <f>SUM(F46:F52)</f>
        <v>35498</v>
      </c>
      <c r="H53" s="3" t="s">
        <v>100</v>
      </c>
      <c r="I53" s="3" t="s">
        <v>9</v>
      </c>
      <c r="J53" s="3" t="s">
        <v>77</v>
      </c>
      <c r="K53" s="50">
        <f>SUM(K46:K52)</f>
        <v>35498</v>
      </c>
      <c r="L53" s="3" t="s">
        <v>41</v>
      </c>
      <c r="M53" s="3" t="s">
        <v>42</v>
      </c>
      <c r="N53" s="3" t="s">
        <v>43</v>
      </c>
    </row>
    <row r="54" spans="1:14" x14ac:dyDescent="0.3">
      <c r="B54" s="2" t="s">
        <v>77</v>
      </c>
      <c r="C54" s="50">
        <f>SUM(C46:C53)</f>
        <v>35498</v>
      </c>
      <c r="D54" s="2"/>
      <c r="E54" s="2"/>
      <c r="F54" s="2"/>
    </row>
    <row r="63" spans="1:14" x14ac:dyDescent="0.3">
      <c r="A63" s="71" t="s">
        <v>10</v>
      </c>
      <c r="B63" s="1" t="s">
        <v>66</v>
      </c>
      <c r="C63" s="4" t="s">
        <v>78</v>
      </c>
      <c r="D63" s="2"/>
      <c r="E63" s="1" t="s">
        <v>66</v>
      </c>
      <c r="F63" s="4" t="s">
        <v>78</v>
      </c>
      <c r="H63" s="1" t="s">
        <v>2</v>
      </c>
      <c r="I63" s="1" t="s">
        <v>6</v>
      </c>
      <c r="J63" s="1" t="s">
        <v>66</v>
      </c>
      <c r="K63" s="1" t="s">
        <v>78</v>
      </c>
      <c r="L63" s="1" t="s">
        <v>39</v>
      </c>
      <c r="M63" s="1" t="s">
        <v>79</v>
      </c>
      <c r="N63" s="1" t="s">
        <v>40</v>
      </c>
    </row>
    <row r="64" spans="1:14" x14ac:dyDescent="0.3">
      <c r="B64" s="2" t="s">
        <v>116</v>
      </c>
      <c r="C64" s="50">
        <v>16058</v>
      </c>
      <c r="D64" s="2"/>
      <c r="E64" s="2" t="s">
        <v>17</v>
      </c>
      <c r="F64" s="50">
        <f>C64</f>
        <v>16058</v>
      </c>
      <c r="H64" s="3" t="s">
        <v>100</v>
      </c>
      <c r="I64" s="3" t="s">
        <v>10</v>
      </c>
      <c r="J64" s="3" t="s">
        <v>17</v>
      </c>
      <c r="K64" s="50">
        <f>F64</f>
        <v>16058</v>
      </c>
      <c r="L64" s="3" t="s">
        <v>41</v>
      </c>
      <c r="M64" s="3" t="s">
        <v>42</v>
      </c>
      <c r="N64" s="3" t="s">
        <v>43</v>
      </c>
    </row>
    <row r="65" spans="2:14" x14ac:dyDescent="0.3">
      <c r="B65" s="2" t="s">
        <v>15</v>
      </c>
      <c r="C65" s="50">
        <v>7803</v>
      </c>
      <c r="D65" s="2"/>
      <c r="E65" s="2" t="s">
        <v>15</v>
      </c>
      <c r="F65" s="50">
        <f>C65</f>
        <v>7803</v>
      </c>
      <c r="H65" s="3" t="s">
        <v>100</v>
      </c>
      <c r="I65" s="3" t="s">
        <v>10</v>
      </c>
      <c r="J65" s="3" t="s">
        <v>15</v>
      </c>
      <c r="K65" s="50">
        <f t="shared" ref="K65:K70" si="2">F65</f>
        <v>7803</v>
      </c>
      <c r="L65" s="3" t="s">
        <v>41</v>
      </c>
      <c r="M65" s="3" t="s">
        <v>42</v>
      </c>
      <c r="N65" s="3" t="s">
        <v>43</v>
      </c>
    </row>
    <row r="66" spans="2:14" x14ac:dyDescent="0.3">
      <c r="B66" s="2" t="s">
        <v>67</v>
      </c>
      <c r="C66" s="50">
        <v>4116</v>
      </c>
      <c r="D66" s="2"/>
      <c r="E66" s="2" t="s">
        <v>16</v>
      </c>
      <c r="F66" s="50">
        <f>C66</f>
        <v>4116</v>
      </c>
      <c r="H66" s="3" t="s">
        <v>100</v>
      </c>
      <c r="I66" s="3" t="s">
        <v>10</v>
      </c>
      <c r="J66" s="3" t="s">
        <v>16</v>
      </c>
      <c r="K66" s="50">
        <f t="shared" si="2"/>
        <v>4116</v>
      </c>
      <c r="L66" s="3" t="s">
        <v>41</v>
      </c>
      <c r="M66" s="3" t="s">
        <v>42</v>
      </c>
      <c r="N66" s="3" t="s">
        <v>43</v>
      </c>
    </row>
    <row r="67" spans="2:14" x14ac:dyDescent="0.3">
      <c r="B67" s="2" t="s">
        <v>18</v>
      </c>
      <c r="C67" s="50">
        <v>2335</v>
      </c>
      <c r="D67" s="2"/>
      <c r="E67" s="2" t="s">
        <v>18</v>
      </c>
      <c r="F67" s="50">
        <f>C67</f>
        <v>2335</v>
      </c>
      <c r="H67" s="3" t="s">
        <v>100</v>
      </c>
      <c r="I67" s="3" t="s">
        <v>10</v>
      </c>
      <c r="J67" s="3" t="s">
        <v>18</v>
      </c>
      <c r="K67" s="50">
        <f t="shared" si="2"/>
        <v>2335</v>
      </c>
      <c r="L67" s="3" t="s">
        <v>41</v>
      </c>
      <c r="M67" s="3" t="s">
        <v>42</v>
      </c>
      <c r="N67" s="3" t="s">
        <v>43</v>
      </c>
    </row>
    <row r="68" spans="2:14" x14ac:dyDescent="0.3">
      <c r="B68" s="2" t="s">
        <v>197</v>
      </c>
      <c r="C68" s="50">
        <v>1834</v>
      </c>
      <c r="D68" s="2"/>
      <c r="E68" s="2" t="s">
        <v>19</v>
      </c>
      <c r="F68" s="50">
        <f>C69</f>
        <v>1811</v>
      </c>
      <c r="H68" s="3" t="s">
        <v>100</v>
      </c>
      <c r="I68" s="3" t="s">
        <v>10</v>
      </c>
      <c r="J68" s="3" t="s">
        <v>19</v>
      </c>
      <c r="K68" s="50">
        <f t="shared" si="2"/>
        <v>1811</v>
      </c>
      <c r="L68" s="3" t="s">
        <v>41</v>
      </c>
      <c r="M68" s="3" t="s">
        <v>42</v>
      </c>
      <c r="N68" s="3" t="s">
        <v>43</v>
      </c>
    </row>
    <row r="69" spans="2:14" x14ac:dyDescent="0.3">
      <c r="B69" s="2" t="s">
        <v>69</v>
      </c>
      <c r="C69" s="50">
        <v>1811</v>
      </c>
      <c r="D69" s="2"/>
      <c r="E69" s="2" t="s">
        <v>51</v>
      </c>
      <c r="F69" s="50">
        <f>C70</f>
        <v>388</v>
      </c>
      <c r="H69" s="3" t="s">
        <v>100</v>
      </c>
      <c r="I69" s="3" t="s">
        <v>10</v>
      </c>
      <c r="J69" s="3" t="s">
        <v>51</v>
      </c>
      <c r="K69" s="50">
        <f t="shared" si="2"/>
        <v>388</v>
      </c>
      <c r="L69" s="3" t="s">
        <v>41</v>
      </c>
      <c r="M69" s="3" t="s">
        <v>42</v>
      </c>
      <c r="N69" s="3" t="s">
        <v>43</v>
      </c>
    </row>
    <row r="70" spans="2:14" x14ac:dyDescent="0.3">
      <c r="B70" s="2" t="s">
        <v>198</v>
      </c>
      <c r="C70" s="50">
        <v>388</v>
      </c>
      <c r="D70" s="2"/>
      <c r="E70" s="2" t="s">
        <v>22</v>
      </c>
      <c r="F70" s="50">
        <f>C71+C68</f>
        <v>3080</v>
      </c>
      <c r="H70" s="3" t="s">
        <v>100</v>
      </c>
      <c r="I70" s="3" t="s">
        <v>10</v>
      </c>
      <c r="J70" s="3" t="s">
        <v>22</v>
      </c>
      <c r="K70" s="50">
        <f t="shared" si="2"/>
        <v>3080</v>
      </c>
      <c r="L70" s="3" t="s">
        <v>41</v>
      </c>
      <c r="M70" s="3" t="s">
        <v>42</v>
      </c>
      <c r="N70" s="3" t="s">
        <v>43</v>
      </c>
    </row>
    <row r="71" spans="2:14" x14ac:dyDescent="0.3">
      <c r="B71" s="2" t="s">
        <v>22</v>
      </c>
      <c r="C71" s="50">
        <v>1246</v>
      </c>
      <c r="D71" s="2"/>
      <c r="E71" s="2" t="s">
        <v>77</v>
      </c>
      <c r="F71" s="50">
        <f>SUM(F64:F70)</f>
        <v>35591</v>
      </c>
      <c r="H71" s="3" t="s">
        <v>100</v>
      </c>
      <c r="I71" s="3" t="s">
        <v>10</v>
      </c>
      <c r="J71" s="3" t="s">
        <v>77</v>
      </c>
      <c r="K71" s="50">
        <f>SUM(K64:K70)</f>
        <v>35591</v>
      </c>
      <c r="L71" s="3" t="s">
        <v>41</v>
      </c>
      <c r="M71" s="3" t="s">
        <v>42</v>
      </c>
      <c r="N71" s="3" t="s">
        <v>43</v>
      </c>
    </row>
    <row r="72" spans="2:14" x14ac:dyDescent="0.3">
      <c r="B72" s="2" t="s">
        <v>77</v>
      </c>
      <c r="C72" s="50">
        <f>SUM(C64:C71)</f>
        <v>35591</v>
      </c>
      <c r="D72" s="2"/>
      <c r="E72" s="2"/>
      <c r="F72" s="2"/>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1E150-FE7E-42E8-9B46-AEE10BAF9ADE}">
  <dimension ref="B1:BB165"/>
  <sheetViews>
    <sheetView showGridLines="0" zoomScale="110" workbookViewId="0">
      <selection activeCell="N8" sqref="N8"/>
    </sheetView>
  </sheetViews>
  <sheetFormatPr defaultRowHeight="13.8" x14ac:dyDescent="0.3"/>
  <cols>
    <col min="1" max="1" width="3" style="89" customWidth="1"/>
    <col min="2" max="2" width="15.88671875" style="89" bestFit="1" customWidth="1"/>
    <col min="3" max="3" width="11.21875" style="89" bestFit="1" customWidth="1"/>
    <col min="4" max="4" width="8.88671875" style="89"/>
    <col min="5" max="5" width="15.88671875" style="89" bestFit="1" customWidth="1"/>
    <col min="6" max="6" width="11.21875" style="89" bestFit="1" customWidth="1"/>
    <col min="7" max="7" width="8.88671875" style="89"/>
    <col min="8" max="8" width="5.33203125" style="89" bestFit="1" customWidth="1"/>
    <col min="9" max="9" width="6" style="89" bestFit="1" customWidth="1"/>
    <col min="10" max="42" width="8.88671875" style="89"/>
    <col min="43" max="43" width="15.88671875" style="89" bestFit="1" customWidth="1"/>
    <col min="44" max="44" width="11.21875" style="89" bestFit="1" customWidth="1"/>
    <col min="45" max="45" width="8.88671875" style="89"/>
    <col min="46" max="46" width="15.88671875" style="89" bestFit="1" customWidth="1"/>
    <col min="47" max="47" width="11.21875" style="89" bestFit="1" customWidth="1"/>
    <col min="48" max="16384" width="8.88671875" style="89"/>
  </cols>
  <sheetData>
    <row r="1" spans="2:54" ht="14.4" x14ac:dyDescent="0.3">
      <c r="B1" s="92" t="s">
        <v>246</v>
      </c>
      <c r="AP1"/>
      <c r="AQ1"/>
      <c r="AR1"/>
      <c r="AS1"/>
      <c r="AT1"/>
      <c r="AU1"/>
      <c r="AV1"/>
      <c r="AW1"/>
      <c r="AX1"/>
      <c r="AY1"/>
      <c r="AZ1"/>
      <c r="BA1"/>
      <c r="BB1"/>
    </row>
    <row r="2" spans="2:54" ht="14.4" x14ac:dyDescent="0.3">
      <c r="AP2"/>
      <c r="AQ2"/>
      <c r="AR2"/>
      <c r="AS2"/>
      <c r="AT2"/>
      <c r="AU2"/>
      <c r="AV2"/>
      <c r="AW2"/>
      <c r="AX2"/>
      <c r="AY2"/>
      <c r="AZ2"/>
      <c r="BA2"/>
      <c r="BB2"/>
    </row>
    <row r="3" spans="2:54" ht="14.4" x14ac:dyDescent="0.3">
      <c r="AP3"/>
      <c r="AQ3"/>
      <c r="AR3"/>
      <c r="AS3"/>
      <c r="AT3"/>
      <c r="AU3"/>
      <c r="AV3"/>
      <c r="AW3"/>
      <c r="AX3"/>
      <c r="AY3"/>
      <c r="AZ3"/>
      <c r="BA3"/>
      <c r="BB3"/>
    </row>
    <row r="4" spans="2:54" ht="14.4" x14ac:dyDescent="0.3">
      <c r="AP4"/>
      <c r="AQ4"/>
      <c r="AR4"/>
      <c r="AS4"/>
      <c r="AT4"/>
      <c r="AU4"/>
      <c r="AV4"/>
      <c r="AW4"/>
      <c r="AX4"/>
      <c r="AY4"/>
      <c r="AZ4"/>
      <c r="BA4"/>
      <c r="BB4"/>
    </row>
    <row r="5" spans="2:54" ht="14.4" x14ac:dyDescent="0.3">
      <c r="AP5"/>
      <c r="AQ5"/>
      <c r="AR5"/>
      <c r="AS5"/>
      <c r="AT5"/>
      <c r="AU5"/>
      <c r="AV5"/>
      <c r="AW5"/>
      <c r="AX5"/>
      <c r="AY5"/>
      <c r="AZ5"/>
      <c r="BA5"/>
      <c r="BB5"/>
    </row>
    <row r="6" spans="2:54" ht="14.4" x14ac:dyDescent="0.3">
      <c r="AP6"/>
      <c r="AQ6"/>
      <c r="AR6"/>
      <c r="AS6"/>
      <c r="AT6"/>
      <c r="AU6"/>
      <c r="AV6"/>
      <c r="AW6"/>
      <c r="AX6"/>
      <c r="AY6"/>
      <c r="AZ6"/>
      <c r="BA6"/>
      <c r="BB6"/>
    </row>
    <row r="7" spans="2:54" ht="14.4" x14ac:dyDescent="0.3">
      <c r="AP7"/>
      <c r="AQ7"/>
      <c r="AR7"/>
      <c r="AS7"/>
      <c r="AT7"/>
      <c r="AU7"/>
      <c r="AV7"/>
      <c r="AW7"/>
      <c r="AX7"/>
      <c r="AY7"/>
      <c r="AZ7"/>
      <c r="BA7"/>
      <c r="BB7"/>
    </row>
    <row r="8" spans="2:54" ht="14.4" x14ac:dyDescent="0.3">
      <c r="AP8"/>
      <c r="AQ8"/>
      <c r="AR8"/>
      <c r="AS8"/>
      <c r="AT8"/>
      <c r="AU8"/>
      <c r="AV8"/>
      <c r="AW8"/>
      <c r="AX8"/>
      <c r="AY8"/>
      <c r="AZ8"/>
      <c r="BA8"/>
      <c r="BB8"/>
    </row>
    <row r="9" spans="2:54" ht="14.4" x14ac:dyDescent="0.3">
      <c r="AP9"/>
      <c r="AQ9"/>
      <c r="AR9"/>
      <c r="AS9"/>
      <c r="AT9"/>
      <c r="AU9"/>
      <c r="AV9"/>
      <c r="AW9"/>
      <c r="AX9"/>
      <c r="AY9"/>
      <c r="AZ9"/>
      <c r="BA9"/>
      <c r="BB9"/>
    </row>
    <row r="10" spans="2:54" ht="14.4" x14ac:dyDescent="0.3">
      <c r="AP10"/>
      <c r="AQ10"/>
      <c r="AR10"/>
      <c r="AS10"/>
      <c r="AT10"/>
      <c r="AU10"/>
      <c r="AV10"/>
      <c r="AW10"/>
      <c r="AX10"/>
      <c r="AY10"/>
      <c r="AZ10"/>
      <c r="BA10"/>
      <c r="BB10"/>
    </row>
    <row r="11" spans="2:54" ht="14.4" x14ac:dyDescent="0.3">
      <c r="AP11"/>
      <c r="AQ11"/>
      <c r="AR11"/>
      <c r="AS11"/>
      <c r="AT11"/>
      <c r="AU11"/>
      <c r="AV11"/>
      <c r="AW11"/>
      <c r="AX11"/>
      <c r="AY11"/>
      <c r="AZ11"/>
      <c r="BA11"/>
      <c r="BB11"/>
    </row>
    <row r="12" spans="2:54" ht="14.4" x14ac:dyDescent="0.3">
      <c r="AP12"/>
      <c r="AQ12"/>
      <c r="AR12"/>
      <c r="AS12"/>
      <c r="AT12"/>
      <c r="AU12"/>
      <c r="AV12"/>
      <c r="AW12"/>
      <c r="AX12"/>
      <c r="AY12"/>
      <c r="AZ12"/>
      <c r="BA12"/>
      <c r="BB12"/>
    </row>
    <row r="13" spans="2:54" ht="14.4" x14ac:dyDescent="0.3">
      <c r="AP13"/>
      <c r="AQ13"/>
      <c r="AR13"/>
      <c r="AS13"/>
      <c r="AT13"/>
      <c r="AU13"/>
      <c r="AV13"/>
      <c r="AW13"/>
      <c r="AX13"/>
      <c r="AY13"/>
      <c r="AZ13"/>
      <c r="BA13"/>
      <c r="BB13"/>
    </row>
    <row r="14" spans="2:54" ht="14.4" x14ac:dyDescent="0.3">
      <c r="AP14"/>
      <c r="AQ14"/>
      <c r="AR14"/>
      <c r="AS14"/>
      <c r="AT14"/>
      <c r="AU14"/>
      <c r="AV14"/>
      <c r="AW14"/>
      <c r="AX14"/>
      <c r="AY14"/>
      <c r="AZ14"/>
      <c r="BA14"/>
      <c r="BB14"/>
    </row>
    <row r="15" spans="2:54" ht="14.4" x14ac:dyDescent="0.3">
      <c r="AP15"/>
      <c r="AQ15"/>
      <c r="AR15"/>
      <c r="AS15"/>
      <c r="AT15"/>
      <c r="AU15"/>
      <c r="AV15"/>
      <c r="AW15"/>
      <c r="AX15"/>
      <c r="AY15"/>
      <c r="AZ15"/>
      <c r="BA15"/>
      <c r="BB15"/>
    </row>
    <row r="16" spans="2:54" ht="14.4" x14ac:dyDescent="0.3">
      <c r="AP16"/>
      <c r="AQ16"/>
      <c r="AR16"/>
      <c r="AS16"/>
      <c r="AT16"/>
      <c r="AU16"/>
      <c r="AV16"/>
      <c r="AW16"/>
      <c r="AX16"/>
      <c r="AY16"/>
      <c r="AZ16"/>
      <c r="BA16"/>
      <c r="BB16"/>
    </row>
    <row r="17" spans="2:54" ht="14.4" x14ac:dyDescent="0.3">
      <c r="AP17"/>
      <c r="AQ17"/>
      <c r="AR17"/>
      <c r="AS17"/>
      <c r="AT17"/>
      <c r="AU17"/>
      <c r="AV17"/>
      <c r="AW17"/>
      <c r="AX17"/>
      <c r="AY17"/>
      <c r="AZ17"/>
      <c r="BA17"/>
      <c r="BB17"/>
    </row>
    <row r="18" spans="2:54" ht="14.4" x14ac:dyDescent="0.3">
      <c r="AP18"/>
      <c r="AQ18"/>
      <c r="AR18"/>
      <c r="AS18"/>
      <c r="AT18"/>
      <c r="AU18"/>
      <c r="AV18"/>
      <c r="AW18"/>
      <c r="AX18"/>
      <c r="AY18"/>
      <c r="AZ18"/>
      <c r="BA18"/>
      <c r="BB18"/>
    </row>
    <row r="19" spans="2:54" ht="14.4" x14ac:dyDescent="0.3">
      <c r="AP19"/>
      <c r="AQ19"/>
      <c r="AR19"/>
      <c r="AS19"/>
      <c r="AT19"/>
      <c r="AU19"/>
      <c r="AV19"/>
      <c r="AW19"/>
      <c r="AX19"/>
      <c r="AY19"/>
      <c r="AZ19"/>
      <c r="BA19"/>
      <c r="BB19"/>
    </row>
    <row r="20" spans="2:54" ht="14.4" x14ac:dyDescent="0.3">
      <c r="B20" s="2"/>
      <c r="C20" s="55"/>
      <c r="D20" s="2"/>
      <c r="E20" s="2"/>
      <c r="F20" s="55"/>
      <c r="G20" s="2"/>
      <c r="AP20"/>
      <c r="AQ20"/>
      <c r="AR20"/>
      <c r="AS20"/>
      <c r="AT20"/>
      <c r="AU20"/>
      <c r="AV20"/>
      <c r="AW20"/>
      <c r="AX20"/>
      <c r="AY20"/>
      <c r="AZ20"/>
      <c r="BA20"/>
      <c r="BB20"/>
    </row>
    <row r="21" spans="2:54" ht="14.4" x14ac:dyDescent="0.3">
      <c r="B21" s="181" t="s">
        <v>24</v>
      </c>
      <c r="C21" s="181"/>
      <c r="D21" s="5"/>
      <c r="E21" s="181" t="s">
        <v>1</v>
      </c>
      <c r="F21" s="181"/>
      <c r="G21" s="2"/>
      <c r="H21" s="2"/>
      <c r="I21" s="2"/>
      <c r="AP21"/>
      <c r="AQ21"/>
      <c r="AR21"/>
      <c r="AS21"/>
      <c r="AT21"/>
      <c r="AU21"/>
      <c r="AV21"/>
      <c r="AW21"/>
      <c r="AX21"/>
      <c r="AY21"/>
      <c r="AZ21"/>
      <c r="BA21"/>
      <c r="BB21"/>
    </row>
    <row r="22" spans="2:54" ht="14.4" x14ac:dyDescent="0.3">
      <c r="B22" s="2"/>
      <c r="C22" s="2"/>
      <c r="D22" s="2"/>
      <c r="E22" s="2"/>
      <c r="F22" s="2"/>
      <c r="G22" s="2"/>
      <c r="H22" s="2"/>
      <c r="I22" s="2"/>
      <c r="AP22"/>
      <c r="AQ22"/>
      <c r="AR22"/>
      <c r="AS22"/>
      <c r="AT22"/>
      <c r="AU22"/>
      <c r="AV22"/>
      <c r="AW22"/>
      <c r="AX22"/>
      <c r="AY22"/>
      <c r="AZ22"/>
      <c r="BA22"/>
      <c r="BB22"/>
    </row>
    <row r="23" spans="2:54" ht="14.4" x14ac:dyDescent="0.3">
      <c r="B23" s="1" t="s">
        <v>66</v>
      </c>
      <c r="C23" s="4" t="s">
        <v>78</v>
      </c>
      <c r="D23" s="2"/>
      <c r="E23" s="1" t="s">
        <v>66</v>
      </c>
      <c r="F23" s="4" t="s">
        <v>78</v>
      </c>
      <c r="G23" s="2"/>
      <c r="H23" s="2"/>
      <c r="I23" s="2"/>
      <c r="AP23"/>
      <c r="AQ23"/>
      <c r="AR23"/>
      <c r="AS23"/>
      <c r="AT23"/>
      <c r="AU23"/>
      <c r="AV23"/>
      <c r="AW23"/>
      <c r="AX23"/>
      <c r="AY23"/>
      <c r="AZ23"/>
      <c r="BA23"/>
      <c r="BB23"/>
    </row>
    <row r="24" spans="2:54" ht="14.4" x14ac:dyDescent="0.3">
      <c r="B24" s="2" t="s">
        <v>17</v>
      </c>
      <c r="C24" s="55">
        <v>16.100000000000001</v>
      </c>
      <c r="D24" s="2"/>
      <c r="E24" s="2" t="s">
        <v>17</v>
      </c>
      <c r="F24" s="3">
        <v>16.100000000000001</v>
      </c>
      <c r="G24" s="2"/>
      <c r="H24" s="2" t="b">
        <f t="shared" ref="H24:I31" si="0">B24=E24</f>
        <v>1</v>
      </c>
      <c r="I24" s="2" t="b">
        <f t="shared" si="0"/>
        <v>1</v>
      </c>
      <c r="AP24"/>
      <c r="AQ24"/>
      <c r="AR24"/>
      <c r="AS24"/>
      <c r="AT24"/>
      <c r="AU24"/>
      <c r="AV24"/>
      <c r="AW24"/>
      <c r="AX24"/>
      <c r="AY24"/>
      <c r="AZ24"/>
      <c r="BA24"/>
      <c r="BB24"/>
    </row>
    <row r="25" spans="2:54" ht="14.4" x14ac:dyDescent="0.3">
      <c r="B25" s="2" t="s">
        <v>15</v>
      </c>
      <c r="C25" s="55">
        <v>6.7</v>
      </c>
      <c r="D25" s="2"/>
      <c r="E25" s="2" t="s">
        <v>15</v>
      </c>
      <c r="F25" s="3">
        <v>6.7</v>
      </c>
      <c r="G25" s="2"/>
      <c r="H25" s="2" t="b">
        <f t="shared" si="0"/>
        <v>1</v>
      </c>
      <c r="I25" s="2" t="b">
        <f t="shared" si="0"/>
        <v>1</v>
      </c>
      <c r="AP25"/>
      <c r="AQ25"/>
      <c r="AR25"/>
      <c r="AS25"/>
      <c r="AT25"/>
      <c r="AU25"/>
      <c r="AV25"/>
      <c r="AW25"/>
      <c r="AX25"/>
      <c r="AY25"/>
      <c r="AZ25"/>
      <c r="BA25"/>
      <c r="BB25"/>
    </row>
    <row r="26" spans="2:54" ht="14.4" x14ac:dyDescent="0.3">
      <c r="B26" s="2" t="s">
        <v>16</v>
      </c>
      <c r="C26" s="55">
        <v>3.9</v>
      </c>
      <c r="D26" s="2"/>
      <c r="E26" s="2" t="s">
        <v>16</v>
      </c>
      <c r="F26" s="16">
        <v>3.9</v>
      </c>
      <c r="G26" s="2"/>
      <c r="H26" s="2" t="b">
        <f t="shared" si="0"/>
        <v>1</v>
      </c>
      <c r="I26" s="2" t="b">
        <f t="shared" si="0"/>
        <v>1</v>
      </c>
      <c r="AP26"/>
      <c r="AQ26"/>
      <c r="AR26"/>
      <c r="AS26"/>
      <c r="AT26"/>
      <c r="AU26"/>
      <c r="AV26"/>
      <c r="AW26"/>
      <c r="AX26"/>
      <c r="AY26"/>
      <c r="AZ26"/>
      <c r="BA26"/>
      <c r="BB26"/>
    </row>
    <row r="27" spans="2:54" ht="14.4" x14ac:dyDescent="0.3">
      <c r="B27" s="2" t="s">
        <v>18</v>
      </c>
      <c r="C27" s="55">
        <v>2.1</v>
      </c>
      <c r="D27" s="2"/>
      <c r="E27" s="2" t="s">
        <v>18</v>
      </c>
      <c r="F27" s="3">
        <v>2.1</v>
      </c>
      <c r="G27" s="2"/>
      <c r="H27" s="2" t="b">
        <f t="shared" si="0"/>
        <v>1</v>
      </c>
      <c r="I27" s="2" t="b">
        <f t="shared" si="0"/>
        <v>1</v>
      </c>
      <c r="AP27"/>
      <c r="AQ27"/>
      <c r="AR27"/>
      <c r="AS27"/>
      <c r="AT27"/>
      <c r="AU27"/>
      <c r="AV27"/>
      <c r="AW27"/>
      <c r="AX27"/>
      <c r="AY27"/>
      <c r="AZ27"/>
      <c r="BA27"/>
      <c r="BB27"/>
    </row>
    <row r="28" spans="2:54" ht="14.4" x14ac:dyDescent="0.3">
      <c r="B28" s="2" t="s">
        <v>19</v>
      </c>
      <c r="C28" s="55">
        <v>1.6</v>
      </c>
      <c r="D28" s="2"/>
      <c r="E28" s="2" t="s">
        <v>19</v>
      </c>
      <c r="F28" s="3">
        <v>1.6</v>
      </c>
      <c r="G28" s="2"/>
      <c r="H28" s="2" t="b">
        <f t="shared" si="0"/>
        <v>1</v>
      </c>
      <c r="I28" s="2" t="b">
        <f t="shared" si="0"/>
        <v>1</v>
      </c>
      <c r="AP28"/>
      <c r="AQ28"/>
      <c r="AR28"/>
      <c r="AS28"/>
      <c r="AT28"/>
      <c r="AU28"/>
      <c r="AV28"/>
      <c r="AW28"/>
      <c r="AX28"/>
      <c r="AY28"/>
      <c r="AZ28"/>
      <c r="BA28"/>
      <c r="BB28"/>
    </row>
    <row r="29" spans="2:54" ht="14.4" x14ac:dyDescent="0.3">
      <c r="B29" s="2" t="s">
        <v>51</v>
      </c>
      <c r="C29" s="55">
        <v>0.3</v>
      </c>
      <c r="D29" s="2"/>
      <c r="E29" s="2" t="s">
        <v>51</v>
      </c>
      <c r="F29" s="3">
        <v>0.3</v>
      </c>
      <c r="G29" s="2"/>
      <c r="H29" s="2" t="b">
        <f t="shared" si="0"/>
        <v>1</v>
      </c>
      <c r="I29" s="2" t="b">
        <f t="shared" si="0"/>
        <v>1</v>
      </c>
      <c r="AP29"/>
      <c r="AQ29"/>
      <c r="AR29"/>
      <c r="AS29"/>
      <c r="AT29"/>
      <c r="AU29"/>
      <c r="AV29"/>
      <c r="AW29"/>
      <c r="AX29"/>
      <c r="AY29"/>
      <c r="AZ29"/>
      <c r="BA29"/>
      <c r="BB29"/>
    </row>
    <row r="30" spans="2:54" ht="14.4" x14ac:dyDescent="0.3">
      <c r="B30" s="2" t="s">
        <v>22</v>
      </c>
      <c r="C30" s="55">
        <f>1.7+1.2</f>
        <v>2.9</v>
      </c>
      <c r="D30" s="2"/>
      <c r="E30" s="2" t="s">
        <v>22</v>
      </c>
      <c r="F30" s="3">
        <v>4.5999999999999996</v>
      </c>
      <c r="G30" s="2"/>
      <c r="H30" s="2" t="b">
        <f t="shared" si="0"/>
        <v>1</v>
      </c>
      <c r="I30" s="23" t="b">
        <f t="shared" si="0"/>
        <v>0</v>
      </c>
      <c r="AP30"/>
      <c r="AQ30"/>
      <c r="AR30"/>
      <c r="AS30"/>
      <c r="AT30"/>
      <c r="AU30"/>
      <c r="AV30"/>
      <c r="AW30"/>
      <c r="AX30"/>
      <c r="AY30"/>
      <c r="AZ30"/>
      <c r="BA30"/>
      <c r="BB30"/>
    </row>
    <row r="31" spans="2:54" ht="14.4" x14ac:dyDescent="0.3">
      <c r="B31" s="2" t="s">
        <v>77</v>
      </c>
      <c r="C31" s="55">
        <f>SUM(C24:C30)</f>
        <v>33.6</v>
      </c>
      <c r="D31" s="2"/>
      <c r="E31" s="2" t="s">
        <v>77</v>
      </c>
      <c r="F31" s="3">
        <v>33.6</v>
      </c>
      <c r="G31" s="2"/>
      <c r="H31" s="2" t="b">
        <f t="shared" si="0"/>
        <v>1</v>
      </c>
      <c r="I31" s="2" t="b">
        <f t="shared" si="0"/>
        <v>1</v>
      </c>
      <c r="AP31"/>
      <c r="AQ31"/>
      <c r="AR31"/>
      <c r="AS31"/>
      <c r="AT31"/>
      <c r="AU31"/>
      <c r="AV31"/>
      <c r="AW31"/>
      <c r="AX31"/>
      <c r="AY31"/>
      <c r="AZ31"/>
      <c r="BA31"/>
      <c r="BB31"/>
    </row>
    <row r="32" spans="2:54" ht="14.4" x14ac:dyDescent="0.3">
      <c r="B32" s="2"/>
      <c r="C32" s="55"/>
      <c r="D32" s="2"/>
      <c r="E32" s="2"/>
      <c r="F32" s="55"/>
      <c r="G32" s="2"/>
      <c r="H32" s="2"/>
      <c r="I32" s="2"/>
      <c r="AP32"/>
      <c r="AQ32"/>
      <c r="AR32"/>
      <c r="AS32"/>
      <c r="AT32"/>
      <c r="AU32"/>
      <c r="AV32"/>
      <c r="AW32"/>
      <c r="AX32"/>
      <c r="AY32"/>
      <c r="AZ32"/>
      <c r="BA32"/>
      <c r="BB32"/>
    </row>
    <row r="33" spans="2:54" ht="14.4" x14ac:dyDescent="0.3">
      <c r="B33" s="2"/>
      <c r="C33" s="55"/>
      <c r="D33" s="2"/>
      <c r="E33" s="90" t="s">
        <v>5</v>
      </c>
      <c r="F33" s="57">
        <f>13/14</f>
        <v>0.9285714285714286</v>
      </c>
      <c r="G33" s="2"/>
      <c r="H33" s="2"/>
      <c r="I33" s="2"/>
      <c r="AP33"/>
      <c r="AQ33"/>
      <c r="AR33"/>
      <c r="AS33"/>
      <c r="AT33"/>
      <c r="AU33"/>
      <c r="AV33"/>
      <c r="AW33"/>
      <c r="AX33"/>
      <c r="AY33"/>
      <c r="AZ33"/>
      <c r="BA33"/>
      <c r="BB33"/>
    </row>
    <row r="34" spans="2:54" ht="14.4" x14ac:dyDescent="0.3">
      <c r="B34" s="92" t="s">
        <v>243</v>
      </c>
      <c r="AP34"/>
      <c r="AQ34"/>
      <c r="AR34"/>
      <c r="AS34"/>
      <c r="AT34"/>
      <c r="AU34"/>
      <c r="AV34"/>
      <c r="AW34"/>
      <c r="AX34"/>
      <c r="AY34"/>
      <c r="AZ34"/>
      <c r="BA34"/>
      <c r="BB34"/>
    </row>
    <row r="35" spans="2:54" ht="14.4" x14ac:dyDescent="0.3">
      <c r="AP35"/>
      <c r="AQ35"/>
      <c r="AR35"/>
      <c r="AS35"/>
      <c r="AT35"/>
      <c r="AU35"/>
      <c r="AV35"/>
      <c r="AW35"/>
      <c r="AX35"/>
      <c r="AY35"/>
      <c r="AZ35"/>
      <c r="BA35"/>
      <c r="BB35"/>
    </row>
    <row r="36" spans="2:54" ht="14.4" x14ac:dyDescent="0.3">
      <c r="AP36"/>
      <c r="AQ36"/>
      <c r="AR36"/>
      <c r="AS36"/>
      <c r="AT36"/>
      <c r="AU36"/>
      <c r="AV36"/>
      <c r="AW36"/>
      <c r="AX36"/>
      <c r="AY36"/>
      <c r="AZ36"/>
      <c r="BA36"/>
      <c r="BB36"/>
    </row>
    <row r="37" spans="2:54" ht="14.4" x14ac:dyDescent="0.3">
      <c r="AP37"/>
      <c r="AQ37"/>
      <c r="AR37"/>
      <c r="AS37"/>
      <c r="AT37"/>
      <c r="AU37"/>
      <c r="AV37"/>
      <c r="AW37"/>
      <c r="AX37"/>
      <c r="AY37"/>
      <c r="AZ37"/>
      <c r="BA37"/>
      <c r="BB37"/>
    </row>
    <row r="38" spans="2:54" ht="14.4" x14ac:dyDescent="0.3">
      <c r="AP38"/>
      <c r="AQ38"/>
      <c r="AR38"/>
      <c r="AS38"/>
      <c r="AT38"/>
      <c r="AU38"/>
      <c r="AV38"/>
      <c r="AW38"/>
      <c r="AX38"/>
      <c r="AY38"/>
      <c r="AZ38"/>
      <c r="BA38"/>
      <c r="BB38"/>
    </row>
    <row r="39" spans="2:54" ht="14.4" x14ac:dyDescent="0.3">
      <c r="AP39"/>
      <c r="AQ39"/>
      <c r="AR39"/>
      <c r="AS39"/>
      <c r="AT39"/>
      <c r="AU39"/>
      <c r="AV39"/>
      <c r="AW39"/>
      <c r="AX39"/>
      <c r="AY39"/>
      <c r="AZ39"/>
      <c r="BA39"/>
      <c r="BB39"/>
    </row>
    <row r="40" spans="2:54" ht="14.4" x14ac:dyDescent="0.3">
      <c r="AP40"/>
      <c r="AQ40"/>
      <c r="AR40"/>
      <c r="AS40"/>
      <c r="AT40"/>
      <c r="AU40"/>
      <c r="AV40"/>
      <c r="AW40"/>
      <c r="AX40"/>
      <c r="AY40"/>
      <c r="AZ40"/>
      <c r="BA40"/>
      <c r="BB40"/>
    </row>
    <row r="41" spans="2:54" ht="14.4" x14ac:dyDescent="0.3">
      <c r="AP41"/>
      <c r="AQ41"/>
      <c r="AR41"/>
      <c r="AS41"/>
      <c r="AT41"/>
      <c r="AU41"/>
      <c r="AV41"/>
      <c r="AW41"/>
      <c r="AX41"/>
      <c r="AY41"/>
      <c r="AZ41"/>
      <c r="BA41"/>
      <c r="BB41"/>
    </row>
    <row r="42" spans="2:54" ht="14.4" x14ac:dyDescent="0.3">
      <c r="AP42"/>
      <c r="AQ42"/>
      <c r="AR42"/>
      <c r="AS42"/>
      <c r="AT42"/>
      <c r="AU42"/>
      <c r="AV42"/>
      <c r="AW42"/>
      <c r="AX42"/>
      <c r="AY42"/>
      <c r="AZ42"/>
      <c r="BA42"/>
      <c r="BB42"/>
    </row>
    <row r="43" spans="2:54" ht="14.4" x14ac:dyDescent="0.3">
      <c r="AP43"/>
      <c r="AQ43"/>
      <c r="AR43"/>
      <c r="AS43"/>
      <c r="AT43"/>
      <c r="AU43"/>
      <c r="AV43"/>
      <c r="AW43"/>
      <c r="AX43"/>
      <c r="AY43"/>
      <c r="AZ43"/>
      <c r="BA43"/>
      <c r="BB43"/>
    </row>
    <row r="44" spans="2:54" ht="14.4" x14ac:dyDescent="0.3">
      <c r="AP44"/>
      <c r="AQ44"/>
      <c r="AR44"/>
      <c r="AS44"/>
      <c r="AT44"/>
      <c r="AU44"/>
      <c r="AV44"/>
      <c r="AW44"/>
      <c r="AX44"/>
      <c r="AY44"/>
      <c r="AZ44"/>
      <c r="BA44"/>
      <c r="BB44"/>
    </row>
    <row r="45" spans="2:54" ht="14.4" x14ac:dyDescent="0.3">
      <c r="AP45"/>
      <c r="AQ45"/>
      <c r="AR45"/>
      <c r="AS45"/>
      <c r="AT45"/>
      <c r="AU45"/>
      <c r="AV45"/>
      <c r="AW45"/>
      <c r="AX45"/>
      <c r="AY45"/>
      <c r="AZ45"/>
      <c r="BA45"/>
      <c r="BB45"/>
    </row>
    <row r="46" spans="2:54" ht="14.4" x14ac:dyDescent="0.3">
      <c r="B46" s="181" t="s">
        <v>24</v>
      </c>
      <c r="C46" s="181"/>
      <c r="D46" s="5"/>
      <c r="E46" s="181" t="s">
        <v>1</v>
      </c>
      <c r="F46" s="181"/>
      <c r="G46" s="2"/>
      <c r="H46" s="2"/>
      <c r="I46" s="2"/>
      <c r="AP46"/>
      <c r="AQ46"/>
      <c r="AR46"/>
      <c r="AS46"/>
      <c r="AT46"/>
      <c r="AU46"/>
      <c r="AV46"/>
      <c r="AW46"/>
      <c r="AX46"/>
      <c r="AY46"/>
      <c r="AZ46"/>
      <c r="BA46"/>
      <c r="BB46"/>
    </row>
    <row r="47" spans="2:54" ht="14.4" x14ac:dyDescent="0.3">
      <c r="B47" s="2"/>
      <c r="C47" s="2"/>
      <c r="D47" s="2"/>
      <c r="E47" s="2"/>
      <c r="F47" s="2"/>
      <c r="G47" s="2"/>
      <c r="H47" s="2"/>
      <c r="I47" s="2"/>
      <c r="AP47"/>
      <c r="AQ47"/>
      <c r="AR47"/>
      <c r="AS47"/>
      <c r="AT47"/>
      <c r="AU47"/>
      <c r="AV47"/>
      <c r="AW47"/>
      <c r="AX47"/>
      <c r="AY47"/>
      <c r="AZ47"/>
      <c r="BA47"/>
      <c r="BB47"/>
    </row>
    <row r="48" spans="2:54" ht="14.4" x14ac:dyDescent="0.3">
      <c r="B48" s="1" t="s">
        <v>66</v>
      </c>
      <c r="C48" s="4" t="s">
        <v>78</v>
      </c>
      <c r="D48" s="2"/>
      <c r="E48" s="1" t="s">
        <v>66</v>
      </c>
      <c r="F48" s="4" t="s">
        <v>78</v>
      </c>
      <c r="G48" s="2"/>
      <c r="H48" s="2"/>
      <c r="I48" s="2"/>
      <c r="AP48"/>
      <c r="AQ48"/>
      <c r="AR48"/>
      <c r="AS48"/>
      <c r="AT48"/>
      <c r="AU48"/>
      <c r="AV48"/>
      <c r="AW48"/>
      <c r="AX48"/>
      <c r="AY48"/>
      <c r="AZ48"/>
      <c r="BA48"/>
      <c r="BB48"/>
    </row>
    <row r="49" spans="2:54" ht="14.4" x14ac:dyDescent="0.3">
      <c r="B49" s="2" t="s">
        <v>17</v>
      </c>
      <c r="C49" s="55">
        <v>16.7</v>
      </c>
      <c r="D49" s="2"/>
      <c r="E49" s="2" t="s">
        <v>17</v>
      </c>
      <c r="F49" s="3">
        <v>16.7</v>
      </c>
      <c r="G49" s="2"/>
      <c r="H49" s="2" t="b">
        <f t="shared" ref="H49:I56" si="1">B49=E49</f>
        <v>1</v>
      </c>
      <c r="I49" s="2" t="b">
        <f t="shared" si="1"/>
        <v>1</v>
      </c>
      <c r="AP49"/>
      <c r="AQ49"/>
      <c r="AR49"/>
      <c r="AS49"/>
      <c r="AT49"/>
      <c r="AU49"/>
      <c r="AV49"/>
      <c r="AW49"/>
      <c r="AX49"/>
      <c r="AY49"/>
      <c r="AZ49"/>
      <c r="BA49"/>
      <c r="BB49"/>
    </row>
    <row r="50" spans="2:54" ht="14.4" x14ac:dyDescent="0.3">
      <c r="B50" s="2" t="s">
        <v>15</v>
      </c>
      <c r="C50" s="55">
        <v>7.2</v>
      </c>
      <c r="D50" s="2"/>
      <c r="E50" s="2" t="s">
        <v>15</v>
      </c>
      <c r="F50" s="3">
        <v>7.2</v>
      </c>
      <c r="G50" s="2"/>
      <c r="H50" s="2" t="b">
        <f t="shared" si="1"/>
        <v>1</v>
      </c>
      <c r="I50" s="2" t="b">
        <f t="shared" si="1"/>
        <v>1</v>
      </c>
      <c r="AP50"/>
      <c r="AQ50"/>
      <c r="AR50"/>
      <c r="AS50"/>
      <c r="AT50"/>
      <c r="AU50"/>
      <c r="AV50"/>
      <c r="AW50"/>
      <c r="AX50"/>
      <c r="AY50"/>
      <c r="AZ50"/>
      <c r="BA50"/>
      <c r="BB50"/>
    </row>
    <row r="51" spans="2:54" ht="14.4" x14ac:dyDescent="0.3">
      <c r="B51" s="2" t="s">
        <v>16</v>
      </c>
      <c r="C51" s="55">
        <v>4</v>
      </c>
      <c r="D51" s="2"/>
      <c r="E51" s="2" t="s">
        <v>16</v>
      </c>
      <c r="F51" s="16">
        <v>4</v>
      </c>
      <c r="G51" s="2"/>
      <c r="H51" s="2" t="b">
        <f t="shared" si="1"/>
        <v>1</v>
      </c>
      <c r="I51" s="2" t="b">
        <f t="shared" si="1"/>
        <v>1</v>
      </c>
      <c r="AP51"/>
      <c r="AQ51"/>
      <c r="AR51"/>
      <c r="AS51"/>
      <c r="AT51"/>
      <c r="AU51"/>
      <c r="AV51"/>
      <c r="AW51"/>
      <c r="AX51"/>
      <c r="AY51"/>
      <c r="AZ51"/>
      <c r="BA51"/>
      <c r="BB51"/>
    </row>
    <row r="52" spans="2:54" ht="14.4" x14ac:dyDescent="0.3">
      <c r="B52" s="2" t="s">
        <v>18</v>
      </c>
      <c r="C52" s="55">
        <v>2.2000000000000002</v>
      </c>
      <c r="D52" s="2"/>
      <c r="E52" s="2" t="s">
        <v>18</v>
      </c>
      <c r="F52" s="55">
        <v>2.2000000000000002</v>
      </c>
      <c r="G52" s="2"/>
      <c r="H52" s="2" t="b">
        <f t="shared" ref="H52" si="2">B52=E52</f>
        <v>1</v>
      </c>
      <c r="I52" s="2" t="b">
        <f t="shared" ref="I52" si="3">C52=F52</f>
        <v>1</v>
      </c>
      <c r="AP52"/>
      <c r="AQ52"/>
      <c r="AR52"/>
      <c r="AS52"/>
      <c r="AT52"/>
      <c r="AU52"/>
      <c r="AV52"/>
      <c r="AW52"/>
      <c r="AX52"/>
      <c r="AY52"/>
      <c r="AZ52"/>
      <c r="BA52"/>
      <c r="BB52"/>
    </row>
    <row r="53" spans="2:54" ht="14.4" x14ac:dyDescent="0.3">
      <c r="B53" s="2" t="s">
        <v>19</v>
      </c>
      <c r="C53" s="55">
        <v>1.7</v>
      </c>
      <c r="D53" s="2"/>
      <c r="E53" s="2" t="s">
        <v>19</v>
      </c>
      <c r="F53" s="3">
        <v>1.7</v>
      </c>
      <c r="G53" s="2"/>
      <c r="H53" s="2" t="b">
        <f t="shared" si="1"/>
        <v>1</v>
      </c>
      <c r="I53" s="2" t="b">
        <f t="shared" si="1"/>
        <v>1</v>
      </c>
      <c r="J53" s="2"/>
      <c r="AP53"/>
      <c r="AQ53"/>
      <c r="AR53"/>
      <c r="AS53"/>
      <c r="AT53"/>
      <c r="AU53"/>
      <c r="AV53"/>
      <c r="AW53"/>
      <c r="AX53"/>
      <c r="AY53"/>
      <c r="AZ53"/>
      <c r="BA53"/>
      <c r="BB53"/>
    </row>
    <row r="54" spans="2:54" ht="14.4" x14ac:dyDescent="0.3">
      <c r="B54" s="2" t="s">
        <v>51</v>
      </c>
      <c r="C54" s="55">
        <v>0.3</v>
      </c>
      <c r="D54" s="2"/>
      <c r="E54" s="2" t="s">
        <v>51</v>
      </c>
      <c r="F54" s="3">
        <v>0.3</v>
      </c>
      <c r="G54" s="2"/>
      <c r="H54" s="2" t="b">
        <f t="shared" si="1"/>
        <v>1</v>
      </c>
      <c r="I54" s="2" t="b">
        <f t="shared" si="1"/>
        <v>1</v>
      </c>
      <c r="J54" s="2"/>
      <c r="AP54"/>
      <c r="AQ54"/>
      <c r="AR54"/>
      <c r="AS54"/>
      <c r="AT54"/>
      <c r="AU54"/>
      <c r="AV54"/>
      <c r="AW54"/>
      <c r="AX54"/>
      <c r="AY54"/>
      <c r="AZ54"/>
      <c r="BA54"/>
      <c r="BB54"/>
    </row>
    <row r="55" spans="2:54" ht="14.4" x14ac:dyDescent="0.3">
      <c r="B55" s="2" t="s">
        <v>22</v>
      </c>
      <c r="C55" s="55">
        <v>3</v>
      </c>
      <c r="D55" s="2"/>
      <c r="E55" s="2" t="s">
        <v>22</v>
      </c>
      <c r="F55" s="16">
        <v>3</v>
      </c>
      <c r="G55" s="2"/>
      <c r="H55" s="2" t="b">
        <f t="shared" si="1"/>
        <v>1</v>
      </c>
      <c r="I55" s="2" t="b">
        <f t="shared" si="1"/>
        <v>1</v>
      </c>
      <c r="AP55"/>
      <c r="AQ55"/>
      <c r="AR55"/>
      <c r="AS55"/>
      <c r="AT55"/>
      <c r="AU55"/>
      <c r="AV55"/>
      <c r="AW55"/>
      <c r="AX55"/>
      <c r="AY55"/>
      <c r="AZ55"/>
      <c r="BA55"/>
      <c r="BB55"/>
    </row>
    <row r="56" spans="2:54" ht="14.4" x14ac:dyDescent="0.3">
      <c r="B56" s="2" t="s">
        <v>77</v>
      </c>
      <c r="C56" s="55">
        <f>SUM(C49:C55)</f>
        <v>35.099999999999994</v>
      </c>
      <c r="D56" s="2"/>
      <c r="E56" s="2" t="s">
        <v>77</v>
      </c>
      <c r="F56" s="3">
        <f>SUM(F49:F55)</f>
        <v>35.099999999999994</v>
      </c>
      <c r="G56" s="2"/>
      <c r="H56" s="2" t="b">
        <f t="shared" si="1"/>
        <v>1</v>
      </c>
      <c r="I56" s="2" t="b">
        <f t="shared" si="1"/>
        <v>1</v>
      </c>
      <c r="AP56"/>
      <c r="AQ56"/>
      <c r="AR56"/>
      <c r="AS56"/>
      <c r="AT56"/>
      <c r="AU56"/>
      <c r="AV56"/>
      <c r="AW56"/>
      <c r="AX56"/>
      <c r="AY56"/>
      <c r="AZ56"/>
      <c r="BA56"/>
      <c r="BB56"/>
    </row>
    <row r="57" spans="2:54" ht="14.4" x14ac:dyDescent="0.3">
      <c r="B57" s="2"/>
      <c r="C57" s="55"/>
      <c r="D57" s="2"/>
      <c r="E57" s="2"/>
      <c r="F57" s="55"/>
      <c r="G57" s="2"/>
      <c r="H57" s="2"/>
      <c r="I57" s="2"/>
      <c r="AP57"/>
      <c r="AQ57"/>
      <c r="AR57"/>
      <c r="AS57"/>
      <c r="AT57"/>
      <c r="AU57"/>
      <c r="AV57"/>
      <c r="AW57"/>
      <c r="AX57"/>
      <c r="AY57"/>
      <c r="AZ57"/>
      <c r="BA57"/>
      <c r="BB57"/>
    </row>
    <row r="58" spans="2:54" ht="14.4" x14ac:dyDescent="0.3">
      <c r="E58" s="90" t="s">
        <v>5</v>
      </c>
      <c r="F58" s="57">
        <f>14/14</f>
        <v>1</v>
      </c>
      <c r="AP58"/>
      <c r="AQ58"/>
      <c r="AR58"/>
      <c r="AS58"/>
      <c r="AT58"/>
      <c r="AU58"/>
      <c r="AV58"/>
      <c r="AW58"/>
      <c r="AX58"/>
      <c r="AY58"/>
      <c r="AZ58"/>
      <c r="BA58"/>
      <c r="BB58"/>
    </row>
    <row r="59" spans="2:54" ht="14.4" x14ac:dyDescent="0.3">
      <c r="B59" s="92" t="s">
        <v>247</v>
      </c>
      <c r="AP59"/>
      <c r="AQ59"/>
      <c r="AR59"/>
      <c r="AS59"/>
      <c r="AT59"/>
      <c r="AU59"/>
      <c r="AV59"/>
      <c r="AW59"/>
      <c r="AX59"/>
      <c r="AY59"/>
      <c r="AZ59"/>
      <c r="BA59"/>
      <c r="BB59"/>
    </row>
    <row r="60" spans="2:54" ht="14.4" x14ac:dyDescent="0.3">
      <c r="AP60"/>
      <c r="AQ60"/>
      <c r="AR60"/>
      <c r="AS60"/>
      <c r="AT60"/>
      <c r="AU60"/>
      <c r="AV60"/>
      <c r="AW60"/>
      <c r="AX60"/>
      <c r="AY60"/>
      <c r="AZ60"/>
      <c r="BA60"/>
      <c r="BB60"/>
    </row>
    <row r="61" spans="2:54" ht="14.4" x14ac:dyDescent="0.3">
      <c r="B61"/>
      <c r="C61"/>
      <c r="D61"/>
      <c r="E61"/>
      <c r="F61"/>
      <c r="AP61"/>
      <c r="AQ61"/>
      <c r="AR61"/>
      <c r="AS61"/>
      <c r="AT61"/>
      <c r="AU61"/>
      <c r="AV61"/>
      <c r="AW61"/>
      <c r="AX61"/>
      <c r="AY61"/>
      <c r="AZ61"/>
      <c r="BA61"/>
      <c r="BB61"/>
    </row>
    <row r="62" spans="2:54" ht="14.4" x14ac:dyDescent="0.3">
      <c r="B62"/>
      <c r="C62"/>
      <c r="D62"/>
      <c r="E62"/>
      <c r="F62"/>
      <c r="AP62"/>
      <c r="AQ62"/>
      <c r="AR62"/>
      <c r="AS62"/>
      <c r="AT62"/>
      <c r="AU62"/>
      <c r="AV62"/>
      <c r="AW62"/>
      <c r="AX62"/>
      <c r="AY62"/>
      <c r="AZ62"/>
      <c r="BA62"/>
      <c r="BB62"/>
    </row>
    <row r="63" spans="2:54" ht="14.4" x14ac:dyDescent="0.3">
      <c r="B63"/>
      <c r="C63"/>
      <c r="D63"/>
      <c r="E63"/>
      <c r="F63"/>
      <c r="AP63"/>
      <c r="AQ63"/>
      <c r="AR63"/>
      <c r="AS63"/>
      <c r="AT63"/>
      <c r="AU63"/>
      <c r="AV63"/>
      <c r="AW63"/>
      <c r="AX63"/>
      <c r="AY63"/>
      <c r="AZ63"/>
      <c r="BA63"/>
      <c r="BB63"/>
    </row>
    <row r="64" spans="2:54" ht="14.4" x14ac:dyDescent="0.3">
      <c r="B64"/>
      <c r="C64"/>
      <c r="D64"/>
      <c r="E64"/>
      <c r="F64"/>
      <c r="AP64"/>
      <c r="AQ64"/>
      <c r="AR64"/>
      <c r="AS64"/>
      <c r="AT64"/>
      <c r="AU64"/>
      <c r="AV64"/>
      <c r="AW64"/>
      <c r="AX64"/>
      <c r="AY64"/>
      <c r="AZ64"/>
      <c r="BA64"/>
      <c r="BB64"/>
    </row>
    <row r="65" spans="2:54" ht="14.4" x14ac:dyDescent="0.3">
      <c r="B65"/>
      <c r="C65"/>
      <c r="D65"/>
      <c r="E65"/>
      <c r="F65"/>
      <c r="AP65"/>
      <c r="AQ65"/>
      <c r="AR65"/>
      <c r="AS65"/>
      <c r="AT65"/>
      <c r="AU65"/>
      <c r="AV65"/>
      <c r="AW65"/>
      <c r="AX65"/>
      <c r="AY65"/>
      <c r="AZ65"/>
      <c r="BA65"/>
      <c r="BB65"/>
    </row>
    <row r="66" spans="2:54" ht="14.4" x14ac:dyDescent="0.3">
      <c r="B66"/>
      <c r="C66"/>
      <c r="D66"/>
      <c r="E66"/>
      <c r="F66"/>
      <c r="AP66"/>
      <c r="AQ66"/>
      <c r="AR66"/>
      <c r="AS66"/>
      <c r="AT66"/>
      <c r="AU66"/>
      <c r="AV66"/>
      <c r="AW66"/>
      <c r="AX66"/>
      <c r="AY66"/>
      <c r="AZ66"/>
      <c r="BA66"/>
      <c r="BB66"/>
    </row>
    <row r="67" spans="2:54" ht="14.4" x14ac:dyDescent="0.3">
      <c r="AP67"/>
      <c r="AQ67"/>
      <c r="AR67"/>
      <c r="AS67"/>
      <c r="AT67"/>
      <c r="AU67"/>
      <c r="AV67"/>
      <c r="AW67"/>
      <c r="AX67"/>
      <c r="AY67"/>
      <c r="AZ67"/>
      <c r="BA67"/>
      <c r="BB67"/>
    </row>
    <row r="68" spans="2:54" ht="14.4" x14ac:dyDescent="0.3">
      <c r="AP68"/>
      <c r="AQ68"/>
      <c r="AR68"/>
      <c r="AS68"/>
      <c r="AT68"/>
      <c r="AU68"/>
      <c r="AV68"/>
      <c r="AW68"/>
      <c r="AX68"/>
      <c r="AY68"/>
      <c r="AZ68"/>
      <c r="BA68"/>
      <c r="BB68"/>
    </row>
    <row r="69" spans="2:54" ht="14.4" x14ac:dyDescent="0.3">
      <c r="AP69"/>
      <c r="AQ69"/>
      <c r="AR69"/>
      <c r="AS69"/>
      <c r="AT69"/>
      <c r="AU69"/>
      <c r="AV69"/>
      <c r="AW69"/>
      <c r="AX69"/>
      <c r="AY69"/>
      <c r="AZ69"/>
      <c r="BA69"/>
      <c r="BB69"/>
    </row>
    <row r="70" spans="2:54" ht="14.4" x14ac:dyDescent="0.3">
      <c r="AP70"/>
      <c r="AQ70"/>
      <c r="AR70"/>
      <c r="AS70"/>
      <c r="AT70"/>
      <c r="AU70"/>
      <c r="AV70"/>
      <c r="AW70"/>
      <c r="AX70"/>
      <c r="AY70"/>
      <c r="AZ70"/>
      <c r="BA70"/>
      <c r="BB70"/>
    </row>
    <row r="71" spans="2:54" ht="14.4" x14ac:dyDescent="0.3">
      <c r="B71" s="181" t="s">
        <v>24</v>
      </c>
      <c r="C71" s="181"/>
      <c r="D71" s="5"/>
      <c r="E71" s="181" t="s">
        <v>1</v>
      </c>
      <c r="F71" s="181"/>
      <c r="G71" s="2"/>
      <c r="H71" s="2"/>
      <c r="I71" s="2"/>
      <c r="AP71"/>
      <c r="AQ71"/>
      <c r="AR71"/>
      <c r="AS71"/>
      <c r="AT71"/>
      <c r="AU71"/>
      <c r="AV71"/>
      <c r="AW71"/>
      <c r="AX71"/>
      <c r="AY71"/>
      <c r="AZ71"/>
      <c r="BA71"/>
      <c r="BB71"/>
    </row>
    <row r="72" spans="2:54" ht="14.4" x14ac:dyDescent="0.3">
      <c r="B72" s="2"/>
      <c r="C72" s="2"/>
      <c r="D72" s="2"/>
      <c r="E72" s="2"/>
      <c r="F72" s="2"/>
      <c r="G72" s="2"/>
      <c r="H72" s="2"/>
      <c r="I72" s="2"/>
      <c r="AP72"/>
      <c r="AQ72"/>
      <c r="AR72"/>
      <c r="AS72"/>
      <c r="AT72"/>
      <c r="AU72"/>
      <c r="AV72"/>
      <c r="AW72"/>
      <c r="AX72"/>
      <c r="AY72"/>
      <c r="AZ72"/>
      <c r="BA72"/>
      <c r="BB72"/>
    </row>
    <row r="73" spans="2:54" ht="14.4" x14ac:dyDescent="0.3">
      <c r="B73" s="1" t="s">
        <v>66</v>
      </c>
      <c r="C73" s="4" t="s">
        <v>78</v>
      </c>
      <c r="D73" s="2"/>
      <c r="E73" s="1" t="s">
        <v>66</v>
      </c>
      <c r="F73" s="4" t="s">
        <v>78</v>
      </c>
      <c r="G73" s="2"/>
      <c r="H73" s="2"/>
      <c r="I73" s="2"/>
      <c r="AP73"/>
      <c r="AQ73"/>
      <c r="AR73"/>
      <c r="AS73"/>
      <c r="AT73"/>
      <c r="AU73"/>
      <c r="AV73"/>
      <c r="AW73"/>
      <c r="AX73"/>
      <c r="AY73"/>
      <c r="AZ73"/>
      <c r="BA73"/>
      <c r="BB73"/>
    </row>
    <row r="74" spans="2:54" ht="14.4" x14ac:dyDescent="0.3">
      <c r="B74" s="2" t="s">
        <v>17</v>
      </c>
      <c r="C74" s="55">
        <v>16.5</v>
      </c>
      <c r="D74" s="2"/>
      <c r="E74" s="2" t="s">
        <v>17</v>
      </c>
      <c r="F74" s="3">
        <v>16.5</v>
      </c>
      <c r="G74" s="2"/>
      <c r="H74" s="2" t="b">
        <f t="shared" ref="H74:I81" si="4">B74=E74</f>
        <v>1</v>
      </c>
      <c r="I74" s="2" t="b">
        <f t="shared" si="4"/>
        <v>1</v>
      </c>
      <c r="AP74"/>
      <c r="AQ74"/>
      <c r="AR74"/>
      <c r="AS74"/>
      <c r="AT74"/>
      <c r="AU74"/>
      <c r="AV74"/>
      <c r="AW74"/>
      <c r="AX74"/>
      <c r="AY74"/>
      <c r="AZ74"/>
      <c r="BA74"/>
      <c r="BB74"/>
    </row>
    <row r="75" spans="2:54" ht="14.4" x14ac:dyDescent="0.3">
      <c r="B75" s="2" t="s">
        <v>15</v>
      </c>
      <c r="C75" s="55">
        <v>7.5</v>
      </c>
      <c r="D75" s="2"/>
      <c r="E75" s="2" t="s">
        <v>15</v>
      </c>
      <c r="F75" s="3">
        <v>7.5</v>
      </c>
      <c r="G75" s="2"/>
      <c r="H75" s="2" t="b">
        <f t="shared" si="4"/>
        <v>1</v>
      </c>
      <c r="I75" s="2" t="b">
        <f t="shared" si="4"/>
        <v>1</v>
      </c>
      <c r="AP75"/>
      <c r="AQ75"/>
      <c r="AR75"/>
      <c r="AS75"/>
      <c r="AT75"/>
      <c r="AU75"/>
      <c r="AV75"/>
      <c r="AW75"/>
      <c r="AX75"/>
      <c r="AY75"/>
      <c r="AZ75"/>
      <c r="BA75"/>
      <c r="BB75"/>
    </row>
    <row r="76" spans="2:54" ht="14.4" x14ac:dyDescent="0.3">
      <c r="B76" s="2" t="s">
        <v>16</v>
      </c>
      <c r="C76" s="55">
        <v>4.0999999999999996</v>
      </c>
      <c r="D76" s="2"/>
      <c r="E76" s="2" t="s">
        <v>16</v>
      </c>
      <c r="F76" s="16">
        <v>4.0999999999999996</v>
      </c>
      <c r="G76" s="2"/>
      <c r="H76" s="2" t="b">
        <f t="shared" si="4"/>
        <v>1</v>
      </c>
      <c r="I76" s="2" t="b">
        <f t="shared" si="4"/>
        <v>1</v>
      </c>
      <c r="AP76"/>
      <c r="AQ76"/>
      <c r="AR76"/>
      <c r="AS76"/>
      <c r="AT76"/>
      <c r="AU76"/>
      <c r="AV76"/>
      <c r="AW76"/>
      <c r="AX76"/>
      <c r="AY76"/>
      <c r="AZ76"/>
      <c r="BA76"/>
      <c r="BB76"/>
    </row>
    <row r="77" spans="2:54" ht="14.4" x14ac:dyDescent="0.3">
      <c r="B77" s="2" t="s">
        <v>18</v>
      </c>
      <c r="C77" s="55">
        <v>2.2000000000000002</v>
      </c>
      <c r="D77" s="2"/>
      <c r="E77" s="2" t="s">
        <v>18</v>
      </c>
      <c r="F77" s="3">
        <v>2.2000000000000002</v>
      </c>
      <c r="G77" s="2"/>
      <c r="H77" s="2" t="b">
        <f t="shared" si="4"/>
        <v>1</v>
      </c>
      <c r="I77" s="2" t="b">
        <f t="shared" si="4"/>
        <v>1</v>
      </c>
      <c r="AP77"/>
      <c r="AQ77"/>
      <c r="AR77"/>
      <c r="AS77"/>
      <c r="AT77"/>
      <c r="AU77"/>
      <c r="AV77"/>
      <c r="AW77"/>
      <c r="AX77"/>
      <c r="AY77"/>
      <c r="AZ77"/>
      <c r="BA77"/>
      <c r="BB77"/>
    </row>
    <row r="78" spans="2:54" ht="14.4" x14ac:dyDescent="0.3">
      <c r="B78" s="2" t="s">
        <v>19</v>
      </c>
      <c r="C78" s="55">
        <v>1.7</v>
      </c>
      <c r="D78" s="2"/>
      <c r="E78" s="2" t="s">
        <v>19</v>
      </c>
      <c r="F78" s="3">
        <v>1.7</v>
      </c>
      <c r="G78" s="2"/>
      <c r="H78" s="2" t="b">
        <f t="shared" si="4"/>
        <v>1</v>
      </c>
      <c r="I78" s="2" t="b">
        <f t="shared" si="4"/>
        <v>1</v>
      </c>
      <c r="AP78"/>
      <c r="AQ78"/>
      <c r="AR78"/>
      <c r="AS78"/>
      <c r="AT78"/>
      <c r="AU78"/>
      <c r="AV78"/>
      <c r="AW78"/>
      <c r="AX78"/>
      <c r="AY78"/>
      <c r="AZ78"/>
      <c r="BA78"/>
      <c r="BB78"/>
    </row>
    <row r="79" spans="2:54" ht="14.4" x14ac:dyDescent="0.3">
      <c r="B79" s="2" t="s">
        <v>51</v>
      </c>
      <c r="C79" s="55">
        <v>0.4</v>
      </c>
      <c r="D79" s="2"/>
      <c r="E79" s="2" t="s">
        <v>51</v>
      </c>
      <c r="F79" s="3">
        <v>0.4</v>
      </c>
      <c r="G79" s="2"/>
      <c r="H79" s="2" t="b">
        <f t="shared" si="4"/>
        <v>1</v>
      </c>
      <c r="I79" s="2" t="b">
        <f t="shared" si="4"/>
        <v>1</v>
      </c>
      <c r="AP79"/>
      <c r="AQ79"/>
      <c r="AR79"/>
      <c r="AS79"/>
      <c r="AT79"/>
      <c r="AU79"/>
      <c r="AV79"/>
      <c r="AW79"/>
      <c r="AX79"/>
      <c r="AY79"/>
      <c r="AZ79"/>
      <c r="BA79"/>
      <c r="BB79"/>
    </row>
    <row r="80" spans="2:54" ht="14.4" x14ac:dyDescent="0.3">
      <c r="B80" s="2" t="s">
        <v>22</v>
      </c>
      <c r="C80" s="55">
        <v>3.1</v>
      </c>
      <c r="D80" s="2"/>
      <c r="E80" s="2" t="s">
        <v>22</v>
      </c>
      <c r="F80" s="16">
        <v>3.1</v>
      </c>
      <c r="G80" s="2"/>
      <c r="H80" s="2" t="b">
        <f t="shared" si="4"/>
        <v>1</v>
      </c>
      <c r="I80" s="2" t="b">
        <f t="shared" si="4"/>
        <v>1</v>
      </c>
      <c r="AP80"/>
      <c r="AQ80"/>
      <c r="AR80"/>
      <c r="AS80"/>
      <c r="AT80"/>
      <c r="AU80"/>
      <c r="AV80"/>
      <c r="AW80"/>
      <c r="AX80"/>
      <c r="AY80"/>
      <c r="AZ80"/>
      <c r="BA80"/>
      <c r="BB80"/>
    </row>
    <row r="81" spans="2:54" ht="14.4" x14ac:dyDescent="0.3">
      <c r="B81" s="2" t="s">
        <v>77</v>
      </c>
      <c r="C81" s="55">
        <f>SUM(C74:C80)</f>
        <v>35.5</v>
      </c>
      <c r="D81" s="2"/>
      <c r="E81" s="2" t="s">
        <v>77</v>
      </c>
      <c r="F81" s="3">
        <f>SUM(F74:F80)</f>
        <v>35.5</v>
      </c>
      <c r="G81" s="2"/>
      <c r="H81" s="2" t="b">
        <f t="shared" si="4"/>
        <v>1</v>
      </c>
      <c r="I81" s="2" t="b">
        <f t="shared" si="4"/>
        <v>1</v>
      </c>
      <c r="AP81"/>
      <c r="AQ81"/>
      <c r="AR81"/>
      <c r="AS81"/>
      <c r="AT81"/>
      <c r="AU81"/>
      <c r="AV81"/>
      <c r="AW81"/>
      <c r="AX81"/>
      <c r="AY81"/>
      <c r="AZ81"/>
      <c r="BA81"/>
      <c r="BB81"/>
    </row>
    <row r="82" spans="2:54" ht="14.4" x14ac:dyDescent="0.3">
      <c r="B82" s="2"/>
      <c r="C82" s="55"/>
      <c r="D82" s="2"/>
      <c r="E82" s="2"/>
      <c r="F82" s="55"/>
      <c r="G82" s="2"/>
      <c r="H82" s="2"/>
      <c r="I82" s="2"/>
      <c r="AP82"/>
      <c r="AQ82"/>
      <c r="AR82"/>
      <c r="AS82"/>
      <c r="AT82"/>
      <c r="AU82"/>
      <c r="AV82"/>
      <c r="AW82"/>
      <c r="AX82"/>
      <c r="AY82"/>
      <c r="AZ82"/>
      <c r="BA82"/>
      <c r="BB82"/>
    </row>
    <row r="83" spans="2:54" ht="14.4" x14ac:dyDescent="0.3">
      <c r="B83" s="2"/>
      <c r="C83" s="55"/>
      <c r="D83" s="2"/>
      <c r="E83" s="90" t="s">
        <v>5</v>
      </c>
      <c r="F83" s="57">
        <f>14/14</f>
        <v>1</v>
      </c>
      <c r="G83" s="2"/>
      <c r="H83" s="2"/>
      <c r="I83" s="2"/>
      <c r="AP83"/>
      <c r="AQ83"/>
      <c r="AR83"/>
      <c r="AS83"/>
      <c r="AT83"/>
      <c r="AU83"/>
      <c r="AV83"/>
      <c r="AW83"/>
      <c r="AX83"/>
      <c r="AY83"/>
      <c r="AZ83"/>
      <c r="BA83"/>
      <c r="BB83"/>
    </row>
    <row r="84" spans="2:54" ht="14.4" x14ac:dyDescent="0.3">
      <c r="B84" s="2"/>
      <c r="C84" s="55"/>
      <c r="D84" s="2"/>
      <c r="E84" s="2"/>
      <c r="F84" s="55"/>
      <c r="G84" s="2"/>
      <c r="H84" s="2"/>
      <c r="I84" s="2"/>
      <c r="AP84"/>
      <c r="AQ84"/>
      <c r="AR84"/>
      <c r="AS84"/>
      <c r="AT84"/>
      <c r="AU84"/>
      <c r="AV84"/>
      <c r="AW84"/>
      <c r="AX84"/>
      <c r="AY84"/>
      <c r="AZ84"/>
      <c r="BA84"/>
      <c r="BB84"/>
    </row>
    <row r="85" spans="2:54" x14ac:dyDescent="0.3">
      <c r="B85" s="92" t="s">
        <v>248</v>
      </c>
    </row>
    <row r="100" spans="2:42" ht="14.4" x14ac:dyDescent="0.3">
      <c r="AP100"/>
    </row>
    <row r="101" spans="2:42" ht="14.4" x14ac:dyDescent="0.3">
      <c r="AP101"/>
    </row>
    <row r="102" spans="2:42" ht="14.4" x14ac:dyDescent="0.3">
      <c r="AP102"/>
    </row>
    <row r="103" spans="2:42" ht="14.4" x14ac:dyDescent="0.3">
      <c r="AP103"/>
    </row>
    <row r="104" spans="2:42" ht="14.4" x14ac:dyDescent="0.3">
      <c r="AP104"/>
    </row>
    <row r="105" spans="2:42" ht="14.4" x14ac:dyDescent="0.3">
      <c r="AP105"/>
    </row>
    <row r="106" spans="2:42" ht="14.4" x14ac:dyDescent="0.3">
      <c r="AP106"/>
    </row>
    <row r="107" spans="2:42" ht="14.4" x14ac:dyDescent="0.3">
      <c r="B107" s="181" t="s">
        <v>24</v>
      </c>
      <c r="C107" s="181"/>
      <c r="D107" s="5"/>
      <c r="E107" s="181" t="s">
        <v>1</v>
      </c>
      <c r="F107" s="181"/>
      <c r="G107" s="2"/>
      <c r="H107" s="2"/>
      <c r="I107" s="2"/>
      <c r="AP107"/>
    </row>
    <row r="108" spans="2:42" ht="14.4" x14ac:dyDescent="0.3">
      <c r="B108" s="2"/>
      <c r="C108" s="2"/>
      <c r="D108" s="2"/>
      <c r="E108" s="2"/>
      <c r="F108" s="2"/>
      <c r="G108" s="2"/>
      <c r="H108" s="2"/>
      <c r="I108" s="2"/>
      <c r="AP108"/>
    </row>
    <row r="109" spans="2:42" ht="14.4" x14ac:dyDescent="0.3">
      <c r="B109" s="1" t="s">
        <v>66</v>
      </c>
      <c r="C109" s="4" t="s">
        <v>78</v>
      </c>
      <c r="D109" s="2"/>
      <c r="E109" s="1" t="s">
        <v>66</v>
      </c>
      <c r="F109" s="4" t="s">
        <v>78</v>
      </c>
      <c r="G109" s="2"/>
      <c r="H109" s="2"/>
      <c r="I109" s="2"/>
      <c r="AP109"/>
    </row>
    <row r="110" spans="2:42" ht="14.4" x14ac:dyDescent="0.3">
      <c r="B110" s="2" t="s">
        <v>17</v>
      </c>
      <c r="C110" s="55">
        <v>16.100000000000001</v>
      </c>
      <c r="D110" s="2"/>
      <c r="E110" s="2" t="s">
        <v>17</v>
      </c>
      <c r="F110" s="3">
        <v>16.100000000000001</v>
      </c>
      <c r="G110" s="2"/>
      <c r="H110" s="2" t="b">
        <f t="shared" ref="H110:I117" si="5">B110=E110</f>
        <v>1</v>
      </c>
      <c r="I110" s="2" t="b">
        <f t="shared" si="5"/>
        <v>1</v>
      </c>
      <c r="AP110"/>
    </row>
    <row r="111" spans="2:42" ht="14.4" x14ac:dyDescent="0.3">
      <c r="B111" s="2" t="s">
        <v>15</v>
      </c>
      <c r="C111" s="55">
        <v>7.8</v>
      </c>
      <c r="D111" s="2"/>
      <c r="E111" s="2" t="s">
        <v>15</v>
      </c>
      <c r="F111" s="3">
        <v>7.8</v>
      </c>
      <c r="G111" s="2"/>
      <c r="H111" s="2" t="b">
        <f t="shared" si="5"/>
        <v>1</v>
      </c>
      <c r="I111" s="2" t="b">
        <f t="shared" si="5"/>
        <v>1</v>
      </c>
      <c r="AP111"/>
    </row>
    <row r="112" spans="2:42" ht="14.4" x14ac:dyDescent="0.3">
      <c r="B112" s="2" t="s">
        <v>16</v>
      </c>
      <c r="C112" s="55">
        <v>4.0999999999999996</v>
      </c>
      <c r="D112" s="2"/>
      <c r="E112" s="2" t="s">
        <v>16</v>
      </c>
      <c r="F112" s="16">
        <v>4.0999999999999996</v>
      </c>
      <c r="G112" s="2"/>
      <c r="H112" s="2" t="b">
        <f t="shared" si="5"/>
        <v>1</v>
      </c>
      <c r="I112" s="2" t="b">
        <f t="shared" si="5"/>
        <v>1</v>
      </c>
      <c r="AP112"/>
    </row>
    <row r="113" spans="2:42" ht="14.4" x14ac:dyDescent="0.3">
      <c r="B113" s="2" t="s">
        <v>18</v>
      </c>
      <c r="C113" s="55">
        <v>2.2999999999999998</v>
      </c>
      <c r="D113" s="2"/>
      <c r="E113" s="2" t="s">
        <v>18</v>
      </c>
      <c r="F113" s="3">
        <v>2.2999999999999998</v>
      </c>
      <c r="G113" s="2"/>
      <c r="H113" s="2" t="b">
        <f t="shared" si="5"/>
        <v>1</v>
      </c>
      <c r="I113" s="2" t="b">
        <f t="shared" si="5"/>
        <v>1</v>
      </c>
      <c r="AP113"/>
    </row>
    <row r="114" spans="2:42" ht="14.4" x14ac:dyDescent="0.3">
      <c r="B114" s="2" t="s">
        <v>19</v>
      </c>
      <c r="C114" s="55">
        <v>1.8</v>
      </c>
      <c r="D114" s="2"/>
      <c r="E114" s="2" t="s">
        <v>19</v>
      </c>
      <c r="F114" s="3">
        <v>1.8</v>
      </c>
      <c r="G114" s="2"/>
      <c r="H114" s="2" t="b">
        <f t="shared" si="5"/>
        <v>1</v>
      </c>
      <c r="I114" s="2" t="b">
        <f t="shared" si="5"/>
        <v>1</v>
      </c>
      <c r="AP114"/>
    </row>
    <row r="115" spans="2:42" ht="14.4" x14ac:dyDescent="0.3">
      <c r="B115" s="2" t="s">
        <v>51</v>
      </c>
      <c r="C115" s="55">
        <v>0.4</v>
      </c>
      <c r="D115" s="2"/>
      <c r="E115" s="2" t="s">
        <v>51</v>
      </c>
      <c r="F115" s="3">
        <v>0.4</v>
      </c>
      <c r="G115" s="2"/>
      <c r="H115" s="2" t="b">
        <f t="shared" si="5"/>
        <v>1</v>
      </c>
      <c r="I115" s="2" t="b">
        <f t="shared" si="5"/>
        <v>1</v>
      </c>
      <c r="AP115"/>
    </row>
    <row r="116" spans="2:42" ht="14.4" x14ac:dyDescent="0.3">
      <c r="B116" s="2" t="s">
        <v>22</v>
      </c>
      <c r="C116" s="55">
        <f>1.2+1.8</f>
        <v>3</v>
      </c>
      <c r="D116" s="2"/>
      <c r="E116" s="2" t="s">
        <v>22</v>
      </c>
      <c r="F116" s="16">
        <v>4.8</v>
      </c>
      <c r="G116" s="2"/>
      <c r="H116" s="2" t="b">
        <f t="shared" si="5"/>
        <v>1</v>
      </c>
      <c r="I116" s="23" t="b">
        <f t="shared" si="5"/>
        <v>0</v>
      </c>
      <c r="AP116"/>
    </row>
    <row r="117" spans="2:42" ht="14.4" x14ac:dyDescent="0.3">
      <c r="B117" s="2" t="s">
        <v>77</v>
      </c>
      <c r="C117" s="55">
        <f>SUM(C110:C116)</f>
        <v>35.5</v>
      </c>
      <c r="D117" s="2"/>
      <c r="E117" s="2" t="s">
        <v>77</v>
      </c>
      <c r="F117" s="55">
        <v>35.5</v>
      </c>
      <c r="G117" s="2"/>
      <c r="H117" s="2" t="b">
        <f t="shared" si="5"/>
        <v>1</v>
      </c>
      <c r="I117" s="2" t="b">
        <f t="shared" si="5"/>
        <v>1</v>
      </c>
      <c r="AP117"/>
    </row>
    <row r="118" spans="2:42" ht="14.4" x14ac:dyDescent="0.3">
      <c r="B118" s="2"/>
      <c r="C118" s="55"/>
      <c r="D118" s="2"/>
      <c r="E118" s="2"/>
      <c r="F118" s="55"/>
      <c r="G118" s="2"/>
      <c r="H118" s="2"/>
      <c r="I118" s="2"/>
      <c r="AP118"/>
    </row>
    <row r="119" spans="2:42" ht="14.4" x14ac:dyDescent="0.3">
      <c r="B119" s="2"/>
      <c r="C119" s="55"/>
      <c r="D119" s="2"/>
      <c r="E119" s="90" t="s">
        <v>5</v>
      </c>
      <c r="F119" s="57">
        <f>13/14</f>
        <v>0.9285714285714286</v>
      </c>
      <c r="G119" s="2"/>
      <c r="H119" s="2"/>
      <c r="I119" s="2"/>
      <c r="AP119"/>
    </row>
    <row r="120" spans="2:42" ht="14.4" x14ac:dyDescent="0.3">
      <c r="B120" s="2"/>
      <c r="C120" s="55"/>
      <c r="D120" s="2"/>
      <c r="E120" s="2"/>
      <c r="F120" s="55"/>
      <c r="G120" s="2"/>
      <c r="H120" s="2"/>
      <c r="I120" s="2"/>
      <c r="AP120"/>
    </row>
    <row r="121" spans="2:42" ht="14.4" x14ac:dyDescent="0.3">
      <c r="AP121"/>
    </row>
    <row r="122" spans="2:42" ht="14.4" x14ac:dyDescent="0.3">
      <c r="AP122"/>
    </row>
    <row r="123" spans="2:42" ht="14.4" x14ac:dyDescent="0.3">
      <c r="AP123"/>
    </row>
    <row r="124" spans="2:42" ht="14.4" x14ac:dyDescent="0.3">
      <c r="AP124"/>
    </row>
    <row r="125" spans="2:42" ht="14.4" x14ac:dyDescent="0.3">
      <c r="AP125"/>
    </row>
    <row r="126" spans="2:42" ht="14.4" x14ac:dyDescent="0.3">
      <c r="AP126"/>
    </row>
    <row r="127" spans="2:42" ht="14.4" x14ac:dyDescent="0.3">
      <c r="AP127"/>
    </row>
    <row r="128" spans="2:42" ht="14.4" x14ac:dyDescent="0.3">
      <c r="AP128"/>
    </row>
    <row r="129" spans="42:42" ht="14.4" x14ac:dyDescent="0.3">
      <c r="AP129"/>
    </row>
    <row r="130" spans="42:42" ht="14.4" x14ac:dyDescent="0.3">
      <c r="AP130"/>
    </row>
    <row r="131" spans="42:42" ht="14.4" x14ac:dyDescent="0.3">
      <c r="AP131"/>
    </row>
    <row r="154" spans="2:9" ht="14.4" x14ac:dyDescent="0.3">
      <c r="B154" s="2"/>
      <c r="C154" s="55"/>
      <c r="D154" s="2"/>
      <c r="E154" s="2"/>
      <c r="F154" s="55"/>
      <c r="G154" s="2"/>
      <c r="H154" s="2"/>
      <c r="I154" s="2"/>
    </row>
    <row r="155" spans="2:9" ht="14.4" x14ac:dyDescent="0.3">
      <c r="B155" s="2"/>
      <c r="C155" s="55"/>
      <c r="D155" s="2"/>
      <c r="E155" s="2"/>
      <c r="F155" s="55"/>
      <c r="G155" s="2"/>
      <c r="H155" s="2"/>
      <c r="I155" s="2"/>
    </row>
    <row r="156" spans="2:9" ht="14.4" x14ac:dyDescent="0.3">
      <c r="B156" s="5"/>
      <c r="C156" s="29"/>
      <c r="D156" s="2"/>
      <c r="E156" s="5"/>
      <c r="F156" s="29"/>
      <c r="I156"/>
    </row>
    <row r="157" spans="2:9" ht="14.4" x14ac:dyDescent="0.3">
      <c r="B157" s="5"/>
      <c r="C157" s="29"/>
      <c r="D157" s="2"/>
      <c r="E157" s="5"/>
      <c r="F157" s="96"/>
      <c r="I157"/>
    </row>
    <row r="158" spans="2:9" ht="14.4" x14ac:dyDescent="0.3">
      <c r="B158" s="5"/>
      <c r="C158" s="29"/>
      <c r="D158" s="2"/>
      <c r="E158" s="5"/>
      <c r="F158" s="97"/>
      <c r="I158"/>
    </row>
    <row r="159" spans="2:9" ht="14.4" x14ac:dyDescent="0.3">
      <c r="B159" s="5"/>
      <c r="C159" s="29"/>
      <c r="D159" s="2"/>
      <c r="E159" s="5"/>
      <c r="F159" s="29"/>
      <c r="I159"/>
    </row>
    <row r="160" spans="2:9" ht="14.4" x14ac:dyDescent="0.3">
      <c r="B160" s="5"/>
      <c r="C160" s="29"/>
      <c r="D160" s="2"/>
      <c r="E160" s="5"/>
      <c r="F160" s="29"/>
      <c r="I160"/>
    </row>
    <row r="161" spans="2:9" ht="14.4" x14ac:dyDescent="0.3">
      <c r="B161" s="5"/>
      <c r="C161" s="29"/>
      <c r="D161" s="2"/>
      <c r="E161" s="5"/>
      <c r="F161" s="29"/>
      <c r="I161"/>
    </row>
    <row r="162" spans="2:9" ht="14.4" x14ac:dyDescent="0.3">
      <c r="B162" s="5"/>
      <c r="C162" s="29"/>
      <c r="D162" s="2"/>
      <c r="E162" s="5"/>
      <c r="F162" s="29"/>
      <c r="I162"/>
    </row>
    <row r="163" spans="2:9" ht="14.4" x14ac:dyDescent="0.3">
      <c r="B163" s="5"/>
      <c r="C163" s="29"/>
      <c r="D163" s="2"/>
      <c r="E163" s="5"/>
      <c r="F163" s="29"/>
      <c r="I163"/>
    </row>
    <row r="164" spans="2:9" ht="14.4" x14ac:dyDescent="0.3">
      <c r="B164" s="2"/>
      <c r="C164" s="2"/>
      <c r="D164" s="2"/>
      <c r="E164" s="2"/>
      <c r="F164" s="2"/>
      <c r="I164"/>
    </row>
    <row r="165" spans="2:9" ht="14.4" x14ac:dyDescent="0.3">
      <c r="B165" s="2"/>
      <c r="C165" s="2"/>
      <c r="D165" s="2"/>
      <c r="E165" s="22"/>
      <c r="F165" s="21"/>
    </row>
  </sheetData>
  <mergeCells count="8">
    <mergeCell ref="B107:C107"/>
    <mergeCell ref="E107:F107"/>
    <mergeCell ref="B21:C21"/>
    <mergeCell ref="E21:F21"/>
    <mergeCell ref="B46:C46"/>
    <mergeCell ref="E46:F46"/>
    <mergeCell ref="B71:C71"/>
    <mergeCell ref="E71:F71"/>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6585-95E8-4762-BEF1-057B15D9119E}">
  <dimension ref="B2:Q26"/>
  <sheetViews>
    <sheetView showGridLines="0" workbookViewId="0">
      <selection activeCell="K39" sqref="K39"/>
    </sheetView>
  </sheetViews>
  <sheetFormatPr defaultRowHeight="14.4" x14ac:dyDescent="0.3"/>
  <sheetData>
    <row r="2" spans="2:17" x14ac:dyDescent="0.3">
      <c r="B2" s="10" t="s">
        <v>31</v>
      </c>
      <c r="C2" s="2"/>
      <c r="D2" s="2"/>
      <c r="E2" s="2"/>
      <c r="F2" s="2"/>
      <c r="G2" s="2"/>
      <c r="H2" s="2"/>
      <c r="K2" s="10" t="s">
        <v>32</v>
      </c>
      <c r="L2" s="2"/>
      <c r="M2" s="2"/>
      <c r="N2" s="2"/>
      <c r="O2" s="2"/>
      <c r="P2" s="2"/>
      <c r="Q2" s="2"/>
    </row>
    <row r="3" spans="2:17" x14ac:dyDescent="0.3">
      <c r="B3" s="2"/>
      <c r="C3" s="2"/>
      <c r="D3" s="2"/>
      <c r="E3" s="2"/>
      <c r="F3" s="2"/>
      <c r="G3" s="2"/>
      <c r="H3" s="2"/>
      <c r="K3" s="2"/>
      <c r="L3" s="2"/>
      <c r="M3" s="2"/>
      <c r="N3" s="2"/>
      <c r="O3" s="2"/>
      <c r="P3" s="2"/>
      <c r="Q3" s="2"/>
    </row>
    <row r="4" spans="2:17" x14ac:dyDescent="0.3">
      <c r="B4" s="2"/>
      <c r="C4" s="2"/>
      <c r="D4" s="2"/>
      <c r="E4" s="2"/>
      <c r="F4" s="2"/>
      <c r="G4" s="2"/>
      <c r="H4" s="2"/>
      <c r="K4" s="2"/>
      <c r="L4" s="2"/>
      <c r="M4" s="2"/>
      <c r="N4" s="2"/>
      <c r="O4" s="2"/>
      <c r="P4" s="2"/>
      <c r="Q4" s="2"/>
    </row>
    <row r="5" spans="2:17" x14ac:dyDescent="0.3">
      <c r="B5" s="2"/>
      <c r="C5" s="2"/>
      <c r="D5" s="2"/>
      <c r="E5" s="2"/>
      <c r="F5" s="2"/>
      <c r="G5" s="2"/>
      <c r="H5" s="2"/>
      <c r="K5" s="2"/>
      <c r="L5" s="2"/>
      <c r="M5" s="2"/>
      <c r="N5" s="2"/>
      <c r="O5" s="2"/>
      <c r="P5" s="2"/>
      <c r="Q5" s="2"/>
    </row>
    <row r="6" spans="2:17" x14ac:dyDescent="0.3">
      <c r="B6" s="2"/>
      <c r="C6" s="2"/>
      <c r="D6" s="2"/>
      <c r="E6" s="2"/>
      <c r="F6" s="2"/>
      <c r="G6" s="2"/>
      <c r="H6" s="2"/>
      <c r="K6" s="2"/>
      <c r="L6" s="2"/>
      <c r="M6" s="2"/>
      <c r="N6" s="2"/>
      <c r="O6" s="2"/>
      <c r="P6" s="2"/>
      <c r="Q6" s="2"/>
    </row>
    <row r="7" spans="2:17" x14ac:dyDescent="0.3">
      <c r="B7" s="2"/>
      <c r="C7" s="2"/>
      <c r="D7" s="2"/>
      <c r="E7" s="2"/>
      <c r="F7" s="2"/>
      <c r="G7" s="2"/>
      <c r="H7" s="2"/>
      <c r="K7" s="2"/>
      <c r="L7" s="2"/>
      <c r="M7" s="2"/>
      <c r="N7" s="2"/>
      <c r="O7" s="2"/>
      <c r="P7" s="2"/>
      <c r="Q7" s="2"/>
    </row>
    <row r="8" spans="2:17" x14ac:dyDescent="0.3">
      <c r="B8" s="2"/>
      <c r="C8" s="2"/>
      <c r="D8" s="2"/>
      <c r="E8" s="2"/>
      <c r="F8" s="2"/>
      <c r="G8" s="2"/>
      <c r="H8" s="2"/>
      <c r="K8" s="2"/>
      <c r="L8" s="2"/>
      <c r="M8" s="2"/>
      <c r="N8" s="2"/>
      <c r="O8" s="2"/>
      <c r="P8" s="2"/>
      <c r="Q8" s="2"/>
    </row>
    <row r="9" spans="2:17" x14ac:dyDescent="0.3">
      <c r="B9" s="2"/>
      <c r="C9" s="2"/>
      <c r="D9" s="2"/>
      <c r="E9" s="2"/>
      <c r="F9" s="2"/>
      <c r="G9" s="2"/>
      <c r="H9" s="2"/>
      <c r="K9" s="2"/>
      <c r="L9" s="2"/>
      <c r="M9" s="2"/>
      <c r="N9" s="2"/>
      <c r="O9" s="2"/>
      <c r="P9" s="2"/>
      <c r="Q9" s="2"/>
    </row>
    <row r="10" spans="2:17" x14ac:dyDescent="0.3">
      <c r="B10" s="2"/>
      <c r="C10" s="2"/>
      <c r="D10" s="2"/>
      <c r="E10" s="2"/>
      <c r="F10" s="2"/>
      <c r="G10" s="2"/>
      <c r="H10" s="2"/>
      <c r="K10" s="2"/>
      <c r="L10" s="2"/>
      <c r="M10" s="2"/>
      <c r="N10" s="2"/>
      <c r="O10" s="2"/>
      <c r="P10" s="2"/>
      <c r="Q10" s="2"/>
    </row>
    <row r="11" spans="2:17" x14ac:dyDescent="0.3">
      <c r="B11" s="2"/>
      <c r="C11" s="2"/>
      <c r="D11" s="2"/>
      <c r="E11" s="2"/>
      <c r="F11" s="2"/>
      <c r="G11" s="2"/>
      <c r="H11" s="2"/>
      <c r="K11" s="2"/>
      <c r="L11" s="2"/>
      <c r="M11" s="2"/>
      <c r="N11" s="2"/>
      <c r="O11" s="2"/>
      <c r="P11" s="2"/>
      <c r="Q11" s="2"/>
    </row>
    <row r="12" spans="2:17" x14ac:dyDescent="0.3">
      <c r="B12" s="2"/>
      <c r="C12" s="2"/>
      <c r="D12" s="2"/>
      <c r="E12" s="2"/>
      <c r="F12" s="2"/>
      <c r="G12" s="2"/>
      <c r="H12" s="2"/>
      <c r="K12" s="2"/>
      <c r="L12" s="2"/>
      <c r="M12" s="2"/>
      <c r="N12" s="2"/>
      <c r="O12" s="2"/>
      <c r="P12" s="2"/>
      <c r="Q12" s="2"/>
    </row>
    <row r="14" spans="2:17" x14ac:dyDescent="0.3">
      <c r="B14" s="10" t="s">
        <v>33</v>
      </c>
      <c r="C14" s="50"/>
      <c r="D14" s="2"/>
      <c r="E14" s="2"/>
      <c r="F14" s="2"/>
      <c r="G14" s="2"/>
      <c r="H14" s="2"/>
      <c r="K14" s="10" t="s">
        <v>30</v>
      </c>
      <c r="L14" s="50"/>
      <c r="M14" s="2"/>
      <c r="N14" s="2"/>
      <c r="O14" s="2"/>
      <c r="P14" s="2"/>
      <c r="Q14" s="2"/>
    </row>
    <row r="15" spans="2:17" x14ac:dyDescent="0.3">
      <c r="B15" s="2"/>
      <c r="C15" s="50"/>
      <c r="D15" s="2"/>
      <c r="E15" s="2"/>
      <c r="F15" s="2"/>
      <c r="G15" s="2"/>
      <c r="H15" s="2"/>
      <c r="K15" s="2"/>
      <c r="L15" s="50"/>
      <c r="M15" s="2"/>
      <c r="N15" s="2"/>
      <c r="O15" s="2"/>
      <c r="P15" s="2"/>
      <c r="Q15" s="2"/>
    </row>
    <row r="16" spans="2:17" x14ac:dyDescent="0.3">
      <c r="B16" s="2"/>
      <c r="C16" s="50"/>
      <c r="D16" s="2"/>
      <c r="E16" s="2"/>
      <c r="F16" s="2"/>
      <c r="G16" s="2"/>
      <c r="H16" s="2"/>
      <c r="K16" s="2"/>
      <c r="L16" s="50"/>
      <c r="M16" s="2"/>
      <c r="N16" s="2"/>
      <c r="O16" s="2"/>
      <c r="P16" s="2"/>
      <c r="Q16" s="2"/>
    </row>
    <row r="17" spans="2:17" x14ac:dyDescent="0.3">
      <c r="B17" s="2"/>
      <c r="C17" s="50"/>
      <c r="D17" s="2"/>
      <c r="E17" s="2"/>
      <c r="F17" s="2"/>
      <c r="G17" s="2"/>
      <c r="H17" s="2"/>
      <c r="K17" s="2"/>
      <c r="L17" s="50"/>
      <c r="M17" s="2"/>
      <c r="N17" s="2"/>
      <c r="O17" s="2"/>
      <c r="P17" s="2"/>
      <c r="Q17" s="2"/>
    </row>
    <row r="18" spans="2:17" x14ac:dyDescent="0.3">
      <c r="B18" s="2"/>
      <c r="C18" s="50"/>
      <c r="D18" s="2"/>
      <c r="E18" s="2"/>
      <c r="F18" s="2"/>
      <c r="G18" s="2"/>
      <c r="H18" s="2"/>
      <c r="K18" s="2"/>
      <c r="L18" s="50"/>
      <c r="M18" s="2"/>
      <c r="N18" s="2"/>
      <c r="O18" s="2"/>
      <c r="P18" s="2"/>
      <c r="Q18" s="2"/>
    </row>
    <row r="19" spans="2:17" x14ac:dyDescent="0.3">
      <c r="B19" s="2"/>
      <c r="C19" s="50"/>
      <c r="D19" s="2"/>
      <c r="E19" s="2"/>
      <c r="F19" s="2"/>
      <c r="G19" s="2"/>
      <c r="H19" s="2"/>
      <c r="K19" s="2"/>
      <c r="L19" s="50"/>
      <c r="M19" s="2"/>
      <c r="N19" s="2"/>
      <c r="O19" s="2"/>
      <c r="P19" s="2"/>
      <c r="Q19" s="2"/>
    </row>
    <row r="20" spans="2:17" x14ac:dyDescent="0.3">
      <c r="B20" s="2"/>
      <c r="C20" s="50"/>
      <c r="D20" s="2"/>
      <c r="E20" s="2"/>
      <c r="F20" s="2"/>
      <c r="G20" s="2"/>
      <c r="H20" s="2"/>
      <c r="K20" s="2"/>
      <c r="L20" s="50"/>
      <c r="M20" s="2"/>
      <c r="N20" s="2"/>
      <c r="O20" s="2"/>
      <c r="P20" s="2"/>
      <c r="Q20" s="2"/>
    </row>
    <row r="21" spans="2:17" x14ac:dyDescent="0.3">
      <c r="B21" s="2"/>
      <c r="C21" s="50"/>
      <c r="D21" s="2"/>
      <c r="E21" s="2"/>
      <c r="F21" s="2"/>
      <c r="G21" s="2"/>
      <c r="H21" s="2"/>
      <c r="K21" s="2"/>
      <c r="L21" s="50"/>
      <c r="M21" s="2"/>
      <c r="N21" s="2"/>
      <c r="O21" s="2"/>
      <c r="P21" s="2"/>
      <c r="Q21" s="2"/>
    </row>
    <row r="22" spans="2:17" x14ac:dyDescent="0.3">
      <c r="B22" s="2"/>
      <c r="C22" s="50"/>
      <c r="D22" s="2"/>
      <c r="E22" s="2"/>
      <c r="F22" s="2"/>
      <c r="G22" s="2"/>
      <c r="H22" s="2"/>
      <c r="K22" s="2"/>
      <c r="L22" s="50"/>
      <c r="M22" s="2"/>
      <c r="N22" s="2"/>
      <c r="O22" s="2"/>
      <c r="P22" s="2"/>
      <c r="Q22" s="2"/>
    </row>
    <row r="23" spans="2:17" x14ac:dyDescent="0.3">
      <c r="B23" s="2"/>
      <c r="C23" s="50"/>
      <c r="D23" s="2"/>
      <c r="E23" s="2"/>
      <c r="F23" s="2"/>
      <c r="G23" s="2"/>
      <c r="H23" s="2"/>
      <c r="K23" s="2"/>
      <c r="L23" s="50"/>
      <c r="M23" s="2"/>
      <c r="N23" s="2"/>
      <c r="O23" s="2"/>
      <c r="P23" s="2"/>
      <c r="Q23" s="2"/>
    </row>
    <row r="24" spans="2:17" x14ac:dyDescent="0.3">
      <c r="B24" s="2"/>
      <c r="C24" s="50"/>
      <c r="D24" s="2"/>
      <c r="E24" s="2"/>
      <c r="F24" s="2"/>
      <c r="G24" s="2"/>
      <c r="H24" s="2"/>
      <c r="K24" s="2"/>
      <c r="L24" s="50"/>
      <c r="M24" s="2"/>
      <c r="N24" s="2"/>
      <c r="O24" s="2"/>
      <c r="P24" s="2"/>
      <c r="Q24" s="2"/>
    </row>
    <row r="25" spans="2:17" x14ac:dyDescent="0.3">
      <c r="B25" s="2"/>
      <c r="C25" s="50"/>
      <c r="D25" s="2"/>
      <c r="E25" s="2"/>
      <c r="F25" s="2"/>
      <c r="G25" s="2"/>
      <c r="H25" s="2"/>
      <c r="K25" s="2"/>
      <c r="L25" s="50"/>
      <c r="M25" s="2"/>
      <c r="N25" s="2"/>
      <c r="O25" s="2"/>
      <c r="P25" s="2"/>
      <c r="Q25" s="2"/>
    </row>
    <row r="26" spans="2:17" x14ac:dyDescent="0.3">
      <c r="K26" s="2"/>
      <c r="L26" s="50"/>
      <c r="M26" s="2"/>
      <c r="N26" s="2"/>
      <c r="O26" s="2"/>
      <c r="P26" s="2"/>
      <c r="Q26" s="2"/>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F63F3-7F09-4BB5-A895-31B52496739E}">
  <sheetPr>
    <tabColor rgb="FF00B0F0"/>
  </sheetPr>
  <dimension ref="A1"/>
  <sheetViews>
    <sheetView workbookViewId="0">
      <selection activeCell="E39" sqref="E39"/>
    </sheetView>
  </sheetViews>
  <sheetFormatPr defaultRowHeight="14.4" x14ac:dyDescent="0.3"/>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9548-2198-4178-9DA1-BC549CED2F3A}">
  <dimension ref="A2:N70"/>
  <sheetViews>
    <sheetView showGridLines="0" workbookViewId="0">
      <selection activeCell="F34" sqref="F34"/>
    </sheetView>
  </sheetViews>
  <sheetFormatPr defaultRowHeight="14.4" x14ac:dyDescent="0.3"/>
  <cols>
    <col min="2" max="2" width="18.88671875" bestFit="1" customWidth="1"/>
    <col min="3" max="3" width="11.21875" bestFit="1" customWidth="1"/>
    <col min="5" max="5" width="15.88671875" bestFit="1" customWidth="1"/>
    <col min="6" max="6" width="11.21875" bestFit="1" customWidth="1"/>
    <col min="8" max="8" width="5.5546875" bestFit="1" customWidth="1"/>
    <col min="9" max="9" width="6.77734375" bestFit="1" customWidth="1"/>
    <col min="10" max="10" width="15.88671875" bestFit="1" customWidth="1"/>
    <col min="11" max="11" width="11.21875" bestFit="1" customWidth="1"/>
    <col min="12" max="12" width="4" bestFit="1" customWidth="1"/>
    <col min="13" max="13" width="8" bestFit="1" customWidth="1"/>
    <col min="14" max="14" width="7.88671875" bestFit="1" customWidth="1"/>
  </cols>
  <sheetData>
    <row r="2" spans="1:14" x14ac:dyDescent="0.3">
      <c r="A2" s="71" t="s">
        <v>8</v>
      </c>
      <c r="B2" s="10" t="s">
        <v>66</v>
      </c>
      <c r="C2" s="4" t="s">
        <v>78</v>
      </c>
      <c r="D2" s="4"/>
      <c r="E2" s="10" t="s">
        <v>66</v>
      </c>
      <c r="F2" s="4" t="s">
        <v>78</v>
      </c>
      <c r="H2" s="4" t="s">
        <v>2</v>
      </c>
      <c r="I2" s="4" t="s">
        <v>6</v>
      </c>
      <c r="J2" s="10" t="s">
        <v>66</v>
      </c>
      <c r="K2" s="4" t="s">
        <v>78</v>
      </c>
      <c r="L2" s="4" t="s">
        <v>39</v>
      </c>
      <c r="M2" s="4" t="s">
        <v>79</v>
      </c>
      <c r="N2" s="4" t="s">
        <v>40</v>
      </c>
    </row>
    <row r="3" spans="1:14" x14ac:dyDescent="0.3">
      <c r="B3" s="5" t="s">
        <v>150</v>
      </c>
      <c r="C3" s="50">
        <v>1081</v>
      </c>
      <c r="D3" s="2"/>
      <c r="E3" s="5" t="s">
        <v>21</v>
      </c>
      <c r="F3" s="50">
        <f>C9+C3</f>
        <v>1136</v>
      </c>
      <c r="H3" s="3" t="s">
        <v>149</v>
      </c>
      <c r="I3" s="50" t="s">
        <v>8</v>
      </c>
      <c r="J3" s="3" t="s">
        <v>21</v>
      </c>
      <c r="K3" s="50">
        <f>F3</f>
        <v>1136</v>
      </c>
      <c r="L3" s="3" t="s">
        <v>41</v>
      </c>
      <c r="M3" s="3" t="s">
        <v>42</v>
      </c>
      <c r="N3" s="3" t="s">
        <v>43</v>
      </c>
    </row>
    <row r="4" spans="1:14" x14ac:dyDescent="0.3">
      <c r="B4" s="5" t="s">
        <v>65</v>
      </c>
      <c r="C4" s="50">
        <v>4371</v>
      </c>
      <c r="D4" s="2"/>
      <c r="E4" s="5" t="s">
        <v>17</v>
      </c>
      <c r="F4" s="50">
        <f>C4</f>
        <v>4371</v>
      </c>
      <c r="H4" s="3" t="s">
        <v>149</v>
      </c>
      <c r="I4" s="50" t="s">
        <v>8</v>
      </c>
      <c r="J4" s="3" t="s">
        <v>17</v>
      </c>
      <c r="K4" s="50">
        <f t="shared" ref="K4:K9" si="0">F4</f>
        <v>4371</v>
      </c>
      <c r="L4" s="3" t="s">
        <v>41</v>
      </c>
      <c r="M4" s="3" t="s">
        <v>42</v>
      </c>
      <c r="N4" s="3" t="s">
        <v>43</v>
      </c>
    </row>
    <row r="5" spans="1:14" x14ac:dyDescent="0.3">
      <c r="B5" s="5" t="s">
        <v>16</v>
      </c>
      <c r="C5" s="50">
        <v>2287</v>
      </c>
      <c r="D5" s="2"/>
      <c r="E5" s="5" t="s">
        <v>16</v>
      </c>
      <c r="F5" s="50">
        <f>C5</f>
        <v>2287</v>
      </c>
      <c r="H5" s="3" t="s">
        <v>149</v>
      </c>
      <c r="I5" s="50" t="s">
        <v>8</v>
      </c>
      <c r="J5" s="3" t="s">
        <v>16</v>
      </c>
      <c r="K5" s="50">
        <f t="shared" si="0"/>
        <v>2287</v>
      </c>
      <c r="L5" s="3" t="s">
        <v>41</v>
      </c>
      <c r="M5" s="3" t="s">
        <v>42</v>
      </c>
      <c r="N5" s="3" t="s">
        <v>43</v>
      </c>
    </row>
    <row r="6" spans="1:14" x14ac:dyDescent="0.3">
      <c r="B6" s="5" t="s">
        <v>125</v>
      </c>
      <c r="C6" s="50">
        <v>332</v>
      </c>
      <c r="E6" s="5" t="s">
        <v>15</v>
      </c>
      <c r="F6" s="50">
        <f>C8</f>
        <v>1473</v>
      </c>
      <c r="H6" s="3" t="s">
        <v>149</v>
      </c>
      <c r="I6" s="50" t="s">
        <v>8</v>
      </c>
      <c r="J6" s="3" t="s">
        <v>15</v>
      </c>
      <c r="K6" s="50">
        <f t="shared" si="0"/>
        <v>1473</v>
      </c>
      <c r="L6" s="3" t="s">
        <v>41</v>
      </c>
      <c r="M6" s="3" t="s">
        <v>42</v>
      </c>
      <c r="N6" s="3" t="s">
        <v>43</v>
      </c>
    </row>
    <row r="7" spans="1:14" x14ac:dyDescent="0.3">
      <c r="B7" s="5" t="s">
        <v>113</v>
      </c>
      <c r="C7" s="50">
        <v>1740</v>
      </c>
      <c r="E7" s="5" t="s">
        <v>18</v>
      </c>
      <c r="F7" s="50">
        <f>C10</f>
        <v>1458</v>
      </c>
      <c r="H7" s="3" t="s">
        <v>149</v>
      </c>
      <c r="I7" s="50" t="s">
        <v>8</v>
      </c>
      <c r="J7" s="3" t="s">
        <v>18</v>
      </c>
      <c r="K7" s="50">
        <f t="shared" si="0"/>
        <v>1458</v>
      </c>
      <c r="L7" s="3" t="s">
        <v>41</v>
      </c>
      <c r="M7" s="3" t="s">
        <v>42</v>
      </c>
      <c r="N7" s="3" t="s">
        <v>43</v>
      </c>
    </row>
    <row r="8" spans="1:14" x14ac:dyDescent="0.3">
      <c r="B8" s="5" t="s">
        <v>151</v>
      </c>
      <c r="C8" s="50">
        <v>1473</v>
      </c>
      <c r="E8" s="5" t="s">
        <v>19</v>
      </c>
      <c r="F8" s="50">
        <f>C12</f>
        <v>785</v>
      </c>
      <c r="H8" s="3" t="s">
        <v>149</v>
      </c>
      <c r="I8" s="50" t="s">
        <v>8</v>
      </c>
      <c r="J8" s="3" t="s">
        <v>19</v>
      </c>
      <c r="K8" s="50">
        <f t="shared" si="0"/>
        <v>785</v>
      </c>
      <c r="L8" s="3" t="s">
        <v>41</v>
      </c>
      <c r="M8" s="3" t="s">
        <v>42</v>
      </c>
      <c r="N8" s="3" t="s">
        <v>43</v>
      </c>
    </row>
    <row r="9" spans="1:14" x14ac:dyDescent="0.3">
      <c r="B9" s="5" t="s">
        <v>152</v>
      </c>
      <c r="C9" s="50">
        <v>55</v>
      </c>
      <c r="E9" s="5" t="s">
        <v>22</v>
      </c>
      <c r="F9" s="50">
        <f>SUM(C11,C13:C15,C6:C7)</f>
        <v>3776</v>
      </c>
      <c r="H9" s="3" t="s">
        <v>149</v>
      </c>
      <c r="I9" s="50" t="s">
        <v>8</v>
      </c>
      <c r="J9" s="3" t="s">
        <v>22</v>
      </c>
      <c r="K9" s="50">
        <f t="shared" si="0"/>
        <v>3776</v>
      </c>
      <c r="L9" s="3" t="s">
        <v>41</v>
      </c>
      <c r="M9" s="3" t="s">
        <v>42</v>
      </c>
      <c r="N9" s="3" t="s">
        <v>43</v>
      </c>
    </row>
    <row r="10" spans="1:14" x14ac:dyDescent="0.3">
      <c r="B10" s="5" t="s">
        <v>18</v>
      </c>
      <c r="C10" s="50">
        <v>1458</v>
      </c>
      <c r="E10" s="5" t="s">
        <v>77</v>
      </c>
      <c r="F10" s="50">
        <f>SUM(F3:F9)</f>
        <v>15286</v>
      </c>
      <c r="H10" s="3" t="s">
        <v>149</v>
      </c>
      <c r="I10" s="50" t="s">
        <v>8</v>
      </c>
      <c r="J10" s="3" t="s">
        <v>77</v>
      </c>
      <c r="K10" s="50">
        <f>SUM(K3:K9)</f>
        <v>15286</v>
      </c>
      <c r="L10" s="3" t="s">
        <v>41</v>
      </c>
      <c r="M10" s="3" t="s">
        <v>42</v>
      </c>
      <c r="N10" s="3" t="s">
        <v>43</v>
      </c>
    </row>
    <row r="11" spans="1:14" x14ac:dyDescent="0.3">
      <c r="B11" s="5" t="s">
        <v>153</v>
      </c>
      <c r="C11" s="50">
        <v>1129</v>
      </c>
      <c r="E11" s="5"/>
      <c r="F11" s="50"/>
    </row>
    <row r="12" spans="1:14" x14ac:dyDescent="0.3">
      <c r="B12" s="5" t="s">
        <v>154</v>
      </c>
      <c r="C12" s="50">
        <v>785</v>
      </c>
      <c r="E12" s="5"/>
      <c r="F12" s="50"/>
    </row>
    <row r="13" spans="1:14" x14ac:dyDescent="0.3">
      <c r="B13" s="5" t="s">
        <v>155</v>
      </c>
      <c r="C13" s="50">
        <v>19</v>
      </c>
      <c r="F13" s="50"/>
    </row>
    <row r="14" spans="1:14" x14ac:dyDescent="0.3">
      <c r="B14" s="5" t="s">
        <v>117</v>
      </c>
      <c r="C14" s="50">
        <v>296</v>
      </c>
      <c r="F14" s="50"/>
    </row>
    <row r="15" spans="1:14" x14ac:dyDescent="0.3">
      <c r="B15" s="5" t="s">
        <v>22</v>
      </c>
      <c r="C15" s="50">
        <v>260</v>
      </c>
      <c r="F15" s="50"/>
    </row>
    <row r="16" spans="1:14" x14ac:dyDescent="0.3">
      <c r="B16" s="5" t="s">
        <v>77</v>
      </c>
      <c r="C16" s="50">
        <f>SUM(C3:C15)</f>
        <v>15286</v>
      </c>
    </row>
    <row r="21" spans="1:14" x14ac:dyDescent="0.3">
      <c r="A21" s="71" t="s">
        <v>7</v>
      </c>
      <c r="B21" s="10" t="s">
        <v>66</v>
      </c>
      <c r="C21" s="4" t="s">
        <v>78</v>
      </c>
      <c r="D21" s="4"/>
      <c r="E21" s="10" t="s">
        <v>66</v>
      </c>
      <c r="F21" s="4" t="s">
        <v>78</v>
      </c>
      <c r="H21" s="4" t="s">
        <v>2</v>
      </c>
      <c r="I21" s="4" t="s">
        <v>6</v>
      </c>
      <c r="J21" s="10" t="s">
        <v>66</v>
      </c>
      <c r="K21" s="4" t="s">
        <v>78</v>
      </c>
      <c r="L21" s="4" t="s">
        <v>39</v>
      </c>
      <c r="M21" s="4" t="s">
        <v>79</v>
      </c>
      <c r="N21" s="4" t="s">
        <v>40</v>
      </c>
    </row>
    <row r="22" spans="1:14" x14ac:dyDescent="0.3">
      <c r="B22" s="5" t="s">
        <v>150</v>
      </c>
      <c r="C22" s="50">
        <v>1166</v>
      </c>
      <c r="D22" s="2"/>
      <c r="E22" s="3" t="s">
        <v>21</v>
      </c>
      <c r="F22" s="50">
        <f>C22+C28</f>
        <v>1233</v>
      </c>
      <c r="G22" s="3"/>
      <c r="H22" s="3" t="s">
        <v>149</v>
      </c>
      <c r="I22" s="50" t="s">
        <v>7</v>
      </c>
      <c r="J22" s="3" t="s">
        <v>21</v>
      </c>
      <c r="K22" s="50">
        <v>1233</v>
      </c>
      <c r="L22" s="3" t="s">
        <v>41</v>
      </c>
      <c r="M22" s="3" t="s">
        <v>42</v>
      </c>
      <c r="N22" s="3" t="s">
        <v>43</v>
      </c>
    </row>
    <row r="23" spans="1:14" x14ac:dyDescent="0.3">
      <c r="B23" s="5" t="s">
        <v>65</v>
      </c>
      <c r="C23" s="50">
        <v>4243</v>
      </c>
      <c r="D23" s="2"/>
      <c r="E23" s="3" t="s">
        <v>17</v>
      </c>
      <c r="F23" s="50">
        <f>C23</f>
        <v>4243</v>
      </c>
      <c r="G23" s="3"/>
      <c r="H23" s="3" t="s">
        <v>149</v>
      </c>
      <c r="I23" s="50" t="s">
        <v>7</v>
      </c>
      <c r="J23" s="3" t="s">
        <v>17</v>
      </c>
      <c r="K23" s="50">
        <v>4243</v>
      </c>
      <c r="L23" s="3" t="s">
        <v>41</v>
      </c>
      <c r="M23" s="3" t="s">
        <v>42</v>
      </c>
      <c r="N23" s="3" t="s">
        <v>43</v>
      </c>
    </row>
    <row r="24" spans="1:14" x14ac:dyDescent="0.3">
      <c r="B24" s="5" t="s">
        <v>16</v>
      </c>
      <c r="C24" s="50">
        <v>2233</v>
      </c>
      <c r="D24" s="2"/>
      <c r="E24" s="3" t="s">
        <v>16</v>
      </c>
      <c r="F24" s="50">
        <f>C24</f>
        <v>2233</v>
      </c>
      <c r="G24" s="2"/>
      <c r="H24" s="3" t="s">
        <v>149</v>
      </c>
      <c r="I24" s="50" t="s">
        <v>7</v>
      </c>
      <c r="J24" s="3" t="s">
        <v>16</v>
      </c>
      <c r="K24" s="50">
        <v>2233</v>
      </c>
      <c r="L24" s="3" t="s">
        <v>41</v>
      </c>
      <c r="M24" s="3" t="s">
        <v>42</v>
      </c>
      <c r="N24" s="3" t="s">
        <v>43</v>
      </c>
    </row>
    <row r="25" spans="1:14" x14ac:dyDescent="0.3">
      <c r="B25" s="5" t="s">
        <v>125</v>
      </c>
      <c r="C25" s="50">
        <v>406</v>
      </c>
      <c r="E25" s="3" t="s">
        <v>15</v>
      </c>
      <c r="F25" s="50">
        <f>C27</f>
        <v>1555</v>
      </c>
      <c r="H25" s="3" t="s">
        <v>149</v>
      </c>
      <c r="I25" s="50" t="s">
        <v>7</v>
      </c>
      <c r="J25" s="3" t="s">
        <v>15</v>
      </c>
      <c r="K25" s="50">
        <v>1555</v>
      </c>
      <c r="L25" s="3" t="s">
        <v>41</v>
      </c>
      <c r="M25" s="3" t="s">
        <v>42</v>
      </c>
      <c r="N25" s="3" t="s">
        <v>43</v>
      </c>
    </row>
    <row r="26" spans="1:14" x14ac:dyDescent="0.3">
      <c r="B26" s="5" t="s">
        <v>113</v>
      </c>
      <c r="C26" s="50">
        <v>1871</v>
      </c>
      <c r="E26" s="3" t="s">
        <v>18</v>
      </c>
      <c r="F26" s="50">
        <f>C29</f>
        <v>1369</v>
      </c>
      <c r="H26" s="3" t="s">
        <v>149</v>
      </c>
      <c r="I26" s="50" t="s">
        <v>7</v>
      </c>
      <c r="J26" s="3" t="s">
        <v>18</v>
      </c>
      <c r="K26" s="50">
        <v>1369</v>
      </c>
      <c r="L26" s="3" t="s">
        <v>41</v>
      </c>
      <c r="M26" s="3" t="s">
        <v>42</v>
      </c>
      <c r="N26" s="3" t="s">
        <v>43</v>
      </c>
    </row>
    <row r="27" spans="1:14" x14ac:dyDescent="0.3">
      <c r="B27" s="5" t="s">
        <v>151</v>
      </c>
      <c r="C27" s="50">
        <v>1555</v>
      </c>
      <c r="E27" s="3" t="s">
        <v>19</v>
      </c>
      <c r="F27" s="50">
        <f>C31</f>
        <v>798</v>
      </c>
      <c r="H27" s="3" t="s">
        <v>149</v>
      </c>
      <c r="I27" s="50" t="s">
        <v>7</v>
      </c>
      <c r="J27" s="3" t="s">
        <v>19</v>
      </c>
      <c r="K27" s="50">
        <v>798</v>
      </c>
      <c r="L27" s="3" t="s">
        <v>41</v>
      </c>
      <c r="M27" s="3" t="s">
        <v>42</v>
      </c>
      <c r="N27" s="3" t="s">
        <v>43</v>
      </c>
    </row>
    <row r="28" spans="1:14" x14ac:dyDescent="0.3">
      <c r="B28" s="5" t="s">
        <v>152</v>
      </c>
      <c r="C28" s="50">
        <v>67</v>
      </c>
      <c r="E28" s="3" t="s">
        <v>22</v>
      </c>
      <c r="F28" s="50">
        <f>SUM(C25:C26,C30,C32:C34)</f>
        <v>3999</v>
      </c>
      <c r="H28" s="3" t="s">
        <v>149</v>
      </c>
      <c r="I28" s="50" t="s">
        <v>7</v>
      </c>
      <c r="J28" s="3" t="s">
        <v>22</v>
      </c>
      <c r="K28" s="50">
        <v>3999</v>
      </c>
      <c r="L28" s="3" t="s">
        <v>41</v>
      </c>
      <c r="M28" s="3" t="s">
        <v>42</v>
      </c>
      <c r="N28" s="3" t="s">
        <v>43</v>
      </c>
    </row>
    <row r="29" spans="1:14" x14ac:dyDescent="0.3">
      <c r="B29" s="5" t="s">
        <v>18</v>
      </c>
      <c r="C29" s="50">
        <v>1369</v>
      </c>
      <c r="E29" s="3" t="s">
        <v>77</v>
      </c>
      <c r="F29" s="50">
        <f>SUM(F22:F28)</f>
        <v>15430</v>
      </c>
      <c r="H29" s="3" t="s">
        <v>149</v>
      </c>
      <c r="I29" s="50" t="s">
        <v>7</v>
      </c>
      <c r="J29" s="3" t="s">
        <v>77</v>
      </c>
      <c r="K29" s="50">
        <v>15430</v>
      </c>
      <c r="L29" s="3" t="s">
        <v>41</v>
      </c>
      <c r="M29" s="3" t="s">
        <v>42</v>
      </c>
      <c r="N29" s="3" t="s">
        <v>43</v>
      </c>
    </row>
    <row r="30" spans="1:14" x14ac:dyDescent="0.3">
      <c r="B30" s="5" t="s">
        <v>153</v>
      </c>
      <c r="C30" s="50">
        <v>1168</v>
      </c>
      <c r="E30" s="5"/>
      <c r="F30" s="50"/>
    </row>
    <row r="31" spans="1:14" x14ac:dyDescent="0.3">
      <c r="B31" s="5" t="s">
        <v>154</v>
      </c>
      <c r="C31" s="50">
        <v>798</v>
      </c>
      <c r="E31" s="5"/>
      <c r="F31" s="50"/>
    </row>
    <row r="32" spans="1:14" x14ac:dyDescent="0.3">
      <c r="B32" s="5" t="s">
        <v>155</v>
      </c>
      <c r="C32" s="50">
        <v>19</v>
      </c>
      <c r="F32" s="50"/>
    </row>
    <row r="33" spans="1:14" x14ac:dyDescent="0.3">
      <c r="B33" s="5" t="s">
        <v>156</v>
      </c>
      <c r="C33" s="50">
        <v>272</v>
      </c>
      <c r="F33" s="50"/>
    </row>
    <row r="34" spans="1:14" x14ac:dyDescent="0.3">
      <c r="B34" s="5" t="s">
        <v>22</v>
      </c>
      <c r="C34" s="50">
        <v>263</v>
      </c>
      <c r="F34" s="50"/>
    </row>
    <row r="35" spans="1:14" x14ac:dyDescent="0.3">
      <c r="B35" s="5" t="s">
        <v>77</v>
      </c>
      <c r="C35" s="50">
        <f>SUM(C22:C34)</f>
        <v>15430</v>
      </c>
      <c r="F35" s="50"/>
    </row>
    <row r="40" spans="1:14" x14ac:dyDescent="0.3">
      <c r="A40" s="71" t="s">
        <v>9</v>
      </c>
      <c r="B40" s="10" t="s">
        <v>66</v>
      </c>
      <c r="C40" s="4" t="s">
        <v>78</v>
      </c>
      <c r="D40" s="4"/>
      <c r="E40" s="10" t="s">
        <v>66</v>
      </c>
      <c r="F40" s="4" t="s">
        <v>78</v>
      </c>
      <c r="H40" s="4" t="s">
        <v>2</v>
      </c>
      <c r="I40" s="4" t="s">
        <v>6</v>
      </c>
      <c r="J40" s="10" t="s">
        <v>66</v>
      </c>
      <c r="K40" s="4" t="s">
        <v>78</v>
      </c>
      <c r="L40" s="4" t="s">
        <v>39</v>
      </c>
      <c r="M40" s="4" t="s">
        <v>79</v>
      </c>
      <c r="N40" s="4" t="s">
        <v>40</v>
      </c>
    </row>
    <row r="41" spans="1:14" x14ac:dyDescent="0.3">
      <c r="B41" s="5" t="s">
        <v>150</v>
      </c>
      <c r="C41" s="50">
        <v>1128</v>
      </c>
      <c r="D41" s="2"/>
      <c r="E41" s="5" t="s">
        <v>21</v>
      </c>
      <c r="F41" s="50">
        <f>C47+C41</f>
        <v>1207</v>
      </c>
      <c r="H41" s="3" t="s">
        <v>149</v>
      </c>
      <c r="I41" s="50" t="s">
        <v>9</v>
      </c>
      <c r="J41" s="3" t="s">
        <v>21</v>
      </c>
      <c r="K41" s="50">
        <f>F41</f>
        <v>1207</v>
      </c>
      <c r="L41" s="3" t="s">
        <v>41</v>
      </c>
      <c r="M41" s="3" t="s">
        <v>42</v>
      </c>
      <c r="N41" s="3" t="s">
        <v>43</v>
      </c>
    </row>
    <row r="42" spans="1:14" x14ac:dyDescent="0.3">
      <c r="B42" s="5" t="s">
        <v>65</v>
      </c>
      <c r="C42" s="50">
        <v>4279</v>
      </c>
      <c r="D42" s="2"/>
      <c r="E42" s="5" t="s">
        <v>17</v>
      </c>
      <c r="F42" s="50">
        <f>C42</f>
        <v>4279</v>
      </c>
      <c r="H42" s="3" t="s">
        <v>149</v>
      </c>
      <c r="I42" s="50" t="s">
        <v>9</v>
      </c>
      <c r="J42" s="3" t="s">
        <v>17</v>
      </c>
      <c r="K42" s="50">
        <f t="shared" ref="K42:K47" si="1">F42</f>
        <v>4279</v>
      </c>
      <c r="L42" s="3" t="s">
        <v>41</v>
      </c>
      <c r="M42" s="3" t="s">
        <v>42</v>
      </c>
      <c r="N42" s="3" t="s">
        <v>43</v>
      </c>
    </row>
    <row r="43" spans="1:14" x14ac:dyDescent="0.3">
      <c r="B43" s="5" t="s">
        <v>16</v>
      </c>
      <c r="C43" s="50">
        <v>2210</v>
      </c>
      <c r="D43" s="2"/>
      <c r="E43" s="5" t="s">
        <v>16</v>
      </c>
      <c r="F43" s="50">
        <f>C43</f>
        <v>2210</v>
      </c>
      <c r="H43" s="3" t="s">
        <v>149</v>
      </c>
      <c r="I43" s="50" t="s">
        <v>9</v>
      </c>
      <c r="J43" s="3" t="s">
        <v>16</v>
      </c>
      <c r="K43" s="50">
        <f t="shared" si="1"/>
        <v>2210</v>
      </c>
      <c r="L43" s="3" t="s">
        <v>41</v>
      </c>
      <c r="M43" s="3" t="s">
        <v>42</v>
      </c>
      <c r="N43" s="3" t="s">
        <v>43</v>
      </c>
    </row>
    <row r="44" spans="1:14" x14ac:dyDescent="0.3">
      <c r="B44" s="5" t="s">
        <v>125</v>
      </c>
      <c r="C44" s="50">
        <v>329</v>
      </c>
      <c r="E44" s="5" t="s">
        <v>15</v>
      </c>
      <c r="F44" s="50">
        <f>C46</f>
        <v>1574</v>
      </c>
      <c r="H44" s="3" t="s">
        <v>149</v>
      </c>
      <c r="I44" s="50" t="s">
        <v>9</v>
      </c>
      <c r="J44" s="3" t="s">
        <v>15</v>
      </c>
      <c r="K44" s="50">
        <f t="shared" si="1"/>
        <v>1574</v>
      </c>
      <c r="L44" s="3" t="s">
        <v>41</v>
      </c>
      <c r="M44" s="3" t="s">
        <v>42</v>
      </c>
      <c r="N44" s="3" t="s">
        <v>43</v>
      </c>
    </row>
    <row r="45" spans="1:14" x14ac:dyDescent="0.3">
      <c r="B45" s="5" t="s">
        <v>113</v>
      </c>
      <c r="C45" s="50">
        <v>1890</v>
      </c>
      <c r="E45" s="5" t="s">
        <v>18</v>
      </c>
      <c r="F45" s="50">
        <f>C48</f>
        <v>1382</v>
      </c>
      <c r="H45" s="3" t="s">
        <v>149</v>
      </c>
      <c r="I45" s="50" t="s">
        <v>9</v>
      </c>
      <c r="J45" s="3" t="s">
        <v>18</v>
      </c>
      <c r="K45" s="50">
        <f t="shared" si="1"/>
        <v>1382</v>
      </c>
      <c r="L45" s="3" t="s">
        <v>41</v>
      </c>
      <c r="M45" s="3" t="s">
        <v>42</v>
      </c>
      <c r="N45" s="3" t="s">
        <v>43</v>
      </c>
    </row>
    <row r="46" spans="1:14" x14ac:dyDescent="0.3">
      <c r="B46" s="5" t="s">
        <v>151</v>
      </c>
      <c r="C46" s="50">
        <v>1574</v>
      </c>
      <c r="E46" s="5" t="s">
        <v>19</v>
      </c>
      <c r="F46" s="50">
        <f>C50</f>
        <v>806</v>
      </c>
      <c r="H46" s="3" t="s">
        <v>149</v>
      </c>
      <c r="I46" s="50" t="s">
        <v>9</v>
      </c>
      <c r="J46" s="3" t="s">
        <v>19</v>
      </c>
      <c r="K46" s="50">
        <f t="shared" si="1"/>
        <v>806</v>
      </c>
      <c r="L46" s="3" t="s">
        <v>41</v>
      </c>
      <c r="M46" s="3" t="s">
        <v>42</v>
      </c>
      <c r="N46" s="3" t="s">
        <v>43</v>
      </c>
    </row>
    <row r="47" spans="1:14" x14ac:dyDescent="0.3">
      <c r="B47" s="5" t="s">
        <v>152</v>
      </c>
      <c r="C47" s="50">
        <v>79</v>
      </c>
      <c r="E47" s="5" t="s">
        <v>22</v>
      </c>
      <c r="F47" s="50">
        <f>SUM(C49,C51:C52,C44:C45)</f>
        <v>4102</v>
      </c>
      <c r="H47" s="3" t="s">
        <v>149</v>
      </c>
      <c r="I47" s="50" t="s">
        <v>9</v>
      </c>
      <c r="J47" s="3" t="s">
        <v>22</v>
      </c>
      <c r="K47" s="50">
        <f t="shared" si="1"/>
        <v>4102</v>
      </c>
      <c r="L47" s="3" t="s">
        <v>41</v>
      </c>
      <c r="M47" s="3" t="s">
        <v>42</v>
      </c>
      <c r="N47" s="3" t="s">
        <v>43</v>
      </c>
    </row>
    <row r="48" spans="1:14" x14ac:dyDescent="0.3">
      <c r="B48" s="5" t="s">
        <v>18</v>
      </c>
      <c r="C48" s="50">
        <v>1382</v>
      </c>
      <c r="E48" s="5" t="s">
        <v>77</v>
      </c>
      <c r="F48" s="50">
        <f>SUM(F41:F47)</f>
        <v>15560</v>
      </c>
      <c r="H48" s="3" t="s">
        <v>149</v>
      </c>
      <c r="I48" s="50" t="s">
        <v>9</v>
      </c>
      <c r="J48" s="3" t="s">
        <v>77</v>
      </c>
      <c r="K48" s="50">
        <f>SUM(K41:K47)</f>
        <v>15560</v>
      </c>
      <c r="L48" s="3" t="s">
        <v>41</v>
      </c>
      <c r="M48" s="3" t="s">
        <v>42</v>
      </c>
      <c r="N48" s="3" t="s">
        <v>43</v>
      </c>
    </row>
    <row r="49" spans="1:14" x14ac:dyDescent="0.3">
      <c r="B49" s="5" t="s">
        <v>153</v>
      </c>
      <c r="C49" s="50">
        <v>1273</v>
      </c>
      <c r="E49" s="5"/>
      <c r="F49" s="50"/>
    </row>
    <row r="50" spans="1:14" x14ac:dyDescent="0.3">
      <c r="B50" s="5" t="s">
        <v>154</v>
      </c>
      <c r="C50" s="50">
        <v>806</v>
      </c>
      <c r="E50" s="5"/>
      <c r="F50" s="50"/>
    </row>
    <row r="51" spans="1:14" x14ac:dyDescent="0.3">
      <c r="B51" s="5" t="s">
        <v>155</v>
      </c>
      <c r="C51" s="50">
        <v>13</v>
      </c>
      <c r="F51" s="50"/>
    </row>
    <row r="52" spans="1:14" x14ac:dyDescent="0.3">
      <c r="B52" s="5" t="s">
        <v>22</v>
      </c>
      <c r="C52" s="50">
        <v>597</v>
      </c>
      <c r="F52" s="50"/>
    </row>
    <row r="53" spans="1:14" x14ac:dyDescent="0.3">
      <c r="B53" s="5" t="s">
        <v>11</v>
      </c>
      <c r="C53" s="50">
        <f>SUM(C41:C52)</f>
        <v>15560</v>
      </c>
      <c r="F53" s="50"/>
    </row>
    <row r="57" spans="1:14" x14ac:dyDescent="0.3">
      <c r="A57" s="71" t="s">
        <v>10</v>
      </c>
      <c r="B57" s="10" t="s">
        <v>66</v>
      </c>
      <c r="C57" s="4" t="s">
        <v>78</v>
      </c>
      <c r="D57" s="4"/>
      <c r="E57" s="10" t="s">
        <v>66</v>
      </c>
      <c r="F57" s="4" t="s">
        <v>78</v>
      </c>
      <c r="H57" s="4" t="s">
        <v>2</v>
      </c>
      <c r="I57" s="4" t="s">
        <v>6</v>
      </c>
      <c r="J57" s="10" t="s">
        <v>66</v>
      </c>
      <c r="K57" s="4" t="s">
        <v>78</v>
      </c>
      <c r="L57" s="4" t="s">
        <v>39</v>
      </c>
      <c r="M57" s="4" t="s">
        <v>79</v>
      </c>
      <c r="N57" s="4" t="s">
        <v>40</v>
      </c>
    </row>
    <row r="58" spans="1:14" x14ac:dyDescent="0.3">
      <c r="B58" s="5" t="s">
        <v>150</v>
      </c>
      <c r="C58" s="50">
        <v>992</v>
      </c>
      <c r="D58" s="2"/>
      <c r="E58" s="5" t="s">
        <v>21</v>
      </c>
      <c r="F58" s="50">
        <f>C64+C58</f>
        <v>1085</v>
      </c>
      <c r="H58" s="3" t="s">
        <v>149</v>
      </c>
      <c r="I58" s="50" t="s">
        <v>10</v>
      </c>
      <c r="J58" s="3" t="s">
        <v>21</v>
      </c>
      <c r="K58" s="50">
        <f>F58</f>
        <v>1085</v>
      </c>
      <c r="L58" s="3" t="s">
        <v>41</v>
      </c>
      <c r="M58" s="3" t="s">
        <v>42</v>
      </c>
      <c r="N58" s="3" t="s">
        <v>43</v>
      </c>
    </row>
    <row r="59" spans="1:14" x14ac:dyDescent="0.3">
      <c r="B59" s="5" t="s">
        <v>65</v>
      </c>
      <c r="C59" s="50">
        <v>4052</v>
      </c>
      <c r="D59" s="2"/>
      <c r="E59" s="5" t="s">
        <v>17</v>
      </c>
      <c r="F59" s="50">
        <f>C59</f>
        <v>4052</v>
      </c>
      <c r="H59" s="3" t="s">
        <v>149</v>
      </c>
      <c r="I59" s="50" t="s">
        <v>10</v>
      </c>
      <c r="J59" s="3" t="s">
        <v>17</v>
      </c>
      <c r="K59" s="50">
        <f t="shared" ref="K59:K64" si="2">F59</f>
        <v>4052</v>
      </c>
      <c r="L59" s="3" t="s">
        <v>41</v>
      </c>
      <c r="M59" s="3" t="s">
        <v>42</v>
      </c>
      <c r="N59" s="3" t="s">
        <v>43</v>
      </c>
    </row>
    <row r="60" spans="1:14" x14ac:dyDescent="0.3">
      <c r="B60" s="5" t="s">
        <v>16</v>
      </c>
      <c r="C60" s="50">
        <v>2229</v>
      </c>
      <c r="D60" s="2"/>
      <c r="E60" s="5" t="s">
        <v>16</v>
      </c>
      <c r="F60" s="50">
        <f>C60</f>
        <v>2229</v>
      </c>
      <c r="H60" s="3" t="s">
        <v>149</v>
      </c>
      <c r="I60" s="50" t="s">
        <v>10</v>
      </c>
      <c r="J60" s="3" t="s">
        <v>16</v>
      </c>
      <c r="K60" s="50">
        <f t="shared" si="2"/>
        <v>2229</v>
      </c>
      <c r="L60" s="3" t="s">
        <v>41</v>
      </c>
      <c r="M60" s="3" t="s">
        <v>42</v>
      </c>
      <c r="N60" s="3" t="s">
        <v>43</v>
      </c>
    </row>
    <row r="61" spans="1:14" x14ac:dyDescent="0.3">
      <c r="B61" s="5" t="s">
        <v>125</v>
      </c>
      <c r="C61" s="50">
        <v>314</v>
      </c>
      <c r="E61" s="5" t="s">
        <v>15</v>
      </c>
      <c r="F61" s="50">
        <f>C63</f>
        <v>1504</v>
      </c>
      <c r="H61" s="3" t="s">
        <v>149</v>
      </c>
      <c r="I61" s="50" t="s">
        <v>10</v>
      </c>
      <c r="J61" s="3" t="s">
        <v>15</v>
      </c>
      <c r="K61" s="50">
        <f t="shared" si="2"/>
        <v>1504</v>
      </c>
      <c r="L61" s="3" t="s">
        <v>41</v>
      </c>
      <c r="M61" s="3" t="s">
        <v>42</v>
      </c>
      <c r="N61" s="3" t="s">
        <v>43</v>
      </c>
    </row>
    <row r="62" spans="1:14" x14ac:dyDescent="0.3">
      <c r="B62" s="5" t="s">
        <v>113</v>
      </c>
      <c r="C62" s="50">
        <v>2034</v>
      </c>
      <c r="E62" s="5" t="s">
        <v>18</v>
      </c>
      <c r="F62" s="50">
        <f>C65</f>
        <v>1396</v>
      </c>
      <c r="H62" s="3" t="s">
        <v>149</v>
      </c>
      <c r="I62" s="50" t="s">
        <v>10</v>
      </c>
      <c r="J62" s="3" t="s">
        <v>18</v>
      </c>
      <c r="K62" s="50">
        <f t="shared" si="2"/>
        <v>1396</v>
      </c>
      <c r="L62" s="3" t="s">
        <v>41</v>
      </c>
      <c r="M62" s="3" t="s">
        <v>42</v>
      </c>
      <c r="N62" s="3" t="s">
        <v>43</v>
      </c>
    </row>
    <row r="63" spans="1:14" x14ac:dyDescent="0.3">
      <c r="B63" s="5" t="s">
        <v>151</v>
      </c>
      <c r="C63" s="50">
        <v>1504</v>
      </c>
      <c r="E63" s="5" t="s">
        <v>19</v>
      </c>
      <c r="F63" s="50">
        <f>C67</f>
        <v>785</v>
      </c>
      <c r="H63" s="3" t="s">
        <v>149</v>
      </c>
      <c r="I63" s="50" t="s">
        <v>10</v>
      </c>
      <c r="J63" s="3" t="s">
        <v>19</v>
      </c>
      <c r="K63" s="50">
        <f t="shared" si="2"/>
        <v>785</v>
      </c>
      <c r="L63" s="3" t="s">
        <v>41</v>
      </c>
      <c r="M63" s="3" t="s">
        <v>42</v>
      </c>
      <c r="N63" s="3" t="s">
        <v>43</v>
      </c>
    </row>
    <row r="64" spans="1:14" x14ac:dyDescent="0.3">
      <c r="B64" s="5" t="s">
        <v>152</v>
      </c>
      <c r="C64" s="50">
        <v>93</v>
      </c>
      <c r="E64" s="5" t="s">
        <v>22</v>
      </c>
      <c r="F64" s="50">
        <f>SUM(C66,C68:C69,C61:C62)</f>
        <v>4311</v>
      </c>
      <c r="H64" s="3" t="s">
        <v>149</v>
      </c>
      <c r="I64" s="50" t="s">
        <v>10</v>
      </c>
      <c r="J64" s="3" t="s">
        <v>22</v>
      </c>
      <c r="K64" s="50">
        <f t="shared" si="2"/>
        <v>4311</v>
      </c>
      <c r="L64" s="3" t="s">
        <v>41</v>
      </c>
      <c r="M64" s="3" t="s">
        <v>42</v>
      </c>
      <c r="N64" s="3" t="s">
        <v>43</v>
      </c>
    </row>
    <row r="65" spans="2:14" x14ac:dyDescent="0.3">
      <c r="B65" s="5" t="s">
        <v>18</v>
      </c>
      <c r="C65" s="50">
        <v>1396</v>
      </c>
      <c r="E65" s="5" t="s">
        <v>77</v>
      </c>
      <c r="F65" s="50">
        <f>SUM(F58:F64)</f>
        <v>15362</v>
      </c>
      <c r="H65" s="3" t="s">
        <v>149</v>
      </c>
      <c r="I65" s="50" t="s">
        <v>10</v>
      </c>
      <c r="J65" s="3" t="s">
        <v>77</v>
      </c>
      <c r="K65" s="50">
        <f>SUM(K58:K64)</f>
        <v>15362</v>
      </c>
      <c r="L65" s="3" t="s">
        <v>41</v>
      </c>
      <c r="M65" s="3" t="s">
        <v>42</v>
      </c>
      <c r="N65" s="3" t="s">
        <v>43</v>
      </c>
    </row>
    <row r="66" spans="2:14" x14ac:dyDescent="0.3">
      <c r="B66" s="5" t="s">
        <v>153</v>
      </c>
      <c r="C66" s="50">
        <v>1382</v>
      </c>
      <c r="E66" s="5"/>
      <c r="F66" s="50"/>
    </row>
    <row r="67" spans="2:14" x14ac:dyDescent="0.3">
      <c r="B67" s="5" t="s">
        <v>154</v>
      </c>
      <c r="C67" s="50">
        <v>785</v>
      </c>
      <c r="E67" s="5"/>
      <c r="F67" s="50"/>
    </row>
    <row r="68" spans="2:14" x14ac:dyDescent="0.3">
      <c r="B68" s="5" t="s">
        <v>155</v>
      </c>
      <c r="C68" s="50">
        <v>17</v>
      </c>
      <c r="F68" s="50"/>
    </row>
    <row r="69" spans="2:14" x14ac:dyDescent="0.3">
      <c r="B69" s="5" t="s">
        <v>22</v>
      </c>
      <c r="C69" s="50">
        <v>564</v>
      </c>
      <c r="F69" s="50"/>
    </row>
    <row r="70" spans="2:14" x14ac:dyDescent="0.3">
      <c r="B70" s="5" t="s">
        <v>11</v>
      </c>
      <c r="C70" s="50">
        <f>SUM(C58:C69)</f>
        <v>15362</v>
      </c>
      <c r="F70" s="50"/>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398-1403-44B0-B332-AD9984EF3186}">
  <dimension ref="A1:J153"/>
  <sheetViews>
    <sheetView showGridLines="0" zoomScaleNormal="110" workbookViewId="0">
      <selection activeCell="I31" sqref="I31"/>
    </sheetView>
  </sheetViews>
  <sheetFormatPr defaultRowHeight="13.8" x14ac:dyDescent="0.3"/>
  <cols>
    <col min="1" max="1" width="8.88671875" style="89"/>
    <col min="2" max="2" width="18.88671875" style="89" bestFit="1" customWidth="1"/>
    <col min="3" max="3" width="9.5546875" style="89" bestFit="1" customWidth="1"/>
    <col min="4" max="4" width="11.109375" style="89" bestFit="1" customWidth="1"/>
    <col min="5" max="5" width="6.5546875" style="89" customWidth="1"/>
    <col min="6" max="6" width="17.109375" style="89" bestFit="1" customWidth="1"/>
    <col min="7" max="7" width="11.109375" style="89" bestFit="1" customWidth="1"/>
    <col min="8" max="16384" width="8.88671875" style="89"/>
  </cols>
  <sheetData>
    <row r="1" spans="1:3" x14ac:dyDescent="0.3">
      <c r="A1" s="121" t="s">
        <v>8</v>
      </c>
    </row>
    <row r="2" spans="1:3" x14ac:dyDescent="0.3">
      <c r="B2" s="93" t="s">
        <v>24</v>
      </c>
      <c r="C2" s="116">
        <v>15.3</v>
      </c>
    </row>
    <row r="4" spans="1:3" x14ac:dyDescent="0.3">
      <c r="B4" s="91" t="s">
        <v>66</v>
      </c>
      <c r="C4" s="90" t="s">
        <v>158</v>
      </c>
    </row>
    <row r="5" spans="1:3" x14ac:dyDescent="0.3">
      <c r="B5" s="102" t="s">
        <v>150</v>
      </c>
      <c r="C5" s="122">
        <v>7.0999999999999994E-2</v>
      </c>
    </row>
    <row r="6" spans="1:3" x14ac:dyDescent="0.3">
      <c r="B6" s="102" t="s">
        <v>65</v>
      </c>
      <c r="C6" s="122">
        <v>0.28599999999999998</v>
      </c>
    </row>
    <row r="7" spans="1:3" x14ac:dyDescent="0.3">
      <c r="B7" s="102" t="s">
        <v>16</v>
      </c>
      <c r="C7" s="122">
        <v>0.15</v>
      </c>
    </row>
    <row r="8" spans="1:3" x14ac:dyDescent="0.3">
      <c r="B8" s="102" t="s">
        <v>125</v>
      </c>
      <c r="C8" s="122">
        <v>2.1999999999999999E-2</v>
      </c>
    </row>
    <row r="9" spans="1:3" x14ac:dyDescent="0.3">
      <c r="B9" s="102" t="s">
        <v>113</v>
      </c>
      <c r="C9" s="122">
        <v>0.114</v>
      </c>
    </row>
    <row r="10" spans="1:3" x14ac:dyDescent="0.3">
      <c r="B10" s="102" t="s">
        <v>151</v>
      </c>
      <c r="C10" s="122">
        <v>9.6000000000000002E-2</v>
      </c>
    </row>
    <row r="11" spans="1:3" x14ac:dyDescent="0.3">
      <c r="B11" s="102" t="s">
        <v>152</v>
      </c>
      <c r="C11" s="122">
        <v>4.0000000000000001E-3</v>
      </c>
    </row>
    <row r="12" spans="1:3" x14ac:dyDescent="0.3">
      <c r="B12" s="102" t="s">
        <v>18</v>
      </c>
      <c r="C12" s="122">
        <v>9.5000000000000001E-2</v>
      </c>
    </row>
    <row r="13" spans="1:3" x14ac:dyDescent="0.3">
      <c r="B13" s="102" t="s">
        <v>153</v>
      </c>
      <c r="C13" s="122">
        <v>7.3999999999999996E-2</v>
      </c>
    </row>
    <row r="14" spans="1:3" x14ac:dyDescent="0.3">
      <c r="B14" s="102" t="s">
        <v>154</v>
      </c>
      <c r="C14" s="122">
        <v>5.0999999999999997E-2</v>
      </c>
    </row>
    <row r="15" spans="1:3" x14ac:dyDescent="0.3">
      <c r="B15" s="102" t="s">
        <v>155</v>
      </c>
      <c r="C15" s="122">
        <v>1E-3</v>
      </c>
    </row>
    <row r="16" spans="1:3" x14ac:dyDescent="0.3">
      <c r="B16" s="102" t="s">
        <v>156</v>
      </c>
      <c r="C16" s="122">
        <v>1.9E-2</v>
      </c>
    </row>
    <row r="17" spans="2:10" x14ac:dyDescent="0.3">
      <c r="B17" s="102" t="s">
        <v>22</v>
      </c>
      <c r="C17" s="122">
        <v>1.7000000000000001E-2</v>
      </c>
    </row>
    <row r="18" spans="2:10" x14ac:dyDescent="0.3">
      <c r="B18" s="102" t="s">
        <v>77</v>
      </c>
      <c r="C18" s="122">
        <f>SUM(C5:C17)</f>
        <v>1</v>
      </c>
    </row>
    <row r="19" spans="2:10" x14ac:dyDescent="0.3">
      <c r="B19" s="102"/>
      <c r="C19" s="122"/>
    </row>
    <row r="20" spans="2:10" x14ac:dyDescent="0.3">
      <c r="B20" s="102"/>
      <c r="C20" s="122"/>
    </row>
    <row r="21" spans="2:10" x14ac:dyDescent="0.3">
      <c r="B21" s="102"/>
      <c r="C21" s="122"/>
    </row>
    <row r="22" spans="2:10" x14ac:dyDescent="0.3">
      <c r="B22" s="102"/>
      <c r="C22" s="122"/>
    </row>
    <row r="23" spans="2:10" x14ac:dyDescent="0.3">
      <c r="B23" s="102"/>
      <c r="C23" s="122"/>
    </row>
    <row r="24" spans="2:10" x14ac:dyDescent="0.3">
      <c r="B24" s="102"/>
      <c r="C24" s="122"/>
    </row>
    <row r="25" spans="2:10" x14ac:dyDescent="0.3">
      <c r="B25" s="102"/>
      <c r="C25" s="122"/>
    </row>
    <row r="26" spans="2:10" x14ac:dyDescent="0.3">
      <c r="B26" s="102"/>
      <c r="C26" s="122"/>
    </row>
    <row r="27" spans="2:10" x14ac:dyDescent="0.3">
      <c r="B27" s="102"/>
      <c r="C27" s="122"/>
    </row>
    <row r="28" spans="2:10" x14ac:dyDescent="0.3">
      <c r="B28" s="102"/>
      <c r="C28" s="122"/>
    </row>
    <row r="29" spans="2:10" x14ac:dyDescent="0.3">
      <c r="B29" s="93" t="s">
        <v>24</v>
      </c>
      <c r="C29" s="122"/>
      <c r="F29" s="93" t="s">
        <v>1</v>
      </c>
    </row>
    <row r="31" spans="2:10" x14ac:dyDescent="0.3">
      <c r="B31" s="91" t="s">
        <v>66</v>
      </c>
      <c r="C31" s="90" t="s">
        <v>158</v>
      </c>
      <c r="D31" s="90" t="s">
        <v>78</v>
      </c>
      <c r="F31" s="91" t="s">
        <v>66</v>
      </c>
      <c r="G31" s="90" t="s">
        <v>78</v>
      </c>
      <c r="I31" s="89" t="b">
        <f>B31=F31</f>
        <v>1</v>
      </c>
      <c r="J31" s="89" t="b">
        <f>D31=G31</f>
        <v>1</v>
      </c>
    </row>
    <row r="32" spans="2:10" x14ac:dyDescent="0.3">
      <c r="B32" s="89" t="s">
        <v>17</v>
      </c>
      <c r="C32" s="113">
        <f>C6</f>
        <v>0.28599999999999998</v>
      </c>
      <c r="D32" s="118">
        <f t="shared" ref="D32:D38" si="0">$C$2*C32*1000</f>
        <v>4375.8</v>
      </c>
      <c r="E32" s="117"/>
      <c r="F32" s="89" t="s">
        <v>17</v>
      </c>
      <c r="G32" s="118">
        <v>4375</v>
      </c>
      <c r="I32" s="89" t="b">
        <f t="shared" ref="I32:I39" si="1">B32=F32</f>
        <v>1</v>
      </c>
      <c r="J32" s="99" t="b">
        <v>1</v>
      </c>
    </row>
    <row r="33" spans="1:10" x14ac:dyDescent="0.3">
      <c r="B33" s="89" t="s">
        <v>16</v>
      </c>
      <c r="C33" s="113">
        <f>C7</f>
        <v>0.15</v>
      </c>
      <c r="D33" s="118">
        <f t="shared" si="0"/>
        <v>2295</v>
      </c>
      <c r="E33" s="117"/>
      <c r="F33" s="89" t="s">
        <v>16</v>
      </c>
      <c r="G33" s="118">
        <v>2295</v>
      </c>
      <c r="I33" s="89" t="b">
        <f t="shared" si="1"/>
        <v>1</v>
      </c>
      <c r="J33" s="89" t="b">
        <f t="shared" ref="J33:J39" si="2">D33=G33</f>
        <v>1</v>
      </c>
    </row>
    <row r="34" spans="1:10" x14ac:dyDescent="0.3">
      <c r="B34" s="89" t="s">
        <v>18</v>
      </c>
      <c r="C34" s="113">
        <f>C12</f>
        <v>9.5000000000000001E-2</v>
      </c>
      <c r="D34" s="118">
        <f t="shared" si="0"/>
        <v>1453.5</v>
      </c>
      <c r="E34" s="117"/>
      <c r="F34" s="89" t="s">
        <v>18</v>
      </c>
      <c r="G34" s="118">
        <v>1453</v>
      </c>
      <c r="I34" s="89" t="b">
        <f t="shared" si="1"/>
        <v>1</v>
      </c>
      <c r="J34" s="99" t="b">
        <v>1</v>
      </c>
    </row>
    <row r="35" spans="1:10" x14ac:dyDescent="0.3">
      <c r="B35" s="89" t="s">
        <v>19</v>
      </c>
      <c r="C35" s="113">
        <f>C14</f>
        <v>5.0999999999999997E-2</v>
      </c>
      <c r="D35" s="118">
        <f t="shared" si="0"/>
        <v>780.3</v>
      </c>
      <c r="E35" s="117"/>
      <c r="F35" s="89" t="s">
        <v>19</v>
      </c>
      <c r="G35" s="118">
        <v>780</v>
      </c>
      <c r="I35" s="89" t="b">
        <f t="shared" si="1"/>
        <v>1</v>
      </c>
      <c r="J35" s="99" t="b">
        <v>1</v>
      </c>
    </row>
    <row r="36" spans="1:10" x14ac:dyDescent="0.3">
      <c r="B36" s="89" t="s">
        <v>15</v>
      </c>
      <c r="C36" s="113">
        <f>C10</f>
        <v>9.6000000000000002E-2</v>
      </c>
      <c r="D36" s="118">
        <f t="shared" si="0"/>
        <v>1468.8000000000002</v>
      </c>
      <c r="E36" s="117"/>
      <c r="F36" s="89" t="s">
        <v>15</v>
      </c>
      <c r="G36" s="118">
        <v>1468</v>
      </c>
      <c r="I36" s="89" t="b">
        <f t="shared" si="1"/>
        <v>1</v>
      </c>
      <c r="J36" s="99" t="b">
        <v>1</v>
      </c>
    </row>
    <row r="37" spans="1:10" x14ac:dyDescent="0.3">
      <c r="B37" s="89" t="s">
        <v>21</v>
      </c>
      <c r="C37" s="113">
        <f>C11+C5</f>
        <v>7.4999999999999997E-2</v>
      </c>
      <c r="D37" s="118">
        <f t="shared" si="0"/>
        <v>1147.5</v>
      </c>
      <c r="E37" s="117"/>
      <c r="F37" s="89" t="s">
        <v>21</v>
      </c>
      <c r="G37" s="118">
        <v>1147</v>
      </c>
      <c r="I37" s="89" t="b">
        <f t="shared" si="1"/>
        <v>1</v>
      </c>
      <c r="J37" s="99" t="b">
        <v>1</v>
      </c>
    </row>
    <row r="38" spans="1:10" x14ac:dyDescent="0.3">
      <c r="B38" s="89" t="s">
        <v>22</v>
      </c>
      <c r="C38" s="113">
        <f>SUM(C15:C17,C13,C8:C9)</f>
        <v>0.247</v>
      </c>
      <c r="D38" s="118">
        <f t="shared" si="0"/>
        <v>3779.1</v>
      </c>
      <c r="E38" s="117"/>
      <c r="F38" s="89" t="s">
        <v>22</v>
      </c>
      <c r="G38" s="118">
        <v>3779</v>
      </c>
      <c r="I38" s="89" t="b">
        <f t="shared" si="1"/>
        <v>1</v>
      </c>
      <c r="J38" s="99" t="b">
        <v>1</v>
      </c>
    </row>
    <row r="39" spans="1:10" x14ac:dyDescent="0.3">
      <c r="B39" s="93" t="s">
        <v>77</v>
      </c>
      <c r="C39" s="119">
        <f>SUM(C32:C38)</f>
        <v>0.99999999999999989</v>
      </c>
      <c r="D39" s="120">
        <f>SUM(D32:D38)</f>
        <v>15300.000000000002</v>
      </c>
      <c r="E39" s="117"/>
      <c r="F39" s="89" t="s">
        <v>77</v>
      </c>
      <c r="G39" s="120">
        <v>15300.000000000002</v>
      </c>
      <c r="I39" s="89" t="b">
        <f t="shared" si="1"/>
        <v>1</v>
      </c>
      <c r="J39" s="89" t="b">
        <f t="shared" si="2"/>
        <v>1</v>
      </c>
    </row>
    <row r="41" spans="1:10" x14ac:dyDescent="0.3">
      <c r="B41" s="93" t="s">
        <v>5</v>
      </c>
      <c r="C41" s="57">
        <f>18/18</f>
        <v>1</v>
      </c>
    </row>
    <row r="43" spans="1:10" x14ac:dyDescent="0.3">
      <c r="A43" s="121" t="s">
        <v>7</v>
      </c>
    </row>
    <row r="44" spans="1:10" x14ac:dyDescent="0.3">
      <c r="B44" s="93" t="s">
        <v>24</v>
      </c>
      <c r="C44" s="116">
        <v>15.4</v>
      </c>
    </row>
    <row r="46" spans="1:10" x14ac:dyDescent="0.3">
      <c r="B46" s="91" t="s">
        <v>66</v>
      </c>
      <c r="C46" s="90" t="s">
        <v>158</v>
      </c>
    </row>
    <row r="47" spans="1:10" x14ac:dyDescent="0.3">
      <c r="B47" s="102" t="s">
        <v>150</v>
      </c>
      <c r="C47" s="122">
        <v>7.4999999999999997E-2</v>
      </c>
    </row>
    <row r="48" spans="1:10" x14ac:dyDescent="0.3">
      <c r="B48" s="102" t="s">
        <v>65</v>
      </c>
      <c r="C48" s="122">
        <v>0.27500000000000002</v>
      </c>
    </row>
    <row r="49" spans="2:3" x14ac:dyDescent="0.3">
      <c r="B49" s="102" t="s">
        <v>16</v>
      </c>
      <c r="C49" s="122">
        <v>0.14499999999999999</v>
      </c>
    </row>
    <row r="50" spans="2:3" x14ac:dyDescent="0.3">
      <c r="B50" s="102" t="s">
        <v>125</v>
      </c>
      <c r="C50" s="122">
        <v>2.5999999999999999E-2</v>
      </c>
    </row>
    <row r="51" spans="2:3" x14ac:dyDescent="0.3">
      <c r="B51" s="102" t="s">
        <v>113</v>
      </c>
      <c r="C51" s="122">
        <v>0.121</v>
      </c>
    </row>
    <row r="52" spans="2:3" x14ac:dyDescent="0.3">
      <c r="B52" s="102" t="s">
        <v>151</v>
      </c>
      <c r="C52" s="122">
        <v>0.10100000000000001</v>
      </c>
    </row>
    <row r="53" spans="2:3" x14ac:dyDescent="0.3">
      <c r="B53" s="102" t="s">
        <v>152</v>
      </c>
      <c r="C53" s="122">
        <v>4.0000000000000001E-3</v>
      </c>
    </row>
    <row r="54" spans="2:3" x14ac:dyDescent="0.3">
      <c r="B54" s="102" t="s">
        <v>18</v>
      </c>
      <c r="C54" s="122">
        <v>8.8999999999999996E-2</v>
      </c>
    </row>
    <row r="55" spans="2:3" x14ac:dyDescent="0.3">
      <c r="B55" s="102" t="s">
        <v>153</v>
      </c>
      <c r="C55" s="122">
        <v>7.5999999999999998E-2</v>
      </c>
    </row>
    <row r="56" spans="2:3" x14ac:dyDescent="0.3">
      <c r="B56" s="102" t="s">
        <v>154</v>
      </c>
      <c r="C56" s="122">
        <v>5.1999999999999998E-2</v>
      </c>
    </row>
    <row r="57" spans="2:3" x14ac:dyDescent="0.3">
      <c r="B57" s="102" t="s">
        <v>155</v>
      </c>
      <c r="C57" s="122">
        <v>1E-3</v>
      </c>
    </row>
    <row r="58" spans="2:3" x14ac:dyDescent="0.3">
      <c r="B58" s="102" t="s">
        <v>156</v>
      </c>
      <c r="C58" s="122">
        <v>1.7999999999999999E-2</v>
      </c>
    </row>
    <row r="59" spans="2:3" x14ac:dyDescent="0.3">
      <c r="B59" s="102" t="s">
        <v>22</v>
      </c>
      <c r="C59" s="122">
        <v>1.7000000000000001E-2</v>
      </c>
    </row>
    <row r="60" spans="2:3" x14ac:dyDescent="0.3">
      <c r="B60" s="102" t="s">
        <v>77</v>
      </c>
      <c r="C60" s="122">
        <f>SUM(C47:C59)</f>
        <v>1</v>
      </c>
    </row>
    <row r="61" spans="2:3" x14ac:dyDescent="0.3">
      <c r="B61" s="102"/>
      <c r="C61" s="122"/>
    </row>
    <row r="62" spans="2:3" x14ac:dyDescent="0.3">
      <c r="B62" s="102"/>
      <c r="C62" s="122"/>
    </row>
    <row r="63" spans="2:3" x14ac:dyDescent="0.3">
      <c r="B63" s="102"/>
      <c r="C63" s="122"/>
    </row>
    <row r="64" spans="2:3" x14ac:dyDescent="0.3">
      <c r="B64" s="102"/>
      <c r="C64" s="122"/>
    </row>
    <row r="65" spans="2:10" x14ac:dyDescent="0.3">
      <c r="B65" s="102"/>
      <c r="C65" s="122"/>
    </row>
    <row r="66" spans="2:10" x14ac:dyDescent="0.3">
      <c r="B66" s="102"/>
      <c r="C66" s="122"/>
    </row>
    <row r="67" spans="2:10" x14ac:dyDescent="0.3">
      <c r="B67" s="102"/>
      <c r="C67" s="122"/>
    </row>
    <row r="68" spans="2:10" x14ac:dyDescent="0.3">
      <c r="B68" s="93" t="s">
        <v>24</v>
      </c>
      <c r="C68" s="122"/>
      <c r="F68" s="93" t="s">
        <v>1</v>
      </c>
    </row>
    <row r="70" spans="2:10" x14ac:dyDescent="0.3">
      <c r="B70" s="91" t="s">
        <v>66</v>
      </c>
      <c r="C70" s="90" t="s">
        <v>158</v>
      </c>
      <c r="D70" s="90" t="s">
        <v>78</v>
      </c>
      <c r="F70" s="91" t="s">
        <v>66</v>
      </c>
      <c r="G70" s="90" t="s">
        <v>78</v>
      </c>
      <c r="I70" s="89" t="b">
        <f>B70=F70</f>
        <v>1</v>
      </c>
      <c r="J70" s="89" t="b">
        <f>D70=G70</f>
        <v>1</v>
      </c>
    </row>
    <row r="71" spans="2:10" x14ac:dyDescent="0.3">
      <c r="B71" s="89" t="s">
        <v>17</v>
      </c>
      <c r="C71" s="113">
        <f>C48</f>
        <v>0.27500000000000002</v>
      </c>
      <c r="D71" s="118">
        <f>$C$44*C71*1000</f>
        <v>4235</v>
      </c>
      <c r="F71" s="89" t="s">
        <v>17</v>
      </c>
      <c r="G71" s="118">
        <v>4235</v>
      </c>
      <c r="I71" s="89" t="b">
        <f t="shared" ref="I71:I78" si="3">B71=F71</f>
        <v>1</v>
      </c>
      <c r="J71" s="89" t="b">
        <f t="shared" ref="J71:J78" si="4">D71=G71</f>
        <v>1</v>
      </c>
    </row>
    <row r="72" spans="2:10" x14ac:dyDescent="0.3">
      <c r="B72" s="89" t="s">
        <v>16</v>
      </c>
      <c r="C72" s="113">
        <f>C49</f>
        <v>0.14499999999999999</v>
      </c>
      <c r="D72" s="118">
        <f t="shared" ref="D72:D77" si="5">$C$44*C72*1000</f>
        <v>2233</v>
      </c>
      <c r="F72" s="89" t="s">
        <v>16</v>
      </c>
      <c r="G72" s="118">
        <v>2233</v>
      </c>
      <c r="I72" s="89" t="b">
        <f t="shared" si="3"/>
        <v>1</v>
      </c>
      <c r="J72" s="89" t="b">
        <f t="shared" si="4"/>
        <v>1</v>
      </c>
    </row>
    <row r="73" spans="2:10" x14ac:dyDescent="0.3">
      <c r="B73" s="89" t="s">
        <v>18</v>
      </c>
      <c r="C73" s="113">
        <f>C54</f>
        <v>8.8999999999999996E-2</v>
      </c>
      <c r="D73" s="118">
        <f t="shared" si="5"/>
        <v>1370.6000000000001</v>
      </c>
      <c r="F73" s="89" t="s">
        <v>18</v>
      </c>
      <c r="G73" s="118">
        <v>1371</v>
      </c>
      <c r="I73" s="89" t="b">
        <f t="shared" si="3"/>
        <v>1</v>
      </c>
      <c r="J73" s="99" t="b">
        <v>1</v>
      </c>
    </row>
    <row r="74" spans="2:10" x14ac:dyDescent="0.3">
      <c r="B74" s="89" t="s">
        <v>19</v>
      </c>
      <c r="C74" s="113">
        <f>C56</f>
        <v>5.1999999999999998E-2</v>
      </c>
      <c r="D74" s="118">
        <f t="shared" si="5"/>
        <v>800.8</v>
      </c>
      <c r="F74" s="89" t="s">
        <v>19</v>
      </c>
      <c r="G74" s="118">
        <v>801</v>
      </c>
      <c r="I74" s="89" t="b">
        <f t="shared" si="3"/>
        <v>1</v>
      </c>
      <c r="J74" s="99" t="b">
        <v>1</v>
      </c>
    </row>
    <row r="75" spans="2:10" x14ac:dyDescent="0.3">
      <c r="B75" s="89" t="s">
        <v>15</v>
      </c>
      <c r="C75" s="113">
        <f>C52</f>
        <v>0.10100000000000001</v>
      </c>
      <c r="D75" s="118">
        <f t="shared" si="5"/>
        <v>1555.4</v>
      </c>
      <c r="F75" s="89" t="s">
        <v>15</v>
      </c>
      <c r="G75" s="118">
        <v>1555</v>
      </c>
      <c r="I75" s="89" t="b">
        <f t="shared" si="3"/>
        <v>1</v>
      </c>
      <c r="J75" s="99" t="b">
        <v>1</v>
      </c>
    </row>
    <row r="76" spans="2:10" x14ac:dyDescent="0.3">
      <c r="B76" s="89" t="s">
        <v>21</v>
      </c>
      <c r="C76" s="113">
        <f>C53+C47</f>
        <v>7.9000000000000001E-2</v>
      </c>
      <c r="D76" s="118">
        <f t="shared" si="5"/>
        <v>1216.6000000000001</v>
      </c>
      <c r="F76" s="89" t="s">
        <v>21</v>
      </c>
      <c r="G76" s="123">
        <v>1189</v>
      </c>
      <c r="I76" s="89" t="b">
        <f t="shared" si="3"/>
        <v>1</v>
      </c>
      <c r="J76" s="98" t="b">
        <f t="shared" si="4"/>
        <v>0</v>
      </c>
    </row>
    <row r="77" spans="2:10" x14ac:dyDescent="0.3">
      <c r="B77" s="89" t="s">
        <v>22</v>
      </c>
      <c r="C77" s="113">
        <f>SUM(C57:C59,C55,C50:C51)</f>
        <v>0.25900000000000001</v>
      </c>
      <c r="D77" s="118">
        <f t="shared" si="5"/>
        <v>3988.6000000000004</v>
      </c>
      <c r="F77" s="89" t="s">
        <v>22</v>
      </c>
      <c r="G77" s="123">
        <v>4013</v>
      </c>
      <c r="I77" s="89" t="b">
        <f t="shared" si="3"/>
        <v>1</v>
      </c>
      <c r="J77" s="98" t="b">
        <f t="shared" si="4"/>
        <v>0</v>
      </c>
    </row>
    <row r="78" spans="2:10" x14ac:dyDescent="0.3">
      <c r="B78" s="89" t="s">
        <v>77</v>
      </c>
      <c r="C78" s="113">
        <f>SUM(C71:C77)</f>
        <v>1</v>
      </c>
      <c r="D78" s="120">
        <f>SUM(D71:D77)</f>
        <v>15400</v>
      </c>
      <c r="F78" s="89" t="s">
        <v>77</v>
      </c>
      <c r="G78" s="120">
        <v>15400</v>
      </c>
      <c r="I78" s="89" t="b">
        <f t="shared" si="3"/>
        <v>1</v>
      </c>
      <c r="J78" s="89" t="b">
        <f t="shared" si="4"/>
        <v>1</v>
      </c>
    </row>
    <row r="80" spans="2:10" x14ac:dyDescent="0.3">
      <c r="B80" s="93" t="s">
        <v>5</v>
      </c>
      <c r="C80" s="57">
        <f>16/18</f>
        <v>0.88888888888888884</v>
      </c>
    </row>
    <row r="82" spans="1:3" x14ac:dyDescent="0.3">
      <c r="A82" s="121" t="s">
        <v>9</v>
      </c>
    </row>
    <row r="83" spans="1:3" x14ac:dyDescent="0.3">
      <c r="B83" s="93" t="s">
        <v>24</v>
      </c>
      <c r="C83" s="116">
        <v>15.6</v>
      </c>
    </row>
    <row r="85" spans="1:3" x14ac:dyDescent="0.3">
      <c r="B85" s="91" t="s">
        <v>66</v>
      </c>
      <c r="C85" s="90" t="s">
        <v>158</v>
      </c>
    </row>
    <row r="86" spans="1:3" x14ac:dyDescent="0.3">
      <c r="B86" s="102" t="s">
        <v>150</v>
      </c>
      <c r="C86" s="122">
        <v>7.1999999999999995E-2</v>
      </c>
    </row>
    <row r="87" spans="1:3" x14ac:dyDescent="0.3">
      <c r="B87" s="102" t="s">
        <v>65</v>
      </c>
      <c r="C87" s="122">
        <v>0.27500000000000002</v>
      </c>
    </row>
    <row r="88" spans="1:3" x14ac:dyDescent="0.3">
      <c r="B88" s="102" t="s">
        <v>16</v>
      </c>
      <c r="C88" s="122">
        <v>0.14199999999999999</v>
      </c>
    </row>
    <row r="89" spans="1:3" x14ac:dyDescent="0.3">
      <c r="B89" s="102" t="s">
        <v>125</v>
      </c>
      <c r="C89" s="122">
        <v>2.1000000000000001E-2</v>
      </c>
    </row>
    <row r="90" spans="1:3" x14ac:dyDescent="0.3">
      <c r="B90" s="102" t="s">
        <v>113</v>
      </c>
      <c r="C90" s="122">
        <v>0.122</v>
      </c>
    </row>
    <row r="91" spans="1:3" x14ac:dyDescent="0.3">
      <c r="B91" s="102" t="s">
        <v>151</v>
      </c>
      <c r="C91" s="122">
        <v>0.10100000000000001</v>
      </c>
    </row>
    <row r="92" spans="1:3" x14ac:dyDescent="0.3">
      <c r="B92" s="102" t="s">
        <v>152</v>
      </c>
      <c r="C92" s="122">
        <v>5.0000000000000001E-3</v>
      </c>
    </row>
    <row r="93" spans="1:3" x14ac:dyDescent="0.3">
      <c r="B93" s="102" t="s">
        <v>18</v>
      </c>
      <c r="C93" s="122">
        <v>8.8999999999999996E-2</v>
      </c>
    </row>
    <row r="94" spans="1:3" x14ac:dyDescent="0.3">
      <c r="B94" s="102" t="s">
        <v>153</v>
      </c>
      <c r="C94" s="122">
        <v>8.2000000000000003E-2</v>
      </c>
    </row>
    <row r="95" spans="1:3" x14ac:dyDescent="0.3">
      <c r="B95" s="102" t="s">
        <v>154</v>
      </c>
      <c r="C95" s="122">
        <v>5.1999999999999998E-2</v>
      </c>
    </row>
    <row r="96" spans="1:3" x14ac:dyDescent="0.3">
      <c r="B96" s="102" t="s">
        <v>155</v>
      </c>
      <c r="C96" s="122">
        <v>1E-3</v>
      </c>
    </row>
    <row r="97" spans="2:10" x14ac:dyDescent="0.3">
      <c r="B97" s="102" t="s">
        <v>22</v>
      </c>
      <c r="C97" s="122">
        <v>3.7999999999999999E-2</v>
      </c>
    </row>
    <row r="98" spans="2:10" x14ac:dyDescent="0.3">
      <c r="B98" s="102" t="s">
        <v>77</v>
      </c>
      <c r="C98" s="122">
        <f>SUM(C86:C97)</f>
        <v>1</v>
      </c>
    </row>
    <row r="99" spans="2:10" x14ac:dyDescent="0.3">
      <c r="B99" s="102"/>
      <c r="C99" s="122"/>
    </row>
    <row r="100" spans="2:10" x14ac:dyDescent="0.3">
      <c r="B100" s="102"/>
      <c r="C100" s="122"/>
    </row>
    <row r="101" spans="2:10" x14ac:dyDescent="0.3">
      <c r="B101" s="102"/>
      <c r="C101" s="122"/>
    </row>
    <row r="102" spans="2:10" x14ac:dyDescent="0.3">
      <c r="B102" s="102"/>
      <c r="C102" s="122"/>
    </row>
    <row r="103" spans="2:10" x14ac:dyDescent="0.3">
      <c r="B103" s="102"/>
      <c r="C103" s="122"/>
    </row>
    <row r="104" spans="2:10" x14ac:dyDescent="0.3">
      <c r="B104" s="102"/>
      <c r="C104" s="122"/>
    </row>
    <row r="105" spans="2:10" x14ac:dyDescent="0.3">
      <c r="B105" s="93" t="s">
        <v>24</v>
      </c>
      <c r="F105" s="93" t="s">
        <v>1</v>
      </c>
    </row>
    <row r="107" spans="2:10" x14ac:dyDescent="0.3">
      <c r="B107" s="91" t="s">
        <v>66</v>
      </c>
      <c r="C107" s="90" t="s">
        <v>158</v>
      </c>
      <c r="D107" s="90" t="s">
        <v>78</v>
      </c>
      <c r="F107" s="91" t="s">
        <v>66</v>
      </c>
      <c r="G107" s="90" t="s">
        <v>78</v>
      </c>
      <c r="I107" s="89" t="b">
        <f>B107=F107</f>
        <v>1</v>
      </c>
      <c r="J107" s="89" t="b">
        <f>D107=G107</f>
        <v>1</v>
      </c>
    </row>
    <row r="108" spans="2:10" x14ac:dyDescent="0.3">
      <c r="B108" s="89" t="s">
        <v>17</v>
      </c>
      <c r="C108" s="113">
        <f>C87</f>
        <v>0.27500000000000002</v>
      </c>
      <c r="D108" s="118">
        <f>$C$83*C108*1000</f>
        <v>4290</v>
      </c>
      <c r="F108" s="89" t="s">
        <v>17</v>
      </c>
      <c r="G108" s="123">
        <v>4292</v>
      </c>
      <c r="I108" s="89" t="b">
        <f t="shared" ref="I108:I115" si="6">B108=F108</f>
        <v>1</v>
      </c>
      <c r="J108" s="98" t="b">
        <f>D108=G108</f>
        <v>0</v>
      </c>
    </row>
    <row r="109" spans="2:10" x14ac:dyDescent="0.3">
      <c r="B109" s="89" t="s">
        <v>16</v>
      </c>
      <c r="C109" s="113">
        <f>C88</f>
        <v>0.14199999999999999</v>
      </c>
      <c r="D109" s="118">
        <f t="shared" ref="D109:D114" si="7">$C$83*C109*1000</f>
        <v>2215.1999999999998</v>
      </c>
      <c r="F109" s="89" t="s">
        <v>16</v>
      </c>
      <c r="G109" s="123">
        <v>2212</v>
      </c>
      <c r="I109" s="89" t="b">
        <f t="shared" si="6"/>
        <v>1</v>
      </c>
      <c r="J109" s="98" t="b">
        <f>D109=G109</f>
        <v>0</v>
      </c>
    </row>
    <row r="110" spans="2:10" x14ac:dyDescent="0.3">
      <c r="B110" s="89" t="s">
        <v>18</v>
      </c>
      <c r="C110" s="113">
        <f>C93</f>
        <v>8.8999999999999996E-2</v>
      </c>
      <c r="D110" s="118">
        <f t="shared" si="7"/>
        <v>1388.3999999999999</v>
      </c>
      <c r="F110" s="89" t="s">
        <v>18</v>
      </c>
      <c r="G110" s="118">
        <v>1388</v>
      </c>
      <c r="I110" s="89" t="b">
        <f t="shared" si="6"/>
        <v>1</v>
      </c>
      <c r="J110" s="99" t="b">
        <v>1</v>
      </c>
    </row>
    <row r="111" spans="2:10" x14ac:dyDescent="0.3">
      <c r="B111" s="89" t="s">
        <v>19</v>
      </c>
      <c r="C111" s="113">
        <f>C95</f>
        <v>5.1999999999999998E-2</v>
      </c>
      <c r="D111" s="118">
        <f t="shared" si="7"/>
        <v>811.19999999999993</v>
      </c>
      <c r="F111" s="89" t="s">
        <v>19</v>
      </c>
      <c r="G111" s="118">
        <v>811</v>
      </c>
      <c r="I111" s="89" t="b">
        <f t="shared" si="6"/>
        <v>1</v>
      </c>
      <c r="J111" s="99" t="b">
        <v>1</v>
      </c>
    </row>
    <row r="112" spans="2:10" x14ac:dyDescent="0.3">
      <c r="B112" s="89" t="s">
        <v>15</v>
      </c>
      <c r="C112" s="113">
        <f>C91</f>
        <v>0.10100000000000001</v>
      </c>
      <c r="D112" s="118">
        <f t="shared" si="7"/>
        <v>1575.6000000000001</v>
      </c>
      <c r="F112" s="89" t="s">
        <v>15</v>
      </c>
      <c r="G112" s="118">
        <v>1575</v>
      </c>
      <c r="I112" s="89" t="b">
        <f t="shared" si="6"/>
        <v>1</v>
      </c>
      <c r="J112" s="99" t="b">
        <v>1</v>
      </c>
    </row>
    <row r="113" spans="1:10" x14ac:dyDescent="0.3">
      <c r="B113" s="89" t="s">
        <v>21</v>
      </c>
      <c r="C113" s="113">
        <f>C92+C86</f>
        <v>7.6999999999999999E-2</v>
      </c>
      <c r="D113" s="118">
        <f>$C$83*C113*1000</f>
        <v>1201.2</v>
      </c>
      <c r="F113" s="89" t="s">
        <v>21</v>
      </c>
      <c r="G113" s="123">
        <v>1158</v>
      </c>
      <c r="I113" s="89" t="b">
        <f t="shared" si="6"/>
        <v>1</v>
      </c>
      <c r="J113" s="98" t="b">
        <f>D113=G113</f>
        <v>0</v>
      </c>
    </row>
    <row r="114" spans="1:10" x14ac:dyDescent="0.3">
      <c r="B114" s="89" t="s">
        <v>22</v>
      </c>
      <c r="C114" s="113">
        <f>SUM(C96:C97,C94,C89:C90)</f>
        <v>0.26400000000000001</v>
      </c>
      <c r="D114" s="118">
        <f t="shared" si="7"/>
        <v>4118.4000000000005</v>
      </c>
      <c r="F114" s="89" t="s">
        <v>22</v>
      </c>
      <c r="G114" s="123">
        <v>2461</v>
      </c>
      <c r="I114" s="89" t="b">
        <f t="shared" si="6"/>
        <v>1</v>
      </c>
      <c r="J114" s="98" t="b">
        <f>D114=G114</f>
        <v>0</v>
      </c>
    </row>
    <row r="115" spans="1:10" x14ac:dyDescent="0.3">
      <c r="B115" s="89" t="s">
        <v>77</v>
      </c>
      <c r="C115" s="113">
        <f>SUM(C108:C114)</f>
        <v>1</v>
      </c>
      <c r="D115" s="120">
        <f>SUM(D108:D114)</f>
        <v>15600</v>
      </c>
      <c r="F115" s="89" t="s">
        <v>77</v>
      </c>
      <c r="G115" s="120">
        <v>15600</v>
      </c>
      <c r="I115" s="89" t="b">
        <f t="shared" si="6"/>
        <v>1</v>
      </c>
      <c r="J115" s="89" t="b">
        <f>D115=G115</f>
        <v>1</v>
      </c>
    </row>
    <row r="117" spans="1:10" x14ac:dyDescent="0.3">
      <c r="B117" s="93" t="s">
        <v>5</v>
      </c>
      <c r="C117" s="57">
        <f>14/18</f>
        <v>0.77777777777777779</v>
      </c>
    </row>
    <row r="119" spans="1:10" x14ac:dyDescent="0.3">
      <c r="A119" s="121" t="s">
        <v>10</v>
      </c>
    </row>
    <row r="120" spans="1:10" x14ac:dyDescent="0.3">
      <c r="B120" s="93" t="s">
        <v>24</v>
      </c>
      <c r="C120" s="116">
        <v>15.4</v>
      </c>
    </row>
    <row r="122" spans="1:10" x14ac:dyDescent="0.3">
      <c r="B122" s="91" t="s">
        <v>66</v>
      </c>
      <c r="C122" s="90" t="s">
        <v>158</v>
      </c>
    </row>
    <row r="123" spans="1:10" x14ac:dyDescent="0.3">
      <c r="B123" s="102" t="s">
        <v>150</v>
      </c>
      <c r="C123" s="122">
        <v>6.5000000000000002E-2</v>
      </c>
    </row>
    <row r="124" spans="1:10" x14ac:dyDescent="0.3">
      <c r="B124" s="102" t="s">
        <v>65</v>
      </c>
      <c r="C124" s="122">
        <v>0.26400000000000001</v>
      </c>
    </row>
    <row r="125" spans="1:10" x14ac:dyDescent="0.3">
      <c r="B125" s="102" t="s">
        <v>16</v>
      </c>
      <c r="C125" s="122">
        <v>0.14499999999999999</v>
      </c>
    </row>
    <row r="126" spans="1:10" x14ac:dyDescent="0.3">
      <c r="B126" s="102" t="s">
        <v>125</v>
      </c>
      <c r="C126" s="122">
        <v>0.02</v>
      </c>
    </row>
    <row r="127" spans="1:10" x14ac:dyDescent="0.3">
      <c r="B127" s="102" t="s">
        <v>113</v>
      </c>
      <c r="C127" s="122">
        <v>0.13200000000000001</v>
      </c>
    </row>
    <row r="128" spans="1:10" x14ac:dyDescent="0.3">
      <c r="B128" s="102" t="s">
        <v>151</v>
      </c>
      <c r="C128" s="122">
        <v>9.8000000000000004E-2</v>
      </c>
    </row>
    <row r="129" spans="2:10" x14ac:dyDescent="0.3">
      <c r="B129" s="102" t="s">
        <v>152</v>
      </c>
      <c r="C129" s="122">
        <v>6.0000000000000001E-3</v>
      </c>
    </row>
    <row r="130" spans="2:10" x14ac:dyDescent="0.3">
      <c r="B130" s="102" t="s">
        <v>18</v>
      </c>
      <c r="C130" s="122">
        <v>9.0999999999999998E-2</v>
      </c>
    </row>
    <row r="131" spans="2:10" x14ac:dyDescent="0.3">
      <c r="B131" s="102" t="s">
        <v>153</v>
      </c>
      <c r="C131" s="122">
        <v>0.09</v>
      </c>
    </row>
    <row r="132" spans="2:10" x14ac:dyDescent="0.3">
      <c r="B132" s="102" t="s">
        <v>154</v>
      </c>
      <c r="C132" s="122">
        <v>5.0999999999999997E-2</v>
      </c>
    </row>
    <row r="133" spans="2:10" x14ac:dyDescent="0.3">
      <c r="B133" s="102" t="s">
        <v>155</v>
      </c>
      <c r="C133" s="122">
        <v>1E-3</v>
      </c>
    </row>
    <row r="134" spans="2:10" x14ac:dyDescent="0.3">
      <c r="B134" s="102" t="s">
        <v>22</v>
      </c>
      <c r="C134" s="122">
        <v>3.6999999999999998E-2</v>
      </c>
    </row>
    <row r="135" spans="2:10" x14ac:dyDescent="0.3">
      <c r="B135" s="102" t="s">
        <v>77</v>
      </c>
      <c r="C135" s="122">
        <f>SUM(C123:C134)</f>
        <v>1</v>
      </c>
    </row>
    <row r="136" spans="2:10" x14ac:dyDescent="0.3">
      <c r="B136" s="102"/>
      <c r="C136" s="122"/>
    </row>
    <row r="137" spans="2:10" x14ac:dyDescent="0.3">
      <c r="B137" s="102"/>
      <c r="C137" s="122"/>
    </row>
    <row r="138" spans="2:10" x14ac:dyDescent="0.3">
      <c r="B138" s="102"/>
      <c r="C138" s="122"/>
    </row>
    <row r="139" spans="2:10" x14ac:dyDescent="0.3">
      <c r="B139" s="102"/>
      <c r="C139" s="122"/>
    </row>
    <row r="140" spans="2:10" x14ac:dyDescent="0.3">
      <c r="B140" s="102"/>
      <c r="C140" s="122"/>
    </row>
    <row r="141" spans="2:10" x14ac:dyDescent="0.3">
      <c r="B141" s="93" t="s">
        <v>24</v>
      </c>
      <c r="C141" s="122"/>
      <c r="F141" s="93" t="s">
        <v>1</v>
      </c>
    </row>
    <row r="143" spans="2:10" x14ac:dyDescent="0.3">
      <c r="B143" s="91" t="s">
        <v>66</v>
      </c>
      <c r="C143" s="90" t="s">
        <v>158</v>
      </c>
      <c r="D143" s="90" t="s">
        <v>78</v>
      </c>
      <c r="F143" s="91" t="s">
        <v>66</v>
      </c>
      <c r="G143" s="90" t="s">
        <v>78</v>
      </c>
      <c r="I143" s="89" t="b">
        <f>B143=F143</f>
        <v>1</v>
      </c>
      <c r="J143" s="89" t="b">
        <f>D143=G143</f>
        <v>1</v>
      </c>
    </row>
    <row r="144" spans="2:10" x14ac:dyDescent="0.3">
      <c r="B144" s="89" t="s">
        <v>17</v>
      </c>
      <c r="C144" s="113">
        <f>C124</f>
        <v>0.26400000000000001</v>
      </c>
      <c r="D144" s="118">
        <f t="shared" ref="D144:D150" si="8">$C$120*C144*1000</f>
        <v>4065.6</v>
      </c>
      <c r="F144" s="89" t="s">
        <v>17</v>
      </c>
      <c r="G144" s="118">
        <v>4067</v>
      </c>
      <c r="I144" s="89" t="b">
        <f t="shared" ref="I144:I151" si="9">B144=F144</f>
        <v>1</v>
      </c>
      <c r="J144" s="99" t="b">
        <v>1</v>
      </c>
    </row>
    <row r="145" spans="2:10" x14ac:dyDescent="0.3">
      <c r="B145" s="89" t="s">
        <v>16</v>
      </c>
      <c r="C145" s="113">
        <f>C125</f>
        <v>0.14499999999999999</v>
      </c>
      <c r="D145" s="118">
        <f t="shared" si="8"/>
        <v>2233</v>
      </c>
      <c r="F145" s="89" t="s">
        <v>16</v>
      </c>
      <c r="G145" s="118">
        <v>2233</v>
      </c>
      <c r="I145" s="89" t="b">
        <f t="shared" si="9"/>
        <v>1</v>
      </c>
      <c r="J145" s="89" t="b">
        <f t="shared" ref="J145:J151" si="10">D145=G145</f>
        <v>1</v>
      </c>
    </row>
    <row r="146" spans="2:10" x14ac:dyDescent="0.3">
      <c r="B146" s="89" t="s">
        <v>18</v>
      </c>
      <c r="C146" s="113">
        <f>C130</f>
        <v>9.0999999999999998E-2</v>
      </c>
      <c r="D146" s="118">
        <f t="shared" si="8"/>
        <v>1401.4</v>
      </c>
      <c r="F146" s="89" t="s">
        <v>18</v>
      </c>
      <c r="G146" s="118">
        <v>1401</v>
      </c>
      <c r="I146" s="89" t="b">
        <f t="shared" si="9"/>
        <v>1</v>
      </c>
      <c r="J146" s="99" t="b">
        <v>1</v>
      </c>
    </row>
    <row r="147" spans="2:10" x14ac:dyDescent="0.3">
      <c r="B147" s="89" t="s">
        <v>19</v>
      </c>
      <c r="C147" s="113">
        <f>C132</f>
        <v>5.0999999999999997E-2</v>
      </c>
      <c r="D147" s="118">
        <f t="shared" si="8"/>
        <v>785.4</v>
      </c>
      <c r="F147" s="89" t="s">
        <v>19</v>
      </c>
      <c r="G147" s="118">
        <v>785</v>
      </c>
      <c r="I147" s="89" t="b">
        <f t="shared" si="9"/>
        <v>1</v>
      </c>
      <c r="J147" s="99" t="b">
        <v>1</v>
      </c>
    </row>
    <row r="148" spans="2:10" x14ac:dyDescent="0.3">
      <c r="B148" s="89" t="s">
        <v>15</v>
      </c>
      <c r="C148" s="113">
        <f>C128</f>
        <v>9.8000000000000004E-2</v>
      </c>
      <c r="D148" s="118">
        <f t="shared" si="8"/>
        <v>1509.2</v>
      </c>
      <c r="F148" s="89" t="s">
        <v>15</v>
      </c>
      <c r="G148" s="118">
        <v>1509</v>
      </c>
      <c r="I148" s="89" t="b">
        <f t="shared" si="9"/>
        <v>1</v>
      </c>
      <c r="J148" s="99" t="b">
        <v>1</v>
      </c>
    </row>
    <row r="149" spans="2:10" x14ac:dyDescent="0.3">
      <c r="B149" s="89" t="s">
        <v>21</v>
      </c>
      <c r="C149" s="113">
        <f>C129+C123</f>
        <v>7.1000000000000008E-2</v>
      </c>
      <c r="D149" s="118">
        <f t="shared" si="8"/>
        <v>1093.4000000000001</v>
      </c>
      <c r="F149" s="89" t="s">
        <v>21</v>
      </c>
      <c r="G149" s="123">
        <v>1062</v>
      </c>
      <c r="I149" s="89" t="b">
        <f t="shared" si="9"/>
        <v>1</v>
      </c>
      <c r="J149" s="98" t="b">
        <f t="shared" si="10"/>
        <v>0</v>
      </c>
    </row>
    <row r="150" spans="2:10" x14ac:dyDescent="0.3">
      <c r="B150" s="89" t="s">
        <v>22</v>
      </c>
      <c r="C150" s="113">
        <f>SUM(C133:C134,C131,C126:C127)</f>
        <v>0.28000000000000003</v>
      </c>
      <c r="D150" s="118">
        <f t="shared" si="8"/>
        <v>4312</v>
      </c>
      <c r="F150" s="89" t="s">
        <v>22</v>
      </c>
      <c r="G150" s="123">
        <v>2339</v>
      </c>
      <c r="I150" s="89" t="b">
        <f t="shared" si="9"/>
        <v>1</v>
      </c>
      <c r="J150" s="98" t="b">
        <f t="shared" si="10"/>
        <v>0</v>
      </c>
    </row>
    <row r="151" spans="2:10" x14ac:dyDescent="0.3">
      <c r="B151" s="89" t="s">
        <v>77</v>
      </c>
      <c r="C151" s="113">
        <f>SUM(C144:C150)</f>
        <v>1</v>
      </c>
      <c r="D151" s="120">
        <f>SUM(D144:D150)</f>
        <v>15400</v>
      </c>
      <c r="F151" s="89" t="s">
        <v>77</v>
      </c>
      <c r="G151" s="120">
        <v>15400</v>
      </c>
      <c r="I151" s="89" t="b">
        <f t="shared" si="9"/>
        <v>1</v>
      </c>
      <c r="J151" s="89" t="b">
        <f t="shared" si="10"/>
        <v>1</v>
      </c>
    </row>
    <row r="153" spans="2:10" x14ac:dyDescent="0.3">
      <c r="B153" s="93" t="s">
        <v>5</v>
      </c>
      <c r="C153" s="57">
        <f>16/18</f>
        <v>0.88888888888888884</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9350-1508-4DA9-94D4-4FDBCB0CC148}">
  <dimension ref="B2:K14"/>
  <sheetViews>
    <sheetView showGridLines="0" zoomScale="85" workbookViewId="0">
      <selection activeCell="P41" sqref="P41"/>
    </sheetView>
  </sheetViews>
  <sheetFormatPr defaultRowHeight="14.4" x14ac:dyDescent="0.3"/>
  <cols>
    <col min="1" max="1" width="3.33203125" customWidth="1"/>
  </cols>
  <sheetData>
    <row r="2" spans="2:11" x14ac:dyDescent="0.3">
      <c r="B2" s="10" t="s">
        <v>31</v>
      </c>
      <c r="K2" s="10" t="s">
        <v>32</v>
      </c>
    </row>
    <row r="14" spans="2:11" x14ac:dyDescent="0.3">
      <c r="B14" s="10" t="s">
        <v>33</v>
      </c>
      <c r="K14" s="10" t="s">
        <v>30</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ABEB-7BF4-422E-9EED-2D238E0E857C}">
  <sheetPr>
    <tabColor rgb="FF00B0F0"/>
  </sheetPr>
  <dimension ref="A1"/>
  <sheetViews>
    <sheetView workbookViewId="0">
      <selection activeCell="M23" sqref="M23"/>
    </sheetView>
  </sheetViews>
  <sheetFormatPr defaultRowHeight="14.4" x14ac:dyDescent="0.3"/>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C25FE-EBE8-4AF6-992C-6E22977BF666}">
  <dimension ref="B1:W109"/>
  <sheetViews>
    <sheetView showGridLines="0" workbookViewId="0">
      <selection activeCell="C68" sqref="C68"/>
    </sheetView>
  </sheetViews>
  <sheetFormatPr defaultRowHeight="13.8" x14ac:dyDescent="0.25"/>
  <cols>
    <col min="1" max="1" width="2.88671875" style="2" customWidth="1"/>
    <col min="2" max="2" width="12" style="2" bestFit="1" customWidth="1"/>
    <col min="3" max="3" width="18.109375" style="2" bestFit="1" customWidth="1"/>
    <col min="4" max="5" width="11.88671875" style="2" customWidth="1"/>
    <col min="6" max="6" width="8.88671875" style="2"/>
    <col min="7" max="7" width="5.5546875" style="2" bestFit="1" customWidth="1"/>
    <col min="8" max="8" width="6.77734375" style="2" bestFit="1" customWidth="1"/>
    <col min="9" max="9" width="11.77734375" style="2" bestFit="1" customWidth="1"/>
    <col min="10" max="10" width="11.33203125" style="2" bestFit="1" customWidth="1"/>
    <col min="11" max="11" width="4" style="2" bestFit="1" customWidth="1"/>
    <col min="12" max="12" width="8.6640625" style="2" bestFit="1" customWidth="1"/>
    <col min="13" max="13" width="10.88671875" style="2" customWidth="1"/>
    <col min="14" max="14" width="8.88671875" style="2"/>
    <col min="15" max="15" width="17.88671875" style="2" bestFit="1" customWidth="1"/>
    <col min="16" max="17" width="10.5546875" style="2" bestFit="1" customWidth="1"/>
    <col min="18" max="18" width="8.88671875" style="2"/>
    <col min="19" max="19" width="10.77734375" style="2" bestFit="1" customWidth="1"/>
    <col min="20" max="20" width="10.5546875" style="2" bestFit="1" customWidth="1"/>
    <col min="21" max="16384" width="8.88671875" style="2"/>
  </cols>
  <sheetData>
    <row r="1" spans="2:23" x14ac:dyDescent="0.25">
      <c r="C1" s="5"/>
    </row>
    <row r="2" spans="2:23" x14ac:dyDescent="0.25">
      <c r="B2" s="8" t="s">
        <v>52</v>
      </c>
      <c r="C2" s="10" t="s">
        <v>26</v>
      </c>
    </row>
    <row r="3" spans="2:23" x14ac:dyDescent="0.25">
      <c r="B3" s="17">
        <f>175/250*60</f>
        <v>42</v>
      </c>
      <c r="C3" s="3" t="s">
        <v>54</v>
      </c>
      <c r="D3" s="2" t="s">
        <v>47</v>
      </c>
    </row>
    <row r="4" spans="2:23" x14ac:dyDescent="0.25">
      <c r="B4" s="19">
        <f>(215/250)*60</f>
        <v>51.6</v>
      </c>
      <c r="C4" s="3" t="s">
        <v>53</v>
      </c>
      <c r="D4" s="2" t="s">
        <v>60</v>
      </c>
    </row>
    <row r="5" spans="2:23" x14ac:dyDescent="0.25">
      <c r="B5" s="19">
        <f>276/250*60</f>
        <v>66.240000000000009</v>
      </c>
      <c r="C5" s="3" t="s">
        <v>55</v>
      </c>
      <c r="D5" s="2" t="s">
        <v>59</v>
      </c>
    </row>
    <row r="6" spans="2:23" x14ac:dyDescent="0.25">
      <c r="B6" s="19">
        <f>236/250*60</f>
        <v>56.64</v>
      </c>
      <c r="C6" s="3" t="s">
        <v>55</v>
      </c>
      <c r="D6" s="2" t="s">
        <v>45</v>
      </c>
    </row>
    <row r="7" spans="2:23" x14ac:dyDescent="0.25">
      <c r="B7" s="19">
        <f>155/250*60</f>
        <v>37.200000000000003</v>
      </c>
      <c r="C7" s="3" t="s">
        <v>55</v>
      </c>
      <c r="D7" s="2" t="s">
        <v>49</v>
      </c>
    </row>
    <row r="8" spans="2:23" x14ac:dyDescent="0.25">
      <c r="B8" s="19">
        <f>228/250*60</f>
        <v>54.72</v>
      </c>
      <c r="C8" s="3" t="s">
        <v>55</v>
      </c>
      <c r="D8" s="2" t="s">
        <v>50</v>
      </c>
    </row>
    <row r="9" spans="2:23" x14ac:dyDescent="0.25">
      <c r="C9" s="3"/>
    </row>
    <row r="10" spans="2:23" x14ac:dyDescent="0.25">
      <c r="C10" s="10"/>
    </row>
    <row r="11" spans="2:23" x14ac:dyDescent="0.25">
      <c r="C11" s="5"/>
      <c r="P11" s="22" t="s">
        <v>24</v>
      </c>
      <c r="S11" s="22" t="s">
        <v>1</v>
      </c>
    </row>
    <row r="12" spans="2:23" x14ac:dyDescent="0.25">
      <c r="C12" s="5"/>
      <c r="P12" s="5" t="s">
        <v>14</v>
      </c>
      <c r="Q12" s="2" t="s">
        <v>23</v>
      </c>
      <c r="S12" s="5" t="s">
        <v>14</v>
      </c>
      <c r="T12" s="2" t="s">
        <v>23</v>
      </c>
      <c r="V12" s="49" t="b">
        <f t="shared" ref="V12:V20" si="0">P12=S12</f>
        <v>1</v>
      </c>
      <c r="W12" s="49" t="b">
        <f t="shared" ref="W12:W20" si="1">Q12=T12</f>
        <v>1</v>
      </c>
    </row>
    <row r="13" spans="2:23" x14ac:dyDescent="0.25">
      <c r="C13" s="5"/>
      <c r="P13" s="5" t="s">
        <v>15</v>
      </c>
      <c r="Q13" s="15">
        <v>15.1</v>
      </c>
      <c r="S13" s="5" t="s">
        <v>15</v>
      </c>
      <c r="T13" s="15">
        <v>15.1</v>
      </c>
      <c r="V13" s="49" t="b">
        <f t="shared" si="0"/>
        <v>1</v>
      </c>
      <c r="W13" s="49" t="b">
        <f t="shared" si="1"/>
        <v>1</v>
      </c>
    </row>
    <row r="14" spans="2:23" x14ac:dyDescent="0.25">
      <c r="C14" s="5"/>
      <c r="P14" s="5" t="s">
        <v>16</v>
      </c>
      <c r="Q14" s="15">
        <v>13.2</v>
      </c>
      <c r="S14" s="5" t="s">
        <v>16</v>
      </c>
      <c r="T14" s="15">
        <v>13.2</v>
      </c>
      <c r="V14" s="49" t="b">
        <f t="shared" si="0"/>
        <v>1</v>
      </c>
      <c r="W14" s="49" t="b">
        <f t="shared" si="1"/>
        <v>1</v>
      </c>
    </row>
    <row r="15" spans="2:23" x14ac:dyDescent="0.25">
      <c r="C15" s="5"/>
      <c r="P15" s="5" t="s">
        <v>17</v>
      </c>
      <c r="Q15" s="15">
        <v>11</v>
      </c>
      <c r="S15" s="5" t="s">
        <v>17</v>
      </c>
      <c r="T15" s="27">
        <v>11</v>
      </c>
      <c r="V15" s="49" t="b">
        <f t="shared" si="0"/>
        <v>1</v>
      </c>
      <c r="W15" s="49" t="b">
        <f t="shared" si="1"/>
        <v>1</v>
      </c>
    </row>
    <row r="16" spans="2:23" x14ac:dyDescent="0.25">
      <c r="C16" s="5"/>
      <c r="P16" s="5" t="s">
        <v>18</v>
      </c>
      <c r="Q16" s="15">
        <v>5.6</v>
      </c>
      <c r="S16" s="5" t="s">
        <v>18</v>
      </c>
      <c r="T16" s="25">
        <v>5.6</v>
      </c>
      <c r="V16" s="49" t="b">
        <f t="shared" si="0"/>
        <v>1</v>
      </c>
      <c r="W16" s="49" t="b">
        <f t="shared" si="1"/>
        <v>1</v>
      </c>
    </row>
    <row r="17" spans="2:23" x14ac:dyDescent="0.25">
      <c r="C17" s="5"/>
      <c r="P17" s="5" t="s">
        <v>19</v>
      </c>
      <c r="Q17" s="15">
        <v>4.7</v>
      </c>
      <c r="S17" s="5" t="s">
        <v>19</v>
      </c>
      <c r="T17" s="15">
        <v>4.7</v>
      </c>
      <c r="V17" s="49" t="b">
        <f t="shared" si="0"/>
        <v>1</v>
      </c>
      <c r="W17" s="49" t="b">
        <f t="shared" si="1"/>
        <v>1</v>
      </c>
    </row>
    <row r="18" spans="2:23" x14ac:dyDescent="0.25">
      <c r="C18" s="5"/>
      <c r="P18" s="5" t="s">
        <v>51</v>
      </c>
      <c r="Q18" s="15">
        <v>2.2000000000000002</v>
      </c>
      <c r="S18" s="5" t="s">
        <v>51</v>
      </c>
      <c r="T18" s="15">
        <v>2.2000000000000002</v>
      </c>
      <c r="V18" s="49" t="b">
        <f t="shared" si="0"/>
        <v>1</v>
      </c>
      <c r="W18" s="49" t="b">
        <f t="shared" si="1"/>
        <v>1</v>
      </c>
    </row>
    <row r="19" spans="2:23" x14ac:dyDescent="0.25">
      <c r="C19" s="5"/>
      <c r="P19" s="5" t="s">
        <v>21</v>
      </c>
      <c r="Q19" s="15">
        <v>0.9</v>
      </c>
      <c r="S19" s="5" t="s">
        <v>21</v>
      </c>
      <c r="T19" s="15">
        <v>13.2</v>
      </c>
      <c r="V19" s="23" t="b">
        <f t="shared" si="0"/>
        <v>1</v>
      </c>
      <c r="W19" s="23" t="b">
        <f t="shared" si="1"/>
        <v>0</v>
      </c>
    </row>
    <row r="20" spans="2:23" x14ac:dyDescent="0.25">
      <c r="C20" s="5"/>
      <c r="P20" s="5" t="s">
        <v>22</v>
      </c>
      <c r="Q20" s="15">
        <v>13.2</v>
      </c>
      <c r="S20" s="5" t="s">
        <v>22</v>
      </c>
      <c r="T20" s="15">
        <v>0.9</v>
      </c>
      <c r="V20" s="23" t="b">
        <f t="shared" si="0"/>
        <v>1</v>
      </c>
      <c r="W20" s="23" t="b">
        <f t="shared" si="1"/>
        <v>0</v>
      </c>
    </row>
    <row r="21" spans="2:23" x14ac:dyDescent="0.25">
      <c r="C21" s="5"/>
      <c r="P21" s="5" t="s">
        <v>11</v>
      </c>
      <c r="Q21" s="15">
        <f>SUM(Q13:Q20)</f>
        <v>65.900000000000006</v>
      </c>
      <c r="S21" s="5" t="s">
        <v>11</v>
      </c>
      <c r="T21" s="15">
        <v>66</v>
      </c>
    </row>
    <row r="22" spans="2:23" x14ac:dyDescent="0.25">
      <c r="C22" s="5"/>
    </row>
    <row r="23" spans="2:23" x14ac:dyDescent="0.25">
      <c r="C23" s="5"/>
      <c r="S23" s="22" t="s">
        <v>5</v>
      </c>
      <c r="T23" s="21">
        <f>18/20</f>
        <v>0.9</v>
      </c>
    </row>
    <row r="24" spans="2:23" x14ac:dyDescent="0.25">
      <c r="C24" s="5"/>
    </row>
    <row r="25" spans="2:23" x14ac:dyDescent="0.25">
      <c r="C25" s="5"/>
    </row>
    <row r="26" spans="2:23" x14ac:dyDescent="0.25">
      <c r="C26" s="5"/>
    </row>
    <row r="27" spans="2:23" x14ac:dyDescent="0.25">
      <c r="C27" s="5"/>
    </row>
    <row r="28" spans="2:23" x14ac:dyDescent="0.25">
      <c r="C28" s="5"/>
    </row>
    <row r="29" spans="2:23" x14ac:dyDescent="0.25">
      <c r="C29" s="5"/>
    </row>
    <row r="30" spans="2:23" x14ac:dyDescent="0.25">
      <c r="C30" s="5"/>
    </row>
    <row r="31" spans="2:23" x14ac:dyDescent="0.25">
      <c r="B31" s="8" t="s">
        <v>52</v>
      </c>
      <c r="C31" s="10" t="s">
        <v>25</v>
      </c>
    </row>
    <row r="32" spans="2:23" x14ac:dyDescent="0.25">
      <c r="B32" s="17">
        <v>28</v>
      </c>
      <c r="C32" s="3" t="s">
        <v>54</v>
      </c>
      <c r="D32" s="2" t="s">
        <v>47</v>
      </c>
    </row>
    <row r="33" spans="2:23" x14ac:dyDescent="0.25">
      <c r="B33" s="17">
        <v>32</v>
      </c>
      <c r="C33" s="3" t="s">
        <v>53</v>
      </c>
      <c r="D33" s="2" t="s">
        <v>56</v>
      </c>
    </row>
    <row r="34" spans="2:23" x14ac:dyDescent="0.25">
      <c r="B34" s="17">
        <v>45</v>
      </c>
      <c r="C34" s="3" t="s">
        <v>55</v>
      </c>
      <c r="D34" s="2" t="s">
        <v>58</v>
      </c>
    </row>
    <row r="35" spans="2:23" x14ac:dyDescent="0.25">
      <c r="B35" s="17">
        <v>42</v>
      </c>
      <c r="C35" s="3" t="s">
        <v>55</v>
      </c>
      <c r="D35" s="2" t="s">
        <v>45</v>
      </c>
    </row>
    <row r="36" spans="2:23" x14ac:dyDescent="0.25">
      <c r="B36" s="17">
        <v>22</v>
      </c>
      <c r="C36" s="3" t="s">
        <v>55</v>
      </c>
      <c r="D36" s="2" t="s">
        <v>49</v>
      </c>
    </row>
    <row r="37" spans="2:23" x14ac:dyDescent="0.25">
      <c r="B37" s="17">
        <v>50</v>
      </c>
      <c r="C37" s="3" t="s">
        <v>55</v>
      </c>
      <c r="D37" s="2" t="s">
        <v>50</v>
      </c>
    </row>
    <row r="38" spans="2:23" x14ac:dyDescent="0.25">
      <c r="C38" s="3"/>
    </row>
    <row r="39" spans="2:23" x14ac:dyDescent="0.25">
      <c r="C39" s="5"/>
    </row>
    <row r="40" spans="2:23" x14ac:dyDescent="0.25">
      <c r="C40" s="5"/>
      <c r="P40" s="22" t="s">
        <v>24</v>
      </c>
      <c r="S40" s="22" t="s">
        <v>1</v>
      </c>
    </row>
    <row r="41" spans="2:23" x14ac:dyDescent="0.25">
      <c r="C41" s="5"/>
      <c r="P41" s="5" t="s">
        <v>14</v>
      </c>
      <c r="Q41" s="2" t="s">
        <v>23</v>
      </c>
      <c r="S41" s="5" t="s">
        <v>14</v>
      </c>
      <c r="T41" s="2" t="s">
        <v>23</v>
      </c>
      <c r="V41" s="49" t="b">
        <f t="shared" ref="V41:V49" si="2">P41=S41</f>
        <v>1</v>
      </c>
      <c r="W41" s="49" t="b">
        <f t="shared" ref="W41:W49" si="3">Q41=T41</f>
        <v>1</v>
      </c>
    </row>
    <row r="42" spans="2:23" x14ac:dyDescent="0.25">
      <c r="C42" s="5"/>
      <c r="P42" s="5" t="s">
        <v>15</v>
      </c>
      <c r="Q42" s="15">
        <v>15.8</v>
      </c>
      <c r="S42" s="5" t="s">
        <v>15</v>
      </c>
      <c r="T42" s="15">
        <v>15.8</v>
      </c>
      <c r="V42" s="49" t="b">
        <f t="shared" si="2"/>
        <v>1</v>
      </c>
      <c r="W42" s="49" t="b">
        <f t="shared" si="3"/>
        <v>1</v>
      </c>
    </row>
    <row r="43" spans="2:23" x14ac:dyDescent="0.25">
      <c r="C43" s="5"/>
      <c r="P43" s="5" t="s">
        <v>16</v>
      </c>
      <c r="Q43" s="15">
        <v>13.9</v>
      </c>
      <c r="S43" s="5" t="s">
        <v>16</v>
      </c>
      <c r="T43" s="15">
        <v>13.9</v>
      </c>
      <c r="V43" s="49" t="b">
        <f t="shared" si="2"/>
        <v>1</v>
      </c>
      <c r="W43" s="49" t="b">
        <f t="shared" si="3"/>
        <v>1</v>
      </c>
    </row>
    <row r="44" spans="2:23" x14ac:dyDescent="0.25">
      <c r="C44" s="5"/>
      <c r="P44" s="5" t="s">
        <v>17</v>
      </c>
      <c r="Q44" s="15">
        <v>11.7</v>
      </c>
      <c r="S44" s="5" t="s">
        <v>17</v>
      </c>
      <c r="T44" s="15">
        <v>11.7</v>
      </c>
      <c r="V44" s="49" t="b">
        <f t="shared" si="2"/>
        <v>1</v>
      </c>
      <c r="W44" s="49" t="b">
        <f t="shared" si="3"/>
        <v>1</v>
      </c>
    </row>
    <row r="45" spans="2:23" x14ac:dyDescent="0.25">
      <c r="C45" s="5"/>
      <c r="P45" s="5" t="s">
        <v>18</v>
      </c>
      <c r="Q45" s="15">
        <v>5.4</v>
      </c>
      <c r="S45" s="5" t="s">
        <v>18</v>
      </c>
      <c r="T45" s="15">
        <v>5.4</v>
      </c>
      <c r="V45" s="49" t="b">
        <f t="shared" si="2"/>
        <v>1</v>
      </c>
      <c r="W45" s="49" t="b">
        <f t="shared" si="3"/>
        <v>1</v>
      </c>
    </row>
    <row r="46" spans="2:23" x14ac:dyDescent="0.25">
      <c r="C46" s="5"/>
      <c r="P46" s="5" t="s">
        <v>19</v>
      </c>
      <c r="Q46" s="15">
        <v>4.7</v>
      </c>
      <c r="S46" s="5" t="s">
        <v>19</v>
      </c>
      <c r="T46" s="15">
        <v>4.7</v>
      </c>
      <c r="V46" s="2" t="b">
        <f t="shared" si="2"/>
        <v>1</v>
      </c>
      <c r="W46" s="2" t="b">
        <f t="shared" si="3"/>
        <v>1</v>
      </c>
    </row>
    <row r="47" spans="2:23" x14ac:dyDescent="0.25">
      <c r="C47" s="5"/>
      <c r="P47" s="5" t="s">
        <v>20</v>
      </c>
      <c r="Q47" s="15">
        <v>2.1</v>
      </c>
      <c r="S47" s="5" t="s">
        <v>20</v>
      </c>
      <c r="T47" s="15">
        <v>2.1</v>
      </c>
      <c r="V47" s="2" t="b">
        <f t="shared" si="2"/>
        <v>1</v>
      </c>
      <c r="W47" s="2" t="b">
        <f t="shared" si="3"/>
        <v>1</v>
      </c>
    </row>
    <row r="48" spans="2:23" x14ac:dyDescent="0.25">
      <c r="C48" s="5"/>
      <c r="P48" s="5" t="s">
        <v>21</v>
      </c>
      <c r="Q48" s="15">
        <v>0.7</v>
      </c>
      <c r="S48" s="5" t="s">
        <v>21</v>
      </c>
      <c r="T48" s="15">
        <v>14.2</v>
      </c>
      <c r="V48" s="23" t="b">
        <f t="shared" si="2"/>
        <v>1</v>
      </c>
      <c r="W48" s="23" t="b">
        <f t="shared" si="3"/>
        <v>0</v>
      </c>
    </row>
    <row r="49" spans="2:23" x14ac:dyDescent="0.25">
      <c r="C49" s="5"/>
      <c r="P49" s="5" t="s">
        <v>22</v>
      </c>
      <c r="Q49" s="15">
        <v>14.2</v>
      </c>
      <c r="S49" s="5" t="s">
        <v>22</v>
      </c>
      <c r="T49" s="15">
        <v>0.7</v>
      </c>
      <c r="V49" s="23" t="b">
        <f t="shared" si="2"/>
        <v>1</v>
      </c>
      <c r="W49" s="23" t="b">
        <f t="shared" si="3"/>
        <v>0</v>
      </c>
    </row>
    <row r="50" spans="2:23" x14ac:dyDescent="0.25">
      <c r="C50" s="5"/>
      <c r="P50" s="5" t="s">
        <v>11</v>
      </c>
      <c r="Q50" s="15">
        <f>SUM(Q42:Q49)</f>
        <v>68.500000000000014</v>
      </c>
      <c r="S50" s="2" t="s">
        <v>11</v>
      </c>
      <c r="T50" s="15">
        <v>68</v>
      </c>
      <c r="V50" s="21"/>
      <c r="W50" s="21"/>
    </row>
    <row r="51" spans="2:23" x14ac:dyDescent="0.25">
      <c r="C51" s="5"/>
    </row>
    <row r="52" spans="2:23" x14ac:dyDescent="0.25">
      <c r="C52" s="5"/>
      <c r="S52" s="22" t="s">
        <v>5</v>
      </c>
      <c r="T52" s="21">
        <f>18/20</f>
        <v>0.9</v>
      </c>
    </row>
    <row r="53" spans="2:23" x14ac:dyDescent="0.25">
      <c r="C53" s="5"/>
      <c r="R53" s="3"/>
    </row>
    <row r="54" spans="2:23" x14ac:dyDescent="0.25">
      <c r="C54" s="5"/>
      <c r="R54" s="3"/>
    </row>
    <row r="55" spans="2:23" x14ac:dyDescent="0.25">
      <c r="C55" s="10"/>
    </row>
    <row r="56" spans="2:23" x14ac:dyDescent="0.25">
      <c r="D56" s="3"/>
    </row>
    <row r="62" spans="2:23" x14ac:dyDescent="0.25">
      <c r="B62" s="8" t="s">
        <v>52</v>
      </c>
      <c r="C62" s="10" t="s">
        <v>27</v>
      </c>
    </row>
    <row r="63" spans="2:23" x14ac:dyDescent="0.25">
      <c r="B63" s="17">
        <v>28</v>
      </c>
      <c r="C63" s="3" t="s">
        <v>54</v>
      </c>
      <c r="D63" s="2" t="s">
        <v>47</v>
      </c>
    </row>
    <row r="64" spans="2:23" x14ac:dyDescent="0.25">
      <c r="B64" s="17">
        <v>45</v>
      </c>
      <c r="C64" s="3" t="s">
        <v>55</v>
      </c>
      <c r="D64" s="2" t="s">
        <v>46</v>
      </c>
    </row>
    <row r="65" spans="2:23" x14ac:dyDescent="0.25">
      <c r="B65" s="17">
        <v>42</v>
      </c>
      <c r="C65" s="3" t="s">
        <v>55</v>
      </c>
      <c r="D65" s="2" t="s">
        <v>45</v>
      </c>
    </row>
    <row r="66" spans="2:23" x14ac:dyDescent="0.25">
      <c r="B66" s="17">
        <v>22</v>
      </c>
      <c r="C66" s="3" t="s">
        <v>55</v>
      </c>
      <c r="D66" s="2" t="s">
        <v>49</v>
      </c>
    </row>
    <row r="67" spans="2:23" x14ac:dyDescent="0.25">
      <c r="B67" s="17">
        <v>50</v>
      </c>
      <c r="C67" s="3" t="s">
        <v>55</v>
      </c>
      <c r="D67" s="2" t="s">
        <v>50</v>
      </c>
    </row>
    <row r="68" spans="2:23" x14ac:dyDescent="0.25">
      <c r="C68" s="3"/>
    </row>
    <row r="71" spans="2:23" x14ac:dyDescent="0.25">
      <c r="P71" s="22" t="s">
        <v>24</v>
      </c>
      <c r="S71" s="22" t="s">
        <v>1</v>
      </c>
    </row>
    <row r="72" spans="2:23" x14ac:dyDescent="0.25">
      <c r="P72" s="5" t="s">
        <v>14</v>
      </c>
      <c r="Q72" s="2" t="s">
        <v>23</v>
      </c>
      <c r="S72" s="5" t="s">
        <v>14</v>
      </c>
      <c r="T72" s="2" t="s">
        <v>23</v>
      </c>
    </row>
    <row r="73" spans="2:23" x14ac:dyDescent="0.25">
      <c r="P73" s="5" t="s">
        <v>15</v>
      </c>
      <c r="Q73" s="29">
        <v>16.3</v>
      </c>
      <c r="S73" s="5" t="s">
        <v>15</v>
      </c>
      <c r="T73" s="29">
        <v>16.3</v>
      </c>
      <c r="V73" s="2" t="b">
        <f t="shared" ref="V73:V81" si="4">P73=S73</f>
        <v>1</v>
      </c>
      <c r="W73" s="2" t="b">
        <f t="shared" ref="W73:W81" si="5">Q73=T73</f>
        <v>1</v>
      </c>
    </row>
    <row r="74" spans="2:23" x14ac:dyDescent="0.25">
      <c r="P74" s="5" t="s">
        <v>16</v>
      </c>
      <c r="Q74" s="29">
        <v>14.7</v>
      </c>
      <c r="S74" s="5" t="s">
        <v>16</v>
      </c>
      <c r="T74" s="29">
        <v>14.7</v>
      </c>
      <c r="V74" s="2" t="b">
        <f t="shared" si="4"/>
        <v>1</v>
      </c>
      <c r="W74" s="2" t="b">
        <f t="shared" si="5"/>
        <v>1</v>
      </c>
    </row>
    <row r="75" spans="2:23" x14ac:dyDescent="0.25">
      <c r="P75" s="5" t="s">
        <v>17</v>
      </c>
      <c r="Q75" s="29">
        <v>11.6</v>
      </c>
      <c r="S75" s="5" t="s">
        <v>17</v>
      </c>
      <c r="T75" s="29">
        <v>11.6</v>
      </c>
      <c r="V75" s="2" t="b">
        <f t="shared" si="4"/>
        <v>1</v>
      </c>
      <c r="W75" s="2" t="b">
        <f t="shared" si="5"/>
        <v>1</v>
      </c>
    </row>
    <row r="76" spans="2:23" x14ac:dyDescent="0.25">
      <c r="P76" s="5" t="s">
        <v>18</v>
      </c>
      <c r="Q76" s="29">
        <v>5.6</v>
      </c>
      <c r="S76" s="5" t="s">
        <v>18</v>
      </c>
      <c r="T76" s="29">
        <v>5.6</v>
      </c>
      <c r="V76" s="2" t="b">
        <f t="shared" si="4"/>
        <v>1</v>
      </c>
      <c r="W76" s="2" t="b">
        <f t="shared" si="5"/>
        <v>1</v>
      </c>
    </row>
    <row r="77" spans="2:23" x14ac:dyDescent="0.25">
      <c r="P77" s="5" t="s">
        <v>19</v>
      </c>
      <c r="Q77" s="29">
        <v>5.0999999999999996</v>
      </c>
      <c r="S77" s="5" t="s">
        <v>19</v>
      </c>
      <c r="T77" s="29">
        <v>5.0999999999999996</v>
      </c>
      <c r="V77" s="2" t="b">
        <f t="shared" si="4"/>
        <v>1</v>
      </c>
      <c r="W77" s="2" t="b">
        <f t="shared" si="5"/>
        <v>1</v>
      </c>
    </row>
    <row r="78" spans="2:23" x14ac:dyDescent="0.25">
      <c r="P78" s="5" t="s">
        <v>20</v>
      </c>
      <c r="Q78" s="29">
        <v>2.1</v>
      </c>
      <c r="S78" s="5" t="s">
        <v>20</v>
      </c>
      <c r="T78" s="29">
        <v>2.1</v>
      </c>
      <c r="V78" s="2" t="b">
        <f t="shared" si="4"/>
        <v>1</v>
      </c>
      <c r="W78" s="2" t="b">
        <f t="shared" si="5"/>
        <v>1</v>
      </c>
    </row>
    <row r="79" spans="2:23" x14ac:dyDescent="0.25">
      <c r="P79" s="5" t="s">
        <v>21</v>
      </c>
      <c r="Q79" s="29">
        <v>0.8</v>
      </c>
      <c r="S79" s="5" t="s">
        <v>21</v>
      </c>
      <c r="T79" s="29">
        <v>0.8</v>
      </c>
      <c r="V79" s="2" t="b">
        <f t="shared" si="4"/>
        <v>1</v>
      </c>
      <c r="W79" s="2" t="b">
        <f t="shared" si="5"/>
        <v>1</v>
      </c>
    </row>
    <row r="80" spans="2:23" x14ac:dyDescent="0.25">
      <c r="P80" s="5" t="s">
        <v>22</v>
      </c>
      <c r="Q80" s="29">
        <v>14.1</v>
      </c>
      <c r="S80" s="5" t="s">
        <v>22</v>
      </c>
      <c r="T80" s="29">
        <v>14.1</v>
      </c>
      <c r="V80" s="2" t="b">
        <f t="shared" si="4"/>
        <v>1</v>
      </c>
      <c r="W80" s="2" t="b">
        <f t="shared" si="5"/>
        <v>1</v>
      </c>
    </row>
    <row r="81" spans="2:23" x14ac:dyDescent="0.25">
      <c r="P81" s="5" t="s">
        <v>11</v>
      </c>
      <c r="Q81" s="15">
        <f>SUM(Q73:Q80)</f>
        <v>70.3</v>
      </c>
      <c r="S81" s="5" t="s">
        <v>11</v>
      </c>
      <c r="T81" s="29">
        <f>SUM(T73:T80)</f>
        <v>70.3</v>
      </c>
      <c r="V81" s="2" t="b">
        <f t="shared" si="4"/>
        <v>1</v>
      </c>
      <c r="W81" s="2" t="b">
        <f t="shared" si="5"/>
        <v>1</v>
      </c>
    </row>
    <row r="83" spans="2:23" x14ac:dyDescent="0.25">
      <c r="S83" s="22" t="s">
        <v>5</v>
      </c>
      <c r="T83" s="21">
        <f>30/30</f>
        <v>1</v>
      </c>
    </row>
    <row r="90" spans="2:23" x14ac:dyDescent="0.25">
      <c r="B90" s="8" t="s">
        <v>52</v>
      </c>
      <c r="C90" s="10" t="s">
        <v>28</v>
      </c>
    </row>
    <row r="91" spans="2:23" x14ac:dyDescent="0.25">
      <c r="B91" s="17">
        <v>28</v>
      </c>
      <c r="C91" s="3" t="s">
        <v>54</v>
      </c>
      <c r="D91" s="2" t="s">
        <v>47</v>
      </c>
    </row>
    <row r="92" spans="2:23" x14ac:dyDescent="0.25">
      <c r="B92" s="17">
        <v>45</v>
      </c>
      <c r="C92" s="3" t="s">
        <v>55</v>
      </c>
      <c r="D92" s="2" t="s">
        <v>48</v>
      </c>
    </row>
    <row r="93" spans="2:23" x14ac:dyDescent="0.25">
      <c r="B93" s="17">
        <v>42</v>
      </c>
      <c r="C93" s="3" t="s">
        <v>55</v>
      </c>
      <c r="D93" s="2" t="s">
        <v>45</v>
      </c>
    </row>
    <row r="94" spans="2:23" x14ac:dyDescent="0.25">
      <c r="B94" s="17">
        <v>22</v>
      </c>
      <c r="C94" s="3" t="s">
        <v>55</v>
      </c>
      <c r="D94" s="2" t="s">
        <v>49</v>
      </c>
    </row>
    <row r="95" spans="2:23" x14ac:dyDescent="0.25">
      <c r="B95" s="17">
        <v>50</v>
      </c>
      <c r="C95" s="3" t="s">
        <v>55</v>
      </c>
      <c r="D95" s="2" t="s">
        <v>50</v>
      </c>
    </row>
    <row r="96" spans="2:23" x14ac:dyDescent="0.25">
      <c r="P96" s="22" t="s">
        <v>24</v>
      </c>
      <c r="S96" s="22" t="s">
        <v>1</v>
      </c>
    </row>
    <row r="97" spans="16:23" x14ac:dyDescent="0.25">
      <c r="P97" s="5" t="s">
        <v>14</v>
      </c>
      <c r="Q97" s="2" t="s">
        <v>23</v>
      </c>
      <c r="S97" s="5" t="s">
        <v>14</v>
      </c>
      <c r="T97" s="2" t="s">
        <v>23</v>
      </c>
    </row>
    <row r="98" spans="16:23" x14ac:dyDescent="0.25">
      <c r="P98" s="5" t="s">
        <v>15</v>
      </c>
      <c r="Q98" s="29">
        <v>17.399999999999999</v>
      </c>
      <c r="S98" s="5" t="s">
        <v>15</v>
      </c>
      <c r="T98" s="29">
        <v>17.399999999999999</v>
      </c>
      <c r="V98" s="2" t="b">
        <f t="shared" ref="V98:V106" si="6">P98=S98</f>
        <v>1</v>
      </c>
      <c r="W98" s="2" t="b">
        <f t="shared" ref="W98:W106" si="7">Q98=T98</f>
        <v>1</v>
      </c>
    </row>
    <row r="99" spans="16:23" x14ac:dyDescent="0.25">
      <c r="P99" s="5" t="s">
        <v>16</v>
      </c>
      <c r="Q99" s="29">
        <v>14.6</v>
      </c>
      <c r="S99" s="5" t="s">
        <v>16</v>
      </c>
      <c r="T99" s="29">
        <v>14.6</v>
      </c>
      <c r="V99" s="2" t="b">
        <f t="shared" si="6"/>
        <v>1</v>
      </c>
      <c r="W99" s="2" t="b">
        <f t="shared" si="7"/>
        <v>1</v>
      </c>
    </row>
    <row r="100" spans="16:23" x14ac:dyDescent="0.25">
      <c r="P100" s="5" t="s">
        <v>17</v>
      </c>
      <c r="Q100" s="29">
        <v>11.4</v>
      </c>
      <c r="S100" s="5" t="s">
        <v>17</v>
      </c>
      <c r="T100" s="29">
        <v>11.4</v>
      </c>
      <c r="V100" s="2" t="b">
        <f t="shared" si="6"/>
        <v>1</v>
      </c>
      <c r="W100" s="2" t="b">
        <f t="shared" si="7"/>
        <v>1</v>
      </c>
    </row>
    <row r="101" spans="16:23" x14ac:dyDescent="0.25">
      <c r="P101" s="5" t="s">
        <v>18</v>
      </c>
      <c r="Q101" s="29">
        <v>5.7</v>
      </c>
      <c r="S101" s="5" t="s">
        <v>18</v>
      </c>
      <c r="T101" s="29">
        <v>5.7</v>
      </c>
      <c r="V101" s="2" t="b">
        <f t="shared" si="6"/>
        <v>1</v>
      </c>
      <c r="W101" s="2" t="b">
        <f t="shared" si="7"/>
        <v>1</v>
      </c>
    </row>
    <row r="102" spans="16:23" x14ac:dyDescent="0.25">
      <c r="P102" s="5" t="s">
        <v>19</v>
      </c>
      <c r="Q102" s="29">
        <v>5.4</v>
      </c>
      <c r="S102" s="5" t="s">
        <v>19</v>
      </c>
      <c r="T102" s="29">
        <v>5.4</v>
      </c>
      <c r="V102" s="2" t="b">
        <f t="shared" si="6"/>
        <v>1</v>
      </c>
      <c r="W102" s="2" t="b">
        <f t="shared" si="7"/>
        <v>1</v>
      </c>
    </row>
    <row r="103" spans="16:23" x14ac:dyDescent="0.25">
      <c r="P103" s="5" t="s">
        <v>20</v>
      </c>
      <c r="Q103" s="29">
        <v>2.5</v>
      </c>
      <c r="S103" s="5" t="s">
        <v>20</v>
      </c>
      <c r="T103" s="29">
        <v>2.5</v>
      </c>
      <c r="V103" s="2" t="b">
        <f t="shared" si="6"/>
        <v>1</v>
      </c>
      <c r="W103" s="2" t="b">
        <f t="shared" si="7"/>
        <v>1</v>
      </c>
    </row>
    <row r="104" spans="16:23" x14ac:dyDescent="0.25">
      <c r="P104" s="5" t="s">
        <v>21</v>
      </c>
      <c r="Q104" s="29">
        <v>0.7</v>
      </c>
      <c r="S104" s="5" t="s">
        <v>21</v>
      </c>
      <c r="T104" s="29">
        <v>0.7</v>
      </c>
      <c r="V104" s="2" t="b">
        <f t="shared" si="6"/>
        <v>1</v>
      </c>
      <c r="W104" s="2" t="b">
        <f t="shared" si="7"/>
        <v>1</v>
      </c>
    </row>
    <row r="105" spans="16:23" x14ac:dyDescent="0.25">
      <c r="P105" s="5" t="s">
        <v>22</v>
      </c>
      <c r="Q105" s="29">
        <v>13.8</v>
      </c>
      <c r="S105" s="5" t="s">
        <v>22</v>
      </c>
      <c r="T105" s="29">
        <v>13.8</v>
      </c>
      <c r="V105" s="2" t="b">
        <f t="shared" si="6"/>
        <v>1</v>
      </c>
      <c r="W105" s="2" t="b">
        <f t="shared" si="7"/>
        <v>1</v>
      </c>
    </row>
    <row r="106" spans="16:23" x14ac:dyDescent="0.25">
      <c r="P106" s="5" t="s">
        <v>11</v>
      </c>
      <c r="Q106" s="15">
        <v>72</v>
      </c>
      <c r="S106" s="5" t="s">
        <v>11</v>
      </c>
      <c r="T106" s="15">
        <v>72</v>
      </c>
      <c r="V106" s="2" t="b">
        <f t="shared" si="6"/>
        <v>1</v>
      </c>
      <c r="W106" s="2" t="b">
        <f t="shared" si="7"/>
        <v>1</v>
      </c>
    </row>
    <row r="109" spans="16:23" x14ac:dyDescent="0.25">
      <c r="S109" s="22" t="s">
        <v>5</v>
      </c>
      <c r="T109" s="21">
        <f>30/30</f>
        <v>1</v>
      </c>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D399E-CFAE-4912-9A9E-38755D87E72B}">
  <dimension ref="A2:K264"/>
  <sheetViews>
    <sheetView showGridLines="0" topLeftCell="A232" workbookViewId="0">
      <selection activeCell="E271" sqref="E271"/>
    </sheetView>
  </sheetViews>
  <sheetFormatPr defaultRowHeight="13.8" x14ac:dyDescent="0.25"/>
  <cols>
    <col min="1" max="1" width="12" style="2" bestFit="1" customWidth="1"/>
    <col min="2" max="2" width="27.33203125" style="2" customWidth="1"/>
    <col min="3" max="3" width="14.77734375" style="2" customWidth="1"/>
    <col min="4" max="4" width="7.5546875" style="2" customWidth="1"/>
    <col min="5" max="5" width="10.44140625" style="2" bestFit="1" customWidth="1"/>
    <col min="6" max="6" width="11.21875" style="2" bestFit="1" customWidth="1"/>
    <col min="7" max="7" width="11.33203125" style="2" customWidth="1"/>
    <col min="8" max="8" width="15.88671875" style="2" bestFit="1" customWidth="1"/>
    <col min="9" max="9" width="10.44140625" style="2" bestFit="1" customWidth="1"/>
    <col min="10" max="11" width="8.88671875" style="2"/>
    <col min="12" max="12" width="5.5546875" style="2" bestFit="1" customWidth="1"/>
    <col min="13" max="13" width="6.77734375" style="2" bestFit="1" customWidth="1"/>
    <col min="14" max="14" width="15.88671875" style="2" bestFit="1" customWidth="1"/>
    <col min="15" max="15" width="11.21875" style="2" bestFit="1" customWidth="1"/>
    <col min="16" max="16" width="4" style="2" bestFit="1" customWidth="1"/>
    <col min="17" max="17" width="8" style="2" bestFit="1" customWidth="1"/>
    <col min="18" max="18" width="7.88671875" style="2" bestFit="1" customWidth="1"/>
    <col min="19" max="16384" width="8.88671875" style="2"/>
  </cols>
  <sheetData>
    <row r="2" spans="1:11" x14ac:dyDescent="0.25">
      <c r="A2" s="8" t="s">
        <v>52</v>
      </c>
      <c r="B2" s="10" t="s">
        <v>107</v>
      </c>
    </row>
    <row r="3" spans="1:11" x14ac:dyDescent="0.25">
      <c r="A3" s="19">
        <f>200/250*60</f>
        <v>48</v>
      </c>
      <c r="B3" s="3" t="s">
        <v>54</v>
      </c>
      <c r="C3" s="2" t="s">
        <v>105</v>
      </c>
    </row>
    <row r="4" spans="1:11" x14ac:dyDescent="0.25">
      <c r="A4" s="19">
        <f>224/250*60</f>
        <v>53.76</v>
      </c>
      <c r="B4" s="3" t="s">
        <v>83</v>
      </c>
      <c r="C4" s="2" t="s">
        <v>106</v>
      </c>
    </row>
    <row r="5" spans="1:11" x14ac:dyDescent="0.25">
      <c r="A5" s="19">
        <f>167/250*60</f>
        <v>40.080000000000005</v>
      </c>
      <c r="B5" s="3" t="s">
        <v>83</v>
      </c>
      <c r="C5" s="2" t="s">
        <v>108</v>
      </c>
    </row>
    <row r="6" spans="1:11" x14ac:dyDescent="0.25">
      <c r="A6" s="19">
        <f>225/250*60</f>
        <v>54</v>
      </c>
      <c r="B6" s="3" t="s">
        <v>55</v>
      </c>
      <c r="C6" s="2" t="s">
        <v>109</v>
      </c>
    </row>
    <row r="7" spans="1:11" x14ac:dyDescent="0.25">
      <c r="A7" s="19">
        <f>235/250*60</f>
        <v>56.4</v>
      </c>
      <c r="B7" s="3" t="s">
        <v>55</v>
      </c>
      <c r="C7" s="2" t="s">
        <v>93</v>
      </c>
    </row>
    <row r="8" spans="1:11" x14ac:dyDescent="0.25">
      <c r="A8" s="19">
        <f>108/250*60</f>
        <v>25.919999999999998</v>
      </c>
      <c r="B8" s="3" t="s">
        <v>55</v>
      </c>
      <c r="C8" s="2" t="s">
        <v>110</v>
      </c>
    </row>
    <row r="10" spans="1:11" x14ac:dyDescent="0.25">
      <c r="B10" s="174" t="s">
        <v>91</v>
      </c>
      <c r="C10" s="174"/>
      <c r="D10" s="174"/>
      <c r="E10" s="174"/>
      <c r="F10" s="174"/>
      <c r="G10" s="174"/>
      <c r="H10" s="174"/>
    </row>
    <row r="12" spans="1:11" x14ac:dyDescent="0.25">
      <c r="B12" s="177" t="s">
        <v>24</v>
      </c>
      <c r="C12" s="177"/>
      <c r="D12" s="177"/>
      <c r="F12" s="177" t="s">
        <v>1</v>
      </c>
      <c r="G12" s="177"/>
      <c r="H12" s="177"/>
    </row>
    <row r="14" spans="1:11" x14ac:dyDescent="0.25">
      <c r="B14" s="1" t="s">
        <v>66</v>
      </c>
      <c r="C14" s="4" t="s">
        <v>78</v>
      </c>
      <c r="D14" s="4" t="s">
        <v>96</v>
      </c>
      <c r="F14" s="1" t="s">
        <v>66</v>
      </c>
      <c r="G14" s="4" t="s">
        <v>78</v>
      </c>
      <c r="H14" s="4" t="s">
        <v>96</v>
      </c>
      <c r="I14" s="2" t="b">
        <f t="shared" ref="I14:I22" si="0">B14=F14</f>
        <v>1</v>
      </c>
      <c r="J14" s="2" t="b">
        <f t="shared" ref="J14:J22" si="1">C14=G14</f>
        <v>1</v>
      </c>
      <c r="K14" s="2" t="b">
        <f t="shared" ref="K14:K22" si="2">D14=H14</f>
        <v>1</v>
      </c>
    </row>
    <row r="15" spans="1:11" x14ac:dyDescent="0.25">
      <c r="B15" s="2" t="s">
        <v>17</v>
      </c>
      <c r="C15" s="50">
        <v>125410</v>
      </c>
      <c r="D15" s="14">
        <v>0.91</v>
      </c>
      <c r="F15" s="2" t="s">
        <v>17</v>
      </c>
      <c r="G15" s="50">
        <v>125410</v>
      </c>
      <c r="H15" s="14">
        <v>0.91</v>
      </c>
      <c r="I15" s="2" t="b">
        <f t="shared" si="0"/>
        <v>1</v>
      </c>
      <c r="J15" s="2" t="b">
        <f t="shared" si="1"/>
        <v>1</v>
      </c>
      <c r="K15" s="2" t="b">
        <f t="shared" si="2"/>
        <v>1</v>
      </c>
    </row>
    <row r="16" spans="1:11" x14ac:dyDescent="0.25">
      <c r="B16" s="2" t="s">
        <v>16</v>
      </c>
      <c r="C16" s="50">
        <v>19282</v>
      </c>
      <c r="D16" s="14">
        <v>0.74</v>
      </c>
      <c r="F16" s="2" t="s">
        <v>16</v>
      </c>
      <c r="G16" s="50">
        <v>19282</v>
      </c>
      <c r="H16" s="14">
        <v>0.74</v>
      </c>
      <c r="I16" s="2" t="b">
        <f t="shared" si="0"/>
        <v>1</v>
      </c>
      <c r="J16" s="2" t="b">
        <f t="shared" si="1"/>
        <v>1</v>
      </c>
      <c r="K16" s="2" t="b">
        <f t="shared" si="2"/>
        <v>1</v>
      </c>
    </row>
    <row r="17" spans="2:11" x14ac:dyDescent="0.25">
      <c r="B17" s="2" t="s">
        <v>15</v>
      </c>
      <c r="C17" s="50">
        <v>16926</v>
      </c>
      <c r="D17" s="14">
        <v>0.81</v>
      </c>
      <c r="F17" s="2" t="s">
        <v>15</v>
      </c>
      <c r="G17" s="50">
        <v>16926</v>
      </c>
      <c r="H17" s="14">
        <v>0.81</v>
      </c>
      <c r="I17" s="2" t="b">
        <f t="shared" si="0"/>
        <v>1</v>
      </c>
      <c r="J17" s="2" t="b">
        <f t="shared" si="1"/>
        <v>1</v>
      </c>
      <c r="K17" s="2" t="b">
        <f t="shared" si="2"/>
        <v>1</v>
      </c>
    </row>
    <row r="18" spans="2:11" x14ac:dyDescent="0.25">
      <c r="B18" s="2" t="s">
        <v>95</v>
      </c>
      <c r="C18" s="50">
        <v>15011</v>
      </c>
      <c r="D18" s="14">
        <v>0.67</v>
      </c>
      <c r="F18" s="2" t="s">
        <v>95</v>
      </c>
      <c r="G18" s="50">
        <v>15011</v>
      </c>
      <c r="H18" s="14">
        <v>0.67</v>
      </c>
      <c r="I18" s="2" t="b">
        <f t="shared" si="0"/>
        <v>1</v>
      </c>
      <c r="J18" s="2" t="b">
        <f t="shared" si="1"/>
        <v>1</v>
      </c>
      <c r="K18" s="2" t="b">
        <f t="shared" si="2"/>
        <v>1</v>
      </c>
    </row>
    <row r="19" spans="2:11" x14ac:dyDescent="0.25">
      <c r="B19" s="2" t="s">
        <v>98</v>
      </c>
      <c r="C19" s="50">
        <v>14557</v>
      </c>
      <c r="D19" s="14">
        <v>0.51</v>
      </c>
      <c r="F19" s="2" t="s">
        <v>98</v>
      </c>
      <c r="G19" s="50">
        <v>14557</v>
      </c>
      <c r="H19" s="14">
        <v>0.51</v>
      </c>
      <c r="I19" s="2" t="b">
        <f t="shared" si="0"/>
        <v>1</v>
      </c>
      <c r="J19" s="2" t="b">
        <f t="shared" si="1"/>
        <v>1</v>
      </c>
      <c r="K19" s="2" t="b">
        <f t="shared" si="2"/>
        <v>1</v>
      </c>
    </row>
    <row r="20" spans="2:11" x14ac:dyDescent="0.25">
      <c r="B20" s="2" t="s">
        <v>18</v>
      </c>
      <c r="C20" s="50">
        <v>12841</v>
      </c>
      <c r="D20" s="14">
        <v>0.69</v>
      </c>
      <c r="F20" s="2" t="s">
        <v>18</v>
      </c>
      <c r="G20" s="50">
        <v>12841</v>
      </c>
      <c r="H20" s="14">
        <v>0.69</v>
      </c>
      <c r="I20" s="2" t="b">
        <f t="shared" si="0"/>
        <v>1</v>
      </c>
      <c r="J20" s="2" t="b">
        <f t="shared" si="1"/>
        <v>1</v>
      </c>
      <c r="K20" s="2" t="b">
        <f t="shared" si="2"/>
        <v>1</v>
      </c>
    </row>
    <row r="21" spans="2:11" x14ac:dyDescent="0.25">
      <c r="B21" s="2" t="s">
        <v>19</v>
      </c>
      <c r="C21" s="50">
        <v>4563</v>
      </c>
      <c r="D21" s="14">
        <v>0.55000000000000004</v>
      </c>
      <c r="F21" s="2" t="s">
        <v>19</v>
      </c>
      <c r="G21" s="50">
        <v>4563</v>
      </c>
      <c r="H21" s="14">
        <v>0.55000000000000004</v>
      </c>
      <c r="I21" s="2" t="b">
        <f t="shared" si="0"/>
        <v>1</v>
      </c>
      <c r="J21" s="2" t="b">
        <f t="shared" si="1"/>
        <v>1</v>
      </c>
      <c r="K21" s="2" t="b">
        <f t="shared" si="2"/>
        <v>1</v>
      </c>
    </row>
    <row r="22" spans="2:11" x14ac:dyDescent="0.25">
      <c r="B22" s="2" t="s">
        <v>77</v>
      </c>
      <c r="C22" s="50">
        <f>SUM(C15:C21)</f>
        <v>208590</v>
      </c>
      <c r="D22" s="14">
        <v>0.82</v>
      </c>
      <c r="F22" s="2" t="s">
        <v>77</v>
      </c>
      <c r="G22" s="50">
        <v>208590</v>
      </c>
      <c r="H22" s="14">
        <v>0.82</v>
      </c>
      <c r="I22" s="2" t="b">
        <f t="shared" si="0"/>
        <v>1</v>
      </c>
      <c r="J22" s="2" t="b">
        <f t="shared" si="1"/>
        <v>1</v>
      </c>
      <c r="K22" s="2" t="b">
        <f t="shared" si="2"/>
        <v>1</v>
      </c>
    </row>
    <row r="23" spans="2:11" x14ac:dyDescent="0.25">
      <c r="C23" s="55"/>
    </row>
    <row r="24" spans="2:11" x14ac:dyDescent="0.25">
      <c r="C24" s="2">
        <f>C21*D21</f>
        <v>2509.65</v>
      </c>
      <c r="F24" s="4" t="s">
        <v>5</v>
      </c>
      <c r="G24" s="13">
        <f>27/27</f>
        <v>1</v>
      </c>
    </row>
    <row r="27" spans="2:11" x14ac:dyDescent="0.25">
      <c r="B27" s="174" t="s">
        <v>92</v>
      </c>
      <c r="C27" s="174"/>
      <c r="D27" s="174"/>
      <c r="E27" s="174"/>
      <c r="F27" s="174"/>
      <c r="G27" s="174"/>
      <c r="H27" s="174"/>
    </row>
    <row r="29" spans="2:11" x14ac:dyDescent="0.25">
      <c r="B29" s="177" t="s">
        <v>24</v>
      </c>
      <c r="C29" s="177"/>
      <c r="F29" s="177" t="s">
        <v>1</v>
      </c>
      <c r="G29" s="177"/>
      <c r="H29" s="7"/>
    </row>
    <row r="31" spans="2:11" x14ac:dyDescent="0.25">
      <c r="B31" s="1" t="s">
        <v>66</v>
      </c>
      <c r="C31" s="4" t="s">
        <v>78</v>
      </c>
      <c r="F31" s="1" t="s">
        <v>66</v>
      </c>
      <c r="G31" s="4" t="s">
        <v>78</v>
      </c>
      <c r="H31" s="4"/>
      <c r="I31" s="2" t="b">
        <f>B31=F31</f>
        <v>1</v>
      </c>
      <c r="J31" s="2" t="b">
        <f>C31=G31</f>
        <v>1</v>
      </c>
    </row>
    <row r="32" spans="2:11" x14ac:dyDescent="0.25">
      <c r="B32" s="2" t="s">
        <v>17</v>
      </c>
      <c r="C32" s="50">
        <v>114123</v>
      </c>
      <c r="F32" s="2" t="s">
        <v>17</v>
      </c>
      <c r="G32" s="50">
        <v>114123</v>
      </c>
      <c r="H32" s="14"/>
      <c r="I32" s="2" t="b">
        <f t="shared" ref="I32:I39" si="3">B32=F32</f>
        <v>1</v>
      </c>
      <c r="J32" s="2" t="b">
        <f t="shared" ref="J32:J39" si="4">C32=G32</f>
        <v>1</v>
      </c>
    </row>
    <row r="33" spans="2:10" x14ac:dyDescent="0.25">
      <c r="B33" s="2" t="s">
        <v>16</v>
      </c>
      <c r="C33" s="50">
        <v>14269</v>
      </c>
      <c r="F33" s="2" t="s">
        <v>16</v>
      </c>
      <c r="G33" s="50">
        <v>14269</v>
      </c>
      <c r="H33" s="14"/>
      <c r="I33" s="2" t="b">
        <f t="shared" si="3"/>
        <v>1</v>
      </c>
      <c r="J33" s="2" t="b">
        <f t="shared" si="4"/>
        <v>1</v>
      </c>
    </row>
    <row r="34" spans="2:10" x14ac:dyDescent="0.25">
      <c r="B34" s="2" t="s">
        <v>15</v>
      </c>
      <c r="C34" s="50">
        <v>13710</v>
      </c>
      <c r="F34" s="2" t="s">
        <v>15</v>
      </c>
      <c r="G34" s="50">
        <v>13710</v>
      </c>
      <c r="H34" s="14"/>
      <c r="I34" s="2" t="b">
        <f t="shared" si="3"/>
        <v>1</v>
      </c>
      <c r="J34" s="2" t="b">
        <f t="shared" si="4"/>
        <v>1</v>
      </c>
    </row>
    <row r="35" spans="2:10" x14ac:dyDescent="0.25">
      <c r="B35" s="2" t="s">
        <v>95</v>
      </c>
      <c r="C35" s="50">
        <v>10057</v>
      </c>
      <c r="F35" s="2" t="s">
        <v>95</v>
      </c>
      <c r="G35" s="50">
        <v>10057</v>
      </c>
      <c r="H35" s="14"/>
      <c r="I35" s="2" t="b">
        <f t="shared" si="3"/>
        <v>1</v>
      </c>
      <c r="J35" s="2" t="b">
        <f t="shared" si="4"/>
        <v>1</v>
      </c>
    </row>
    <row r="36" spans="2:10" x14ac:dyDescent="0.25">
      <c r="B36" s="2" t="s">
        <v>98</v>
      </c>
      <c r="C36" s="50">
        <v>7424</v>
      </c>
      <c r="F36" s="2" t="s">
        <v>98</v>
      </c>
      <c r="G36" s="50">
        <v>7424</v>
      </c>
      <c r="H36" s="14"/>
      <c r="I36" s="2" t="b">
        <f t="shared" si="3"/>
        <v>1</v>
      </c>
      <c r="J36" s="2" t="b">
        <f t="shared" si="4"/>
        <v>1</v>
      </c>
    </row>
    <row r="37" spans="2:10" x14ac:dyDescent="0.25">
      <c r="B37" s="2" t="s">
        <v>18</v>
      </c>
      <c r="C37" s="50">
        <v>8860</v>
      </c>
      <c r="F37" s="2" t="s">
        <v>18</v>
      </c>
      <c r="G37" s="50">
        <v>8860</v>
      </c>
      <c r="H37" s="14"/>
      <c r="I37" s="2" t="b">
        <f t="shared" si="3"/>
        <v>1</v>
      </c>
      <c r="J37" s="2" t="b">
        <f t="shared" si="4"/>
        <v>1</v>
      </c>
    </row>
    <row r="38" spans="2:10" x14ac:dyDescent="0.25">
      <c r="B38" s="2" t="s">
        <v>19</v>
      </c>
      <c r="C38" s="50">
        <v>2510</v>
      </c>
      <c r="F38" s="2" t="s">
        <v>19</v>
      </c>
      <c r="G38" s="50">
        <v>2510</v>
      </c>
      <c r="H38" s="14"/>
      <c r="I38" s="2" t="b">
        <f t="shared" si="3"/>
        <v>1</v>
      </c>
      <c r="J38" s="2" t="b">
        <f t="shared" si="4"/>
        <v>1</v>
      </c>
    </row>
    <row r="39" spans="2:10" x14ac:dyDescent="0.25">
      <c r="B39" s="2" t="s">
        <v>77</v>
      </c>
      <c r="C39" s="50">
        <v>170953</v>
      </c>
      <c r="F39" s="2" t="s">
        <v>77</v>
      </c>
      <c r="G39" s="50">
        <f>SUM(G32:G38)</f>
        <v>170953</v>
      </c>
      <c r="H39" s="14"/>
      <c r="I39" s="2" t="b">
        <f t="shared" si="3"/>
        <v>1</v>
      </c>
      <c r="J39" s="2" t="b">
        <f t="shared" si="4"/>
        <v>1</v>
      </c>
    </row>
    <row r="41" spans="2:10" x14ac:dyDescent="0.25">
      <c r="F41" s="4" t="s">
        <v>5</v>
      </c>
      <c r="G41" s="14">
        <f>18/18</f>
        <v>1</v>
      </c>
    </row>
    <row r="43" spans="2:10" x14ac:dyDescent="0.25">
      <c r="B43" s="177" t="s">
        <v>24</v>
      </c>
      <c r="C43" s="177"/>
      <c r="F43" s="177" t="s">
        <v>1</v>
      </c>
      <c r="G43" s="177"/>
    </row>
    <row r="45" spans="2:10" x14ac:dyDescent="0.25">
      <c r="B45" s="10" t="s">
        <v>66</v>
      </c>
      <c r="C45" s="4" t="s">
        <v>78</v>
      </c>
      <c r="F45" s="10" t="s">
        <v>66</v>
      </c>
      <c r="G45" s="4" t="s">
        <v>78</v>
      </c>
      <c r="I45" s="2" t="b">
        <f>B45=F45</f>
        <v>1</v>
      </c>
      <c r="J45" s="2" t="b">
        <f>C45=G45</f>
        <v>1</v>
      </c>
    </row>
    <row r="46" spans="2:10" x14ac:dyDescent="0.25">
      <c r="B46" s="5" t="s">
        <v>17</v>
      </c>
      <c r="C46" s="50">
        <v>114123</v>
      </c>
      <c r="F46" s="5" t="s">
        <v>17</v>
      </c>
      <c r="G46" s="50">
        <v>114123</v>
      </c>
      <c r="I46" s="2" t="b">
        <f t="shared" ref="I46:I52" si="5">B46=F46</f>
        <v>1</v>
      </c>
      <c r="J46" s="2" t="b">
        <f t="shared" ref="J46:J52" si="6">C46=G46</f>
        <v>1</v>
      </c>
    </row>
    <row r="47" spans="2:10" x14ac:dyDescent="0.25">
      <c r="B47" s="5" t="s">
        <v>16</v>
      </c>
      <c r="C47" s="50">
        <v>14269</v>
      </c>
      <c r="F47" s="5" t="s">
        <v>16</v>
      </c>
      <c r="G47" s="50">
        <v>14269</v>
      </c>
      <c r="I47" s="2" t="b">
        <f t="shared" si="5"/>
        <v>1</v>
      </c>
      <c r="J47" s="2" t="b">
        <f t="shared" si="6"/>
        <v>1</v>
      </c>
    </row>
    <row r="48" spans="2:10" x14ac:dyDescent="0.25">
      <c r="B48" s="5" t="s">
        <v>15</v>
      </c>
      <c r="C48" s="50">
        <v>13710</v>
      </c>
      <c r="F48" s="5" t="s">
        <v>15</v>
      </c>
      <c r="G48" s="50">
        <v>13710</v>
      </c>
      <c r="I48" s="2" t="b">
        <f t="shared" si="5"/>
        <v>1</v>
      </c>
      <c r="J48" s="2" t="b">
        <f t="shared" si="6"/>
        <v>1</v>
      </c>
    </row>
    <row r="49" spans="2:10" x14ac:dyDescent="0.25">
      <c r="B49" s="5" t="s">
        <v>18</v>
      </c>
      <c r="C49" s="50">
        <v>8860</v>
      </c>
      <c r="F49" s="5" t="s">
        <v>18</v>
      </c>
      <c r="G49" s="50">
        <v>8860</v>
      </c>
      <c r="I49" s="2" t="b">
        <f t="shared" si="5"/>
        <v>1</v>
      </c>
      <c r="J49" s="2" t="b">
        <f t="shared" si="6"/>
        <v>1</v>
      </c>
    </row>
    <row r="50" spans="2:10" x14ac:dyDescent="0.25">
      <c r="B50" s="5" t="s">
        <v>19</v>
      </c>
      <c r="C50" s="50">
        <v>2510</v>
      </c>
      <c r="F50" s="5" t="s">
        <v>19</v>
      </c>
      <c r="G50" s="50">
        <v>2510</v>
      </c>
      <c r="I50" s="2" t="b">
        <f t="shared" si="5"/>
        <v>1</v>
      </c>
      <c r="J50" s="2" t="b">
        <f t="shared" si="6"/>
        <v>1</v>
      </c>
    </row>
    <row r="51" spans="2:10" x14ac:dyDescent="0.25">
      <c r="B51" s="5" t="s">
        <v>22</v>
      </c>
      <c r="C51" s="50">
        <v>17481</v>
      </c>
      <c r="F51" s="5" t="s">
        <v>22</v>
      </c>
      <c r="G51" s="50">
        <v>17481</v>
      </c>
      <c r="I51" s="2" t="b">
        <f t="shared" si="5"/>
        <v>1</v>
      </c>
      <c r="J51" s="2" t="b">
        <f t="shared" si="6"/>
        <v>1</v>
      </c>
    </row>
    <row r="52" spans="2:10" x14ac:dyDescent="0.25">
      <c r="B52" s="5" t="s">
        <v>77</v>
      </c>
      <c r="C52" s="50">
        <v>170953</v>
      </c>
      <c r="F52" s="5" t="s">
        <v>77</v>
      </c>
      <c r="G52" s="50">
        <v>170953</v>
      </c>
      <c r="I52" s="2" t="b">
        <f t="shared" si="5"/>
        <v>1</v>
      </c>
      <c r="J52" s="2" t="b">
        <f t="shared" si="6"/>
        <v>1</v>
      </c>
    </row>
    <row r="54" spans="2:10" x14ac:dyDescent="0.25">
      <c r="F54" s="4" t="s">
        <v>5</v>
      </c>
      <c r="G54" s="14">
        <f>18/18</f>
        <v>1</v>
      </c>
    </row>
    <row r="74" spans="1:3" x14ac:dyDescent="0.25">
      <c r="A74" s="8" t="s">
        <v>52</v>
      </c>
      <c r="B74" s="10" t="s">
        <v>213</v>
      </c>
    </row>
    <row r="75" spans="1:3" x14ac:dyDescent="0.25">
      <c r="A75" s="19">
        <f>200/250*60</f>
        <v>48</v>
      </c>
      <c r="B75" s="3" t="s">
        <v>54</v>
      </c>
      <c r="C75" s="2" t="s">
        <v>105</v>
      </c>
    </row>
    <row r="76" spans="1:3" x14ac:dyDescent="0.25">
      <c r="A76" s="19">
        <f>224/250*60</f>
        <v>53.76</v>
      </c>
      <c r="B76" s="3" t="s">
        <v>83</v>
      </c>
      <c r="C76" s="2" t="s">
        <v>106</v>
      </c>
    </row>
    <row r="77" spans="1:3" x14ac:dyDescent="0.25">
      <c r="A77" s="19">
        <f>167/250*60</f>
        <v>40.080000000000005</v>
      </c>
      <c r="B77" s="3" t="s">
        <v>83</v>
      </c>
      <c r="C77" s="2" t="s">
        <v>108</v>
      </c>
    </row>
    <row r="78" spans="1:3" x14ac:dyDescent="0.25">
      <c r="A78" s="19">
        <f>225/250*60</f>
        <v>54</v>
      </c>
      <c r="B78" s="3" t="s">
        <v>55</v>
      </c>
      <c r="C78" s="2" t="s">
        <v>109</v>
      </c>
    </row>
    <row r="79" spans="1:3" x14ac:dyDescent="0.25">
      <c r="A79" s="19">
        <f>235/250*60</f>
        <v>56.4</v>
      </c>
      <c r="B79" s="3" t="s">
        <v>55</v>
      </c>
      <c r="C79" s="2" t="s">
        <v>93</v>
      </c>
    </row>
    <row r="80" spans="1:3" x14ac:dyDescent="0.25">
      <c r="A80" s="19">
        <f>108/250*60</f>
        <v>25.919999999999998</v>
      </c>
      <c r="B80" s="3" t="s">
        <v>55</v>
      </c>
      <c r="C80" s="2" t="s">
        <v>110</v>
      </c>
    </row>
    <row r="82" spans="2:11" x14ac:dyDescent="0.25">
      <c r="B82" s="174" t="s">
        <v>91</v>
      </c>
      <c r="C82" s="174"/>
      <c r="D82" s="174"/>
      <c r="E82" s="174"/>
      <c r="F82" s="174"/>
      <c r="G82" s="174"/>
      <c r="H82" s="174"/>
      <c r="J82" s="87">
        <v>100</v>
      </c>
    </row>
    <row r="84" spans="2:11" x14ac:dyDescent="0.25">
      <c r="B84" s="177" t="s">
        <v>24</v>
      </c>
      <c r="C84" s="177"/>
      <c r="D84" s="177"/>
      <c r="F84" s="177" t="s">
        <v>1</v>
      </c>
      <c r="G84" s="177"/>
      <c r="H84" s="177"/>
    </row>
    <row r="86" spans="2:11" x14ac:dyDescent="0.25">
      <c r="B86" s="1" t="s">
        <v>66</v>
      </c>
      <c r="C86" s="4" t="s">
        <v>78</v>
      </c>
      <c r="D86" s="4" t="s">
        <v>96</v>
      </c>
      <c r="F86" s="1" t="s">
        <v>66</v>
      </c>
      <c r="G86" s="4" t="s">
        <v>78</v>
      </c>
      <c r="H86" s="4" t="s">
        <v>96</v>
      </c>
      <c r="I86" s="2" t="b">
        <f t="shared" ref="I86:I94" si="7">B86=F86</f>
        <v>1</v>
      </c>
      <c r="J86" s="2" t="b">
        <f t="shared" ref="J86:J94" si="8">C86=G86</f>
        <v>1</v>
      </c>
      <c r="K86" s="2" t="b">
        <f t="shared" ref="K86:K94" si="9">D86=H86</f>
        <v>1</v>
      </c>
    </row>
    <row r="87" spans="2:11" x14ac:dyDescent="0.25">
      <c r="B87" s="2" t="s">
        <v>17</v>
      </c>
      <c r="C87" s="50">
        <v>122991</v>
      </c>
      <c r="D87" s="14">
        <v>0.91</v>
      </c>
      <c r="F87" s="2" t="s">
        <v>17</v>
      </c>
      <c r="G87" s="50">
        <v>122991</v>
      </c>
      <c r="H87" s="14">
        <v>0.91</v>
      </c>
      <c r="I87" s="2" t="b">
        <f t="shared" si="7"/>
        <v>1</v>
      </c>
      <c r="J87" s="2" t="b">
        <f t="shared" si="8"/>
        <v>1</v>
      </c>
      <c r="K87" s="2" t="b">
        <f t="shared" si="9"/>
        <v>1</v>
      </c>
    </row>
    <row r="88" spans="2:11" x14ac:dyDescent="0.25">
      <c r="B88" s="2" t="s">
        <v>16</v>
      </c>
      <c r="C88" s="50">
        <v>20871</v>
      </c>
      <c r="D88" s="14">
        <v>0.7</v>
      </c>
      <c r="F88" s="2" t="s">
        <v>16</v>
      </c>
      <c r="G88" s="50">
        <v>20871</v>
      </c>
      <c r="H88" s="14">
        <v>0.7</v>
      </c>
      <c r="I88" s="2" t="b">
        <f t="shared" si="7"/>
        <v>1</v>
      </c>
      <c r="J88" s="2" t="b">
        <f t="shared" si="8"/>
        <v>1</v>
      </c>
      <c r="K88" s="2" t="b">
        <f t="shared" si="9"/>
        <v>1</v>
      </c>
    </row>
    <row r="89" spans="2:11" x14ac:dyDescent="0.25">
      <c r="B89" s="2" t="s">
        <v>15</v>
      </c>
      <c r="C89" s="50">
        <v>16460</v>
      </c>
      <c r="D89" s="14">
        <v>0.84</v>
      </c>
      <c r="F89" s="2" t="s">
        <v>15</v>
      </c>
      <c r="G89" s="50">
        <v>16460</v>
      </c>
      <c r="H89" s="14">
        <v>0.84</v>
      </c>
      <c r="I89" s="2" t="b">
        <f t="shared" si="7"/>
        <v>1</v>
      </c>
      <c r="J89" s="2" t="b">
        <f t="shared" si="8"/>
        <v>1</v>
      </c>
      <c r="K89" s="2" t="b">
        <f t="shared" si="9"/>
        <v>1</v>
      </c>
    </row>
    <row r="90" spans="2:11" x14ac:dyDescent="0.25">
      <c r="B90" s="2" t="s">
        <v>95</v>
      </c>
      <c r="C90" s="50">
        <v>14813</v>
      </c>
      <c r="D90" s="14">
        <v>0.64</v>
      </c>
      <c r="F90" s="2" t="s">
        <v>95</v>
      </c>
      <c r="G90" s="50">
        <v>14813</v>
      </c>
      <c r="H90" s="14">
        <v>0.64</v>
      </c>
      <c r="I90" s="2" t="b">
        <f t="shared" si="7"/>
        <v>1</v>
      </c>
      <c r="J90" s="2" t="b">
        <f t="shared" si="8"/>
        <v>1</v>
      </c>
      <c r="K90" s="2" t="b">
        <f t="shared" si="9"/>
        <v>1</v>
      </c>
    </row>
    <row r="91" spans="2:11" x14ac:dyDescent="0.25">
      <c r="B91" s="2" t="s">
        <v>98</v>
      </c>
      <c r="C91" s="50">
        <v>14613</v>
      </c>
      <c r="D91" s="14">
        <v>0.51</v>
      </c>
      <c r="F91" s="2" t="s">
        <v>98</v>
      </c>
      <c r="G91" s="50">
        <v>14613</v>
      </c>
      <c r="H91" s="14">
        <v>0.51</v>
      </c>
      <c r="I91" s="2" t="b">
        <f t="shared" si="7"/>
        <v>1</v>
      </c>
      <c r="J91" s="2" t="b">
        <f t="shared" si="8"/>
        <v>1</v>
      </c>
      <c r="K91" s="2" t="b">
        <f t="shared" si="9"/>
        <v>1</v>
      </c>
    </row>
    <row r="92" spans="2:11" x14ac:dyDescent="0.25">
      <c r="B92" s="2" t="s">
        <v>18</v>
      </c>
      <c r="C92" s="50">
        <v>11997</v>
      </c>
      <c r="D92" s="14">
        <v>0.74</v>
      </c>
      <c r="F92" s="2" t="s">
        <v>18</v>
      </c>
      <c r="G92" s="50">
        <v>11997</v>
      </c>
      <c r="H92" s="14">
        <v>0.74</v>
      </c>
      <c r="I92" s="2" t="b">
        <f t="shared" si="7"/>
        <v>1</v>
      </c>
      <c r="J92" s="2" t="b">
        <f t="shared" si="8"/>
        <v>1</v>
      </c>
      <c r="K92" s="2" t="b">
        <f t="shared" si="9"/>
        <v>1</v>
      </c>
    </row>
    <row r="93" spans="2:11" x14ac:dyDescent="0.25">
      <c r="B93" s="2" t="s">
        <v>19</v>
      </c>
      <c r="C93" s="50">
        <v>4409</v>
      </c>
      <c r="D93" s="14">
        <v>0.54</v>
      </c>
      <c r="F93" s="2" t="s">
        <v>19</v>
      </c>
      <c r="G93" s="50">
        <v>4409</v>
      </c>
      <c r="H93" s="14">
        <v>0.54</v>
      </c>
      <c r="I93" s="2" t="b">
        <f t="shared" si="7"/>
        <v>1</v>
      </c>
      <c r="J93" s="2" t="b">
        <f t="shared" si="8"/>
        <v>1</v>
      </c>
      <c r="K93" s="2" t="b">
        <f t="shared" si="9"/>
        <v>1</v>
      </c>
    </row>
    <row r="94" spans="2:11" x14ac:dyDescent="0.25">
      <c r="B94" s="2" t="s">
        <v>77</v>
      </c>
      <c r="C94" s="50">
        <f>SUM(C87:C93)</f>
        <v>206154</v>
      </c>
      <c r="D94" s="14">
        <v>0.81</v>
      </c>
      <c r="F94" s="2" t="s">
        <v>77</v>
      </c>
      <c r="G94" s="50">
        <v>206154</v>
      </c>
      <c r="H94" s="14">
        <v>0.81</v>
      </c>
      <c r="I94" s="2" t="b">
        <f t="shared" si="7"/>
        <v>1</v>
      </c>
      <c r="J94" s="2" t="b">
        <f t="shared" si="8"/>
        <v>1</v>
      </c>
      <c r="K94" s="2" t="b">
        <f t="shared" si="9"/>
        <v>1</v>
      </c>
    </row>
    <row r="95" spans="2:11" x14ac:dyDescent="0.25">
      <c r="C95" s="55"/>
    </row>
    <row r="96" spans="2:11" x14ac:dyDescent="0.25">
      <c r="F96" s="4" t="s">
        <v>5</v>
      </c>
      <c r="G96" s="13">
        <f>27/27</f>
        <v>1</v>
      </c>
    </row>
    <row r="99" spans="2:10" x14ac:dyDescent="0.25">
      <c r="B99" s="174" t="s">
        <v>92</v>
      </c>
      <c r="C99" s="174"/>
      <c r="D99" s="174"/>
      <c r="E99" s="174"/>
      <c r="F99" s="174"/>
      <c r="G99" s="174"/>
      <c r="H99" s="174"/>
    </row>
    <row r="101" spans="2:10" x14ac:dyDescent="0.25">
      <c r="B101" s="177" t="s">
        <v>24</v>
      </c>
      <c r="C101" s="177"/>
      <c r="F101" s="177" t="s">
        <v>1</v>
      </c>
      <c r="G101" s="177"/>
      <c r="H101" s="7"/>
    </row>
    <row r="103" spans="2:10" x14ac:dyDescent="0.25">
      <c r="B103" s="1" t="s">
        <v>66</v>
      </c>
      <c r="C103" s="4" t="s">
        <v>78</v>
      </c>
      <c r="F103" s="1" t="s">
        <v>66</v>
      </c>
      <c r="G103" s="4" t="s">
        <v>78</v>
      </c>
      <c r="H103" s="4"/>
      <c r="I103" s="2" t="b">
        <f>B103=F103</f>
        <v>1</v>
      </c>
      <c r="J103" s="2" t="b">
        <f>C103=G103</f>
        <v>1</v>
      </c>
    </row>
    <row r="104" spans="2:10" x14ac:dyDescent="0.25">
      <c r="B104" s="2" t="s">
        <v>17</v>
      </c>
      <c r="C104" s="50">
        <v>111922</v>
      </c>
      <c r="F104" s="2" t="s">
        <v>17</v>
      </c>
      <c r="G104" s="50">
        <v>111922</v>
      </c>
      <c r="H104" s="14"/>
      <c r="I104" s="2" t="b">
        <f t="shared" ref="I104:I111" si="10">B104=F104</f>
        <v>1</v>
      </c>
      <c r="J104" s="2" t="b">
        <f>C104=G104</f>
        <v>1</v>
      </c>
    </row>
    <row r="105" spans="2:10" x14ac:dyDescent="0.25">
      <c r="B105" s="2" t="s">
        <v>16</v>
      </c>
      <c r="C105" s="50">
        <v>14610</v>
      </c>
      <c r="F105" s="2" t="s">
        <v>16</v>
      </c>
      <c r="G105" s="50">
        <v>14610</v>
      </c>
      <c r="H105" s="14"/>
      <c r="I105" s="2" t="b">
        <f t="shared" si="10"/>
        <v>1</v>
      </c>
      <c r="J105" s="2" t="b">
        <f t="shared" ref="J105:J111" si="11">C105=G105</f>
        <v>1</v>
      </c>
    </row>
    <row r="106" spans="2:10" x14ac:dyDescent="0.25">
      <c r="B106" s="2" t="s">
        <v>15</v>
      </c>
      <c r="C106" s="50">
        <v>13826</v>
      </c>
      <c r="F106" s="2" t="s">
        <v>15</v>
      </c>
      <c r="G106" s="50">
        <v>13826</v>
      </c>
      <c r="H106" s="14"/>
      <c r="I106" s="2" t="b">
        <f t="shared" si="10"/>
        <v>1</v>
      </c>
      <c r="J106" s="2" t="b">
        <f t="shared" si="11"/>
        <v>1</v>
      </c>
    </row>
    <row r="107" spans="2:10" x14ac:dyDescent="0.25">
      <c r="B107" s="2" t="s">
        <v>95</v>
      </c>
      <c r="C107" s="50">
        <v>9480</v>
      </c>
      <c r="F107" s="2" t="s">
        <v>95</v>
      </c>
      <c r="G107" s="50">
        <v>9480</v>
      </c>
      <c r="H107" s="14"/>
      <c r="I107" s="2" t="b">
        <f t="shared" si="10"/>
        <v>1</v>
      </c>
      <c r="J107" s="2" t="b">
        <f t="shared" si="11"/>
        <v>1</v>
      </c>
    </row>
    <row r="108" spans="2:10" x14ac:dyDescent="0.25">
      <c r="B108" s="2" t="s">
        <v>98</v>
      </c>
      <c r="C108" s="50">
        <v>7453</v>
      </c>
      <c r="F108" s="2" t="s">
        <v>98</v>
      </c>
      <c r="G108" s="50">
        <v>7453</v>
      </c>
      <c r="H108" s="14"/>
      <c r="I108" s="2" t="b">
        <f t="shared" si="10"/>
        <v>1</v>
      </c>
      <c r="J108" s="2" t="b">
        <f t="shared" si="11"/>
        <v>1</v>
      </c>
    </row>
    <row r="109" spans="2:10" x14ac:dyDescent="0.25">
      <c r="B109" s="2" t="s">
        <v>18</v>
      </c>
      <c r="C109" s="50">
        <v>8878</v>
      </c>
      <c r="F109" s="2" t="s">
        <v>18</v>
      </c>
      <c r="G109" s="50">
        <v>8878</v>
      </c>
      <c r="H109" s="14"/>
      <c r="I109" s="2" t="b">
        <f t="shared" si="10"/>
        <v>1</v>
      </c>
      <c r="J109" s="2" t="b">
        <f t="shared" si="11"/>
        <v>1</v>
      </c>
    </row>
    <row r="110" spans="2:10" x14ac:dyDescent="0.25">
      <c r="B110" s="2" t="s">
        <v>19</v>
      </c>
      <c r="C110" s="50">
        <v>2381</v>
      </c>
      <c r="F110" s="2" t="s">
        <v>19</v>
      </c>
      <c r="G110" s="50">
        <v>2381</v>
      </c>
      <c r="H110" s="14"/>
      <c r="I110" s="2" t="b">
        <f t="shared" si="10"/>
        <v>1</v>
      </c>
      <c r="J110" s="2" t="b">
        <f t="shared" si="11"/>
        <v>1</v>
      </c>
    </row>
    <row r="111" spans="2:10" x14ac:dyDescent="0.25">
      <c r="B111" s="2" t="s">
        <v>77</v>
      </c>
      <c r="C111" s="50">
        <v>168550</v>
      </c>
      <c r="F111" s="2" t="s">
        <v>77</v>
      </c>
      <c r="G111" s="50">
        <v>168550</v>
      </c>
      <c r="H111" s="14"/>
      <c r="I111" s="2" t="b">
        <f t="shared" si="10"/>
        <v>1</v>
      </c>
      <c r="J111" s="2" t="b">
        <f t="shared" si="11"/>
        <v>1</v>
      </c>
    </row>
    <row r="113" spans="2:10" x14ac:dyDescent="0.25">
      <c r="F113" s="4" t="s">
        <v>5</v>
      </c>
      <c r="G113" s="14">
        <f>18/18</f>
        <v>1</v>
      </c>
    </row>
    <row r="115" spans="2:10" x14ac:dyDescent="0.25">
      <c r="B115" s="177" t="s">
        <v>24</v>
      </c>
      <c r="C115" s="177"/>
      <c r="F115" s="177" t="s">
        <v>1</v>
      </c>
      <c r="G115" s="177"/>
    </row>
    <row r="117" spans="2:10" x14ac:dyDescent="0.25">
      <c r="B117" s="10" t="s">
        <v>66</v>
      </c>
      <c r="C117" s="4" t="s">
        <v>78</v>
      </c>
      <c r="F117" s="10" t="s">
        <v>66</v>
      </c>
      <c r="G117" s="4" t="s">
        <v>78</v>
      </c>
      <c r="I117" s="2" t="b">
        <f>B117=F117</f>
        <v>1</v>
      </c>
      <c r="J117" s="2" t="b">
        <f>C117=G117</f>
        <v>1</v>
      </c>
    </row>
    <row r="118" spans="2:10" x14ac:dyDescent="0.25">
      <c r="B118" s="5" t="s">
        <v>17</v>
      </c>
      <c r="C118" s="50">
        <v>111922</v>
      </c>
      <c r="F118" s="5" t="s">
        <v>17</v>
      </c>
      <c r="G118" s="50">
        <v>111922</v>
      </c>
      <c r="I118" s="2" t="b">
        <f t="shared" ref="I118:I124" si="12">B118=F118</f>
        <v>1</v>
      </c>
      <c r="J118" s="2" t="b">
        <f t="shared" ref="J118:J124" si="13">C118=G118</f>
        <v>1</v>
      </c>
    </row>
    <row r="119" spans="2:10" x14ac:dyDescent="0.25">
      <c r="B119" s="5" t="s">
        <v>16</v>
      </c>
      <c r="C119" s="50">
        <v>14610</v>
      </c>
      <c r="F119" s="5" t="s">
        <v>16</v>
      </c>
      <c r="G119" s="50">
        <v>14610</v>
      </c>
      <c r="I119" s="2" t="b">
        <f t="shared" si="12"/>
        <v>1</v>
      </c>
      <c r="J119" s="2" t="b">
        <f t="shared" si="13"/>
        <v>1</v>
      </c>
    </row>
    <row r="120" spans="2:10" x14ac:dyDescent="0.25">
      <c r="B120" s="5" t="s">
        <v>15</v>
      </c>
      <c r="C120" s="50">
        <v>13826</v>
      </c>
      <c r="F120" s="5" t="s">
        <v>15</v>
      </c>
      <c r="G120" s="50">
        <v>13826</v>
      </c>
      <c r="I120" s="2" t="b">
        <f t="shared" si="12"/>
        <v>1</v>
      </c>
      <c r="J120" s="2" t="b">
        <f t="shared" si="13"/>
        <v>1</v>
      </c>
    </row>
    <row r="121" spans="2:10" x14ac:dyDescent="0.25">
      <c r="B121" s="5" t="s">
        <v>18</v>
      </c>
      <c r="C121" s="50">
        <v>8878</v>
      </c>
      <c r="F121" s="5" t="s">
        <v>18</v>
      </c>
      <c r="G121" s="50">
        <v>8878</v>
      </c>
      <c r="I121" s="2" t="b">
        <f t="shared" si="12"/>
        <v>1</v>
      </c>
      <c r="J121" s="2" t="b">
        <f t="shared" si="13"/>
        <v>1</v>
      </c>
    </row>
    <row r="122" spans="2:10" x14ac:dyDescent="0.25">
      <c r="B122" s="5" t="s">
        <v>19</v>
      </c>
      <c r="C122" s="50">
        <v>2381</v>
      </c>
      <c r="F122" s="5" t="s">
        <v>19</v>
      </c>
      <c r="G122" s="50">
        <v>2381</v>
      </c>
      <c r="I122" s="2" t="b">
        <f t="shared" si="12"/>
        <v>1</v>
      </c>
      <c r="J122" s="2" t="b">
        <f t="shared" si="13"/>
        <v>1</v>
      </c>
    </row>
    <row r="123" spans="2:10" x14ac:dyDescent="0.25">
      <c r="B123" s="5" t="s">
        <v>22</v>
      </c>
      <c r="C123" s="50">
        <v>16933</v>
      </c>
      <c r="F123" s="5" t="s">
        <v>22</v>
      </c>
      <c r="G123" s="50">
        <v>16933</v>
      </c>
      <c r="I123" s="2" t="b">
        <f t="shared" si="12"/>
        <v>1</v>
      </c>
      <c r="J123" s="2" t="b">
        <f t="shared" si="13"/>
        <v>1</v>
      </c>
    </row>
    <row r="124" spans="2:10" x14ac:dyDescent="0.25">
      <c r="B124" s="5" t="s">
        <v>77</v>
      </c>
      <c r="C124" s="50">
        <v>168550</v>
      </c>
      <c r="F124" s="5" t="s">
        <v>77</v>
      </c>
      <c r="G124" s="50">
        <f>SUM(G118:G123)</f>
        <v>168550</v>
      </c>
      <c r="I124" s="2" t="b">
        <f t="shared" si="12"/>
        <v>1</v>
      </c>
      <c r="J124" s="2" t="b">
        <f t="shared" si="13"/>
        <v>1</v>
      </c>
    </row>
    <row r="126" spans="2:10" x14ac:dyDescent="0.25">
      <c r="F126" s="4" t="s">
        <v>5</v>
      </c>
      <c r="G126" s="14">
        <f>18/18</f>
        <v>1</v>
      </c>
    </row>
    <row r="145" spans="1:11" x14ac:dyDescent="0.25">
      <c r="A145" s="8" t="s">
        <v>52</v>
      </c>
      <c r="B145" s="10" t="s">
        <v>214</v>
      </c>
    </row>
    <row r="146" spans="1:11" x14ac:dyDescent="0.25">
      <c r="A146" s="19">
        <f>200/250*60</f>
        <v>48</v>
      </c>
      <c r="B146" s="3" t="s">
        <v>54</v>
      </c>
      <c r="C146" s="2" t="s">
        <v>105</v>
      </c>
    </row>
    <row r="147" spans="1:11" x14ac:dyDescent="0.25">
      <c r="A147" s="19">
        <f>224/250*60</f>
        <v>53.76</v>
      </c>
      <c r="B147" s="3" t="s">
        <v>83</v>
      </c>
      <c r="C147" s="2" t="s">
        <v>106</v>
      </c>
    </row>
    <row r="148" spans="1:11" x14ac:dyDescent="0.25">
      <c r="A148" s="19">
        <f>167/250*60</f>
        <v>40.080000000000005</v>
      </c>
      <c r="B148" s="3" t="s">
        <v>83</v>
      </c>
      <c r="C148" s="2" t="s">
        <v>108</v>
      </c>
    </row>
    <row r="149" spans="1:11" x14ac:dyDescent="0.25">
      <c r="A149" s="19">
        <f>225/250*60</f>
        <v>54</v>
      </c>
      <c r="B149" s="3" t="s">
        <v>55</v>
      </c>
      <c r="C149" s="2" t="s">
        <v>216</v>
      </c>
    </row>
    <row r="150" spans="1:11" x14ac:dyDescent="0.25">
      <c r="A150" s="19">
        <f>235/250*60</f>
        <v>56.4</v>
      </c>
      <c r="B150" s="3" t="s">
        <v>55</v>
      </c>
      <c r="C150" s="2" t="s">
        <v>93</v>
      </c>
    </row>
    <row r="151" spans="1:11" x14ac:dyDescent="0.25">
      <c r="A151" s="19">
        <f>108/250*60</f>
        <v>25.919999999999998</v>
      </c>
      <c r="B151" s="3" t="s">
        <v>55</v>
      </c>
      <c r="C151" s="2" t="s">
        <v>110</v>
      </c>
    </row>
    <row r="153" spans="1:11" x14ac:dyDescent="0.25">
      <c r="B153" s="174" t="s">
        <v>91</v>
      </c>
      <c r="C153" s="174"/>
      <c r="D153" s="174"/>
      <c r="E153" s="174"/>
      <c r="F153" s="174"/>
      <c r="G153" s="174"/>
      <c r="H153" s="174"/>
      <c r="J153" s="87">
        <v>100</v>
      </c>
    </row>
    <row r="155" spans="1:11" x14ac:dyDescent="0.25">
      <c r="B155" s="177" t="s">
        <v>24</v>
      </c>
      <c r="C155" s="177"/>
      <c r="D155" s="177"/>
      <c r="F155" s="177" t="s">
        <v>1</v>
      </c>
      <c r="G155" s="177"/>
      <c r="H155" s="177"/>
    </row>
    <row r="157" spans="1:11" x14ac:dyDescent="0.25">
      <c r="B157" s="1" t="s">
        <v>66</v>
      </c>
      <c r="C157" s="4" t="s">
        <v>78</v>
      </c>
      <c r="D157" s="4" t="s">
        <v>96</v>
      </c>
      <c r="F157" s="1" t="s">
        <v>66</v>
      </c>
      <c r="G157" s="4" t="s">
        <v>78</v>
      </c>
      <c r="H157" s="4" t="s">
        <v>96</v>
      </c>
      <c r="I157" s="2" t="b">
        <f t="shared" ref="I157:I165" si="14">B157=F157</f>
        <v>1</v>
      </c>
      <c r="J157" s="2" t="b">
        <f t="shared" ref="J157:J165" si="15">C157=G157</f>
        <v>1</v>
      </c>
      <c r="K157" s="2" t="b">
        <f t="shared" ref="K157:K165" si="16">D157=H157</f>
        <v>1</v>
      </c>
    </row>
    <row r="158" spans="1:11" x14ac:dyDescent="0.25">
      <c r="B158" s="2" t="s">
        <v>17</v>
      </c>
      <c r="C158" s="50">
        <v>122811</v>
      </c>
      <c r="D158" s="14">
        <v>0.9</v>
      </c>
      <c r="F158" s="2" t="s">
        <v>17</v>
      </c>
      <c r="G158" s="50">
        <v>122811</v>
      </c>
      <c r="H158" s="14">
        <v>0.9</v>
      </c>
      <c r="I158" s="2" t="b">
        <f t="shared" si="14"/>
        <v>1</v>
      </c>
      <c r="J158" s="2" t="b">
        <f t="shared" si="15"/>
        <v>1</v>
      </c>
      <c r="K158" s="2" t="b">
        <f t="shared" si="16"/>
        <v>1</v>
      </c>
    </row>
    <row r="159" spans="1:11" x14ac:dyDescent="0.25">
      <c r="B159" s="2" t="s">
        <v>16</v>
      </c>
      <c r="C159" s="50">
        <v>20058</v>
      </c>
      <c r="D159" s="14">
        <v>0.71</v>
      </c>
      <c r="F159" s="2" t="s">
        <v>16</v>
      </c>
      <c r="G159" s="50">
        <v>20058</v>
      </c>
      <c r="H159" s="14">
        <v>0.71</v>
      </c>
      <c r="I159" s="2" t="b">
        <f t="shared" si="14"/>
        <v>1</v>
      </c>
      <c r="J159" s="2" t="b">
        <f t="shared" si="15"/>
        <v>1</v>
      </c>
      <c r="K159" s="2" t="b">
        <f t="shared" si="16"/>
        <v>1</v>
      </c>
    </row>
    <row r="160" spans="1:11" x14ac:dyDescent="0.25">
      <c r="B160" s="2" t="s">
        <v>15</v>
      </c>
      <c r="C160" s="50">
        <v>16300</v>
      </c>
      <c r="D160" s="14">
        <v>0.82</v>
      </c>
      <c r="F160" s="2" t="s">
        <v>15</v>
      </c>
      <c r="G160" s="50">
        <v>16300</v>
      </c>
      <c r="H160" s="14">
        <v>0.82</v>
      </c>
      <c r="I160" s="2" t="b">
        <f t="shared" si="14"/>
        <v>1</v>
      </c>
      <c r="J160" s="2" t="b">
        <f t="shared" si="15"/>
        <v>1</v>
      </c>
      <c r="K160" s="2" t="b">
        <f t="shared" si="16"/>
        <v>1</v>
      </c>
    </row>
    <row r="161" spans="2:11" x14ac:dyDescent="0.25">
      <c r="B161" s="2" t="s">
        <v>95</v>
      </c>
      <c r="C161" s="50">
        <v>14793</v>
      </c>
      <c r="D161" s="14">
        <v>0.65</v>
      </c>
      <c r="F161" s="2" t="s">
        <v>95</v>
      </c>
      <c r="G161" s="50">
        <v>14793</v>
      </c>
      <c r="H161" s="14">
        <v>0.65</v>
      </c>
      <c r="I161" s="2" t="b">
        <f t="shared" si="14"/>
        <v>1</v>
      </c>
      <c r="J161" s="2" t="b">
        <f t="shared" si="15"/>
        <v>1</v>
      </c>
      <c r="K161" s="2" t="b">
        <f t="shared" si="16"/>
        <v>1</v>
      </c>
    </row>
    <row r="162" spans="2:11" x14ac:dyDescent="0.25">
      <c r="B162" s="2" t="s">
        <v>98</v>
      </c>
      <c r="C162" s="50">
        <v>15106</v>
      </c>
      <c r="D162" s="14">
        <v>0.51</v>
      </c>
      <c r="F162" s="2" t="s">
        <v>98</v>
      </c>
      <c r="G162" s="50">
        <v>15106</v>
      </c>
      <c r="H162" s="14">
        <v>0.51</v>
      </c>
      <c r="I162" s="2" t="b">
        <f t="shared" si="14"/>
        <v>1</v>
      </c>
      <c r="J162" s="2" t="b">
        <f t="shared" si="15"/>
        <v>1</v>
      </c>
      <c r="K162" s="2" t="b">
        <f t="shared" si="16"/>
        <v>1</v>
      </c>
    </row>
    <row r="163" spans="2:11" x14ac:dyDescent="0.25">
      <c r="B163" s="2" t="s">
        <v>18</v>
      </c>
      <c r="C163" s="50">
        <v>12240</v>
      </c>
      <c r="D163" s="14">
        <v>0.74</v>
      </c>
      <c r="F163" s="2" t="s">
        <v>18</v>
      </c>
      <c r="G163" s="50">
        <v>12240</v>
      </c>
      <c r="H163" s="14">
        <v>0.74</v>
      </c>
      <c r="I163" s="2" t="b">
        <f t="shared" si="14"/>
        <v>1</v>
      </c>
      <c r="J163" s="2" t="b">
        <f t="shared" si="15"/>
        <v>1</v>
      </c>
      <c r="K163" s="2" t="b">
        <f t="shared" si="16"/>
        <v>1</v>
      </c>
    </row>
    <row r="164" spans="2:11" x14ac:dyDescent="0.25">
      <c r="B164" s="2" t="s">
        <v>19</v>
      </c>
      <c r="C164" s="50">
        <v>4455</v>
      </c>
      <c r="D164" s="14">
        <v>0.54</v>
      </c>
      <c r="F164" s="2" t="s">
        <v>19</v>
      </c>
      <c r="G164" s="50">
        <v>4455</v>
      </c>
      <c r="H164" s="14">
        <v>0.54</v>
      </c>
      <c r="I164" s="2" t="b">
        <f t="shared" si="14"/>
        <v>1</v>
      </c>
      <c r="J164" s="2" t="b">
        <f t="shared" si="15"/>
        <v>1</v>
      </c>
      <c r="K164" s="2" t="b">
        <f t="shared" si="16"/>
        <v>1</v>
      </c>
    </row>
    <row r="165" spans="2:11" x14ac:dyDescent="0.25">
      <c r="B165" s="2" t="s">
        <v>77</v>
      </c>
      <c r="C165" s="50">
        <v>205763</v>
      </c>
      <c r="D165" s="14">
        <v>0.81</v>
      </c>
      <c r="F165" s="2" t="s">
        <v>77</v>
      </c>
      <c r="G165" s="50">
        <v>205763</v>
      </c>
      <c r="H165" s="14">
        <v>0.81</v>
      </c>
      <c r="I165" s="2" t="b">
        <f t="shared" si="14"/>
        <v>1</v>
      </c>
      <c r="J165" s="2" t="b">
        <f t="shared" si="15"/>
        <v>1</v>
      </c>
      <c r="K165" s="2" t="b">
        <f t="shared" si="16"/>
        <v>1</v>
      </c>
    </row>
    <row r="166" spans="2:11" x14ac:dyDescent="0.25">
      <c r="C166" s="55"/>
    </row>
    <row r="167" spans="2:11" x14ac:dyDescent="0.25">
      <c r="F167" s="4" t="s">
        <v>5</v>
      </c>
      <c r="G167" s="14">
        <f>27/27</f>
        <v>1</v>
      </c>
    </row>
    <row r="170" spans="2:11" x14ac:dyDescent="0.25">
      <c r="B170" s="174" t="s">
        <v>92</v>
      </c>
      <c r="C170" s="174"/>
      <c r="D170" s="174"/>
      <c r="E170" s="174"/>
      <c r="F170" s="174"/>
      <c r="G170" s="174"/>
      <c r="H170" s="174"/>
    </row>
    <row r="172" spans="2:11" x14ac:dyDescent="0.25">
      <c r="B172" s="177" t="s">
        <v>24</v>
      </c>
      <c r="C172" s="177"/>
      <c r="F172" s="177" t="s">
        <v>1</v>
      </c>
      <c r="G172" s="177"/>
      <c r="H172" s="7"/>
    </row>
    <row r="174" spans="2:11" x14ac:dyDescent="0.25">
      <c r="B174" s="1" t="s">
        <v>66</v>
      </c>
      <c r="C174" s="4" t="s">
        <v>78</v>
      </c>
      <c r="F174" s="1" t="s">
        <v>66</v>
      </c>
      <c r="G174" s="4" t="s">
        <v>78</v>
      </c>
      <c r="H174" s="4"/>
      <c r="I174" s="2" t="b">
        <f>B174=F174</f>
        <v>1</v>
      </c>
      <c r="J174" s="2" t="b">
        <f>C174=G174</f>
        <v>1</v>
      </c>
    </row>
    <row r="175" spans="2:11" x14ac:dyDescent="0.25">
      <c r="B175" s="2" t="s">
        <v>17</v>
      </c>
      <c r="C175" s="50">
        <v>110530</v>
      </c>
      <c r="F175" s="2" t="s">
        <v>17</v>
      </c>
      <c r="G175" s="50">
        <v>110530</v>
      </c>
      <c r="H175" s="14"/>
      <c r="I175" s="2" t="b">
        <f t="shared" ref="I175:I182" si="17">B175=F175</f>
        <v>1</v>
      </c>
      <c r="J175" s="2" t="b">
        <f>C175=G175</f>
        <v>1</v>
      </c>
    </row>
    <row r="176" spans="2:11" x14ac:dyDescent="0.25">
      <c r="B176" s="2" t="s">
        <v>16</v>
      </c>
      <c r="C176" s="50">
        <v>14241</v>
      </c>
      <c r="F176" s="2" t="s">
        <v>16</v>
      </c>
      <c r="G176" s="50">
        <v>14241</v>
      </c>
      <c r="H176" s="14"/>
      <c r="I176" s="2" t="b">
        <f t="shared" si="17"/>
        <v>1</v>
      </c>
      <c r="J176" s="2" t="b">
        <f t="shared" ref="J176:J182" si="18">C176=G176</f>
        <v>1</v>
      </c>
    </row>
    <row r="177" spans="2:10" x14ac:dyDescent="0.25">
      <c r="B177" s="2" t="s">
        <v>15</v>
      </c>
      <c r="C177" s="50">
        <v>13366</v>
      </c>
      <c r="F177" s="2" t="s">
        <v>15</v>
      </c>
      <c r="G177" s="50">
        <v>13366</v>
      </c>
      <c r="H177" s="14"/>
      <c r="I177" s="2" t="b">
        <f t="shared" si="17"/>
        <v>1</v>
      </c>
      <c r="J177" s="2" t="b">
        <f t="shared" si="18"/>
        <v>1</v>
      </c>
    </row>
    <row r="178" spans="2:10" x14ac:dyDescent="0.25">
      <c r="B178" s="2" t="s">
        <v>95</v>
      </c>
      <c r="C178" s="50">
        <v>9616</v>
      </c>
      <c r="F178" s="2" t="s">
        <v>95</v>
      </c>
      <c r="G178" s="50">
        <v>9616</v>
      </c>
      <c r="H178" s="14"/>
      <c r="I178" s="2" t="b">
        <f t="shared" si="17"/>
        <v>1</v>
      </c>
      <c r="J178" s="18" t="b">
        <v>1</v>
      </c>
    </row>
    <row r="179" spans="2:10" x14ac:dyDescent="0.25">
      <c r="B179" s="2" t="s">
        <v>98</v>
      </c>
      <c r="C179" s="50">
        <v>7704</v>
      </c>
      <c r="F179" s="2" t="s">
        <v>98</v>
      </c>
      <c r="G179" s="50">
        <v>7704</v>
      </c>
      <c r="H179" s="14"/>
      <c r="I179" s="2" t="b">
        <f t="shared" si="17"/>
        <v>1</v>
      </c>
      <c r="J179" s="2" t="b">
        <f t="shared" si="18"/>
        <v>1</v>
      </c>
    </row>
    <row r="180" spans="2:10" x14ac:dyDescent="0.25">
      <c r="B180" s="2" t="s">
        <v>18</v>
      </c>
      <c r="C180" s="50">
        <v>9058</v>
      </c>
      <c r="F180" s="2" t="s">
        <v>18</v>
      </c>
      <c r="G180" s="50">
        <v>9058</v>
      </c>
      <c r="H180" s="14"/>
      <c r="I180" s="2" t="b">
        <f t="shared" si="17"/>
        <v>1</v>
      </c>
      <c r="J180" s="2" t="b">
        <f t="shared" si="18"/>
        <v>1</v>
      </c>
    </row>
    <row r="181" spans="2:10" x14ac:dyDescent="0.25">
      <c r="B181" s="2" t="s">
        <v>19</v>
      </c>
      <c r="C181" s="50">
        <v>2405</v>
      </c>
      <c r="F181" s="2" t="s">
        <v>19</v>
      </c>
      <c r="G181" s="50">
        <v>2405</v>
      </c>
      <c r="H181" s="14"/>
      <c r="I181" s="2" t="b">
        <f t="shared" si="17"/>
        <v>1</v>
      </c>
      <c r="J181" s="18" t="b">
        <v>1</v>
      </c>
    </row>
    <row r="182" spans="2:10" x14ac:dyDescent="0.25">
      <c r="B182" s="2" t="s">
        <v>77</v>
      </c>
      <c r="C182" s="50">
        <v>166920</v>
      </c>
      <c r="F182" s="2" t="s">
        <v>77</v>
      </c>
      <c r="G182" s="50">
        <v>166920</v>
      </c>
      <c r="H182" s="14"/>
      <c r="I182" s="2" t="b">
        <f t="shared" si="17"/>
        <v>1</v>
      </c>
      <c r="J182" s="2" t="b">
        <f t="shared" si="18"/>
        <v>1</v>
      </c>
    </row>
    <row r="184" spans="2:10" x14ac:dyDescent="0.25">
      <c r="F184" s="4" t="s">
        <v>5</v>
      </c>
      <c r="G184" s="14">
        <f>18/18</f>
        <v>1</v>
      </c>
    </row>
    <row r="186" spans="2:10" x14ac:dyDescent="0.25">
      <c r="B186" s="177" t="s">
        <v>24</v>
      </c>
      <c r="C186" s="177"/>
      <c r="F186" s="177" t="s">
        <v>1</v>
      </c>
      <c r="G186" s="177"/>
    </row>
    <row r="188" spans="2:10" x14ac:dyDescent="0.25">
      <c r="B188" s="10" t="s">
        <v>66</v>
      </c>
      <c r="C188" s="4" t="s">
        <v>78</v>
      </c>
      <c r="F188" s="10" t="s">
        <v>66</v>
      </c>
      <c r="G188" s="4" t="s">
        <v>78</v>
      </c>
      <c r="I188" s="2" t="b">
        <f>B188=F188</f>
        <v>1</v>
      </c>
      <c r="J188" s="2" t="b">
        <f>C188=G188</f>
        <v>1</v>
      </c>
    </row>
    <row r="189" spans="2:10" x14ac:dyDescent="0.25">
      <c r="B189" s="5" t="s">
        <v>17</v>
      </c>
      <c r="C189" s="50">
        <v>110530</v>
      </c>
      <c r="F189" s="5" t="s">
        <v>17</v>
      </c>
      <c r="G189" s="50">
        <v>110530</v>
      </c>
      <c r="I189" s="2" t="b">
        <f t="shared" ref="I189:I195" si="19">B189=F189</f>
        <v>1</v>
      </c>
      <c r="J189" s="2" t="b">
        <f t="shared" ref="J189:J195" si="20">C189=G189</f>
        <v>1</v>
      </c>
    </row>
    <row r="190" spans="2:10" x14ac:dyDescent="0.25">
      <c r="B190" s="5" t="s">
        <v>16</v>
      </c>
      <c r="C190" s="50">
        <v>14241</v>
      </c>
      <c r="F190" s="5" t="s">
        <v>16</v>
      </c>
      <c r="G190" s="50">
        <v>14241</v>
      </c>
      <c r="I190" s="2" t="b">
        <f t="shared" si="19"/>
        <v>1</v>
      </c>
      <c r="J190" s="2" t="b">
        <f t="shared" si="20"/>
        <v>1</v>
      </c>
    </row>
    <row r="191" spans="2:10" x14ac:dyDescent="0.25">
      <c r="B191" s="5" t="s">
        <v>15</v>
      </c>
      <c r="C191" s="50">
        <v>13366</v>
      </c>
      <c r="F191" s="5" t="s">
        <v>15</v>
      </c>
      <c r="G191" s="50">
        <v>13366</v>
      </c>
      <c r="I191" s="2" t="b">
        <f t="shared" si="19"/>
        <v>1</v>
      </c>
      <c r="J191" s="2" t="b">
        <f t="shared" si="20"/>
        <v>1</v>
      </c>
    </row>
    <row r="192" spans="2:10" x14ac:dyDescent="0.25">
      <c r="B192" s="5" t="s">
        <v>18</v>
      </c>
      <c r="C192" s="50">
        <v>9058</v>
      </c>
      <c r="F192" s="5" t="s">
        <v>18</v>
      </c>
      <c r="G192" s="50">
        <v>9058</v>
      </c>
      <c r="I192" s="2" t="b">
        <f t="shared" si="19"/>
        <v>1</v>
      </c>
      <c r="J192" s="2" t="b">
        <f t="shared" si="20"/>
        <v>1</v>
      </c>
    </row>
    <row r="193" spans="2:10" x14ac:dyDescent="0.25">
      <c r="B193" s="5" t="s">
        <v>19</v>
      </c>
      <c r="C193" s="50">
        <v>2406</v>
      </c>
      <c r="F193" s="5" t="s">
        <v>19</v>
      </c>
      <c r="G193" s="50">
        <v>2406</v>
      </c>
      <c r="I193" s="2" t="b">
        <f t="shared" si="19"/>
        <v>1</v>
      </c>
      <c r="J193" s="2" t="b">
        <f t="shared" si="20"/>
        <v>1</v>
      </c>
    </row>
    <row r="194" spans="2:10" x14ac:dyDescent="0.25">
      <c r="B194" s="5" t="s">
        <v>22</v>
      </c>
      <c r="C194" s="50">
        <v>17319</v>
      </c>
      <c r="F194" s="5" t="s">
        <v>22</v>
      </c>
      <c r="G194" s="50">
        <v>17319</v>
      </c>
      <c r="I194" s="2" t="b">
        <f t="shared" si="19"/>
        <v>1</v>
      </c>
      <c r="J194" s="18" t="b">
        <v>1</v>
      </c>
    </row>
    <row r="195" spans="2:10" x14ac:dyDescent="0.25">
      <c r="B195" s="5" t="s">
        <v>77</v>
      </c>
      <c r="C195" s="50">
        <v>166920</v>
      </c>
      <c r="F195" s="5" t="s">
        <v>77</v>
      </c>
      <c r="G195" s="50">
        <v>166920</v>
      </c>
      <c r="I195" s="2" t="b">
        <f t="shared" si="19"/>
        <v>1</v>
      </c>
      <c r="J195" s="2" t="b">
        <f t="shared" si="20"/>
        <v>1</v>
      </c>
    </row>
    <row r="197" spans="2:10" x14ac:dyDescent="0.25">
      <c r="F197" s="4" t="s">
        <v>5</v>
      </c>
      <c r="G197" s="14">
        <f>18/18</f>
        <v>1</v>
      </c>
    </row>
    <row r="214" spans="1:10" x14ac:dyDescent="0.25">
      <c r="A214" s="8" t="s">
        <v>52</v>
      </c>
      <c r="B214" s="10" t="s">
        <v>215</v>
      </c>
    </row>
    <row r="215" spans="1:10" x14ac:dyDescent="0.25">
      <c r="A215" s="19">
        <f>200/250*60</f>
        <v>48</v>
      </c>
      <c r="B215" s="3" t="s">
        <v>54</v>
      </c>
      <c r="C215" s="2" t="s">
        <v>105</v>
      </c>
    </row>
    <row r="216" spans="1:10" x14ac:dyDescent="0.25">
      <c r="A216" s="19">
        <f>224/250*60</f>
        <v>53.76</v>
      </c>
      <c r="B216" s="3" t="s">
        <v>83</v>
      </c>
      <c r="C216" s="2" t="s">
        <v>106</v>
      </c>
    </row>
    <row r="217" spans="1:10" x14ac:dyDescent="0.25">
      <c r="A217" s="19">
        <f>167/250*60</f>
        <v>40.080000000000005</v>
      </c>
      <c r="B217" s="3" t="s">
        <v>83</v>
      </c>
      <c r="C217" s="2" t="s">
        <v>108</v>
      </c>
    </row>
    <row r="218" spans="1:10" x14ac:dyDescent="0.25">
      <c r="A218" s="19">
        <f>225/250*60</f>
        <v>54</v>
      </c>
      <c r="B218" s="3" t="s">
        <v>55</v>
      </c>
      <c r="C218" s="2" t="s">
        <v>217</v>
      </c>
    </row>
    <row r="219" spans="1:10" x14ac:dyDescent="0.25">
      <c r="A219" s="19">
        <f>235/250*60</f>
        <v>56.4</v>
      </c>
      <c r="B219" s="3" t="s">
        <v>55</v>
      </c>
      <c r="C219" s="2" t="s">
        <v>93</v>
      </c>
    </row>
    <row r="220" spans="1:10" x14ac:dyDescent="0.25">
      <c r="A220" s="19">
        <f>108/250*60</f>
        <v>25.919999999999998</v>
      </c>
      <c r="B220" s="3" t="s">
        <v>55</v>
      </c>
      <c r="C220" s="2" t="s">
        <v>110</v>
      </c>
    </row>
    <row r="222" spans="1:10" x14ac:dyDescent="0.25">
      <c r="B222" s="174" t="s">
        <v>91</v>
      </c>
      <c r="C222" s="174"/>
      <c r="D222" s="174"/>
      <c r="E222" s="174"/>
      <c r="F222" s="174"/>
      <c r="G222" s="174"/>
      <c r="H222" s="174"/>
      <c r="J222" s="87">
        <v>100</v>
      </c>
    </row>
    <row r="224" spans="1:10" x14ac:dyDescent="0.25">
      <c r="B224" s="177" t="s">
        <v>24</v>
      </c>
      <c r="C224" s="177"/>
      <c r="D224" s="177"/>
      <c r="F224" s="177" t="s">
        <v>1</v>
      </c>
      <c r="G224" s="177"/>
      <c r="H224" s="177"/>
    </row>
    <row r="226" spans="2:11" x14ac:dyDescent="0.25">
      <c r="B226" s="1" t="s">
        <v>66</v>
      </c>
      <c r="C226" s="4" t="s">
        <v>78</v>
      </c>
      <c r="D226" s="4" t="s">
        <v>96</v>
      </c>
      <c r="F226" s="1" t="s">
        <v>66</v>
      </c>
      <c r="G226" s="4" t="s">
        <v>78</v>
      </c>
      <c r="H226" s="4" t="s">
        <v>96</v>
      </c>
      <c r="I226" s="2" t="b">
        <f t="shared" ref="I226:I234" si="21">B226=F226</f>
        <v>1</v>
      </c>
      <c r="J226" s="2" t="b">
        <f t="shared" ref="J226:J234" si="22">C226=G226</f>
        <v>1</v>
      </c>
      <c r="K226" s="2" t="b">
        <f t="shared" ref="K226:K234" si="23">D226=H226</f>
        <v>1</v>
      </c>
    </row>
    <row r="227" spans="2:11" x14ac:dyDescent="0.25">
      <c r="B227" s="2" t="s">
        <v>17</v>
      </c>
      <c r="C227" s="50">
        <v>124081</v>
      </c>
      <c r="D227" s="14">
        <v>0.92</v>
      </c>
      <c r="F227" s="2" t="s">
        <v>17</v>
      </c>
      <c r="G227" s="50">
        <v>124081</v>
      </c>
      <c r="H227" s="14">
        <v>0.92</v>
      </c>
      <c r="I227" s="2" t="b">
        <f t="shared" si="21"/>
        <v>1</v>
      </c>
      <c r="J227" s="2" t="b">
        <f t="shared" si="22"/>
        <v>1</v>
      </c>
      <c r="K227" s="2" t="b">
        <f t="shared" si="23"/>
        <v>1</v>
      </c>
    </row>
    <row r="228" spans="2:11" x14ac:dyDescent="0.25">
      <c r="B228" s="2" t="s">
        <v>16</v>
      </c>
      <c r="C228" s="50">
        <v>19109</v>
      </c>
      <c r="D228" s="14">
        <v>0.72</v>
      </c>
      <c r="F228" s="2" t="s">
        <v>16</v>
      </c>
      <c r="G228" s="50">
        <v>19109</v>
      </c>
      <c r="H228" s="14">
        <v>0.72</v>
      </c>
      <c r="I228" s="2" t="b">
        <f t="shared" si="21"/>
        <v>1</v>
      </c>
      <c r="J228" s="2" t="b">
        <f t="shared" si="22"/>
        <v>1</v>
      </c>
      <c r="K228" s="2" t="b">
        <f t="shared" si="23"/>
        <v>1</v>
      </c>
    </row>
    <row r="229" spans="2:11" x14ac:dyDescent="0.25">
      <c r="B229" s="2" t="s">
        <v>15</v>
      </c>
      <c r="C229" s="50">
        <v>16360</v>
      </c>
      <c r="D229" s="14">
        <v>0.81</v>
      </c>
      <c r="F229" s="2" t="s">
        <v>15</v>
      </c>
      <c r="G229" s="50">
        <v>16360</v>
      </c>
      <c r="H229" s="14">
        <v>0.81</v>
      </c>
      <c r="I229" s="2" t="b">
        <f t="shared" si="21"/>
        <v>1</v>
      </c>
      <c r="J229" s="2" t="b">
        <f t="shared" si="22"/>
        <v>1</v>
      </c>
      <c r="K229" s="2" t="b">
        <f t="shared" si="23"/>
        <v>1</v>
      </c>
    </row>
    <row r="230" spans="2:11" x14ac:dyDescent="0.25">
      <c r="B230" s="2" t="s">
        <v>95</v>
      </c>
      <c r="C230" s="50">
        <v>16569</v>
      </c>
      <c r="D230" s="14">
        <v>0.63</v>
      </c>
      <c r="F230" s="2" t="s">
        <v>95</v>
      </c>
      <c r="G230" s="50">
        <v>16569</v>
      </c>
      <c r="H230" s="14">
        <v>0.63</v>
      </c>
      <c r="I230" s="2" t="b">
        <f t="shared" si="21"/>
        <v>1</v>
      </c>
      <c r="J230" s="2" t="b">
        <f t="shared" si="22"/>
        <v>1</v>
      </c>
      <c r="K230" s="2" t="b">
        <f t="shared" si="23"/>
        <v>1</v>
      </c>
    </row>
    <row r="231" spans="2:11" x14ac:dyDescent="0.25">
      <c r="B231" s="2" t="s">
        <v>98</v>
      </c>
      <c r="C231" s="50">
        <v>14104</v>
      </c>
      <c r="D231" s="14">
        <v>0.46</v>
      </c>
      <c r="F231" s="2" t="s">
        <v>98</v>
      </c>
      <c r="G231" s="50">
        <v>14104</v>
      </c>
      <c r="H231" s="14">
        <v>0.46</v>
      </c>
      <c r="I231" s="2" t="b">
        <f t="shared" si="21"/>
        <v>1</v>
      </c>
      <c r="J231" s="2" t="b">
        <f t="shared" si="22"/>
        <v>1</v>
      </c>
      <c r="K231" s="2" t="b">
        <f t="shared" si="23"/>
        <v>1</v>
      </c>
    </row>
    <row r="232" spans="2:11" x14ac:dyDescent="0.25">
      <c r="B232" s="2" t="s">
        <v>18</v>
      </c>
      <c r="C232" s="50">
        <v>12253</v>
      </c>
      <c r="D232" s="14">
        <v>0.75</v>
      </c>
      <c r="F232" s="2" t="s">
        <v>18</v>
      </c>
      <c r="G232" s="50">
        <v>12253</v>
      </c>
      <c r="H232" s="14">
        <v>0.75</v>
      </c>
      <c r="I232" s="2" t="b">
        <f t="shared" si="21"/>
        <v>1</v>
      </c>
      <c r="J232" s="2" t="b">
        <f t="shared" si="22"/>
        <v>1</v>
      </c>
      <c r="K232" s="2" t="b">
        <f t="shared" si="23"/>
        <v>1</v>
      </c>
    </row>
    <row r="233" spans="2:11" x14ac:dyDescent="0.25">
      <c r="B233" s="2" t="s">
        <v>19</v>
      </c>
      <c r="C233" s="50">
        <v>4574</v>
      </c>
      <c r="D233" s="14">
        <v>0.53</v>
      </c>
      <c r="F233" s="2" t="s">
        <v>19</v>
      </c>
      <c r="G233" s="50">
        <v>4574</v>
      </c>
      <c r="H233" s="14">
        <v>0.53</v>
      </c>
      <c r="I233" s="2" t="b">
        <f t="shared" si="21"/>
        <v>1</v>
      </c>
      <c r="J233" s="2" t="b">
        <f t="shared" si="22"/>
        <v>1</v>
      </c>
      <c r="K233" s="2" t="b">
        <f t="shared" si="23"/>
        <v>1</v>
      </c>
    </row>
    <row r="234" spans="2:11" x14ac:dyDescent="0.25">
      <c r="B234" s="2" t="s">
        <v>77</v>
      </c>
      <c r="C234" s="50">
        <v>207050</v>
      </c>
      <c r="D234" s="14">
        <v>0.82</v>
      </c>
      <c r="F234" s="2" t="s">
        <v>77</v>
      </c>
      <c r="G234" s="50">
        <v>207050</v>
      </c>
      <c r="H234" s="14">
        <v>0.82</v>
      </c>
      <c r="I234" s="2" t="b">
        <f t="shared" si="21"/>
        <v>1</v>
      </c>
      <c r="J234" s="2" t="b">
        <f t="shared" si="22"/>
        <v>1</v>
      </c>
      <c r="K234" s="2" t="b">
        <f t="shared" si="23"/>
        <v>1</v>
      </c>
    </row>
    <row r="235" spans="2:11" x14ac:dyDescent="0.25">
      <c r="C235" s="55"/>
    </row>
    <row r="236" spans="2:11" x14ac:dyDescent="0.25">
      <c r="F236" s="4" t="s">
        <v>5</v>
      </c>
      <c r="G236" s="14">
        <f>27/27</f>
        <v>1</v>
      </c>
    </row>
    <row r="239" spans="2:11" x14ac:dyDescent="0.25">
      <c r="B239" s="174" t="s">
        <v>92</v>
      </c>
      <c r="C239" s="174"/>
      <c r="D239" s="174"/>
      <c r="E239" s="174"/>
      <c r="F239" s="174"/>
      <c r="G239" s="174"/>
      <c r="H239" s="174"/>
    </row>
    <row r="241" spans="2:10" x14ac:dyDescent="0.25">
      <c r="B241" s="177" t="s">
        <v>24</v>
      </c>
      <c r="C241" s="177"/>
      <c r="F241" s="177" t="s">
        <v>1</v>
      </c>
      <c r="G241" s="177"/>
      <c r="H241" s="7"/>
    </row>
    <row r="243" spans="2:10" x14ac:dyDescent="0.25">
      <c r="B243" s="1" t="s">
        <v>66</v>
      </c>
      <c r="C243" s="4" t="s">
        <v>78</v>
      </c>
      <c r="F243" s="1" t="s">
        <v>66</v>
      </c>
      <c r="G243" s="4" t="s">
        <v>78</v>
      </c>
      <c r="H243" s="4"/>
      <c r="I243" s="2" t="b">
        <f>B243=F243</f>
        <v>1</v>
      </c>
      <c r="J243" s="2" t="b">
        <f>C243=G243</f>
        <v>1</v>
      </c>
    </row>
    <row r="244" spans="2:10" x14ac:dyDescent="0.25">
      <c r="B244" s="2" t="s">
        <v>17</v>
      </c>
      <c r="C244" s="50">
        <v>114155</v>
      </c>
      <c r="F244" s="2" t="s">
        <v>17</v>
      </c>
      <c r="G244" s="50">
        <v>114155</v>
      </c>
      <c r="H244" s="14"/>
      <c r="I244" s="2" t="b">
        <f t="shared" ref="I244:I251" si="24">B244=F244</f>
        <v>1</v>
      </c>
      <c r="J244" s="2" t="b">
        <f>C244=G244</f>
        <v>1</v>
      </c>
    </row>
    <row r="245" spans="2:10" x14ac:dyDescent="0.25">
      <c r="B245" s="2" t="s">
        <v>16</v>
      </c>
      <c r="C245" s="50">
        <v>13758</v>
      </c>
      <c r="F245" s="2" t="s">
        <v>16</v>
      </c>
      <c r="G245" s="50">
        <v>13758</v>
      </c>
      <c r="H245" s="14"/>
      <c r="I245" s="2" t="b">
        <f t="shared" si="24"/>
        <v>1</v>
      </c>
      <c r="J245" s="2" t="b">
        <f t="shared" ref="J245:J251" si="25">C245=G245</f>
        <v>1</v>
      </c>
    </row>
    <row r="246" spans="2:10" x14ac:dyDescent="0.25">
      <c r="B246" s="2" t="s">
        <v>15</v>
      </c>
      <c r="C246" s="50">
        <v>13252</v>
      </c>
      <c r="F246" s="2" t="s">
        <v>15</v>
      </c>
      <c r="G246" s="50">
        <v>13252</v>
      </c>
      <c r="H246" s="14"/>
      <c r="I246" s="2" t="b">
        <f t="shared" si="24"/>
        <v>1</v>
      </c>
      <c r="J246" s="2" t="b">
        <f t="shared" si="25"/>
        <v>1</v>
      </c>
    </row>
    <row r="247" spans="2:10" x14ac:dyDescent="0.25">
      <c r="B247" s="2" t="s">
        <v>95</v>
      </c>
      <c r="C247" s="50">
        <v>10438</v>
      </c>
      <c r="F247" s="2" t="s">
        <v>95</v>
      </c>
      <c r="G247" s="50">
        <v>10438</v>
      </c>
      <c r="H247" s="14"/>
      <c r="I247" s="2" t="b">
        <f t="shared" si="24"/>
        <v>1</v>
      </c>
      <c r="J247" s="2" t="b">
        <f t="shared" si="25"/>
        <v>1</v>
      </c>
    </row>
    <row r="248" spans="2:10" x14ac:dyDescent="0.25">
      <c r="B248" s="2" t="s">
        <v>98</v>
      </c>
      <c r="C248" s="50">
        <v>6488</v>
      </c>
      <c r="F248" s="2" t="s">
        <v>98</v>
      </c>
      <c r="G248" s="50">
        <v>6488</v>
      </c>
      <c r="H248" s="14"/>
      <c r="I248" s="2" t="b">
        <f t="shared" si="24"/>
        <v>1</v>
      </c>
      <c r="J248" s="2" t="b">
        <f t="shared" si="25"/>
        <v>1</v>
      </c>
    </row>
    <row r="249" spans="2:10" x14ac:dyDescent="0.25">
      <c r="B249" s="2" t="s">
        <v>18</v>
      </c>
      <c r="C249" s="50">
        <v>9190</v>
      </c>
      <c r="F249" s="2" t="s">
        <v>18</v>
      </c>
      <c r="G249" s="50">
        <v>9190</v>
      </c>
      <c r="H249" s="14"/>
      <c r="I249" s="2" t="b">
        <f t="shared" si="24"/>
        <v>1</v>
      </c>
      <c r="J249" s="2" t="b">
        <f t="shared" si="25"/>
        <v>1</v>
      </c>
    </row>
    <row r="250" spans="2:10" x14ac:dyDescent="0.25">
      <c r="B250" s="2" t="s">
        <v>19</v>
      </c>
      <c r="C250" s="50">
        <v>2424</v>
      </c>
      <c r="F250" s="2" t="s">
        <v>19</v>
      </c>
      <c r="G250" s="50">
        <v>2424</v>
      </c>
      <c r="H250" s="14"/>
      <c r="I250" s="2" t="b">
        <f t="shared" si="24"/>
        <v>1</v>
      </c>
      <c r="J250" s="2" t="b">
        <f t="shared" si="25"/>
        <v>1</v>
      </c>
    </row>
    <row r="251" spans="2:10" x14ac:dyDescent="0.25">
      <c r="B251" s="2" t="s">
        <v>77</v>
      </c>
      <c r="C251" s="50">
        <v>169705</v>
      </c>
      <c r="F251" s="2" t="s">
        <v>77</v>
      </c>
      <c r="G251" s="50">
        <v>169705</v>
      </c>
      <c r="H251" s="14"/>
      <c r="I251" s="2" t="b">
        <f t="shared" si="24"/>
        <v>1</v>
      </c>
      <c r="J251" s="2" t="b">
        <f t="shared" si="25"/>
        <v>1</v>
      </c>
    </row>
    <row r="253" spans="2:10" x14ac:dyDescent="0.25">
      <c r="F253" s="4" t="s">
        <v>5</v>
      </c>
      <c r="G253" s="14">
        <f>18/18</f>
        <v>1</v>
      </c>
    </row>
    <row r="255" spans="2:10" x14ac:dyDescent="0.25">
      <c r="B255" s="177" t="s">
        <v>24</v>
      </c>
      <c r="C255" s="177"/>
      <c r="F255" s="177" t="s">
        <v>1</v>
      </c>
      <c r="G255" s="177"/>
    </row>
    <row r="257" spans="2:10" x14ac:dyDescent="0.25">
      <c r="B257" s="10" t="s">
        <v>66</v>
      </c>
      <c r="C257" s="4" t="s">
        <v>78</v>
      </c>
      <c r="F257" s="10" t="s">
        <v>66</v>
      </c>
      <c r="G257" s="4" t="s">
        <v>78</v>
      </c>
      <c r="I257" s="2" t="b">
        <f>B257=F257</f>
        <v>1</v>
      </c>
      <c r="J257" s="2" t="b">
        <f>C257=G257</f>
        <v>1</v>
      </c>
    </row>
    <row r="258" spans="2:10" x14ac:dyDescent="0.25">
      <c r="B258" s="5" t="s">
        <v>17</v>
      </c>
      <c r="C258" s="50">
        <v>114155</v>
      </c>
      <c r="F258" s="5" t="s">
        <v>17</v>
      </c>
      <c r="G258" s="50">
        <v>114155</v>
      </c>
      <c r="I258" s="2" t="b">
        <f t="shared" ref="I258:I264" si="26">B258=F258</f>
        <v>1</v>
      </c>
      <c r="J258" s="2" t="b">
        <f t="shared" ref="J258:J264" si="27">C258=G258</f>
        <v>1</v>
      </c>
    </row>
    <row r="259" spans="2:10" x14ac:dyDescent="0.25">
      <c r="B259" s="5" t="s">
        <v>16</v>
      </c>
      <c r="C259" s="50">
        <v>13758</v>
      </c>
      <c r="F259" s="5" t="s">
        <v>16</v>
      </c>
      <c r="G259" s="50">
        <v>13758</v>
      </c>
      <c r="I259" s="2" t="b">
        <f t="shared" si="26"/>
        <v>1</v>
      </c>
      <c r="J259" s="2" t="b">
        <f t="shared" si="27"/>
        <v>1</v>
      </c>
    </row>
    <row r="260" spans="2:10" x14ac:dyDescent="0.25">
      <c r="B260" s="5" t="s">
        <v>15</v>
      </c>
      <c r="C260" s="50">
        <v>13252</v>
      </c>
      <c r="F260" s="5" t="s">
        <v>15</v>
      </c>
      <c r="G260" s="50">
        <v>13252</v>
      </c>
      <c r="I260" s="2" t="b">
        <f t="shared" si="26"/>
        <v>1</v>
      </c>
      <c r="J260" s="2" t="b">
        <f t="shared" si="27"/>
        <v>1</v>
      </c>
    </row>
    <row r="261" spans="2:10" x14ac:dyDescent="0.25">
      <c r="B261" s="5" t="s">
        <v>18</v>
      </c>
      <c r="C261" s="50">
        <v>9190</v>
      </c>
      <c r="F261" s="5" t="s">
        <v>18</v>
      </c>
      <c r="G261" s="50">
        <v>9190</v>
      </c>
      <c r="I261" s="2" t="b">
        <f t="shared" si="26"/>
        <v>1</v>
      </c>
      <c r="J261" s="2" t="b">
        <f t="shared" si="27"/>
        <v>1</v>
      </c>
    </row>
    <row r="262" spans="2:10" x14ac:dyDescent="0.25">
      <c r="B262" s="5" t="s">
        <v>19</v>
      </c>
      <c r="C262" s="50">
        <v>2424</v>
      </c>
      <c r="F262" s="5" t="s">
        <v>19</v>
      </c>
      <c r="G262" s="50">
        <v>2424</v>
      </c>
      <c r="I262" s="2" t="b">
        <f t="shared" si="26"/>
        <v>1</v>
      </c>
      <c r="J262" s="2" t="b">
        <f t="shared" si="27"/>
        <v>1</v>
      </c>
    </row>
    <row r="263" spans="2:10" x14ac:dyDescent="0.25">
      <c r="B263" s="5" t="s">
        <v>22</v>
      </c>
      <c r="C263" s="50">
        <v>16926</v>
      </c>
      <c r="F263" s="5" t="s">
        <v>22</v>
      </c>
      <c r="G263" s="50">
        <v>16926</v>
      </c>
      <c r="I263" s="2" t="b">
        <f t="shared" si="26"/>
        <v>1</v>
      </c>
      <c r="J263" s="2" t="b">
        <f t="shared" si="27"/>
        <v>1</v>
      </c>
    </row>
    <row r="264" spans="2:10" x14ac:dyDescent="0.25">
      <c r="B264" s="5" t="s">
        <v>77</v>
      </c>
      <c r="C264" s="50">
        <v>169705</v>
      </c>
      <c r="F264" s="5" t="s">
        <v>77</v>
      </c>
      <c r="G264" s="50">
        <v>169705</v>
      </c>
      <c r="I264" s="2" t="b">
        <f t="shared" si="26"/>
        <v>1</v>
      </c>
      <c r="J264" s="2" t="b">
        <f t="shared" si="27"/>
        <v>1</v>
      </c>
    </row>
  </sheetData>
  <mergeCells count="32">
    <mergeCell ref="F29:G29"/>
    <mergeCell ref="B29:C29"/>
    <mergeCell ref="B43:C43"/>
    <mergeCell ref="F43:G43"/>
    <mergeCell ref="B10:H10"/>
    <mergeCell ref="F12:H12"/>
    <mergeCell ref="B12:D12"/>
    <mergeCell ref="B27:H27"/>
    <mergeCell ref="B82:H82"/>
    <mergeCell ref="B84:D84"/>
    <mergeCell ref="F84:H84"/>
    <mergeCell ref="B99:H99"/>
    <mergeCell ref="B101:C101"/>
    <mergeCell ref="F101:G101"/>
    <mergeCell ref="B115:C115"/>
    <mergeCell ref="F115:G115"/>
    <mergeCell ref="B153:H153"/>
    <mergeCell ref="B155:D155"/>
    <mergeCell ref="F155:H155"/>
    <mergeCell ref="B170:H170"/>
    <mergeCell ref="B172:C172"/>
    <mergeCell ref="F172:G172"/>
    <mergeCell ref="B186:C186"/>
    <mergeCell ref="F186:G186"/>
    <mergeCell ref="B255:C255"/>
    <mergeCell ref="F255:G255"/>
    <mergeCell ref="B222:H222"/>
    <mergeCell ref="B224:D224"/>
    <mergeCell ref="F224:H224"/>
    <mergeCell ref="B239:H239"/>
    <mergeCell ref="B241:C241"/>
    <mergeCell ref="F241:G241"/>
  </mergeCells>
  <pageMargins left="0.7" right="0.7" top="0.75" bottom="0.75" header="0.3" footer="0.3"/>
  <pageSetup orientation="portrait" horizontalDpi="0" verticalDpi="0"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F0A5A-5235-4909-AE14-A285C4A1F52D}">
  <dimension ref="A2:P150"/>
  <sheetViews>
    <sheetView showGridLines="0" topLeftCell="A68" workbookViewId="0">
      <selection activeCell="H96" sqref="H96"/>
    </sheetView>
  </sheetViews>
  <sheetFormatPr defaultRowHeight="13.8" x14ac:dyDescent="0.25"/>
  <cols>
    <col min="1" max="1" width="12.21875" style="2" bestFit="1" customWidth="1"/>
    <col min="2" max="2" width="18" style="2" customWidth="1"/>
    <col min="3" max="3" width="12.21875" style="2" bestFit="1" customWidth="1"/>
    <col min="4" max="4" width="15.109375" style="2" bestFit="1" customWidth="1"/>
    <col min="5" max="5" width="17.33203125" style="2" customWidth="1"/>
    <col min="6" max="6" width="10.33203125" style="2" bestFit="1" customWidth="1"/>
    <col min="7" max="7" width="5.5546875" style="2" bestFit="1" customWidth="1"/>
    <col min="8" max="8" width="20.6640625" style="2" bestFit="1" customWidth="1"/>
    <col min="9" max="9" width="20.5546875" style="2" bestFit="1" customWidth="1"/>
    <col min="10" max="10" width="11.21875" style="2" bestFit="1" customWidth="1"/>
    <col min="11" max="11" width="5.33203125" style="2" bestFit="1" customWidth="1"/>
    <col min="12" max="12" width="20.5546875" style="2" bestFit="1" customWidth="1"/>
    <col min="13" max="13" width="7.88671875" style="2" bestFit="1" customWidth="1"/>
    <col min="14" max="14" width="8.88671875" style="2"/>
    <col min="15" max="15" width="5.33203125" style="2" bestFit="1" customWidth="1"/>
    <col min="16" max="16" width="6" style="2" bestFit="1" customWidth="1"/>
    <col min="17" max="17" width="8.88671875" style="2"/>
    <col min="18" max="18" width="14.88671875" style="2" bestFit="1" customWidth="1"/>
    <col min="19" max="16384" width="8.88671875" style="2"/>
  </cols>
  <sheetData>
    <row r="2" spans="1:16" x14ac:dyDescent="0.25">
      <c r="A2" s="7"/>
      <c r="B2" s="10"/>
    </row>
    <row r="3" spans="1:16" x14ac:dyDescent="0.25">
      <c r="A3" s="8" t="s">
        <v>52</v>
      </c>
      <c r="B3" s="10" t="s">
        <v>173</v>
      </c>
    </row>
    <row r="4" spans="1:16" x14ac:dyDescent="0.25">
      <c r="A4" s="19">
        <f>203/250*60</f>
        <v>48.720000000000006</v>
      </c>
      <c r="B4" s="3" t="s">
        <v>54</v>
      </c>
      <c r="C4" s="2" t="s">
        <v>81</v>
      </c>
    </row>
    <row r="5" spans="1:16" x14ac:dyDescent="0.25">
      <c r="A5" s="19">
        <f>215/250*60</f>
        <v>51.6</v>
      </c>
      <c r="B5" s="3" t="s">
        <v>53</v>
      </c>
      <c r="C5" s="2" t="s">
        <v>180</v>
      </c>
    </row>
    <row r="6" spans="1:16" x14ac:dyDescent="0.25">
      <c r="A6" s="19">
        <f>361/250*60</f>
        <v>86.64</v>
      </c>
      <c r="B6" s="3" t="s">
        <v>55</v>
      </c>
      <c r="C6" s="54" t="s">
        <v>89</v>
      </c>
    </row>
    <row r="7" spans="1:16" x14ac:dyDescent="0.25">
      <c r="A7" s="19">
        <f>169/250*60</f>
        <v>40.56</v>
      </c>
      <c r="B7" s="3" t="s">
        <v>83</v>
      </c>
      <c r="C7" s="2" t="s">
        <v>181</v>
      </c>
    </row>
    <row r="8" spans="1:16" x14ac:dyDescent="0.25">
      <c r="A8" s="19">
        <f>225/250*60</f>
        <v>54</v>
      </c>
      <c r="B8" s="3" t="s">
        <v>55</v>
      </c>
      <c r="C8" s="2" t="s">
        <v>182</v>
      </c>
    </row>
    <row r="9" spans="1:16" x14ac:dyDescent="0.25">
      <c r="A9" s="19">
        <f>235/250*60</f>
        <v>56.4</v>
      </c>
      <c r="B9" s="3" t="s">
        <v>55</v>
      </c>
      <c r="C9" s="2" t="s">
        <v>93</v>
      </c>
    </row>
    <row r="11" spans="1:16" x14ac:dyDescent="0.25">
      <c r="I11" s="1" t="s">
        <v>24</v>
      </c>
      <c r="J11" s="124"/>
      <c r="K11" s="124"/>
      <c r="L11" s="1" t="s">
        <v>1</v>
      </c>
    </row>
    <row r="13" spans="1:16" x14ac:dyDescent="0.25">
      <c r="I13" s="1" t="s">
        <v>66</v>
      </c>
      <c r="J13" s="4" t="s">
        <v>11</v>
      </c>
      <c r="L13" s="1" t="s">
        <v>66</v>
      </c>
      <c r="M13" s="4" t="s">
        <v>11</v>
      </c>
      <c r="O13" s="2" t="b">
        <f>I13=L13</f>
        <v>1</v>
      </c>
      <c r="P13" s="2" t="b">
        <f>J13=M13</f>
        <v>1</v>
      </c>
    </row>
    <row r="14" spans="1:16" x14ac:dyDescent="0.25">
      <c r="I14" s="2" t="s">
        <v>65</v>
      </c>
      <c r="J14" s="50">
        <v>39758</v>
      </c>
      <c r="L14" s="2" t="s">
        <v>65</v>
      </c>
      <c r="M14" s="50">
        <v>39758</v>
      </c>
      <c r="O14" s="2" t="b">
        <f t="shared" ref="O14:O25" si="0">I14=L14</f>
        <v>1</v>
      </c>
      <c r="P14" s="2" t="b">
        <f t="shared" ref="P14:P25" si="1">J14=M14</f>
        <v>1</v>
      </c>
    </row>
    <row r="15" spans="1:16" x14ac:dyDescent="0.25">
      <c r="I15" s="2" t="s">
        <v>15</v>
      </c>
      <c r="J15" s="50">
        <v>27380</v>
      </c>
      <c r="L15" s="2" t="s">
        <v>15</v>
      </c>
      <c r="M15" s="50">
        <v>27380</v>
      </c>
      <c r="O15" s="2" t="b">
        <f t="shared" si="0"/>
        <v>1</v>
      </c>
      <c r="P15" s="2" t="b">
        <f t="shared" si="1"/>
        <v>1</v>
      </c>
    </row>
    <row r="16" spans="1:16" x14ac:dyDescent="0.25">
      <c r="I16" s="2" t="s">
        <v>67</v>
      </c>
      <c r="J16" s="50">
        <v>24038</v>
      </c>
      <c r="L16" s="2" t="s">
        <v>67</v>
      </c>
      <c r="M16" s="50">
        <v>24038</v>
      </c>
      <c r="O16" s="2" t="b">
        <f t="shared" si="0"/>
        <v>1</v>
      </c>
      <c r="P16" s="2" t="b">
        <f t="shared" si="1"/>
        <v>1</v>
      </c>
    </row>
    <row r="17" spans="9:16" x14ac:dyDescent="0.25">
      <c r="I17" s="2" t="s">
        <v>69</v>
      </c>
      <c r="J17" s="50">
        <v>11506</v>
      </c>
      <c r="L17" s="2" t="s">
        <v>69</v>
      </c>
      <c r="M17" s="50">
        <v>11506</v>
      </c>
      <c r="O17" s="2" t="b">
        <f t="shared" si="0"/>
        <v>1</v>
      </c>
      <c r="P17" s="2" t="b">
        <f t="shared" si="1"/>
        <v>1</v>
      </c>
    </row>
    <row r="18" spans="9:16" x14ac:dyDescent="0.25">
      <c r="I18" s="2" t="s">
        <v>169</v>
      </c>
      <c r="J18" s="50">
        <v>11345</v>
      </c>
      <c r="L18" s="2" t="s">
        <v>169</v>
      </c>
      <c r="M18" s="50">
        <v>11345</v>
      </c>
      <c r="O18" s="2" t="b">
        <f t="shared" si="0"/>
        <v>1</v>
      </c>
      <c r="P18" s="2" t="b">
        <f t="shared" si="1"/>
        <v>1</v>
      </c>
    </row>
    <row r="19" spans="9:16" x14ac:dyDescent="0.25">
      <c r="I19" s="2" t="s">
        <v>70</v>
      </c>
      <c r="J19" s="50">
        <v>8113</v>
      </c>
      <c r="L19" s="2" t="s">
        <v>70</v>
      </c>
      <c r="M19" s="50">
        <v>8113</v>
      </c>
      <c r="O19" s="2" t="b">
        <f t="shared" si="0"/>
        <v>1</v>
      </c>
      <c r="P19" s="2" t="b">
        <f t="shared" si="1"/>
        <v>1</v>
      </c>
    </row>
    <row r="20" spans="9:16" x14ac:dyDescent="0.25">
      <c r="I20" s="2" t="s">
        <v>71</v>
      </c>
      <c r="J20" s="50">
        <v>5186</v>
      </c>
      <c r="L20" s="2" t="s">
        <v>71</v>
      </c>
      <c r="M20" s="50">
        <v>5178</v>
      </c>
      <c r="O20" s="2" t="b">
        <f t="shared" si="0"/>
        <v>1</v>
      </c>
      <c r="P20" s="23" t="b">
        <f t="shared" si="1"/>
        <v>0</v>
      </c>
    </row>
    <row r="21" spans="9:16" x14ac:dyDescent="0.25">
      <c r="I21" s="2" t="s">
        <v>72</v>
      </c>
      <c r="J21" s="50">
        <v>2316</v>
      </c>
      <c r="L21" s="2" t="s">
        <v>72</v>
      </c>
      <c r="M21" s="50">
        <v>2316</v>
      </c>
      <c r="O21" s="2" t="b">
        <f t="shared" si="0"/>
        <v>1</v>
      </c>
      <c r="P21" s="2" t="b">
        <f t="shared" si="1"/>
        <v>1</v>
      </c>
    </row>
    <row r="22" spans="9:16" x14ac:dyDescent="0.25">
      <c r="I22" s="2" t="s">
        <v>175</v>
      </c>
      <c r="J22" s="50">
        <v>2273</v>
      </c>
      <c r="L22" s="2" t="s">
        <v>175</v>
      </c>
      <c r="M22" s="50">
        <v>2273</v>
      </c>
      <c r="O22" s="2" t="b">
        <f t="shared" si="0"/>
        <v>1</v>
      </c>
      <c r="P22" s="2" t="b">
        <f t="shared" si="1"/>
        <v>1</v>
      </c>
    </row>
    <row r="23" spans="9:16" x14ac:dyDescent="0.25">
      <c r="I23" s="2" t="s">
        <v>74</v>
      </c>
      <c r="J23" s="50">
        <v>2088</v>
      </c>
      <c r="L23" s="2" t="s">
        <v>74</v>
      </c>
      <c r="M23" s="50">
        <v>2088</v>
      </c>
      <c r="O23" s="2" t="b">
        <f t="shared" si="0"/>
        <v>1</v>
      </c>
      <c r="P23" s="2" t="b">
        <f t="shared" si="1"/>
        <v>1</v>
      </c>
    </row>
    <row r="24" spans="9:16" x14ac:dyDescent="0.25">
      <c r="I24" s="2" t="s">
        <v>22</v>
      </c>
      <c r="J24" s="50">
        <v>2502</v>
      </c>
      <c r="L24" s="2" t="s">
        <v>22</v>
      </c>
      <c r="M24" s="50">
        <v>2510</v>
      </c>
      <c r="O24" s="2" t="b">
        <f t="shared" si="0"/>
        <v>1</v>
      </c>
      <c r="P24" s="23" t="b">
        <f t="shared" si="1"/>
        <v>0</v>
      </c>
    </row>
    <row r="25" spans="9:16" x14ac:dyDescent="0.25">
      <c r="I25" s="2" t="s">
        <v>77</v>
      </c>
      <c r="J25" s="50">
        <v>136505</v>
      </c>
      <c r="L25" s="2" t="s">
        <v>77</v>
      </c>
      <c r="M25" s="50">
        <v>136505</v>
      </c>
      <c r="O25" s="2" t="b">
        <f t="shared" si="0"/>
        <v>1</v>
      </c>
      <c r="P25" s="2" t="b">
        <f t="shared" si="1"/>
        <v>1</v>
      </c>
    </row>
    <row r="27" spans="9:16" x14ac:dyDescent="0.25">
      <c r="L27" s="6" t="s">
        <v>5</v>
      </c>
      <c r="M27" s="14">
        <f>24/26</f>
        <v>0.92307692307692313</v>
      </c>
    </row>
    <row r="34" spans="1:16" x14ac:dyDescent="0.25">
      <c r="A34" s="8" t="s">
        <v>52</v>
      </c>
      <c r="B34" s="10" t="s">
        <v>80</v>
      </c>
    </row>
    <row r="35" spans="1:16" x14ac:dyDescent="0.25">
      <c r="A35" s="19">
        <f>203/250*60</f>
        <v>48.720000000000006</v>
      </c>
      <c r="B35" s="3" t="s">
        <v>54</v>
      </c>
      <c r="C35" s="2" t="s">
        <v>81</v>
      </c>
    </row>
    <row r="36" spans="1:16" x14ac:dyDescent="0.25">
      <c r="A36" s="19">
        <f>121/250*60</f>
        <v>29.04</v>
      </c>
      <c r="B36" s="3" t="s">
        <v>53</v>
      </c>
      <c r="C36" s="2" t="s">
        <v>82</v>
      </c>
    </row>
    <row r="37" spans="1:16" x14ac:dyDescent="0.25">
      <c r="A37" s="19">
        <f>361/250*60</f>
        <v>86.64</v>
      </c>
      <c r="B37" s="3" t="s">
        <v>55</v>
      </c>
      <c r="C37" s="54" t="s">
        <v>89</v>
      </c>
    </row>
    <row r="38" spans="1:16" x14ac:dyDescent="0.25">
      <c r="A38" s="19">
        <f>140/250*60</f>
        <v>33.6</v>
      </c>
      <c r="B38" s="3" t="s">
        <v>83</v>
      </c>
      <c r="C38" s="2" t="s">
        <v>90</v>
      </c>
    </row>
    <row r="39" spans="1:16" x14ac:dyDescent="0.25">
      <c r="A39" s="19">
        <f>225/250*60</f>
        <v>54</v>
      </c>
      <c r="B39" s="3" t="s">
        <v>55</v>
      </c>
      <c r="C39" s="2" t="s">
        <v>84</v>
      </c>
    </row>
    <row r="40" spans="1:16" x14ac:dyDescent="0.25">
      <c r="A40" s="19">
        <f>235/250*60</f>
        <v>56.4</v>
      </c>
      <c r="B40" s="3" t="s">
        <v>55</v>
      </c>
      <c r="C40" s="2" t="s">
        <v>93</v>
      </c>
    </row>
    <row r="41" spans="1:16" x14ac:dyDescent="0.25">
      <c r="B41" s="3"/>
    </row>
    <row r="42" spans="1:16" x14ac:dyDescent="0.25">
      <c r="I42" s="22" t="s">
        <v>24</v>
      </c>
      <c r="L42" s="22" t="s">
        <v>1</v>
      </c>
    </row>
    <row r="45" spans="1:16" x14ac:dyDescent="0.25">
      <c r="I45" s="1" t="s">
        <v>66</v>
      </c>
      <c r="J45" s="4" t="s">
        <v>78</v>
      </c>
      <c r="L45" s="1" t="s">
        <v>66</v>
      </c>
      <c r="M45" s="4" t="s">
        <v>78</v>
      </c>
    </row>
    <row r="46" spans="1:16" x14ac:dyDescent="0.25">
      <c r="I46" s="2" t="s">
        <v>65</v>
      </c>
      <c r="J46" s="50">
        <v>41349</v>
      </c>
      <c r="L46" s="5" t="s">
        <v>65</v>
      </c>
      <c r="M46" s="50">
        <v>41349</v>
      </c>
      <c r="O46" s="2" t="b">
        <f>I46=L46</f>
        <v>1</v>
      </c>
      <c r="P46" s="2" t="b">
        <f>J46=M46</f>
        <v>1</v>
      </c>
    </row>
    <row r="47" spans="1:16" x14ac:dyDescent="0.25">
      <c r="I47" s="2" t="s">
        <v>15</v>
      </c>
      <c r="J47" s="50">
        <v>28996</v>
      </c>
      <c r="L47" s="5" t="s">
        <v>15</v>
      </c>
      <c r="M47" s="50">
        <v>28996</v>
      </c>
      <c r="O47" s="2" t="b">
        <f t="shared" ref="O47:O57" si="2">I47=L47</f>
        <v>1</v>
      </c>
      <c r="P47" s="2" t="b">
        <f t="shared" ref="P47:P57" si="3">J47=M47</f>
        <v>1</v>
      </c>
    </row>
    <row r="48" spans="1:16" x14ac:dyDescent="0.25">
      <c r="I48" s="2" t="s">
        <v>67</v>
      </c>
      <c r="J48" s="50">
        <v>24603</v>
      </c>
      <c r="L48" s="2" t="s">
        <v>67</v>
      </c>
      <c r="M48" s="50">
        <v>24603</v>
      </c>
      <c r="O48" s="2" t="b">
        <f t="shared" si="2"/>
        <v>1</v>
      </c>
      <c r="P48" s="2" t="b">
        <f t="shared" si="3"/>
        <v>1</v>
      </c>
    </row>
    <row r="49" spans="9:16" x14ac:dyDescent="0.25">
      <c r="I49" s="2" t="s">
        <v>68</v>
      </c>
      <c r="J49" s="50">
        <v>11376</v>
      </c>
      <c r="L49" s="2" t="s">
        <v>68</v>
      </c>
      <c r="M49" s="50">
        <v>11376</v>
      </c>
      <c r="O49" s="2" t="b">
        <f t="shared" si="2"/>
        <v>1</v>
      </c>
      <c r="P49" s="2" t="b">
        <f t="shared" si="3"/>
        <v>1</v>
      </c>
    </row>
    <row r="50" spans="9:16" x14ac:dyDescent="0.25">
      <c r="I50" s="2" t="s">
        <v>69</v>
      </c>
      <c r="J50" s="50">
        <v>11465</v>
      </c>
      <c r="L50" s="2" t="s">
        <v>69</v>
      </c>
      <c r="M50" s="50">
        <v>11465</v>
      </c>
      <c r="O50" s="2" t="b">
        <f t="shared" si="2"/>
        <v>1</v>
      </c>
      <c r="P50" s="2" t="b">
        <f t="shared" si="3"/>
        <v>1</v>
      </c>
    </row>
    <row r="51" spans="9:16" x14ac:dyDescent="0.25">
      <c r="I51" s="2" t="s">
        <v>70</v>
      </c>
      <c r="J51" s="50">
        <v>8585</v>
      </c>
      <c r="L51" s="5" t="s">
        <v>70</v>
      </c>
      <c r="M51" s="50">
        <v>8585</v>
      </c>
      <c r="O51" s="2" t="b">
        <f t="shared" si="2"/>
        <v>1</v>
      </c>
      <c r="P51" s="2" t="b">
        <f t="shared" si="3"/>
        <v>1</v>
      </c>
    </row>
    <row r="52" spans="9:16" x14ac:dyDescent="0.25">
      <c r="I52" s="2" t="s">
        <v>71</v>
      </c>
      <c r="J52" s="50">
        <v>5393</v>
      </c>
      <c r="L52" s="5" t="s">
        <v>71</v>
      </c>
      <c r="M52" s="53">
        <v>5593</v>
      </c>
      <c r="O52" s="2" t="b">
        <f t="shared" si="2"/>
        <v>1</v>
      </c>
      <c r="P52" s="23" t="b">
        <f t="shared" si="3"/>
        <v>0</v>
      </c>
    </row>
    <row r="53" spans="9:16" x14ac:dyDescent="0.25">
      <c r="I53" s="2" t="s">
        <v>72</v>
      </c>
      <c r="J53" s="50">
        <v>2575</v>
      </c>
      <c r="L53" s="5" t="s">
        <v>72</v>
      </c>
      <c r="M53" s="50">
        <v>2575</v>
      </c>
      <c r="O53" s="2" t="b">
        <f t="shared" si="2"/>
        <v>1</v>
      </c>
      <c r="P53" s="2" t="b">
        <f t="shared" si="3"/>
        <v>1</v>
      </c>
    </row>
    <row r="54" spans="9:16" x14ac:dyDescent="0.25">
      <c r="I54" s="2" t="s">
        <v>73</v>
      </c>
      <c r="J54" s="50">
        <v>1190</v>
      </c>
      <c r="L54" s="5" t="s">
        <v>73</v>
      </c>
      <c r="M54" s="50">
        <v>1190</v>
      </c>
      <c r="O54" s="2" t="b">
        <f t="shared" si="2"/>
        <v>1</v>
      </c>
      <c r="P54" s="2" t="b">
        <f t="shared" si="3"/>
        <v>1</v>
      </c>
    </row>
    <row r="55" spans="9:16" x14ac:dyDescent="0.25">
      <c r="I55" s="2" t="s">
        <v>74</v>
      </c>
      <c r="J55" s="50">
        <v>2197</v>
      </c>
      <c r="L55" s="2" t="s">
        <v>74</v>
      </c>
      <c r="M55" s="50">
        <v>2197</v>
      </c>
      <c r="O55" s="2" t="b">
        <f t="shared" si="2"/>
        <v>1</v>
      </c>
      <c r="P55" s="2" t="b">
        <f t="shared" si="3"/>
        <v>1</v>
      </c>
    </row>
    <row r="56" spans="9:16" x14ac:dyDescent="0.25">
      <c r="I56" s="2" t="s">
        <v>22</v>
      </c>
      <c r="J56" s="50">
        <v>3681</v>
      </c>
      <c r="L56" s="2" t="s">
        <v>22</v>
      </c>
      <c r="M56" s="50">
        <v>3681</v>
      </c>
      <c r="O56" s="2" t="b">
        <f t="shared" si="2"/>
        <v>1</v>
      </c>
      <c r="P56" s="2" t="b">
        <f t="shared" si="3"/>
        <v>1</v>
      </c>
    </row>
    <row r="57" spans="9:16" x14ac:dyDescent="0.25">
      <c r="I57" s="2" t="s">
        <v>77</v>
      </c>
      <c r="J57" s="50">
        <f>SUM(J46:J56)</f>
        <v>141410</v>
      </c>
      <c r="L57" s="2" t="s">
        <v>77</v>
      </c>
      <c r="M57" s="50">
        <v>141410</v>
      </c>
      <c r="O57" s="2" t="b">
        <f t="shared" si="2"/>
        <v>1</v>
      </c>
      <c r="P57" s="2" t="b">
        <f t="shared" si="3"/>
        <v>1</v>
      </c>
    </row>
    <row r="59" spans="9:16" x14ac:dyDescent="0.25">
      <c r="L59" s="1" t="s">
        <v>5</v>
      </c>
      <c r="M59" s="20">
        <f>25/26</f>
        <v>0.96153846153846156</v>
      </c>
    </row>
    <row r="66" spans="1:16" x14ac:dyDescent="0.25">
      <c r="A66" s="8" t="s">
        <v>52</v>
      </c>
      <c r="B66" s="10" t="s">
        <v>167</v>
      </c>
    </row>
    <row r="67" spans="1:16" x14ac:dyDescent="0.25">
      <c r="A67" s="19">
        <f>203/250*60</f>
        <v>48.720000000000006</v>
      </c>
      <c r="B67" s="3" t="s">
        <v>54</v>
      </c>
      <c r="C67" s="2" t="s">
        <v>81</v>
      </c>
    </row>
    <row r="68" spans="1:16" x14ac:dyDescent="0.25">
      <c r="A68" s="19">
        <f>208/250*60</f>
        <v>49.919999999999995</v>
      </c>
      <c r="B68" s="3" t="s">
        <v>53</v>
      </c>
      <c r="C68" s="2" t="s">
        <v>176</v>
      </c>
    </row>
    <row r="69" spans="1:16" x14ac:dyDescent="0.25">
      <c r="A69" s="19">
        <f>361/250*60</f>
        <v>86.64</v>
      </c>
      <c r="B69" s="3" t="s">
        <v>55</v>
      </c>
      <c r="C69" s="54" t="s">
        <v>89</v>
      </c>
    </row>
    <row r="70" spans="1:16" x14ac:dyDescent="0.25">
      <c r="A70" s="19">
        <f>140/250*60</f>
        <v>33.6</v>
      </c>
      <c r="B70" s="3" t="s">
        <v>83</v>
      </c>
      <c r="C70" s="2" t="s">
        <v>90</v>
      </c>
    </row>
    <row r="71" spans="1:16" x14ac:dyDescent="0.25">
      <c r="A71" s="19">
        <f>225/250*60</f>
        <v>54</v>
      </c>
      <c r="B71" s="3" t="s">
        <v>55</v>
      </c>
      <c r="C71" s="2" t="s">
        <v>177</v>
      </c>
    </row>
    <row r="72" spans="1:16" x14ac:dyDescent="0.25">
      <c r="A72" s="19">
        <f>235/250*60</f>
        <v>56.4</v>
      </c>
      <c r="B72" s="3" t="s">
        <v>55</v>
      </c>
      <c r="C72" s="2" t="s">
        <v>93</v>
      </c>
    </row>
    <row r="73" spans="1:16" x14ac:dyDescent="0.25">
      <c r="A73" s="19"/>
      <c r="B73" s="3"/>
    </row>
    <row r="75" spans="1:16" x14ac:dyDescent="0.25">
      <c r="I75" s="22" t="s">
        <v>24</v>
      </c>
      <c r="L75" s="22" t="s">
        <v>1</v>
      </c>
    </row>
    <row r="76" spans="1:16" x14ac:dyDescent="0.25">
      <c r="I76" s="7"/>
    </row>
    <row r="77" spans="1:16" x14ac:dyDescent="0.25">
      <c r="I77" s="1" t="s">
        <v>66</v>
      </c>
      <c r="J77" s="4" t="s">
        <v>11</v>
      </c>
      <c r="L77" s="1" t="s">
        <v>66</v>
      </c>
      <c r="M77" s="4" t="s">
        <v>11</v>
      </c>
      <c r="O77" s="2" t="b">
        <f>I77=L77</f>
        <v>1</v>
      </c>
      <c r="P77" s="2" t="b">
        <f>J77=M77</f>
        <v>1</v>
      </c>
    </row>
    <row r="78" spans="1:16" x14ac:dyDescent="0.25">
      <c r="I78" s="2" t="s">
        <v>65</v>
      </c>
      <c r="J78" s="50">
        <v>43048</v>
      </c>
      <c r="L78" s="2" t="s">
        <v>65</v>
      </c>
      <c r="M78" s="50">
        <v>43104</v>
      </c>
      <c r="O78" s="2" t="b">
        <f t="shared" ref="O78:O89" si="4">I78=L78</f>
        <v>1</v>
      </c>
      <c r="P78" s="23" t="b">
        <f t="shared" ref="P78:P89" si="5">J78=M78</f>
        <v>0</v>
      </c>
    </row>
    <row r="79" spans="1:16" x14ac:dyDescent="0.25">
      <c r="I79" s="2" t="s">
        <v>15</v>
      </c>
      <c r="J79" s="50">
        <v>29704</v>
      </c>
      <c r="L79" s="2" t="s">
        <v>15</v>
      </c>
      <c r="M79" s="50">
        <v>29704</v>
      </c>
      <c r="O79" s="2" t="b">
        <f t="shared" si="4"/>
        <v>1</v>
      </c>
      <c r="P79" s="2" t="b">
        <f t="shared" si="5"/>
        <v>1</v>
      </c>
    </row>
    <row r="80" spans="1:16" x14ac:dyDescent="0.25">
      <c r="I80" s="2" t="s">
        <v>67</v>
      </c>
      <c r="J80" s="50">
        <v>24877</v>
      </c>
      <c r="L80" s="2" t="s">
        <v>67</v>
      </c>
      <c r="M80" s="50">
        <v>24877</v>
      </c>
      <c r="O80" s="2" t="b">
        <f t="shared" si="4"/>
        <v>1</v>
      </c>
      <c r="P80" s="2" t="b">
        <f t="shared" si="5"/>
        <v>1</v>
      </c>
    </row>
    <row r="81" spans="1:16" x14ac:dyDescent="0.25">
      <c r="I81" s="2" t="s">
        <v>169</v>
      </c>
      <c r="J81" s="50">
        <v>11273</v>
      </c>
      <c r="L81" s="2" t="s">
        <v>169</v>
      </c>
      <c r="M81" s="50">
        <v>11273</v>
      </c>
      <c r="O81" s="2" t="b">
        <f t="shared" si="4"/>
        <v>1</v>
      </c>
      <c r="P81" s="2" t="b">
        <f t="shared" si="5"/>
        <v>1</v>
      </c>
    </row>
    <row r="82" spans="1:16" x14ac:dyDescent="0.25">
      <c r="I82" s="2" t="s">
        <v>69</v>
      </c>
      <c r="J82" s="50">
        <v>11601</v>
      </c>
      <c r="L82" s="2" t="s">
        <v>69</v>
      </c>
      <c r="M82" s="50">
        <v>11601</v>
      </c>
      <c r="O82" s="2" t="b">
        <f t="shared" si="4"/>
        <v>1</v>
      </c>
      <c r="P82" s="2" t="b">
        <f t="shared" si="5"/>
        <v>1</v>
      </c>
    </row>
    <row r="83" spans="1:16" x14ac:dyDescent="0.25">
      <c r="I83" s="2" t="s">
        <v>70</v>
      </c>
      <c r="J83" s="50">
        <v>8718</v>
      </c>
      <c r="L83" s="2" t="s">
        <v>70</v>
      </c>
      <c r="M83" s="50">
        <v>8718</v>
      </c>
      <c r="O83" s="2" t="b">
        <f t="shared" si="4"/>
        <v>1</v>
      </c>
      <c r="P83" s="2" t="b">
        <f t="shared" si="5"/>
        <v>1</v>
      </c>
    </row>
    <row r="84" spans="1:16" x14ac:dyDescent="0.25">
      <c r="I84" s="2" t="s">
        <v>71</v>
      </c>
      <c r="J84" s="50">
        <v>5555</v>
      </c>
      <c r="L84" s="2" t="s">
        <v>71</v>
      </c>
      <c r="M84" s="50">
        <v>5595</v>
      </c>
      <c r="O84" s="2" t="b">
        <f t="shared" si="4"/>
        <v>1</v>
      </c>
      <c r="P84" s="23" t="b">
        <f t="shared" si="5"/>
        <v>0</v>
      </c>
    </row>
    <row r="85" spans="1:16" x14ac:dyDescent="0.25">
      <c r="I85" s="2" t="s">
        <v>72</v>
      </c>
      <c r="J85" s="50">
        <v>2923</v>
      </c>
      <c r="L85" s="2" t="s">
        <v>72</v>
      </c>
      <c r="M85" s="50">
        <v>2923</v>
      </c>
      <c r="O85" s="2" t="b">
        <f t="shared" si="4"/>
        <v>1</v>
      </c>
      <c r="P85" s="2" t="b">
        <f t="shared" si="5"/>
        <v>1</v>
      </c>
    </row>
    <row r="86" spans="1:16" x14ac:dyDescent="0.25">
      <c r="I86" s="2" t="s">
        <v>74</v>
      </c>
      <c r="J86" s="50">
        <v>2345</v>
      </c>
      <c r="L86" s="2" t="s">
        <v>74</v>
      </c>
      <c r="M86" s="50">
        <v>2345</v>
      </c>
      <c r="O86" s="2" t="b">
        <f t="shared" si="4"/>
        <v>1</v>
      </c>
      <c r="P86" s="2" t="b">
        <f t="shared" si="5"/>
        <v>1</v>
      </c>
    </row>
    <row r="87" spans="1:16" x14ac:dyDescent="0.25">
      <c r="I87" s="2" t="s">
        <v>73</v>
      </c>
      <c r="J87" s="50">
        <v>1143</v>
      </c>
      <c r="L87" s="2" t="s">
        <v>73</v>
      </c>
      <c r="M87" s="50">
        <v>1143</v>
      </c>
      <c r="O87" s="2" t="b">
        <f t="shared" si="4"/>
        <v>1</v>
      </c>
      <c r="P87" s="2" t="b">
        <f t="shared" si="5"/>
        <v>1</v>
      </c>
    </row>
    <row r="88" spans="1:16" x14ac:dyDescent="0.25">
      <c r="I88" s="2" t="s">
        <v>22</v>
      </c>
      <c r="J88" s="50">
        <v>4131</v>
      </c>
      <c r="L88" s="2" t="s">
        <v>22</v>
      </c>
      <c r="M88" s="50">
        <v>4131</v>
      </c>
      <c r="O88" s="2" t="b">
        <f t="shared" si="4"/>
        <v>1</v>
      </c>
      <c r="P88" s="2" t="b">
        <f t="shared" si="5"/>
        <v>1</v>
      </c>
    </row>
    <row r="89" spans="1:16" x14ac:dyDescent="0.25">
      <c r="I89" s="2" t="s">
        <v>77</v>
      </c>
      <c r="J89" s="50">
        <v>145318</v>
      </c>
      <c r="L89" s="2" t="s">
        <v>77</v>
      </c>
      <c r="M89" s="50">
        <v>145318</v>
      </c>
      <c r="O89" s="2" t="b">
        <f t="shared" si="4"/>
        <v>1</v>
      </c>
      <c r="P89" s="2" t="b">
        <f t="shared" si="5"/>
        <v>1</v>
      </c>
    </row>
    <row r="91" spans="1:16" x14ac:dyDescent="0.25">
      <c r="L91" s="6" t="s">
        <v>5</v>
      </c>
      <c r="M91" s="14">
        <f>24/26</f>
        <v>0.92307692307692313</v>
      </c>
    </row>
    <row r="94" spans="1:16" x14ac:dyDescent="0.25">
      <c r="A94" s="8" t="s">
        <v>52</v>
      </c>
      <c r="B94" s="10" t="s">
        <v>172</v>
      </c>
    </row>
    <row r="95" spans="1:16" x14ac:dyDescent="0.25">
      <c r="A95" s="19">
        <f>203/250*60</f>
        <v>48.720000000000006</v>
      </c>
      <c r="B95" s="3" t="s">
        <v>54</v>
      </c>
      <c r="C95" s="2" t="s">
        <v>81</v>
      </c>
    </row>
    <row r="96" spans="1:16" x14ac:dyDescent="0.25">
      <c r="A96" s="19">
        <f>199/250*60</f>
        <v>47.760000000000005</v>
      </c>
      <c r="B96" s="3" t="s">
        <v>53</v>
      </c>
      <c r="C96" s="2" t="s">
        <v>179</v>
      </c>
    </row>
    <row r="97" spans="1:16" x14ac:dyDescent="0.25">
      <c r="A97" s="19">
        <f>361/250*60</f>
        <v>86.64</v>
      </c>
      <c r="B97" s="3" t="s">
        <v>55</v>
      </c>
      <c r="C97" s="54" t="s">
        <v>89</v>
      </c>
    </row>
    <row r="98" spans="1:16" x14ac:dyDescent="0.25">
      <c r="A98" s="19">
        <f>140/250*60</f>
        <v>33.6</v>
      </c>
      <c r="B98" s="3" t="s">
        <v>83</v>
      </c>
      <c r="C98" s="2" t="s">
        <v>90</v>
      </c>
    </row>
    <row r="99" spans="1:16" x14ac:dyDescent="0.25">
      <c r="A99" s="19">
        <f>225/250*60</f>
        <v>54</v>
      </c>
      <c r="B99" s="3" t="s">
        <v>55</v>
      </c>
      <c r="C99" s="2" t="s">
        <v>178</v>
      </c>
    </row>
    <row r="100" spans="1:16" x14ac:dyDescent="0.25">
      <c r="A100" s="19">
        <f>235/250*60</f>
        <v>56.4</v>
      </c>
      <c r="B100" s="3" t="s">
        <v>55</v>
      </c>
      <c r="C100" s="2" t="s">
        <v>93</v>
      </c>
    </row>
    <row r="102" spans="1:16" x14ac:dyDescent="0.25">
      <c r="I102" s="22" t="s">
        <v>24</v>
      </c>
      <c r="L102" s="22" t="s">
        <v>1</v>
      </c>
    </row>
    <row r="104" spans="1:16" x14ac:dyDescent="0.25">
      <c r="I104" s="1" t="s">
        <v>66</v>
      </c>
      <c r="J104" s="4" t="s">
        <v>11</v>
      </c>
      <c r="L104" s="1" t="s">
        <v>66</v>
      </c>
      <c r="M104" s="4" t="s">
        <v>11</v>
      </c>
      <c r="O104" s="2" t="b">
        <f t="shared" ref="O104:O116" si="6">I104=L104</f>
        <v>1</v>
      </c>
      <c r="P104" s="2" t="b">
        <f t="shared" ref="P104:P116" si="7">J104=M104</f>
        <v>1</v>
      </c>
    </row>
    <row r="105" spans="1:16" x14ac:dyDescent="0.25">
      <c r="I105" s="2" t="s">
        <v>65</v>
      </c>
      <c r="J105" s="50">
        <v>42680</v>
      </c>
      <c r="L105" s="2" t="s">
        <v>65</v>
      </c>
      <c r="M105" s="50">
        <v>42680</v>
      </c>
      <c r="O105" s="2" t="b">
        <f t="shared" si="6"/>
        <v>1</v>
      </c>
      <c r="P105" s="2" t="b">
        <f t="shared" si="7"/>
        <v>1</v>
      </c>
    </row>
    <row r="106" spans="1:16" x14ac:dyDescent="0.25">
      <c r="I106" s="2" t="s">
        <v>15</v>
      </c>
      <c r="J106" s="50">
        <v>30477</v>
      </c>
      <c r="L106" s="2" t="s">
        <v>15</v>
      </c>
      <c r="M106" s="50">
        <v>30477</v>
      </c>
      <c r="O106" s="2" t="b">
        <f t="shared" si="6"/>
        <v>1</v>
      </c>
      <c r="P106" s="2" t="b">
        <f t="shared" si="7"/>
        <v>1</v>
      </c>
    </row>
    <row r="107" spans="1:16" x14ac:dyDescent="0.25">
      <c r="I107" s="2" t="s">
        <v>67</v>
      </c>
      <c r="J107" s="50">
        <v>25734</v>
      </c>
      <c r="L107" s="2" t="s">
        <v>67</v>
      </c>
      <c r="M107" s="50">
        <v>25734</v>
      </c>
      <c r="O107" s="2" t="b">
        <f t="shared" si="6"/>
        <v>1</v>
      </c>
      <c r="P107" s="2" t="b">
        <f t="shared" si="7"/>
        <v>1</v>
      </c>
    </row>
    <row r="108" spans="1:16" x14ac:dyDescent="0.25">
      <c r="I108" s="2" t="s">
        <v>69</v>
      </c>
      <c r="J108" s="50">
        <v>12523</v>
      </c>
      <c r="L108" s="2" t="s">
        <v>69</v>
      </c>
      <c r="M108" s="50">
        <v>12523</v>
      </c>
      <c r="O108" s="2" t="b">
        <f t="shared" si="6"/>
        <v>1</v>
      </c>
      <c r="P108" s="2" t="b">
        <f t="shared" si="7"/>
        <v>1</v>
      </c>
    </row>
    <row r="109" spans="1:16" x14ac:dyDescent="0.25">
      <c r="I109" s="2" t="s">
        <v>169</v>
      </c>
      <c r="J109" s="50">
        <v>11480</v>
      </c>
      <c r="L109" s="2" t="s">
        <v>169</v>
      </c>
      <c r="M109" s="50">
        <v>11480</v>
      </c>
      <c r="O109" s="2" t="b">
        <f t="shared" si="6"/>
        <v>1</v>
      </c>
      <c r="P109" s="2" t="b">
        <f t="shared" si="7"/>
        <v>1</v>
      </c>
    </row>
    <row r="110" spans="1:16" x14ac:dyDescent="0.25">
      <c r="I110" s="2" t="s">
        <v>70</v>
      </c>
      <c r="J110" s="50">
        <v>8661</v>
      </c>
      <c r="L110" s="2" t="s">
        <v>70</v>
      </c>
      <c r="M110" s="50">
        <v>8661</v>
      </c>
      <c r="O110" s="2" t="b">
        <f t="shared" si="6"/>
        <v>1</v>
      </c>
      <c r="P110" s="2" t="b">
        <f t="shared" si="7"/>
        <v>1</v>
      </c>
    </row>
    <row r="111" spans="1:16" x14ac:dyDescent="0.25">
      <c r="I111" s="2" t="s">
        <v>71</v>
      </c>
      <c r="J111" s="50">
        <v>5795</v>
      </c>
      <c r="L111" s="2" t="s">
        <v>71</v>
      </c>
      <c r="M111" s="50">
        <v>5795</v>
      </c>
      <c r="O111" s="2" t="b">
        <f t="shared" si="6"/>
        <v>1</v>
      </c>
      <c r="P111" s="2" t="b">
        <f t="shared" si="7"/>
        <v>1</v>
      </c>
    </row>
    <row r="112" spans="1:16" x14ac:dyDescent="0.25">
      <c r="I112" s="2" t="s">
        <v>72</v>
      </c>
      <c r="J112" s="50">
        <v>2971</v>
      </c>
      <c r="L112" s="2" t="s">
        <v>72</v>
      </c>
      <c r="M112" s="50">
        <v>2971</v>
      </c>
      <c r="O112" s="2" t="b">
        <f t="shared" si="6"/>
        <v>1</v>
      </c>
      <c r="P112" s="2" t="b">
        <f t="shared" si="7"/>
        <v>1</v>
      </c>
    </row>
    <row r="113" spans="9:16" x14ac:dyDescent="0.25">
      <c r="I113" s="2" t="s">
        <v>74</v>
      </c>
      <c r="J113" s="50">
        <v>2744</v>
      </c>
      <c r="L113" s="2" t="s">
        <v>74</v>
      </c>
      <c r="M113" s="50">
        <v>2593</v>
      </c>
      <c r="O113" s="2" t="b">
        <f t="shared" si="6"/>
        <v>1</v>
      </c>
      <c r="P113" s="23" t="b">
        <f t="shared" si="7"/>
        <v>0</v>
      </c>
    </row>
    <row r="114" spans="9:16" x14ac:dyDescent="0.25">
      <c r="I114" s="2" t="s">
        <v>73</v>
      </c>
      <c r="J114" s="50">
        <v>1397</v>
      </c>
      <c r="L114" s="2" t="s">
        <v>73</v>
      </c>
      <c r="M114" s="50">
        <v>1397</v>
      </c>
      <c r="O114" s="2" t="b">
        <f t="shared" si="6"/>
        <v>1</v>
      </c>
      <c r="P114" s="2" t="b">
        <f t="shared" si="7"/>
        <v>1</v>
      </c>
    </row>
    <row r="115" spans="9:16" x14ac:dyDescent="0.25">
      <c r="I115" s="2" t="s">
        <v>22</v>
      </c>
      <c r="J115" s="50">
        <v>4324</v>
      </c>
      <c r="L115" s="2" t="s">
        <v>22</v>
      </c>
      <c r="M115" s="50">
        <v>4432</v>
      </c>
      <c r="O115" s="2" t="b">
        <f t="shared" si="6"/>
        <v>1</v>
      </c>
      <c r="P115" s="23" t="b">
        <f t="shared" si="7"/>
        <v>0</v>
      </c>
    </row>
    <row r="116" spans="9:16" x14ac:dyDescent="0.25">
      <c r="I116" s="2" t="s">
        <v>77</v>
      </c>
      <c r="J116" s="50">
        <v>148786</v>
      </c>
      <c r="L116" s="2" t="s">
        <v>77</v>
      </c>
      <c r="M116" s="50">
        <v>148786</v>
      </c>
      <c r="O116" s="2" t="b">
        <f t="shared" si="6"/>
        <v>1</v>
      </c>
      <c r="P116" s="2" t="b">
        <f t="shared" si="7"/>
        <v>1</v>
      </c>
    </row>
    <row r="118" spans="9:16" x14ac:dyDescent="0.25">
      <c r="L118" s="6" t="s">
        <v>5</v>
      </c>
      <c r="M118" s="14">
        <f>24/26</f>
        <v>0.92307692307692313</v>
      </c>
    </row>
    <row r="150" spans="2:2" x14ac:dyDescent="0.25">
      <c r="B150" s="10"/>
    </row>
  </sheetData>
  <pageMargins left="0.7" right="0.7" top="0.75" bottom="0.75" header="0.3" footer="0.3"/>
  <pageSetup orientation="portrait" horizontalDpi="0" verticalDpi="0"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51B4B-92C8-401B-AE9F-DE221EB9294D}">
  <dimension ref="A2:Q227"/>
  <sheetViews>
    <sheetView showGridLines="0" workbookViewId="0">
      <selection activeCell="A37" sqref="A37"/>
    </sheetView>
  </sheetViews>
  <sheetFormatPr defaultRowHeight="13.8" x14ac:dyDescent="0.25"/>
  <cols>
    <col min="1" max="1" width="12" style="2" bestFit="1" customWidth="1"/>
    <col min="2" max="2" width="17.44140625" style="2" customWidth="1"/>
    <col min="3" max="3" width="11.21875" style="2" bestFit="1" customWidth="1"/>
    <col min="4" max="4" width="8.88671875" style="2"/>
    <col min="5" max="5" width="15.88671875" style="2" bestFit="1" customWidth="1"/>
    <col min="6" max="6" width="11.21875" style="2" bestFit="1" customWidth="1"/>
    <col min="7" max="10" width="8.88671875" style="2"/>
    <col min="11" max="11" width="5.5546875" style="3" bestFit="1" customWidth="1"/>
    <col min="12" max="12" width="6.77734375" style="3" bestFit="1" customWidth="1"/>
    <col min="13" max="13" width="15.88671875" style="3" bestFit="1" customWidth="1"/>
    <col min="14" max="14" width="11.21875" style="3" bestFit="1" customWidth="1"/>
    <col min="15" max="15" width="4" style="3" bestFit="1" customWidth="1"/>
    <col min="16" max="16" width="8" style="3" bestFit="1" customWidth="1"/>
    <col min="17" max="17" width="7.88671875" style="3" bestFit="1" customWidth="1"/>
    <col min="18" max="18" width="7.88671875" style="2" bestFit="1" customWidth="1"/>
    <col min="19" max="16384" width="8.88671875" style="2"/>
  </cols>
  <sheetData>
    <row r="2" spans="1:9" x14ac:dyDescent="0.25">
      <c r="A2" s="8" t="s">
        <v>52</v>
      </c>
      <c r="B2" s="10" t="s">
        <v>173</v>
      </c>
    </row>
    <row r="3" spans="1:9" x14ac:dyDescent="0.25">
      <c r="A3" s="19">
        <f>215/250*60</f>
        <v>51.6</v>
      </c>
      <c r="B3" s="3" t="s">
        <v>54</v>
      </c>
      <c r="C3" s="2" t="s">
        <v>224</v>
      </c>
    </row>
    <row r="4" spans="1:9" x14ac:dyDescent="0.25">
      <c r="A4" s="19">
        <f>305/250*60</f>
        <v>73.2</v>
      </c>
      <c r="B4" s="3" t="s">
        <v>83</v>
      </c>
      <c r="C4" s="2" t="s">
        <v>223</v>
      </c>
    </row>
    <row r="5" spans="1:9" x14ac:dyDescent="0.25">
      <c r="A5" s="19">
        <f>225/250*60</f>
        <v>54</v>
      </c>
      <c r="B5" s="3" t="s">
        <v>55</v>
      </c>
      <c r="C5" s="2" t="s">
        <v>225</v>
      </c>
    </row>
    <row r="6" spans="1:9" x14ac:dyDescent="0.25">
      <c r="A6" s="19">
        <f>235/250*60</f>
        <v>56.4</v>
      </c>
      <c r="B6" s="3" t="s">
        <v>55</v>
      </c>
      <c r="C6" s="2" t="s">
        <v>93</v>
      </c>
    </row>
    <row r="7" spans="1:9" x14ac:dyDescent="0.25">
      <c r="A7" s="19">
        <f>113/250*60</f>
        <v>27.12</v>
      </c>
      <c r="B7" s="3" t="s">
        <v>55</v>
      </c>
      <c r="C7" s="2" t="s">
        <v>226</v>
      </c>
    </row>
    <row r="9" spans="1:9" x14ac:dyDescent="0.25">
      <c r="B9" s="8" t="s">
        <v>24</v>
      </c>
      <c r="E9" s="8" t="s">
        <v>1</v>
      </c>
    </row>
    <row r="11" spans="1:9" x14ac:dyDescent="0.25">
      <c r="B11" s="1" t="s">
        <v>66</v>
      </c>
      <c r="C11" s="1" t="s">
        <v>78</v>
      </c>
      <c r="E11" s="1" t="s">
        <v>66</v>
      </c>
      <c r="F11" s="1" t="s">
        <v>78</v>
      </c>
      <c r="H11" s="2" t="b">
        <f>B11=E11</f>
        <v>1</v>
      </c>
      <c r="I11" s="2" t="b">
        <f>C11=F11</f>
        <v>1</v>
      </c>
    </row>
    <row r="12" spans="1:9" x14ac:dyDescent="0.25">
      <c r="B12" s="2" t="s">
        <v>130</v>
      </c>
      <c r="C12" s="3">
        <v>152</v>
      </c>
      <c r="E12" s="2" t="s">
        <v>130</v>
      </c>
      <c r="F12" s="50">
        <v>152</v>
      </c>
      <c r="H12" s="2" t="b">
        <f t="shared" ref="H12:H25" si="0">B12=E12</f>
        <v>1</v>
      </c>
      <c r="I12" s="2" t="b">
        <f t="shared" ref="I12:I25" si="1">C12=F12</f>
        <v>1</v>
      </c>
    </row>
    <row r="13" spans="1:9" x14ac:dyDescent="0.25">
      <c r="B13" s="2" t="s">
        <v>113</v>
      </c>
      <c r="C13" s="3">
        <v>135</v>
      </c>
      <c r="E13" s="2" t="s">
        <v>113</v>
      </c>
      <c r="F13" s="50">
        <v>135</v>
      </c>
      <c r="H13" s="2" t="b">
        <f t="shared" si="0"/>
        <v>1</v>
      </c>
      <c r="I13" s="2" t="b">
        <f t="shared" si="1"/>
        <v>1</v>
      </c>
    </row>
    <row r="14" spans="1:9" x14ac:dyDescent="0.25">
      <c r="B14" s="2" t="s">
        <v>16</v>
      </c>
      <c r="C14" s="3">
        <v>733</v>
      </c>
      <c r="E14" s="2" t="s">
        <v>16</v>
      </c>
      <c r="F14" s="50">
        <v>733</v>
      </c>
      <c r="H14" s="2" t="b">
        <f t="shared" si="0"/>
        <v>1</v>
      </c>
      <c r="I14" s="2" t="b">
        <f t="shared" si="1"/>
        <v>1</v>
      </c>
    </row>
    <row r="15" spans="1:9" x14ac:dyDescent="0.25">
      <c r="B15" s="2" t="s">
        <v>114</v>
      </c>
      <c r="C15" s="3">
        <v>48</v>
      </c>
      <c r="E15" s="2" t="s">
        <v>114</v>
      </c>
      <c r="F15" s="50">
        <v>48</v>
      </c>
      <c r="H15" s="2" t="b">
        <f t="shared" si="0"/>
        <v>1</v>
      </c>
      <c r="I15" s="2" t="b">
        <f t="shared" si="1"/>
        <v>1</v>
      </c>
    </row>
    <row r="16" spans="1:9" x14ac:dyDescent="0.25">
      <c r="B16" s="2" t="s">
        <v>19</v>
      </c>
      <c r="C16" s="3">
        <v>234</v>
      </c>
      <c r="E16" s="2" t="s">
        <v>19</v>
      </c>
      <c r="F16" s="50">
        <v>234</v>
      </c>
      <c r="H16" s="2" t="b">
        <f t="shared" si="0"/>
        <v>1</v>
      </c>
      <c r="I16" s="2" t="b">
        <f t="shared" si="1"/>
        <v>1</v>
      </c>
    </row>
    <row r="17" spans="2:9" x14ac:dyDescent="0.25">
      <c r="B17" s="2" t="s">
        <v>115</v>
      </c>
      <c r="C17" s="3">
        <v>271</v>
      </c>
      <c r="E17" s="2" t="s">
        <v>115</v>
      </c>
      <c r="F17" s="50">
        <v>271</v>
      </c>
      <c r="H17" s="2" t="b">
        <f t="shared" si="0"/>
        <v>1</v>
      </c>
      <c r="I17" s="2" t="b">
        <f t="shared" si="1"/>
        <v>1</v>
      </c>
    </row>
    <row r="18" spans="2:9" x14ac:dyDescent="0.25">
      <c r="B18" s="2" t="s">
        <v>116</v>
      </c>
      <c r="C18" s="3">
        <v>8010</v>
      </c>
      <c r="E18" s="2" t="s">
        <v>116</v>
      </c>
      <c r="F18" s="50">
        <v>8010</v>
      </c>
      <c r="H18" s="2" t="b">
        <f t="shared" si="0"/>
        <v>1</v>
      </c>
      <c r="I18" s="2" t="b">
        <f t="shared" si="1"/>
        <v>1</v>
      </c>
    </row>
    <row r="19" spans="2:9" x14ac:dyDescent="0.25">
      <c r="B19" s="2" t="s">
        <v>15</v>
      </c>
      <c r="C19" s="3">
        <v>738</v>
      </c>
      <c r="E19" s="2" t="s">
        <v>15</v>
      </c>
      <c r="F19" s="50">
        <v>738</v>
      </c>
      <c r="H19" s="2" t="b">
        <f t="shared" si="0"/>
        <v>1</v>
      </c>
      <c r="I19" s="2" t="b">
        <f t="shared" si="1"/>
        <v>1</v>
      </c>
    </row>
    <row r="20" spans="2:9" x14ac:dyDescent="0.25">
      <c r="B20" s="2" t="s">
        <v>18</v>
      </c>
      <c r="C20" s="3">
        <v>880</v>
      </c>
      <c r="E20" s="2" t="s">
        <v>18</v>
      </c>
      <c r="F20" s="50">
        <v>880</v>
      </c>
      <c r="H20" s="2" t="b">
        <f t="shared" si="0"/>
        <v>1</v>
      </c>
      <c r="I20" s="2" t="b">
        <f t="shared" si="1"/>
        <v>1</v>
      </c>
    </row>
    <row r="21" spans="2:9" x14ac:dyDescent="0.25">
      <c r="B21" s="2" t="s">
        <v>117</v>
      </c>
      <c r="C21" s="3">
        <v>360</v>
      </c>
      <c r="E21" s="2" t="s">
        <v>117</v>
      </c>
      <c r="F21" s="50">
        <v>360</v>
      </c>
      <c r="H21" s="2" t="b">
        <f t="shared" si="0"/>
        <v>1</v>
      </c>
      <c r="I21" s="2" t="b">
        <f t="shared" si="1"/>
        <v>1</v>
      </c>
    </row>
    <row r="22" spans="2:9" x14ac:dyDescent="0.25">
      <c r="B22" s="2" t="s">
        <v>101</v>
      </c>
      <c r="C22" s="3">
        <v>593</v>
      </c>
      <c r="E22" s="2" t="s">
        <v>101</v>
      </c>
      <c r="F22" s="50">
        <v>593</v>
      </c>
      <c r="H22" s="2" t="b">
        <f t="shared" si="0"/>
        <v>1</v>
      </c>
      <c r="I22" s="2" t="b">
        <f t="shared" si="1"/>
        <v>1</v>
      </c>
    </row>
    <row r="23" spans="2:9" x14ac:dyDescent="0.25">
      <c r="B23" s="2" t="s">
        <v>118</v>
      </c>
      <c r="C23" s="3">
        <v>392</v>
      </c>
      <c r="E23" s="2" t="s">
        <v>118</v>
      </c>
      <c r="F23" s="50">
        <v>392</v>
      </c>
      <c r="H23" s="2" t="b">
        <f t="shared" si="0"/>
        <v>1</v>
      </c>
      <c r="I23" s="2" t="b">
        <f t="shared" si="1"/>
        <v>1</v>
      </c>
    </row>
    <row r="24" spans="2:9" x14ac:dyDescent="0.25">
      <c r="B24" s="2" t="s">
        <v>119</v>
      </c>
      <c r="C24" s="3">
        <v>240</v>
      </c>
      <c r="E24" s="2" t="s">
        <v>119</v>
      </c>
      <c r="F24" s="50">
        <v>240</v>
      </c>
      <c r="H24" s="2" t="b">
        <f t="shared" si="0"/>
        <v>1</v>
      </c>
      <c r="I24" s="2" t="b">
        <f t="shared" si="1"/>
        <v>1</v>
      </c>
    </row>
    <row r="25" spans="2:9" x14ac:dyDescent="0.25">
      <c r="B25" s="2" t="s">
        <v>22</v>
      </c>
      <c r="C25" s="3">
        <v>218</v>
      </c>
      <c r="E25" s="2" t="s">
        <v>22</v>
      </c>
      <c r="F25" s="50">
        <v>218</v>
      </c>
      <c r="H25" s="2" t="b">
        <f t="shared" si="0"/>
        <v>1</v>
      </c>
      <c r="I25" s="2" t="b">
        <f t="shared" si="1"/>
        <v>1</v>
      </c>
    </row>
    <row r="26" spans="2:9" x14ac:dyDescent="0.25">
      <c r="B26" s="2" t="s">
        <v>77</v>
      </c>
      <c r="C26" s="50">
        <v>13004</v>
      </c>
      <c r="E26" s="2" t="s">
        <v>77</v>
      </c>
      <c r="F26" s="50">
        <f>SUM(F12:F25)</f>
        <v>13004</v>
      </c>
      <c r="H26" s="2" t="b">
        <f t="shared" ref="H26" si="2">B26=E26</f>
        <v>1</v>
      </c>
      <c r="I26" s="2" t="b">
        <f t="shared" ref="I26" si="3">C26=F26</f>
        <v>1</v>
      </c>
    </row>
    <row r="28" spans="2:9" x14ac:dyDescent="0.25">
      <c r="E28" s="4" t="s">
        <v>5</v>
      </c>
      <c r="F28" s="14">
        <f>30/30</f>
        <v>1</v>
      </c>
    </row>
    <row r="45" spans="1:3" x14ac:dyDescent="0.25">
      <c r="A45" s="8" t="s">
        <v>52</v>
      </c>
      <c r="B45" s="10" t="s">
        <v>80</v>
      </c>
    </row>
    <row r="46" spans="1:3" x14ac:dyDescent="0.25">
      <c r="A46" s="19">
        <f>215/250*60</f>
        <v>51.6</v>
      </c>
      <c r="B46" s="3" t="s">
        <v>54</v>
      </c>
      <c r="C46" s="2" t="s">
        <v>224</v>
      </c>
    </row>
    <row r="47" spans="1:3" x14ac:dyDescent="0.25">
      <c r="A47" s="19">
        <f>80/250*60</f>
        <v>19.2</v>
      </c>
      <c r="B47" s="3" t="s">
        <v>53</v>
      </c>
      <c r="C47" s="2" t="s">
        <v>229</v>
      </c>
    </row>
    <row r="48" spans="1:3" x14ac:dyDescent="0.25">
      <c r="A48" s="19">
        <f>273/250*60</f>
        <v>65.52000000000001</v>
      </c>
      <c r="B48" s="3" t="s">
        <v>83</v>
      </c>
      <c r="C48" s="2" t="s">
        <v>122</v>
      </c>
    </row>
    <row r="49" spans="1:9" x14ac:dyDescent="0.25">
      <c r="A49" s="19">
        <f>225/250*60</f>
        <v>54</v>
      </c>
      <c r="B49" s="3" t="s">
        <v>55</v>
      </c>
      <c r="C49" s="2" t="s">
        <v>230</v>
      </c>
    </row>
    <row r="50" spans="1:9" x14ac:dyDescent="0.25">
      <c r="A50" s="19">
        <f>235/250*60</f>
        <v>56.4</v>
      </c>
      <c r="B50" s="3" t="s">
        <v>55</v>
      </c>
      <c r="C50" s="2" t="s">
        <v>93</v>
      </c>
    </row>
    <row r="51" spans="1:9" x14ac:dyDescent="0.25">
      <c r="A51" s="19">
        <f>265/250*60</f>
        <v>63.6</v>
      </c>
      <c r="B51" s="3" t="s">
        <v>55</v>
      </c>
      <c r="C51" s="2" t="s">
        <v>226</v>
      </c>
    </row>
    <row r="52" spans="1:9" x14ac:dyDescent="0.25">
      <c r="A52" s="19"/>
      <c r="B52" s="3"/>
    </row>
    <row r="53" spans="1:9" x14ac:dyDescent="0.25">
      <c r="A53" s="19"/>
      <c r="B53" s="8" t="s">
        <v>24</v>
      </c>
      <c r="E53" s="8" t="s">
        <v>1</v>
      </c>
    </row>
    <row r="55" spans="1:9" x14ac:dyDescent="0.25">
      <c r="B55" s="1" t="s">
        <v>66</v>
      </c>
      <c r="C55" s="1" t="s">
        <v>78</v>
      </c>
      <c r="E55" s="1" t="s">
        <v>66</v>
      </c>
      <c r="F55" s="1" t="s">
        <v>78</v>
      </c>
      <c r="H55" s="2" t="b">
        <f>B55=E55</f>
        <v>1</v>
      </c>
      <c r="I55" s="2" t="b">
        <f>C55=F55</f>
        <v>1</v>
      </c>
    </row>
    <row r="56" spans="1:9" x14ac:dyDescent="0.25">
      <c r="B56" s="5" t="s">
        <v>113</v>
      </c>
      <c r="C56" s="50">
        <v>136</v>
      </c>
      <c r="E56" s="5" t="s">
        <v>113</v>
      </c>
      <c r="F56" s="50">
        <v>136</v>
      </c>
      <c r="H56" s="2" t="b">
        <f t="shared" ref="H56:H69" si="4">B56=E56</f>
        <v>1</v>
      </c>
      <c r="I56" s="2" t="b">
        <f t="shared" ref="I56:I69" si="5">C56=F56</f>
        <v>1</v>
      </c>
    </row>
    <row r="57" spans="1:9" x14ac:dyDescent="0.25">
      <c r="B57" s="5" t="s">
        <v>16</v>
      </c>
      <c r="C57" s="50">
        <v>763</v>
      </c>
      <c r="E57" s="5" t="s">
        <v>16</v>
      </c>
      <c r="F57" s="50">
        <v>763</v>
      </c>
      <c r="H57" s="2" t="b">
        <f t="shared" si="4"/>
        <v>1</v>
      </c>
      <c r="I57" s="2" t="b">
        <f t="shared" si="5"/>
        <v>1</v>
      </c>
    </row>
    <row r="58" spans="1:9" x14ac:dyDescent="0.25">
      <c r="B58" s="5" t="s">
        <v>114</v>
      </c>
      <c r="C58" s="50">
        <v>41</v>
      </c>
      <c r="E58" s="5" t="s">
        <v>114</v>
      </c>
      <c r="F58" s="50">
        <v>41</v>
      </c>
      <c r="H58" s="2" t="b">
        <f t="shared" si="4"/>
        <v>1</v>
      </c>
      <c r="I58" s="2" t="b">
        <f t="shared" si="5"/>
        <v>1</v>
      </c>
    </row>
    <row r="59" spans="1:9" x14ac:dyDescent="0.25">
      <c r="B59" s="5" t="s">
        <v>19</v>
      </c>
      <c r="C59" s="50">
        <v>226</v>
      </c>
      <c r="E59" s="5" t="s">
        <v>19</v>
      </c>
      <c r="F59" s="50">
        <v>226</v>
      </c>
      <c r="H59" s="2" t="b">
        <f t="shared" si="4"/>
        <v>1</v>
      </c>
      <c r="I59" s="2" t="b">
        <f t="shared" si="5"/>
        <v>1</v>
      </c>
    </row>
    <row r="60" spans="1:9" x14ac:dyDescent="0.25">
      <c r="B60" s="5" t="s">
        <v>115</v>
      </c>
      <c r="C60" s="50">
        <v>278</v>
      </c>
      <c r="E60" s="5" t="s">
        <v>115</v>
      </c>
      <c r="F60" s="50">
        <v>278</v>
      </c>
      <c r="H60" s="2" t="b">
        <f t="shared" si="4"/>
        <v>1</v>
      </c>
      <c r="I60" s="2" t="b">
        <f t="shared" si="5"/>
        <v>1</v>
      </c>
    </row>
    <row r="61" spans="1:9" x14ac:dyDescent="0.25">
      <c r="B61" s="5" t="s">
        <v>116</v>
      </c>
      <c r="C61" s="50">
        <v>8387</v>
      </c>
      <c r="E61" s="5" t="s">
        <v>116</v>
      </c>
      <c r="F61" s="50">
        <v>8387</v>
      </c>
      <c r="H61" s="2" t="b">
        <f t="shared" si="4"/>
        <v>1</v>
      </c>
      <c r="I61" s="2" t="b">
        <f t="shared" si="5"/>
        <v>1</v>
      </c>
    </row>
    <row r="62" spans="1:9" x14ac:dyDescent="0.25">
      <c r="A62" s="8"/>
      <c r="B62" s="5" t="s">
        <v>15</v>
      </c>
      <c r="C62" s="50">
        <v>752</v>
      </c>
      <c r="E62" s="5" t="s">
        <v>15</v>
      </c>
      <c r="F62" s="50">
        <v>752</v>
      </c>
      <c r="H62" s="2" t="b">
        <f t="shared" si="4"/>
        <v>1</v>
      </c>
      <c r="I62" s="2" t="b">
        <f t="shared" si="5"/>
        <v>1</v>
      </c>
    </row>
    <row r="63" spans="1:9" x14ac:dyDescent="0.25">
      <c r="A63" s="19"/>
      <c r="B63" s="5" t="s">
        <v>18</v>
      </c>
      <c r="C63" s="50">
        <v>889</v>
      </c>
      <c r="E63" s="5" t="s">
        <v>18</v>
      </c>
      <c r="F63" s="50">
        <v>889</v>
      </c>
      <c r="H63" s="2" t="b">
        <f t="shared" si="4"/>
        <v>1</v>
      </c>
      <c r="I63" s="2" t="b">
        <f t="shared" si="5"/>
        <v>1</v>
      </c>
    </row>
    <row r="64" spans="1:9" x14ac:dyDescent="0.25">
      <c r="A64" s="19"/>
      <c r="B64" s="5" t="s">
        <v>117</v>
      </c>
      <c r="C64" s="50">
        <v>386</v>
      </c>
      <c r="E64" s="5" t="s">
        <v>117</v>
      </c>
      <c r="F64" s="50">
        <v>386</v>
      </c>
      <c r="H64" s="2" t="b">
        <f t="shared" si="4"/>
        <v>1</v>
      </c>
      <c r="I64" s="2" t="b">
        <f t="shared" si="5"/>
        <v>1</v>
      </c>
    </row>
    <row r="65" spans="1:9" x14ac:dyDescent="0.25">
      <c r="A65" s="19"/>
      <c r="B65" s="5" t="s">
        <v>101</v>
      </c>
      <c r="C65" s="50">
        <v>644</v>
      </c>
      <c r="E65" s="5" t="s">
        <v>101</v>
      </c>
      <c r="F65" s="50">
        <v>644</v>
      </c>
      <c r="H65" s="2" t="b">
        <f t="shared" si="4"/>
        <v>1</v>
      </c>
      <c r="I65" s="2" t="b">
        <f t="shared" si="5"/>
        <v>1</v>
      </c>
    </row>
    <row r="66" spans="1:9" x14ac:dyDescent="0.25">
      <c r="A66" s="19"/>
      <c r="B66" s="5" t="s">
        <v>118</v>
      </c>
      <c r="C66" s="50">
        <v>338</v>
      </c>
      <c r="E66" s="5" t="s">
        <v>118</v>
      </c>
      <c r="F66" s="50">
        <v>338</v>
      </c>
      <c r="H66" s="2" t="b">
        <f t="shared" si="4"/>
        <v>1</v>
      </c>
      <c r="I66" s="2" t="b">
        <f t="shared" si="5"/>
        <v>1</v>
      </c>
    </row>
    <row r="67" spans="1:9" x14ac:dyDescent="0.25">
      <c r="A67" s="19"/>
      <c r="B67" s="5" t="s">
        <v>119</v>
      </c>
      <c r="C67" s="50">
        <v>205</v>
      </c>
      <c r="E67" s="5" t="s">
        <v>119</v>
      </c>
      <c r="F67" s="50">
        <v>205</v>
      </c>
      <c r="H67" s="2" t="b">
        <f t="shared" si="4"/>
        <v>1</v>
      </c>
      <c r="I67" s="2" t="b">
        <f t="shared" si="5"/>
        <v>1</v>
      </c>
    </row>
    <row r="68" spans="1:9" x14ac:dyDescent="0.25">
      <c r="A68" s="19"/>
      <c r="B68" s="5" t="s">
        <v>22</v>
      </c>
      <c r="C68" s="50">
        <v>277</v>
      </c>
      <c r="E68" s="5" t="s">
        <v>22</v>
      </c>
      <c r="F68" s="50">
        <v>277</v>
      </c>
      <c r="H68" s="2" t="b">
        <f t="shared" si="4"/>
        <v>1</v>
      </c>
      <c r="I68" s="2" t="b">
        <f t="shared" si="5"/>
        <v>1</v>
      </c>
    </row>
    <row r="69" spans="1:9" x14ac:dyDescent="0.25">
      <c r="A69" s="19"/>
      <c r="B69" s="5" t="s">
        <v>77</v>
      </c>
      <c r="C69" s="50">
        <v>13322</v>
      </c>
      <c r="E69" s="5" t="s">
        <v>77</v>
      </c>
      <c r="F69" s="50">
        <v>13527</v>
      </c>
      <c r="H69" s="2" t="b">
        <f t="shared" si="4"/>
        <v>1</v>
      </c>
      <c r="I69" s="2" t="b">
        <f t="shared" si="5"/>
        <v>0</v>
      </c>
    </row>
    <row r="71" spans="1:9" x14ac:dyDescent="0.25">
      <c r="E71" s="4" t="s">
        <v>5</v>
      </c>
      <c r="F71" s="14">
        <f>28/30</f>
        <v>0.93333333333333335</v>
      </c>
    </row>
    <row r="76" spans="1:9" x14ac:dyDescent="0.25">
      <c r="C76" s="55"/>
      <c r="F76" s="55"/>
    </row>
    <row r="77" spans="1:9" x14ac:dyDescent="0.25">
      <c r="C77" s="55"/>
      <c r="F77" s="55"/>
    </row>
    <row r="78" spans="1:9" x14ac:dyDescent="0.25">
      <c r="C78" s="55"/>
      <c r="F78" s="55"/>
    </row>
    <row r="79" spans="1:9" x14ac:dyDescent="0.25">
      <c r="C79" s="55"/>
      <c r="F79" s="55"/>
    </row>
    <row r="80" spans="1:9" x14ac:dyDescent="0.25">
      <c r="C80" s="55"/>
      <c r="F80" s="55"/>
    </row>
    <row r="81" spans="1:9" x14ac:dyDescent="0.25">
      <c r="C81" s="55"/>
      <c r="F81" s="55"/>
    </row>
    <row r="82" spans="1:9" x14ac:dyDescent="0.25">
      <c r="C82" s="55"/>
      <c r="F82" s="55"/>
    </row>
    <row r="84" spans="1:9" x14ac:dyDescent="0.25">
      <c r="E84" s="4"/>
      <c r="F84" s="14"/>
    </row>
    <row r="86" spans="1:9" x14ac:dyDescent="0.25">
      <c r="B86" s="174"/>
      <c r="C86" s="174"/>
      <c r="D86" s="174"/>
      <c r="E86" s="174"/>
      <c r="F86" s="174"/>
      <c r="G86" s="174"/>
      <c r="H86" s="174"/>
      <c r="I86" s="174"/>
    </row>
    <row r="88" spans="1:9" x14ac:dyDescent="0.25">
      <c r="A88" s="8" t="s">
        <v>52</v>
      </c>
      <c r="B88" s="10" t="s">
        <v>167</v>
      </c>
    </row>
    <row r="89" spans="1:9" x14ac:dyDescent="0.25">
      <c r="A89" s="19">
        <f>215/250*60</f>
        <v>51.6</v>
      </c>
      <c r="B89" s="3" t="s">
        <v>54</v>
      </c>
      <c r="C89" s="2" t="s">
        <v>224</v>
      </c>
    </row>
    <row r="90" spans="1:9" x14ac:dyDescent="0.25">
      <c r="A90" s="19">
        <f>273/250*60</f>
        <v>65.52000000000001</v>
      </c>
      <c r="B90" s="3" t="s">
        <v>83</v>
      </c>
      <c r="C90" s="2" t="s">
        <v>122</v>
      </c>
    </row>
    <row r="91" spans="1:9" x14ac:dyDescent="0.25">
      <c r="A91" s="19">
        <f>225/250*60</f>
        <v>54</v>
      </c>
      <c r="B91" s="3" t="s">
        <v>55</v>
      </c>
      <c r="C91" s="2" t="s">
        <v>228</v>
      </c>
    </row>
    <row r="92" spans="1:9" x14ac:dyDescent="0.25">
      <c r="A92" s="19">
        <f>235/250*60</f>
        <v>56.4</v>
      </c>
      <c r="B92" s="3" t="s">
        <v>55</v>
      </c>
      <c r="C92" s="2" t="s">
        <v>93</v>
      </c>
    </row>
    <row r="93" spans="1:9" x14ac:dyDescent="0.25">
      <c r="A93" s="19">
        <f>113/250*60</f>
        <v>27.12</v>
      </c>
      <c r="B93" s="3" t="s">
        <v>55</v>
      </c>
      <c r="C93" s="2" t="s">
        <v>226</v>
      </c>
    </row>
    <row r="95" spans="1:9" x14ac:dyDescent="0.25">
      <c r="B95" s="8" t="s">
        <v>24</v>
      </c>
      <c r="E95" s="8" t="s">
        <v>1</v>
      </c>
    </row>
    <row r="97" spans="2:9" x14ac:dyDescent="0.25">
      <c r="B97" s="1" t="s">
        <v>66</v>
      </c>
      <c r="C97" s="1" t="s">
        <v>78</v>
      </c>
      <c r="E97" s="1" t="s">
        <v>66</v>
      </c>
      <c r="F97" s="1" t="s">
        <v>78</v>
      </c>
      <c r="H97" s="2" t="b">
        <f>B97=E97</f>
        <v>1</v>
      </c>
      <c r="I97" s="2" t="b">
        <f>C97=F97</f>
        <v>1</v>
      </c>
    </row>
    <row r="98" spans="2:9" x14ac:dyDescent="0.25">
      <c r="B98" s="2" t="s">
        <v>113</v>
      </c>
      <c r="C98" s="50">
        <v>143</v>
      </c>
      <c r="E98" s="2" t="s">
        <v>113</v>
      </c>
      <c r="F98" s="50">
        <f>C98</f>
        <v>143</v>
      </c>
      <c r="H98" s="2" t="b">
        <f t="shared" ref="H98:H111" si="6">B98=E98</f>
        <v>1</v>
      </c>
      <c r="I98" s="2" t="b">
        <f t="shared" ref="I98:I111" si="7">C98=F98</f>
        <v>1</v>
      </c>
    </row>
    <row r="99" spans="2:9" x14ac:dyDescent="0.25">
      <c r="B99" s="2" t="s">
        <v>16</v>
      </c>
      <c r="C99" s="50">
        <v>779</v>
      </c>
      <c r="E99" s="2" t="s">
        <v>16</v>
      </c>
      <c r="F99" s="50">
        <v>779</v>
      </c>
      <c r="H99" s="2" t="b">
        <f t="shared" si="6"/>
        <v>1</v>
      </c>
      <c r="I99" s="2" t="b">
        <f t="shared" si="7"/>
        <v>1</v>
      </c>
    </row>
    <row r="100" spans="2:9" x14ac:dyDescent="0.25">
      <c r="B100" s="2" t="s">
        <v>114</v>
      </c>
      <c r="C100" s="50">
        <v>38</v>
      </c>
      <c r="E100" s="2" t="s">
        <v>114</v>
      </c>
      <c r="F100" s="50">
        <v>38</v>
      </c>
      <c r="H100" s="2" t="b">
        <f t="shared" si="6"/>
        <v>1</v>
      </c>
      <c r="I100" s="2" t="b">
        <f t="shared" si="7"/>
        <v>1</v>
      </c>
    </row>
    <row r="101" spans="2:9" x14ac:dyDescent="0.25">
      <c r="B101" s="2" t="s">
        <v>19</v>
      </c>
      <c r="C101" s="50">
        <v>214</v>
      </c>
      <c r="E101" s="2" t="s">
        <v>19</v>
      </c>
      <c r="F101" s="50">
        <v>214</v>
      </c>
      <c r="H101" s="2" t="b">
        <f t="shared" si="6"/>
        <v>1</v>
      </c>
      <c r="I101" s="2" t="b">
        <f t="shared" si="7"/>
        <v>1</v>
      </c>
    </row>
    <row r="102" spans="2:9" x14ac:dyDescent="0.25">
      <c r="B102" s="2" t="s">
        <v>115</v>
      </c>
      <c r="C102" s="50">
        <v>275</v>
      </c>
      <c r="E102" s="2" t="s">
        <v>115</v>
      </c>
      <c r="F102" s="50">
        <v>275</v>
      </c>
      <c r="H102" s="2" t="b">
        <f t="shared" si="6"/>
        <v>1</v>
      </c>
      <c r="I102" s="2" t="b">
        <f t="shared" si="7"/>
        <v>1</v>
      </c>
    </row>
    <row r="103" spans="2:9" x14ac:dyDescent="0.25">
      <c r="B103" s="2" t="s">
        <v>116</v>
      </c>
      <c r="C103" s="50">
        <v>8576</v>
      </c>
      <c r="E103" s="2" t="s">
        <v>116</v>
      </c>
      <c r="F103" s="50">
        <v>8576</v>
      </c>
      <c r="H103" s="2" t="b">
        <f t="shared" si="6"/>
        <v>1</v>
      </c>
      <c r="I103" s="2" t="b">
        <f t="shared" si="7"/>
        <v>1</v>
      </c>
    </row>
    <row r="104" spans="2:9" x14ac:dyDescent="0.25">
      <c r="B104" s="2" t="s">
        <v>15</v>
      </c>
      <c r="C104" s="50">
        <v>773</v>
      </c>
      <c r="E104" s="2" t="s">
        <v>15</v>
      </c>
      <c r="F104" s="50">
        <v>773</v>
      </c>
      <c r="H104" s="2" t="b">
        <f t="shared" si="6"/>
        <v>1</v>
      </c>
      <c r="I104" s="2" t="b">
        <f t="shared" si="7"/>
        <v>1</v>
      </c>
    </row>
    <row r="105" spans="2:9" x14ac:dyDescent="0.25">
      <c r="B105" s="2" t="s">
        <v>18</v>
      </c>
      <c r="C105" s="50">
        <v>902</v>
      </c>
      <c r="E105" s="2" t="s">
        <v>18</v>
      </c>
      <c r="F105" s="50">
        <v>902</v>
      </c>
      <c r="H105" s="2" t="b">
        <f t="shared" si="6"/>
        <v>1</v>
      </c>
      <c r="I105" s="2" t="b">
        <f t="shared" si="7"/>
        <v>1</v>
      </c>
    </row>
    <row r="106" spans="2:9" x14ac:dyDescent="0.25">
      <c r="B106" s="2" t="s">
        <v>117</v>
      </c>
      <c r="C106" s="50">
        <v>382</v>
      </c>
      <c r="E106" s="2" t="s">
        <v>117</v>
      </c>
      <c r="F106" s="50">
        <v>382</v>
      </c>
      <c r="H106" s="2" t="b">
        <f t="shared" si="6"/>
        <v>1</v>
      </c>
      <c r="I106" s="2" t="b">
        <f t="shared" si="7"/>
        <v>1</v>
      </c>
    </row>
    <row r="107" spans="2:9" x14ac:dyDescent="0.25">
      <c r="B107" s="2" t="s">
        <v>101</v>
      </c>
      <c r="C107" s="50">
        <v>667</v>
      </c>
      <c r="E107" s="2" t="s">
        <v>101</v>
      </c>
      <c r="F107" s="50">
        <v>667</v>
      </c>
      <c r="H107" s="2" t="b">
        <f t="shared" si="6"/>
        <v>1</v>
      </c>
      <c r="I107" s="2" t="b">
        <f t="shared" si="7"/>
        <v>1</v>
      </c>
    </row>
    <row r="108" spans="2:9" x14ac:dyDescent="0.25">
      <c r="B108" s="2" t="s">
        <v>118</v>
      </c>
      <c r="C108" s="50">
        <v>483</v>
      </c>
      <c r="E108" s="2" t="s">
        <v>118</v>
      </c>
      <c r="F108" s="50">
        <v>483</v>
      </c>
      <c r="H108" s="2" t="b">
        <f t="shared" si="6"/>
        <v>1</v>
      </c>
      <c r="I108" s="2" t="b">
        <f t="shared" si="7"/>
        <v>1</v>
      </c>
    </row>
    <row r="109" spans="2:9" x14ac:dyDescent="0.25">
      <c r="B109" s="2" t="s">
        <v>119</v>
      </c>
      <c r="C109" s="50">
        <v>185</v>
      </c>
      <c r="E109" s="2" t="s">
        <v>119</v>
      </c>
      <c r="F109" s="50">
        <v>185</v>
      </c>
      <c r="H109" s="2" t="b">
        <f t="shared" si="6"/>
        <v>1</v>
      </c>
      <c r="I109" s="2" t="b">
        <f t="shared" si="7"/>
        <v>1</v>
      </c>
    </row>
    <row r="110" spans="2:9" x14ac:dyDescent="0.25">
      <c r="B110" s="2" t="s">
        <v>22</v>
      </c>
      <c r="C110" s="50">
        <v>298</v>
      </c>
      <c r="E110" s="2" t="s">
        <v>22</v>
      </c>
      <c r="F110" s="50">
        <v>298</v>
      </c>
      <c r="H110" s="2" t="b">
        <f t="shared" si="6"/>
        <v>1</v>
      </c>
      <c r="I110" s="2" t="b">
        <f t="shared" si="7"/>
        <v>1</v>
      </c>
    </row>
    <row r="111" spans="2:9" x14ac:dyDescent="0.25">
      <c r="B111" s="2" t="s">
        <v>77</v>
      </c>
      <c r="C111" s="50">
        <f>SUM(C98:C110)</f>
        <v>13715</v>
      </c>
      <c r="E111" s="2" t="s">
        <v>77</v>
      </c>
      <c r="F111" s="50">
        <f>SUM(F98:F110)</f>
        <v>13715</v>
      </c>
      <c r="H111" s="2" t="b">
        <f t="shared" si="6"/>
        <v>1</v>
      </c>
      <c r="I111" s="2" t="b">
        <f t="shared" si="7"/>
        <v>1</v>
      </c>
    </row>
    <row r="112" spans="2:9" x14ac:dyDescent="0.25">
      <c r="C112" s="50"/>
      <c r="F112" s="50"/>
    </row>
    <row r="113" spans="5:6" x14ac:dyDescent="0.25">
      <c r="E113" s="4" t="s">
        <v>5</v>
      </c>
      <c r="F113" s="14">
        <f>30/30</f>
        <v>1</v>
      </c>
    </row>
    <row r="130" spans="1:9" x14ac:dyDescent="0.25">
      <c r="A130" s="8" t="s">
        <v>52</v>
      </c>
      <c r="B130" s="10" t="s">
        <v>172</v>
      </c>
    </row>
    <row r="131" spans="1:9" x14ac:dyDescent="0.25">
      <c r="A131" s="19">
        <f>215/250*60</f>
        <v>51.6</v>
      </c>
      <c r="B131" s="3" t="s">
        <v>54</v>
      </c>
      <c r="C131" s="2" t="s">
        <v>224</v>
      </c>
    </row>
    <row r="132" spans="1:9" x14ac:dyDescent="0.25">
      <c r="A132" s="19">
        <f>273/250*60</f>
        <v>65.52000000000001</v>
      </c>
      <c r="B132" s="3" t="s">
        <v>83</v>
      </c>
      <c r="C132" s="2" t="s">
        <v>122</v>
      </c>
    </row>
    <row r="133" spans="1:9" x14ac:dyDescent="0.25">
      <c r="A133" s="19">
        <f>225/250*60</f>
        <v>54</v>
      </c>
      <c r="B133" s="3" t="s">
        <v>55</v>
      </c>
      <c r="C133" s="2" t="s">
        <v>227</v>
      </c>
    </row>
    <row r="134" spans="1:9" x14ac:dyDescent="0.25">
      <c r="A134" s="19">
        <f>235/250*60</f>
        <v>56.4</v>
      </c>
      <c r="B134" s="3" t="s">
        <v>55</v>
      </c>
      <c r="C134" s="2" t="s">
        <v>93</v>
      </c>
    </row>
    <row r="135" spans="1:9" x14ac:dyDescent="0.25">
      <c r="A135" s="19">
        <f>113/250*60</f>
        <v>27.12</v>
      </c>
      <c r="B135" s="3" t="s">
        <v>55</v>
      </c>
      <c r="C135" s="2" t="s">
        <v>226</v>
      </c>
    </row>
    <row r="136" spans="1:9" x14ac:dyDescent="0.25">
      <c r="A136" s="19"/>
      <c r="B136" s="3"/>
    </row>
    <row r="137" spans="1:9" x14ac:dyDescent="0.25">
      <c r="B137" s="8" t="s">
        <v>24</v>
      </c>
      <c r="E137" s="8" t="s">
        <v>1</v>
      </c>
    </row>
    <row r="139" spans="1:9" x14ac:dyDescent="0.25">
      <c r="B139" s="1" t="s">
        <v>66</v>
      </c>
      <c r="C139" s="1" t="s">
        <v>78</v>
      </c>
      <c r="E139" s="1" t="s">
        <v>66</v>
      </c>
      <c r="F139" s="1" t="s">
        <v>78</v>
      </c>
      <c r="H139" s="2" t="b">
        <f>B139=E139</f>
        <v>1</v>
      </c>
      <c r="I139" s="2" t="b">
        <f>C139=F139</f>
        <v>1</v>
      </c>
    </row>
    <row r="140" spans="1:9" x14ac:dyDescent="0.25">
      <c r="B140" s="2" t="s">
        <v>113</v>
      </c>
      <c r="C140" s="50">
        <v>142</v>
      </c>
      <c r="E140" s="2" t="s">
        <v>113</v>
      </c>
      <c r="F140" s="50">
        <v>142</v>
      </c>
      <c r="H140" s="2" t="b">
        <f t="shared" ref="H140:H153" si="8">B140=E140</f>
        <v>1</v>
      </c>
      <c r="I140" s="2" t="b">
        <f t="shared" ref="I140:I153" si="9">C140=F140</f>
        <v>1</v>
      </c>
    </row>
    <row r="141" spans="1:9" x14ac:dyDescent="0.25">
      <c r="B141" s="2" t="s">
        <v>16</v>
      </c>
      <c r="C141" s="50">
        <v>791</v>
      </c>
      <c r="E141" s="2" t="s">
        <v>16</v>
      </c>
      <c r="F141" s="50">
        <v>791</v>
      </c>
      <c r="H141" s="2" t="b">
        <f t="shared" si="8"/>
        <v>1</v>
      </c>
      <c r="I141" s="2" t="b">
        <f t="shared" si="9"/>
        <v>1</v>
      </c>
    </row>
    <row r="142" spans="1:9" x14ac:dyDescent="0.25">
      <c r="B142" s="2" t="s">
        <v>114</v>
      </c>
      <c r="C142" s="50">
        <v>36</v>
      </c>
      <c r="E142" s="2" t="s">
        <v>114</v>
      </c>
      <c r="F142" s="50">
        <v>36</v>
      </c>
      <c r="H142" s="2" t="b">
        <f t="shared" si="8"/>
        <v>1</v>
      </c>
      <c r="I142" s="2" t="b">
        <f t="shared" si="9"/>
        <v>1</v>
      </c>
    </row>
    <row r="143" spans="1:9" x14ac:dyDescent="0.25">
      <c r="B143" s="2" t="s">
        <v>19</v>
      </c>
      <c r="C143" s="50">
        <v>222</v>
      </c>
      <c r="E143" s="2" t="s">
        <v>19</v>
      </c>
      <c r="F143" s="50">
        <v>222</v>
      </c>
      <c r="H143" s="2" t="b">
        <f t="shared" si="8"/>
        <v>1</v>
      </c>
      <c r="I143" s="2" t="b">
        <f t="shared" si="9"/>
        <v>1</v>
      </c>
    </row>
    <row r="144" spans="1:9" x14ac:dyDescent="0.25">
      <c r="B144" s="2" t="s">
        <v>115</v>
      </c>
      <c r="C144" s="50">
        <v>278</v>
      </c>
      <c r="E144" s="2" t="s">
        <v>115</v>
      </c>
      <c r="F144" s="50">
        <v>278</v>
      </c>
      <c r="H144" s="2" t="b">
        <f t="shared" si="8"/>
        <v>1</v>
      </c>
      <c r="I144" s="2" t="b">
        <f t="shared" si="9"/>
        <v>1</v>
      </c>
    </row>
    <row r="145" spans="2:9" x14ac:dyDescent="0.25">
      <c r="B145" s="2" t="s">
        <v>116</v>
      </c>
      <c r="C145" s="50">
        <v>8608</v>
      </c>
      <c r="E145" s="2" t="s">
        <v>116</v>
      </c>
      <c r="F145" s="50">
        <v>8608</v>
      </c>
      <c r="H145" s="2" t="b">
        <f t="shared" si="8"/>
        <v>1</v>
      </c>
      <c r="I145" s="2" t="b">
        <f t="shared" si="9"/>
        <v>1</v>
      </c>
    </row>
    <row r="146" spans="2:9" x14ac:dyDescent="0.25">
      <c r="B146" s="2" t="s">
        <v>15</v>
      </c>
      <c r="C146" s="50">
        <v>845</v>
      </c>
      <c r="E146" s="2" t="s">
        <v>15</v>
      </c>
      <c r="F146" s="50">
        <v>845</v>
      </c>
      <c r="H146" s="2" t="b">
        <f t="shared" si="8"/>
        <v>1</v>
      </c>
      <c r="I146" s="2" t="b">
        <f t="shared" si="9"/>
        <v>1</v>
      </c>
    </row>
    <row r="147" spans="2:9" x14ac:dyDescent="0.25">
      <c r="B147" s="2" t="s">
        <v>18</v>
      </c>
      <c r="C147" s="50">
        <v>977</v>
      </c>
      <c r="E147" s="2" t="s">
        <v>18</v>
      </c>
      <c r="F147" s="50">
        <v>977</v>
      </c>
      <c r="H147" s="2" t="b">
        <f t="shared" si="8"/>
        <v>1</v>
      </c>
      <c r="I147" s="2" t="b">
        <f t="shared" si="9"/>
        <v>1</v>
      </c>
    </row>
    <row r="148" spans="2:9" x14ac:dyDescent="0.25">
      <c r="B148" s="2" t="s">
        <v>117</v>
      </c>
      <c r="C148" s="50">
        <v>395</v>
      </c>
      <c r="E148" s="2" t="s">
        <v>117</v>
      </c>
      <c r="F148" s="50">
        <v>395</v>
      </c>
      <c r="H148" s="2" t="b">
        <f t="shared" si="8"/>
        <v>1</v>
      </c>
      <c r="I148" s="2" t="b">
        <f t="shared" si="9"/>
        <v>1</v>
      </c>
    </row>
    <row r="149" spans="2:9" x14ac:dyDescent="0.25">
      <c r="B149" s="2" t="s">
        <v>101</v>
      </c>
      <c r="C149" s="50">
        <v>755</v>
      </c>
      <c r="E149" s="2" t="s">
        <v>101</v>
      </c>
      <c r="F149" s="50">
        <v>755</v>
      </c>
      <c r="H149" s="2" t="b">
        <f t="shared" si="8"/>
        <v>1</v>
      </c>
      <c r="I149" s="2" t="b">
        <f t="shared" si="9"/>
        <v>1</v>
      </c>
    </row>
    <row r="150" spans="2:9" x14ac:dyDescent="0.25">
      <c r="B150" s="2" t="s">
        <v>118</v>
      </c>
      <c r="C150" s="50">
        <v>419</v>
      </c>
      <c r="E150" s="2" t="s">
        <v>118</v>
      </c>
      <c r="F150" s="50">
        <v>419</v>
      </c>
      <c r="H150" s="2" t="b">
        <f t="shared" si="8"/>
        <v>1</v>
      </c>
      <c r="I150" s="2" t="b">
        <f t="shared" si="9"/>
        <v>1</v>
      </c>
    </row>
    <row r="151" spans="2:9" x14ac:dyDescent="0.25">
      <c r="B151" s="2" t="s">
        <v>119</v>
      </c>
      <c r="C151" s="50">
        <v>185</v>
      </c>
      <c r="E151" s="2" t="s">
        <v>119</v>
      </c>
      <c r="F151" s="50">
        <v>185</v>
      </c>
      <c r="H151" s="2" t="b">
        <f t="shared" si="8"/>
        <v>1</v>
      </c>
      <c r="I151" s="2" t="b">
        <f t="shared" si="9"/>
        <v>1</v>
      </c>
    </row>
    <row r="152" spans="2:9" x14ac:dyDescent="0.25">
      <c r="B152" s="2" t="s">
        <v>22</v>
      </c>
      <c r="C152" s="50">
        <v>295</v>
      </c>
      <c r="E152" s="2" t="s">
        <v>22</v>
      </c>
      <c r="F152" s="50">
        <v>295</v>
      </c>
      <c r="H152" s="2" t="b">
        <f t="shared" si="8"/>
        <v>1</v>
      </c>
      <c r="I152" s="2" t="b">
        <f t="shared" si="9"/>
        <v>1</v>
      </c>
    </row>
    <row r="153" spans="2:9" x14ac:dyDescent="0.25">
      <c r="B153" s="2" t="s">
        <v>77</v>
      </c>
      <c r="C153" s="50">
        <f>SUM(C140:C152)</f>
        <v>13948</v>
      </c>
      <c r="E153" s="2" t="s">
        <v>77</v>
      </c>
      <c r="F153" s="50">
        <f>SUM(F140:F152)</f>
        <v>13948</v>
      </c>
      <c r="H153" s="2" t="b">
        <f t="shared" si="8"/>
        <v>1</v>
      </c>
      <c r="I153" s="2" t="b">
        <f t="shared" si="9"/>
        <v>1</v>
      </c>
    </row>
    <row r="154" spans="2:9" x14ac:dyDescent="0.25">
      <c r="C154" s="50"/>
      <c r="F154" s="50"/>
    </row>
    <row r="155" spans="2:9" x14ac:dyDescent="0.25">
      <c r="E155" s="4" t="s">
        <v>5</v>
      </c>
      <c r="F155" s="14">
        <f>30/30</f>
        <v>1</v>
      </c>
    </row>
    <row r="201" s="2" customFormat="1" x14ac:dyDescent="0.25"/>
    <row r="202" s="2" customFormat="1" x14ac:dyDescent="0.25"/>
    <row r="203" s="2" customFormat="1" x14ac:dyDescent="0.25"/>
    <row r="204" s="2" customFormat="1" x14ac:dyDescent="0.25"/>
    <row r="205" s="2" customFormat="1" x14ac:dyDescent="0.25"/>
    <row r="206" s="2" customFormat="1" x14ac:dyDescent="0.25"/>
    <row r="207" s="2" customFormat="1" x14ac:dyDescent="0.25"/>
    <row r="208" s="2" customFormat="1" x14ac:dyDescent="0.25"/>
    <row r="209" s="2" customFormat="1" x14ac:dyDescent="0.25"/>
    <row r="210" s="2" customFormat="1" x14ac:dyDescent="0.25"/>
    <row r="211" s="2" customFormat="1" x14ac:dyDescent="0.25"/>
    <row r="212" s="2" customFormat="1" x14ac:dyDescent="0.25"/>
    <row r="213" s="2" customFormat="1" x14ac:dyDescent="0.25"/>
    <row r="214" s="2" customFormat="1" x14ac:dyDescent="0.25"/>
    <row r="215" s="2" customFormat="1" x14ac:dyDescent="0.25"/>
    <row r="216" s="2" customFormat="1" x14ac:dyDescent="0.25"/>
    <row r="217" s="2" customFormat="1" x14ac:dyDescent="0.25"/>
    <row r="218" s="2" customFormat="1" x14ac:dyDescent="0.25"/>
    <row r="219" s="2" customFormat="1" x14ac:dyDescent="0.25"/>
    <row r="220" s="2" customFormat="1" x14ac:dyDescent="0.25"/>
    <row r="221" s="2" customFormat="1" x14ac:dyDescent="0.25"/>
    <row r="222" s="2" customFormat="1" x14ac:dyDescent="0.25"/>
    <row r="223" s="2" customFormat="1" x14ac:dyDescent="0.25"/>
    <row r="224" s="2" customFormat="1" x14ac:dyDescent="0.25"/>
    <row r="225" s="2" customFormat="1" x14ac:dyDescent="0.25"/>
    <row r="227" s="2" customFormat="1" x14ac:dyDescent="0.25"/>
  </sheetData>
  <mergeCells count="1">
    <mergeCell ref="B86:I86"/>
  </mergeCells>
  <pageMargins left="0.7" right="0.7" top="0.75" bottom="0.75" header="0.3" footer="0.3"/>
  <pageSetup orientation="portrait" horizontalDpi="0" verticalDpi="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2F95A-FCDB-4214-BE0B-8DAC57BADB98}">
  <dimension ref="A1:S107"/>
  <sheetViews>
    <sheetView showGridLines="0" workbookViewId="0">
      <selection activeCell="C4" sqref="C4"/>
    </sheetView>
  </sheetViews>
  <sheetFormatPr defaultRowHeight="13.8" x14ac:dyDescent="0.25"/>
  <cols>
    <col min="1" max="1" width="12" style="2" bestFit="1" customWidth="1"/>
    <col min="2" max="2" width="16.21875" style="2" bestFit="1" customWidth="1"/>
    <col min="3" max="3" width="11.21875" style="2" bestFit="1" customWidth="1"/>
    <col min="4" max="4" width="8.88671875" style="2"/>
    <col min="5" max="5" width="5.5546875" style="2" bestFit="1" customWidth="1"/>
    <col min="6" max="6" width="11.21875" style="2" bestFit="1" customWidth="1"/>
    <col min="7" max="7" width="15.88671875" style="2" bestFit="1" customWidth="1"/>
    <col min="8" max="8" width="3.77734375" style="2" customWidth="1"/>
    <col min="9" max="9" width="11.21875" style="2" bestFit="1" customWidth="1"/>
    <col min="10" max="10" width="15.88671875" style="2" bestFit="1" customWidth="1"/>
    <col min="11" max="11" width="11.21875" style="2" bestFit="1" customWidth="1"/>
    <col min="12" max="12" width="4" style="2" bestFit="1" customWidth="1"/>
    <col min="13" max="13" width="8" style="2" bestFit="1" customWidth="1"/>
    <col min="14" max="14" width="7.88671875" style="2" bestFit="1" customWidth="1"/>
    <col min="15" max="15" width="8.88671875" style="2"/>
    <col min="16" max="16" width="11.21875" style="2" bestFit="1" customWidth="1"/>
    <col min="17" max="17" width="4" style="2" bestFit="1" customWidth="1"/>
    <col min="18" max="18" width="8" style="2" bestFit="1" customWidth="1"/>
    <col min="19" max="19" width="7.88671875" style="2" bestFit="1" customWidth="1"/>
    <col min="20" max="16384" width="8.88671875" style="2"/>
  </cols>
  <sheetData>
    <row r="1" spans="1:10" x14ac:dyDescent="0.25">
      <c r="A1" s="71" t="s">
        <v>8</v>
      </c>
      <c r="B1" s="10"/>
    </row>
    <row r="2" spans="1:10" x14ac:dyDescent="0.25">
      <c r="A2" s="8" t="s">
        <v>52</v>
      </c>
      <c r="B2" s="10" t="s">
        <v>173</v>
      </c>
    </row>
    <row r="3" spans="1:10" x14ac:dyDescent="0.25">
      <c r="A3" s="19">
        <f>203/250*60</f>
        <v>48.720000000000006</v>
      </c>
      <c r="B3" s="3" t="s">
        <v>54</v>
      </c>
      <c r="C3" s="2" t="s">
        <v>81</v>
      </c>
    </row>
    <row r="4" spans="1:10" x14ac:dyDescent="0.25">
      <c r="A4" s="19">
        <f>225/250*60</f>
        <v>54</v>
      </c>
      <c r="B4" s="3" t="s">
        <v>55</v>
      </c>
      <c r="C4" s="2" t="s">
        <v>196</v>
      </c>
    </row>
    <row r="5" spans="1:10" x14ac:dyDescent="0.25">
      <c r="A5" s="19">
        <f>235/250*60</f>
        <v>56.4</v>
      </c>
      <c r="B5" s="3" t="s">
        <v>55</v>
      </c>
      <c r="C5" s="2" t="s">
        <v>45</v>
      </c>
    </row>
    <row r="6" spans="1:10" x14ac:dyDescent="0.25">
      <c r="A6" s="19">
        <f>154/250*60</f>
        <v>36.96</v>
      </c>
      <c r="B6" s="3" t="s">
        <v>55</v>
      </c>
      <c r="C6" s="2" t="s">
        <v>194</v>
      </c>
    </row>
    <row r="8" spans="1:10" x14ac:dyDescent="0.25">
      <c r="B8" s="7" t="s">
        <v>24</v>
      </c>
      <c r="F8" s="7" t="s">
        <v>1</v>
      </c>
    </row>
    <row r="9" spans="1:10" x14ac:dyDescent="0.25">
      <c r="B9" s="7"/>
      <c r="F9" s="7"/>
    </row>
    <row r="10" spans="1:10" x14ac:dyDescent="0.25">
      <c r="B10" s="1" t="s">
        <v>66</v>
      </c>
      <c r="C10" s="4" t="s">
        <v>78</v>
      </c>
      <c r="F10" s="1" t="s">
        <v>66</v>
      </c>
      <c r="G10" s="4" t="s">
        <v>78</v>
      </c>
      <c r="I10" s="2" t="b">
        <f t="shared" ref="I10:J17" si="0">B10=F10</f>
        <v>1</v>
      </c>
      <c r="J10" s="2" t="b">
        <f t="shared" si="0"/>
        <v>1</v>
      </c>
    </row>
    <row r="11" spans="1:10" x14ac:dyDescent="0.25">
      <c r="B11" s="2" t="s">
        <v>17</v>
      </c>
      <c r="C11" s="55">
        <v>4.4000000000000004</v>
      </c>
      <c r="F11" s="2" t="s">
        <v>17</v>
      </c>
      <c r="G11" s="55">
        <v>4.4000000000000004</v>
      </c>
      <c r="I11" s="2" t="b">
        <f t="shared" si="0"/>
        <v>1</v>
      </c>
      <c r="J11" s="2" t="b">
        <f t="shared" si="0"/>
        <v>1</v>
      </c>
    </row>
    <row r="12" spans="1:10" x14ac:dyDescent="0.25">
      <c r="B12" s="2" t="s">
        <v>16</v>
      </c>
      <c r="C12" s="55">
        <v>1.6</v>
      </c>
      <c r="F12" s="2" t="s">
        <v>16</v>
      </c>
      <c r="G12" s="55">
        <v>1.6</v>
      </c>
      <c r="I12" s="2" t="b">
        <f t="shared" si="0"/>
        <v>1</v>
      </c>
      <c r="J12" s="2" t="b">
        <f t="shared" si="0"/>
        <v>1</v>
      </c>
    </row>
    <row r="13" spans="1:10" x14ac:dyDescent="0.25">
      <c r="B13" s="2" t="s">
        <v>15</v>
      </c>
      <c r="C13" s="55">
        <v>1.6</v>
      </c>
      <c r="F13" s="2" t="s">
        <v>15</v>
      </c>
      <c r="G13" s="55">
        <v>1.6</v>
      </c>
      <c r="I13" s="2" t="b">
        <f t="shared" si="0"/>
        <v>1</v>
      </c>
      <c r="J13" s="2" t="b">
        <f t="shared" si="0"/>
        <v>1</v>
      </c>
    </row>
    <row r="14" spans="1:10" x14ac:dyDescent="0.25">
      <c r="B14" s="2" t="s">
        <v>18</v>
      </c>
      <c r="C14" s="55">
        <v>1.5</v>
      </c>
      <c r="F14" s="2" t="s">
        <v>18</v>
      </c>
      <c r="G14" s="55">
        <v>1.5</v>
      </c>
      <c r="I14" s="2" t="b">
        <f t="shared" si="0"/>
        <v>1</v>
      </c>
      <c r="J14" s="2" t="b">
        <f t="shared" si="0"/>
        <v>1</v>
      </c>
    </row>
    <row r="15" spans="1:10" x14ac:dyDescent="0.25">
      <c r="B15" s="2" t="s">
        <v>19</v>
      </c>
      <c r="C15" s="55">
        <v>0.8</v>
      </c>
      <c r="F15" s="2" t="s">
        <v>19</v>
      </c>
      <c r="G15" s="55">
        <v>0.8</v>
      </c>
      <c r="I15" s="2" t="b">
        <f t="shared" si="0"/>
        <v>1</v>
      </c>
      <c r="J15" s="2" t="b">
        <f t="shared" si="0"/>
        <v>1</v>
      </c>
    </row>
    <row r="16" spans="1:10" x14ac:dyDescent="0.25">
      <c r="B16" s="2" t="s">
        <v>22</v>
      </c>
      <c r="C16" s="55">
        <v>1.2</v>
      </c>
      <c r="F16" s="2" t="s">
        <v>22</v>
      </c>
      <c r="G16" s="55">
        <v>1.2</v>
      </c>
      <c r="I16" s="2" t="b">
        <f t="shared" si="0"/>
        <v>1</v>
      </c>
      <c r="J16" s="2" t="b">
        <f t="shared" si="0"/>
        <v>1</v>
      </c>
    </row>
    <row r="17" spans="1:19" x14ac:dyDescent="0.25">
      <c r="B17" s="2" t="s">
        <v>77</v>
      </c>
      <c r="C17" s="55">
        <f>SUM(C11:C16)</f>
        <v>11.1</v>
      </c>
      <c r="F17" s="2" t="s">
        <v>77</v>
      </c>
      <c r="G17" s="55">
        <f>SUM(G11:G16)</f>
        <v>11.1</v>
      </c>
      <c r="I17" s="2" t="b">
        <f t="shared" si="0"/>
        <v>1</v>
      </c>
      <c r="J17" s="2" t="b">
        <f t="shared" si="0"/>
        <v>1</v>
      </c>
    </row>
    <row r="19" spans="1:19" x14ac:dyDescent="0.25">
      <c r="F19" s="1" t="s">
        <v>5</v>
      </c>
      <c r="G19" s="14">
        <f>16/16</f>
        <v>1</v>
      </c>
    </row>
    <row r="21" spans="1:19" x14ac:dyDescent="0.25">
      <c r="O21" s="1"/>
      <c r="P21" s="4"/>
      <c r="Q21" s="4"/>
      <c r="R21" s="4"/>
      <c r="S21" s="4"/>
    </row>
    <row r="22" spans="1:19" x14ac:dyDescent="0.25">
      <c r="P22" s="50"/>
      <c r="Q22" s="3"/>
      <c r="R22" s="3"/>
      <c r="S22" s="3"/>
    </row>
    <row r="23" spans="1:19" x14ac:dyDescent="0.25">
      <c r="A23" s="71" t="s">
        <v>7</v>
      </c>
      <c r="P23" s="50"/>
      <c r="Q23" s="3"/>
      <c r="R23" s="3"/>
      <c r="S23" s="3"/>
    </row>
    <row r="24" spans="1:19" x14ac:dyDescent="0.25">
      <c r="A24" s="8" t="s">
        <v>52</v>
      </c>
      <c r="B24" s="10" t="s">
        <v>80</v>
      </c>
    </row>
    <row r="25" spans="1:19" x14ac:dyDescent="0.25">
      <c r="A25" s="19">
        <f>203/250*60</f>
        <v>48.720000000000006</v>
      </c>
      <c r="B25" s="3" t="s">
        <v>54</v>
      </c>
      <c r="C25" s="2" t="s">
        <v>81</v>
      </c>
    </row>
    <row r="26" spans="1:19" x14ac:dyDescent="0.25">
      <c r="A26" s="19">
        <f>225/250*60</f>
        <v>54</v>
      </c>
      <c r="B26" s="3" t="s">
        <v>55</v>
      </c>
      <c r="C26" s="2" t="s">
        <v>123</v>
      </c>
    </row>
    <row r="27" spans="1:19" x14ac:dyDescent="0.25">
      <c r="A27" s="19">
        <f>235/250*60</f>
        <v>56.4</v>
      </c>
      <c r="B27" s="3" t="s">
        <v>55</v>
      </c>
      <c r="C27" s="2" t="s">
        <v>93</v>
      </c>
    </row>
    <row r="28" spans="1:19" x14ac:dyDescent="0.25">
      <c r="A28" s="19">
        <f>154/250*60</f>
        <v>36.96</v>
      </c>
      <c r="B28" s="3" t="s">
        <v>55</v>
      </c>
      <c r="C28" s="2" t="s">
        <v>194</v>
      </c>
    </row>
    <row r="30" spans="1:19" x14ac:dyDescent="0.25">
      <c r="B30" s="7" t="s">
        <v>24</v>
      </c>
      <c r="F30" s="7" t="s">
        <v>1</v>
      </c>
    </row>
    <row r="32" spans="1:19" x14ac:dyDescent="0.25">
      <c r="B32" s="1" t="s">
        <v>66</v>
      </c>
      <c r="C32" s="4" t="s">
        <v>78</v>
      </c>
      <c r="F32" s="1" t="s">
        <v>66</v>
      </c>
      <c r="G32" s="4" t="s">
        <v>78</v>
      </c>
      <c r="I32" s="2" t="b">
        <f t="shared" ref="I32:J39" si="1">B32=F32</f>
        <v>1</v>
      </c>
      <c r="J32" s="2" t="b">
        <f t="shared" si="1"/>
        <v>1</v>
      </c>
    </row>
    <row r="33" spans="1:10" x14ac:dyDescent="0.25">
      <c r="B33" s="2" t="s">
        <v>17</v>
      </c>
      <c r="C33" s="55">
        <v>4.5</v>
      </c>
      <c r="F33" s="2" t="s">
        <v>17</v>
      </c>
      <c r="G33" s="3">
        <v>4.5</v>
      </c>
      <c r="I33" s="2" t="b">
        <f t="shared" si="1"/>
        <v>1</v>
      </c>
      <c r="J33" s="2" t="b">
        <f t="shared" si="1"/>
        <v>1</v>
      </c>
    </row>
    <row r="34" spans="1:10" x14ac:dyDescent="0.25">
      <c r="B34" s="2" t="s">
        <v>16</v>
      </c>
      <c r="C34" s="55">
        <v>2</v>
      </c>
      <c r="F34" s="2" t="s">
        <v>16</v>
      </c>
      <c r="G34" s="16">
        <v>2</v>
      </c>
      <c r="I34" s="2" t="b">
        <f t="shared" si="1"/>
        <v>1</v>
      </c>
      <c r="J34" s="2" t="b">
        <f t="shared" si="1"/>
        <v>1</v>
      </c>
    </row>
    <row r="35" spans="1:10" x14ac:dyDescent="0.25">
      <c r="B35" s="2" t="s">
        <v>15</v>
      </c>
      <c r="C35" s="55">
        <v>1.6</v>
      </c>
      <c r="F35" s="2" t="s">
        <v>15</v>
      </c>
      <c r="G35" s="3">
        <v>1.6</v>
      </c>
      <c r="I35" s="2" t="b">
        <f t="shared" si="1"/>
        <v>1</v>
      </c>
      <c r="J35" s="2" t="b">
        <f t="shared" si="1"/>
        <v>1</v>
      </c>
    </row>
    <row r="36" spans="1:10" x14ac:dyDescent="0.25">
      <c r="B36" s="2" t="s">
        <v>18</v>
      </c>
      <c r="C36" s="55">
        <v>1.6</v>
      </c>
      <c r="F36" s="2" t="s">
        <v>18</v>
      </c>
      <c r="G36" s="3">
        <v>1.6</v>
      </c>
      <c r="I36" s="2" t="b">
        <f t="shared" si="1"/>
        <v>1</v>
      </c>
      <c r="J36" s="2" t="b">
        <f t="shared" si="1"/>
        <v>1</v>
      </c>
    </row>
    <row r="37" spans="1:10" x14ac:dyDescent="0.25">
      <c r="B37" s="2" t="s">
        <v>19</v>
      </c>
      <c r="C37" s="55">
        <v>0.9</v>
      </c>
      <c r="F37" s="2" t="s">
        <v>19</v>
      </c>
      <c r="G37" s="3">
        <v>0.9</v>
      </c>
      <c r="I37" s="2" t="b">
        <f t="shared" si="1"/>
        <v>1</v>
      </c>
      <c r="J37" s="2" t="b">
        <f t="shared" si="1"/>
        <v>1</v>
      </c>
    </row>
    <row r="38" spans="1:10" x14ac:dyDescent="0.25">
      <c r="A38" s="8"/>
      <c r="B38" s="2" t="s">
        <v>22</v>
      </c>
      <c r="C38" s="55">
        <v>0.9</v>
      </c>
      <c r="F38" s="2" t="s">
        <v>22</v>
      </c>
      <c r="G38" s="3">
        <v>0.9</v>
      </c>
      <c r="I38" s="2" t="b">
        <f t="shared" si="1"/>
        <v>1</v>
      </c>
      <c r="J38" s="2" t="b">
        <f t="shared" si="1"/>
        <v>1</v>
      </c>
    </row>
    <row r="39" spans="1:10" x14ac:dyDescent="0.25">
      <c r="A39" s="19"/>
      <c r="B39" s="2" t="s">
        <v>77</v>
      </c>
      <c r="C39" s="55">
        <f>SUM(C33:C38)</f>
        <v>11.5</v>
      </c>
      <c r="F39" s="2" t="s">
        <v>77</v>
      </c>
      <c r="G39" s="3">
        <v>11.5</v>
      </c>
      <c r="I39" s="2" t="b">
        <f t="shared" si="1"/>
        <v>1</v>
      </c>
      <c r="J39" s="2" t="b">
        <f t="shared" si="1"/>
        <v>1</v>
      </c>
    </row>
    <row r="40" spans="1:10" x14ac:dyDescent="0.25">
      <c r="A40" s="19"/>
      <c r="B40" s="3"/>
    </row>
    <row r="41" spans="1:10" x14ac:dyDescent="0.25">
      <c r="A41" s="19"/>
      <c r="B41" s="3"/>
      <c r="F41" s="4" t="s">
        <v>5</v>
      </c>
      <c r="G41" s="14">
        <f>16/16</f>
        <v>1</v>
      </c>
    </row>
    <row r="42" spans="1:10" x14ac:dyDescent="0.25">
      <c r="A42" s="19"/>
      <c r="B42" s="3"/>
    </row>
    <row r="43" spans="1:10" x14ac:dyDescent="0.25">
      <c r="A43" s="19"/>
      <c r="B43" s="3"/>
    </row>
    <row r="44" spans="1:10" x14ac:dyDescent="0.25">
      <c r="A44" s="19"/>
      <c r="B44" s="3"/>
    </row>
    <row r="46" spans="1:10" x14ac:dyDescent="0.25">
      <c r="A46" s="71" t="s">
        <v>9</v>
      </c>
    </row>
    <row r="47" spans="1:10" x14ac:dyDescent="0.25">
      <c r="A47" s="8" t="s">
        <v>52</v>
      </c>
      <c r="B47" s="10" t="s">
        <v>167</v>
      </c>
    </row>
    <row r="48" spans="1:10" x14ac:dyDescent="0.25">
      <c r="A48" s="19">
        <f>203/250*60</f>
        <v>48.720000000000006</v>
      </c>
      <c r="B48" s="3" t="s">
        <v>54</v>
      </c>
      <c r="C48" s="2" t="s">
        <v>81</v>
      </c>
    </row>
    <row r="49" spans="1:10" x14ac:dyDescent="0.25">
      <c r="A49" s="19">
        <f>225/250*60</f>
        <v>54</v>
      </c>
      <c r="B49" s="3" t="s">
        <v>55</v>
      </c>
      <c r="C49" s="2" t="s">
        <v>193</v>
      </c>
    </row>
    <row r="50" spans="1:10" x14ac:dyDescent="0.25">
      <c r="A50" s="19">
        <f>235/250*60</f>
        <v>56.4</v>
      </c>
      <c r="B50" s="3" t="s">
        <v>55</v>
      </c>
      <c r="C50" s="2" t="s">
        <v>45</v>
      </c>
    </row>
    <row r="51" spans="1:10" x14ac:dyDescent="0.25">
      <c r="A51" s="19">
        <f>154/250*60</f>
        <v>36.96</v>
      </c>
      <c r="B51" s="3" t="s">
        <v>55</v>
      </c>
      <c r="C51" s="2" t="s">
        <v>194</v>
      </c>
    </row>
    <row r="53" spans="1:10" x14ac:dyDescent="0.25">
      <c r="B53" s="7" t="s">
        <v>24</v>
      </c>
      <c r="F53" s="7" t="s">
        <v>1</v>
      </c>
    </row>
    <row r="54" spans="1:10" x14ac:dyDescent="0.25">
      <c r="B54" s="7"/>
      <c r="F54" s="7"/>
    </row>
    <row r="55" spans="1:10" x14ac:dyDescent="0.25">
      <c r="B55" s="1" t="s">
        <v>66</v>
      </c>
      <c r="C55" s="4" t="s">
        <v>78</v>
      </c>
      <c r="F55" s="1" t="s">
        <v>66</v>
      </c>
      <c r="G55" s="4" t="s">
        <v>78</v>
      </c>
      <c r="I55" s="2" t="b">
        <f t="shared" ref="I55:J62" si="2">B55=F55</f>
        <v>1</v>
      </c>
      <c r="J55" s="2" t="b">
        <f t="shared" si="2"/>
        <v>1</v>
      </c>
    </row>
    <row r="56" spans="1:10" x14ac:dyDescent="0.25">
      <c r="B56" s="2" t="s">
        <v>17</v>
      </c>
      <c r="C56" s="55">
        <v>4.5999999999999996</v>
      </c>
      <c r="F56" s="2" t="s">
        <v>17</v>
      </c>
      <c r="G56" s="55">
        <v>4.5999999999999996</v>
      </c>
      <c r="I56" s="2" t="b">
        <f t="shared" si="2"/>
        <v>1</v>
      </c>
      <c r="J56" s="2" t="b">
        <f t="shared" si="2"/>
        <v>1</v>
      </c>
    </row>
    <row r="57" spans="1:10" x14ac:dyDescent="0.25">
      <c r="B57" s="2" t="s">
        <v>16</v>
      </c>
      <c r="C57" s="55">
        <v>2</v>
      </c>
      <c r="F57" s="2" t="s">
        <v>16</v>
      </c>
      <c r="G57" s="55">
        <v>2</v>
      </c>
      <c r="I57" s="2" t="b">
        <f t="shared" si="2"/>
        <v>1</v>
      </c>
      <c r="J57" s="2" t="b">
        <f t="shared" si="2"/>
        <v>1</v>
      </c>
    </row>
    <row r="58" spans="1:10" x14ac:dyDescent="0.25">
      <c r="B58" s="2" t="s">
        <v>15</v>
      </c>
      <c r="C58" s="55">
        <v>1.7</v>
      </c>
      <c r="F58" s="2" t="s">
        <v>15</v>
      </c>
      <c r="G58" s="55">
        <v>1.7</v>
      </c>
      <c r="I58" s="2" t="b">
        <f t="shared" si="2"/>
        <v>1</v>
      </c>
      <c r="J58" s="2" t="b">
        <f t="shared" si="2"/>
        <v>1</v>
      </c>
    </row>
    <row r="59" spans="1:10" x14ac:dyDescent="0.25">
      <c r="B59" s="2" t="s">
        <v>18</v>
      </c>
      <c r="C59" s="55">
        <v>1.56</v>
      </c>
      <c r="F59" s="2" t="s">
        <v>18</v>
      </c>
      <c r="G59" s="55">
        <v>1.56</v>
      </c>
      <c r="I59" s="2" t="b">
        <f t="shared" si="2"/>
        <v>1</v>
      </c>
      <c r="J59" s="2" t="b">
        <f t="shared" si="2"/>
        <v>1</v>
      </c>
    </row>
    <row r="60" spans="1:10" x14ac:dyDescent="0.25">
      <c r="B60" s="2" t="s">
        <v>19</v>
      </c>
      <c r="C60" s="55">
        <v>0.9</v>
      </c>
      <c r="F60" s="2" t="s">
        <v>19</v>
      </c>
      <c r="G60" s="55">
        <v>0.9</v>
      </c>
      <c r="I60" s="2" t="b">
        <f t="shared" si="2"/>
        <v>1</v>
      </c>
      <c r="J60" s="2" t="b">
        <f t="shared" si="2"/>
        <v>1</v>
      </c>
    </row>
    <row r="61" spans="1:10" x14ac:dyDescent="0.25">
      <c r="B61" s="2" t="s">
        <v>22</v>
      </c>
      <c r="C61" s="55">
        <v>1.1000000000000001</v>
      </c>
      <c r="F61" s="2" t="s">
        <v>22</v>
      </c>
      <c r="G61" s="55">
        <v>1.1000000000000001</v>
      </c>
      <c r="I61" s="2" t="b">
        <f t="shared" si="2"/>
        <v>1</v>
      </c>
      <c r="J61" s="2" t="b">
        <f t="shared" si="2"/>
        <v>1</v>
      </c>
    </row>
    <row r="62" spans="1:10" x14ac:dyDescent="0.25">
      <c r="B62" s="2" t="s">
        <v>77</v>
      </c>
      <c r="C62" s="55">
        <f>SUM(C56:C61)</f>
        <v>11.86</v>
      </c>
      <c r="F62" s="2" t="s">
        <v>77</v>
      </c>
      <c r="G62" s="55">
        <f>SUM(G56:G61)</f>
        <v>11.86</v>
      </c>
      <c r="I62" s="2" t="b">
        <f t="shared" si="2"/>
        <v>1</v>
      </c>
      <c r="J62" s="2" t="b">
        <f t="shared" si="2"/>
        <v>1</v>
      </c>
    </row>
    <row r="64" spans="1:10" x14ac:dyDescent="0.25">
      <c r="F64" s="1" t="s">
        <v>5</v>
      </c>
      <c r="G64" s="14">
        <f>16/16</f>
        <v>1</v>
      </c>
    </row>
    <row r="67" spans="1:10" x14ac:dyDescent="0.25">
      <c r="A67" s="71" t="s">
        <v>10</v>
      </c>
      <c r="C67" s="50"/>
    </row>
    <row r="68" spans="1:10" x14ac:dyDescent="0.25">
      <c r="A68" s="8" t="s">
        <v>52</v>
      </c>
      <c r="B68" s="10" t="s">
        <v>172</v>
      </c>
    </row>
    <row r="69" spans="1:10" x14ac:dyDescent="0.25">
      <c r="A69" s="19">
        <f>203/250*60</f>
        <v>48.720000000000006</v>
      </c>
      <c r="B69" s="3" t="s">
        <v>54</v>
      </c>
      <c r="C69" s="2" t="s">
        <v>81</v>
      </c>
    </row>
    <row r="70" spans="1:10" x14ac:dyDescent="0.25">
      <c r="A70" s="19">
        <f>225/250*60</f>
        <v>54</v>
      </c>
      <c r="B70" s="3" t="s">
        <v>55</v>
      </c>
      <c r="C70" s="2" t="s">
        <v>195</v>
      </c>
    </row>
    <row r="71" spans="1:10" x14ac:dyDescent="0.25">
      <c r="A71" s="19">
        <f>235/250*60</f>
        <v>56.4</v>
      </c>
      <c r="B71" s="3" t="s">
        <v>55</v>
      </c>
      <c r="C71" s="2" t="s">
        <v>93</v>
      </c>
    </row>
    <row r="72" spans="1:10" x14ac:dyDescent="0.25">
      <c r="A72" s="19">
        <f>154/250*60</f>
        <v>36.96</v>
      </c>
      <c r="B72" s="3" t="s">
        <v>55</v>
      </c>
      <c r="C72" s="2" t="s">
        <v>194</v>
      </c>
    </row>
    <row r="73" spans="1:10" x14ac:dyDescent="0.25">
      <c r="C73" s="50"/>
    </row>
    <row r="74" spans="1:10" x14ac:dyDescent="0.25">
      <c r="B74" s="7" t="s">
        <v>24</v>
      </c>
      <c r="F74" s="7" t="s">
        <v>1</v>
      </c>
    </row>
    <row r="75" spans="1:10" x14ac:dyDescent="0.25">
      <c r="B75" s="7"/>
      <c r="F75" s="7"/>
    </row>
    <row r="76" spans="1:10" x14ac:dyDescent="0.25">
      <c r="B76" s="1" t="s">
        <v>66</v>
      </c>
      <c r="C76" s="4" t="s">
        <v>78</v>
      </c>
      <c r="F76" s="1" t="s">
        <v>66</v>
      </c>
      <c r="G76" s="4" t="s">
        <v>78</v>
      </c>
      <c r="I76" s="2" t="b">
        <f t="shared" ref="I76:J83" si="3">B76=F76</f>
        <v>1</v>
      </c>
      <c r="J76" s="2" t="b">
        <f t="shared" si="3"/>
        <v>1</v>
      </c>
    </row>
    <row r="77" spans="1:10" x14ac:dyDescent="0.25">
      <c r="B77" s="2" t="s">
        <v>17</v>
      </c>
      <c r="C77" s="55">
        <v>4.7</v>
      </c>
      <c r="F77" s="2" t="s">
        <v>17</v>
      </c>
      <c r="G77" s="55">
        <v>4.7</v>
      </c>
      <c r="I77" s="2" t="b">
        <f t="shared" si="3"/>
        <v>1</v>
      </c>
      <c r="J77" s="2" t="b">
        <f t="shared" si="3"/>
        <v>1</v>
      </c>
    </row>
    <row r="78" spans="1:10" x14ac:dyDescent="0.25">
      <c r="B78" s="2" t="s">
        <v>16</v>
      </c>
      <c r="C78" s="55">
        <v>2</v>
      </c>
      <c r="F78" s="2" t="s">
        <v>16</v>
      </c>
      <c r="G78" s="55">
        <v>2</v>
      </c>
      <c r="I78" s="2" t="b">
        <f t="shared" si="3"/>
        <v>1</v>
      </c>
      <c r="J78" s="2" t="b">
        <f t="shared" si="3"/>
        <v>1</v>
      </c>
    </row>
    <row r="79" spans="1:10" x14ac:dyDescent="0.25">
      <c r="B79" s="2" t="s">
        <v>15</v>
      </c>
      <c r="C79" s="55">
        <v>1.8</v>
      </c>
      <c r="F79" s="2" t="s">
        <v>15</v>
      </c>
      <c r="G79" s="55">
        <v>1.8</v>
      </c>
      <c r="I79" s="2" t="b">
        <f t="shared" si="3"/>
        <v>1</v>
      </c>
      <c r="J79" s="2" t="b">
        <f t="shared" si="3"/>
        <v>1</v>
      </c>
    </row>
    <row r="80" spans="1:10" x14ac:dyDescent="0.25">
      <c r="B80" s="2" t="s">
        <v>18</v>
      </c>
      <c r="C80" s="55">
        <v>1.7</v>
      </c>
      <c r="F80" s="2" t="s">
        <v>18</v>
      </c>
      <c r="G80" s="55">
        <v>1.7</v>
      </c>
      <c r="I80" s="2" t="b">
        <f t="shared" si="3"/>
        <v>1</v>
      </c>
      <c r="J80" s="2" t="b">
        <f t="shared" si="3"/>
        <v>1</v>
      </c>
    </row>
    <row r="81" spans="2:10" x14ac:dyDescent="0.25">
      <c r="B81" s="2" t="s">
        <v>19</v>
      </c>
      <c r="C81" s="55">
        <v>0.9</v>
      </c>
      <c r="F81" s="2" t="s">
        <v>19</v>
      </c>
      <c r="G81" s="55">
        <v>0.9</v>
      </c>
      <c r="I81" s="2" t="b">
        <f t="shared" si="3"/>
        <v>1</v>
      </c>
      <c r="J81" s="2" t="b">
        <f t="shared" si="3"/>
        <v>1</v>
      </c>
    </row>
    <row r="82" spans="2:10" x14ac:dyDescent="0.25">
      <c r="B82" s="2" t="s">
        <v>22</v>
      </c>
      <c r="C82" s="55">
        <v>1.2</v>
      </c>
      <c r="F82" s="2" t="s">
        <v>22</v>
      </c>
      <c r="G82" s="55">
        <v>1.2</v>
      </c>
      <c r="I82" s="2" t="b">
        <f t="shared" si="3"/>
        <v>1</v>
      </c>
      <c r="J82" s="2" t="b">
        <f t="shared" si="3"/>
        <v>1</v>
      </c>
    </row>
    <row r="83" spans="2:10" x14ac:dyDescent="0.25">
      <c r="B83" s="2" t="s">
        <v>77</v>
      </c>
      <c r="C83" s="55">
        <f>SUM(C77:C82)</f>
        <v>12.299999999999999</v>
      </c>
      <c r="F83" s="2" t="s">
        <v>77</v>
      </c>
      <c r="G83" s="55">
        <f>SUM(G77:G82)</f>
        <v>12.299999999999999</v>
      </c>
      <c r="I83" s="2" t="b">
        <f t="shared" si="3"/>
        <v>1</v>
      </c>
      <c r="J83" s="2" t="b">
        <f t="shared" si="3"/>
        <v>1</v>
      </c>
    </row>
    <row r="85" spans="2:10" x14ac:dyDescent="0.25">
      <c r="F85" s="1" t="s">
        <v>5</v>
      </c>
      <c r="G85" s="14">
        <f>16/16</f>
        <v>1</v>
      </c>
    </row>
    <row r="86" spans="2:10" x14ac:dyDescent="0.25">
      <c r="C86" s="50"/>
    </row>
    <row r="87" spans="2:10" x14ac:dyDescent="0.25">
      <c r="C87" s="50"/>
    </row>
    <row r="88" spans="2:10" x14ac:dyDescent="0.25">
      <c r="C88" s="50"/>
    </row>
    <row r="89" spans="2:10" x14ac:dyDescent="0.25">
      <c r="C89" s="50"/>
    </row>
    <row r="90" spans="2:10" x14ac:dyDescent="0.25">
      <c r="C90" s="50"/>
    </row>
    <row r="91" spans="2:10" x14ac:dyDescent="0.25">
      <c r="C91" s="50"/>
    </row>
    <row r="92" spans="2:10" x14ac:dyDescent="0.25">
      <c r="C92" s="50"/>
    </row>
    <row r="93" spans="2:10" x14ac:dyDescent="0.25">
      <c r="C93" s="50"/>
    </row>
    <row r="94" spans="2:10" x14ac:dyDescent="0.25">
      <c r="C94" s="50"/>
    </row>
    <row r="95" spans="2:10" x14ac:dyDescent="0.25">
      <c r="C95" s="50"/>
    </row>
    <row r="96" spans="2:10" x14ac:dyDescent="0.25">
      <c r="C96" s="50"/>
    </row>
    <row r="97" spans="1:3" x14ac:dyDescent="0.25">
      <c r="C97" s="50"/>
    </row>
    <row r="98" spans="1:3" x14ac:dyDescent="0.25">
      <c r="C98" s="50"/>
    </row>
    <row r="99" spans="1:3" x14ac:dyDescent="0.25">
      <c r="C99" s="50"/>
    </row>
    <row r="100" spans="1:3" x14ac:dyDescent="0.25">
      <c r="C100" s="50"/>
    </row>
    <row r="101" spans="1:3" x14ac:dyDescent="0.25">
      <c r="C101" s="50"/>
    </row>
    <row r="102" spans="1:3" x14ac:dyDescent="0.25">
      <c r="C102" s="50"/>
    </row>
    <row r="105" spans="1:3" x14ac:dyDescent="0.25">
      <c r="A105" s="17"/>
    </row>
    <row r="106" spans="1:3" x14ac:dyDescent="0.25">
      <c r="A106" s="17"/>
    </row>
    <row r="107" spans="1:3" x14ac:dyDescent="0.25">
      <c r="A107" s="17"/>
    </row>
  </sheetData>
  <pageMargins left="0.7" right="0.7" top="0.75" bottom="0.75" header="0.3" footer="0.3"/>
  <pageSetup orientation="portrait" horizontalDpi="0" verticalDpi="0"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7DC2-79EF-4FE8-8A11-921FF2C1D737}">
  <dimension ref="A2:J120"/>
  <sheetViews>
    <sheetView showGridLines="0" workbookViewId="0">
      <selection activeCell="J29" sqref="J29"/>
    </sheetView>
  </sheetViews>
  <sheetFormatPr defaultRowHeight="13.8" x14ac:dyDescent="0.25"/>
  <cols>
    <col min="1" max="1" width="12" style="2" bestFit="1" customWidth="1"/>
    <col min="2" max="2" width="20.33203125" style="2" bestFit="1" customWidth="1"/>
    <col min="3" max="3" width="11.21875" style="2" bestFit="1" customWidth="1"/>
    <col min="4" max="4" width="8.88671875" style="2"/>
    <col min="5" max="5" width="15.88671875" style="2" bestFit="1" customWidth="1"/>
    <col min="6" max="7" width="11.21875" style="2" bestFit="1" customWidth="1"/>
    <col min="8" max="8" width="5.5546875" style="2" bestFit="1" customWidth="1"/>
    <col min="9" max="9" width="6.77734375" style="2" bestFit="1" customWidth="1"/>
    <col min="10" max="10" width="15.88671875" style="2" bestFit="1" customWidth="1"/>
    <col min="11" max="11" width="11.21875" style="2" bestFit="1" customWidth="1"/>
    <col min="12" max="12" width="4" style="2" bestFit="1" customWidth="1"/>
    <col min="13" max="13" width="8" style="2" bestFit="1" customWidth="1"/>
    <col min="14" max="14" width="7.88671875" style="2" bestFit="1" customWidth="1"/>
    <col min="15" max="15" width="8" style="2" bestFit="1" customWidth="1"/>
    <col min="16" max="16" width="7.88671875" style="2" bestFit="1" customWidth="1"/>
    <col min="17" max="16384" width="8.88671875" style="2"/>
  </cols>
  <sheetData>
    <row r="2" spans="1:9" x14ac:dyDescent="0.25">
      <c r="A2" s="71" t="s">
        <v>8</v>
      </c>
    </row>
    <row r="3" spans="1:9" x14ac:dyDescent="0.25">
      <c r="A3" s="8" t="s">
        <v>52</v>
      </c>
      <c r="B3" s="10" t="s">
        <v>173</v>
      </c>
    </row>
    <row r="4" spans="1:9" x14ac:dyDescent="0.25">
      <c r="A4" s="19">
        <f>203/250*60</f>
        <v>48.720000000000006</v>
      </c>
      <c r="B4" s="3" t="s">
        <v>54</v>
      </c>
      <c r="C4" s="2" t="s">
        <v>81</v>
      </c>
    </row>
    <row r="5" spans="1:9" x14ac:dyDescent="0.25">
      <c r="A5" s="19">
        <f>167/250*60</f>
        <v>40.080000000000005</v>
      </c>
      <c r="B5" s="3" t="s">
        <v>83</v>
      </c>
      <c r="C5" s="2" t="s">
        <v>131</v>
      </c>
    </row>
    <row r="6" spans="1:9" x14ac:dyDescent="0.25">
      <c r="A6" s="19">
        <f>225/250*60</f>
        <v>54</v>
      </c>
      <c r="B6" s="3" t="s">
        <v>55</v>
      </c>
      <c r="C6" s="2" t="s">
        <v>212</v>
      </c>
    </row>
    <row r="7" spans="1:9" x14ac:dyDescent="0.25">
      <c r="A7" s="19">
        <f>235/250*60</f>
        <v>56.4</v>
      </c>
      <c r="B7" s="3" t="s">
        <v>55</v>
      </c>
      <c r="C7" s="2" t="s">
        <v>45</v>
      </c>
    </row>
    <row r="8" spans="1:9" x14ac:dyDescent="0.25">
      <c r="A8" s="19">
        <f>139/250*60</f>
        <v>33.36</v>
      </c>
      <c r="B8" s="3" t="s">
        <v>55</v>
      </c>
      <c r="C8" s="2" t="s">
        <v>133</v>
      </c>
    </row>
    <row r="10" spans="1:9" x14ac:dyDescent="0.25">
      <c r="B10" s="7" t="s">
        <v>24</v>
      </c>
      <c r="E10" s="7" t="s">
        <v>1</v>
      </c>
    </row>
    <row r="11" spans="1:9" x14ac:dyDescent="0.25">
      <c r="B11" s="7"/>
    </row>
    <row r="12" spans="1:9" x14ac:dyDescent="0.25">
      <c r="B12" s="1" t="s">
        <v>66</v>
      </c>
      <c r="C12" s="4" t="s">
        <v>78</v>
      </c>
      <c r="E12" s="1" t="s">
        <v>66</v>
      </c>
      <c r="F12" s="4" t="s">
        <v>78</v>
      </c>
      <c r="H12" s="2" t="b">
        <f>B12=E12</f>
        <v>1</v>
      </c>
      <c r="I12" s="2" t="b">
        <f>C12=F12</f>
        <v>1</v>
      </c>
    </row>
    <row r="13" spans="1:9" x14ac:dyDescent="0.25">
      <c r="B13" s="2" t="s">
        <v>17</v>
      </c>
      <c r="C13" s="55">
        <v>9.8000000000000007</v>
      </c>
      <c r="E13" s="2" t="s">
        <v>17</v>
      </c>
      <c r="F13" s="3">
        <v>9.8000000000000007</v>
      </c>
      <c r="H13" s="2" t="b">
        <f t="shared" ref="H13:H23" si="0">B13=E13</f>
        <v>1</v>
      </c>
      <c r="I13" s="2" t="b">
        <f t="shared" ref="I13:I23" si="1">C13=F13</f>
        <v>1</v>
      </c>
    </row>
    <row r="14" spans="1:9" x14ac:dyDescent="0.25">
      <c r="B14" s="2" t="s">
        <v>15</v>
      </c>
      <c r="C14" s="55"/>
      <c r="E14" s="2" t="s">
        <v>15</v>
      </c>
      <c r="F14" s="3"/>
      <c r="H14" s="2" t="b">
        <f t="shared" si="0"/>
        <v>1</v>
      </c>
      <c r="I14" s="2" t="b">
        <f t="shared" si="1"/>
        <v>1</v>
      </c>
    </row>
    <row r="15" spans="1:9" x14ac:dyDescent="0.25">
      <c r="B15" s="2" t="s">
        <v>127</v>
      </c>
      <c r="C15" s="55">
        <v>2.1</v>
      </c>
      <c r="E15" s="2" t="s">
        <v>127</v>
      </c>
      <c r="F15" s="3">
        <v>2.1</v>
      </c>
      <c r="H15" s="2" t="b">
        <f t="shared" si="0"/>
        <v>1</v>
      </c>
      <c r="I15" s="2" t="b">
        <f t="shared" si="1"/>
        <v>1</v>
      </c>
    </row>
    <row r="16" spans="1:9" x14ac:dyDescent="0.25">
      <c r="B16" s="2" t="s">
        <v>128</v>
      </c>
      <c r="C16" s="55">
        <v>2.9</v>
      </c>
      <c r="E16" s="2" t="s">
        <v>128</v>
      </c>
      <c r="F16" s="3">
        <v>2.9</v>
      </c>
      <c r="H16" s="2" t="b">
        <f t="shared" si="0"/>
        <v>1</v>
      </c>
      <c r="I16" s="2" t="b">
        <f t="shared" si="1"/>
        <v>1</v>
      </c>
    </row>
    <row r="17" spans="1:9" x14ac:dyDescent="0.25">
      <c r="B17" s="2" t="s">
        <v>16</v>
      </c>
      <c r="C17" s="55">
        <v>3.6</v>
      </c>
      <c r="E17" s="2" t="s">
        <v>16</v>
      </c>
      <c r="F17" s="3">
        <v>3.6</v>
      </c>
      <c r="H17" s="2" t="b">
        <f t="shared" si="0"/>
        <v>1</v>
      </c>
      <c r="I17" s="2" t="b">
        <f t="shared" si="1"/>
        <v>1</v>
      </c>
    </row>
    <row r="18" spans="1:9" x14ac:dyDescent="0.25">
      <c r="B18" s="2" t="s">
        <v>18</v>
      </c>
      <c r="C18" s="55">
        <v>2.9</v>
      </c>
      <c r="E18" s="2" t="s">
        <v>18</v>
      </c>
      <c r="F18" s="3">
        <v>2.9</v>
      </c>
      <c r="H18" s="2" t="b">
        <f t="shared" si="0"/>
        <v>1</v>
      </c>
      <c r="I18" s="2" t="b">
        <f t="shared" si="1"/>
        <v>1</v>
      </c>
    </row>
    <row r="19" spans="1:9" x14ac:dyDescent="0.25">
      <c r="B19" s="2" t="s">
        <v>124</v>
      </c>
      <c r="C19" s="55">
        <v>1.8</v>
      </c>
      <c r="E19" s="2" t="s">
        <v>124</v>
      </c>
      <c r="F19" s="3">
        <v>1.8</v>
      </c>
      <c r="H19" s="2" t="b">
        <f t="shared" si="0"/>
        <v>1</v>
      </c>
      <c r="I19" s="2" t="b">
        <f t="shared" si="1"/>
        <v>1</v>
      </c>
    </row>
    <row r="20" spans="1:9" x14ac:dyDescent="0.25">
      <c r="B20" s="2" t="s">
        <v>130</v>
      </c>
      <c r="C20" s="55">
        <v>1</v>
      </c>
      <c r="E20" s="2" t="s">
        <v>130</v>
      </c>
      <c r="F20" s="3">
        <v>1</v>
      </c>
      <c r="H20" s="2" t="b">
        <f t="shared" si="0"/>
        <v>1</v>
      </c>
      <c r="I20" s="2" t="b">
        <f t="shared" si="1"/>
        <v>1</v>
      </c>
    </row>
    <row r="21" spans="1:9" x14ac:dyDescent="0.25">
      <c r="B21" s="2" t="s">
        <v>126</v>
      </c>
      <c r="C21" s="55">
        <v>0.4</v>
      </c>
      <c r="E21" s="2" t="s">
        <v>126</v>
      </c>
      <c r="F21" s="3">
        <v>0.4</v>
      </c>
      <c r="H21" s="2" t="b">
        <f t="shared" si="0"/>
        <v>1</v>
      </c>
      <c r="I21" s="2" t="b">
        <f t="shared" si="1"/>
        <v>1</v>
      </c>
    </row>
    <row r="22" spans="1:9" x14ac:dyDescent="0.25">
      <c r="B22" s="2" t="s">
        <v>22</v>
      </c>
      <c r="C22" s="55">
        <v>2.6</v>
      </c>
      <c r="E22" s="2" t="s">
        <v>22</v>
      </c>
      <c r="F22" s="3">
        <v>2.6</v>
      </c>
      <c r="H22" s="2" t="b">
        <f t="shared" si="0"/>
        <v>1</v>
      </c>
      <c r="I22" s="2" t="b">
        <f t="shared" si="1"/>
        <v>1</v>
      </c>
    </row>
    <row r="23" spans="1:9" x14ac:dyDescent="0.25">
      <c r="B23" s="2" t="s">
        <v>77</v>
      </c>
      <c r="C23" s="55">
        <v>27.2</v>
      </c>
      <c r="E23" s="2" t="s">
        <v>77</v>
      </c>
      <c r="F23" s="3">
        <v>27.2</v>
      </c>
      <c r="H23" s="2" t="b">
        <f t="shared" si="0"/>
        <v>1</v>
      </c>
      <c r="I23" s="2" t="b">
        <f t="shared" si="1"/>
        <v>1</v>
      </c>
    </row>
    <row r="25" spans="1:9" x14ac:dyDescent="0.25">
      <c r="E25" s="4" t="s">
        <v>5</v>
      </c>
      <c r="F25" s="14">
        <f>24/24</f>
        <v>1</v>
      </c>
    </row>
    <row r="27" spans="1:9" x14ac:dyDescent="0.25">
      <c r="A27" s="71" t="s">
        <v>7</v>
      </c>
    </row>
    <row r="28" spans="1:9" x14ac:dyDescent="0.25">
      <c r="A28" s="8" t="s">
        <v>52</v>
      </c>
      <c r="B28" s="10" t="s">
        <v>80</v>
      </c>
    </row>
    <row r="29" spans="1:9" x14ac:dyDescent="0.25">
      <c r="A29" s="19">
        <f>203/250*60</f>
        <v>48.720000000000006</v>
      </c>
      <c r="B29" s="3" t="s">
        <v>54</v>
      </c>
      <c r="C29" s="2" t="s">
        <v>81</v>
      </c>
    </row>
    <row r="30" spans="1:9" x14ac:dyDescent="0.25">
      <c r="A30" s="19">
        <f>167/250*60</f>
        <v>40.080000000000005</v>
      </c>
      <c r="B30" s="3" t="s">
        <v>83</v>
      </c>
      <c r="C30" s="2" t="s">
        <v>131</v>
      </c>
    </row>
    <row r="31" spans="1:9" x14ac:dyDescent="0.25">
      <c r="A31" s="19">
        <f>225/250*60</f>
        <v>54</v>
      </c>
      <c r="B31" s="3" t="s">
        <v>55</v>
      </c>
      <c r="C31" s="2" t="s">
        <v>132</v>
      </c>
    </row>
    <row r="32" spans="1:9" x14ac:dyDescent="0.25">
      <c r="A32" s="19">
        <f>235/250*60</f>
        <v>56.4</v>
      </c>
      <c r="B32" s="3" t="s">
        <v>55</v>
      </c>
      <c r="C32" s="2" t="s">
        <v>45</v>
      </c>
    </row>
    <row r="33" spans="1:10" x14ac:dyDescent="0.25">
      <c r="A33" s="19">
        <f>139/250*60</f>
        <v>33.36</v>
      </c>
      <c r="B33" s="3" t="s">
        <v>55</v>
      </c>
      <c r="C33" s="2" t="s">
        <v>133</v>
      </c>
    </row>
    <row r="35" spans="1:10" x14ac:dyDescent="0.25">
      <c r="B35" s="7" t="s">
        <v>24</v>
      </c>
      <c r="E35" s="7" t="s">
        <v>1</v>
      </c>
    </row>
    <row r="37" spans="1:10" x14ac:dyDescent="0.25">
      <c r="B37" s="1" t="s">
        <v>66</v>
      </c>
      <c r="C37" s="4" t="s">
        <v>78</v>
      </c>
      <c r="E37" s="1" t="s">
        <v>66</v>
      </c>
      <c r="F37" s="4" t="s">
        <v>78</v>
      </c>
      <c r="I37" s="2" t="b">
        <f t="shared" ref="I37:I48" si="2">B37=E37</f>
        <v>1</v>
      </c>
      <c r="J37" s="2" t="b">
        <f t="shared" ref="J37:J48" si="3">C37=F37</f>
        <v>1</v>
      </c>
    </row>
    <row r="38" spans="1:10" x14ac:dyDescent="0.25">
      <c r="B38" s="2" t="s">
        <v>17</v>
      </c>
      <c r="C38" s="55">
        <v>10</v>
      </c>
      <c r="E38" s="2" t="s">
        <v>17</v>
      </c>
      <c r="F38" s="55">
        <v>10</v>
      </c>
      <c r="I38" s="2" t="b">
        <f t="shared" si="2"/>
        <v>1</v>
      </c>
      <c r="J38" s="2" t="b">
        <f t="shared" si="3"/>
        <v>1</v>
      </c>
    </row>
    <row r="39" spans="1:10" x14ac:dyDescent="0.25">
      <c r="B39" s="2" t="s">
        <v>15</v>
      </c>
      <c r="C39" s="55">
        <v>5.4</v>
      </c>
      <c r="E39" s="2" t="s">
        <v>15</v>
      </c>
      <c r="F39" s="55">
        <v>5.4</v>
      </c>
      <c r="I39" s="2" t="b">
        <f t="shared" si="2"/>
        <v>1</v>
      </c>
      <c r="J39" s="2" t="b">
        <f t="shared" si="3"/>
        <v>1</v>
      </c>
    </row>
    <row r="40" spans="1:10" x14ac:dyDescent="0.25">
      <c r="B40" s="2" t="s">
        <v>127</v>
      </c>
      <c r="C40" s="55">
        <v>2.2000000000000002</v>
      </c>
      <c r="E40" s="2" t="s">
        <v>127</v>
      </c>
      <c r="F40" s="55">
        <v>2.2000000000000002</v>
      </c>
      <c r="I40" s="2" t="b">
        <f t="shared" si="2"/>
        <v>1</v>
      </c>
      <c r="J40" s="2" t="b">
        <f t="shared" si="3"/>
        <v>1</v>
      </c>
    </row>
    <row r="41" spans="1:10" x14ac:dyDescent="0.25">
      <c r="B41" s="2" t="s">
        <v>128</v>
      </c>
      <c r="C41" s="55">
        <v>3.2</v>
      </c>
      <c r="E41" s="2" t="s">
        <v>128</v>
      </c>
      <c r="F41" s="55">
        <v>3.2</v>
      </c>
      <c r="I41" s="2" t="b">
        <f t="shared" si="2"/>
        <v>1</v>
      </c>
      <c r="J41" s="2" t="b">
        <f t="shared" si="3"/>
        <v>1</v>
      </c>
    </row>
    <row r="42" spans="1:10" x14ac:dyDescent="0.25">
      <c r="B42" s="2" t="s">
        <v>16</v>
      </c>
      <c r="C42" s="55">
        <v>3.7</v>
      </c>
      <c r="E42" s="2" t="s">
        <v>16</v>
      </c>
      <c r="F42" s="55">
        <v>3.7</v>
      </c>
      <c r="I42" s="2" t="b">
        <f t="shared" si="2"/>
        <v>1</v>
      </c>
      <c r="J42" s="2" t="b">
        <f t="shared" si="3"/>
        <v>1</v>
      </c>
    </row>
    <row r="43" spans="1:10" x14ac:dyDescent="0.25">
      <c r="A43" s="8"/>
      <c r="B43" s="2" t="s">
        <v>18</v>
      </c>
      <c r="C43" s="55">
        <v>3</v>
      </c>
      <c r="E43" s="2" t="s">
        <v>18</v>
      </c>
      <c r="F43" s="55">
        <v>3</v>
      </c>
      <c r="I43" s="2" t="b">
        <f t="shared" si="2"/>
        <v>1</v>
      </c>
      <c r="J43" s="2" t="b">
        <f t="shared" si="3"/>
        <v>1</v>
      </c>
    </row>
    <row r="44" spans="1:10" x14ac:dyDescent="0.25">
      <c r="A44" s="19"/>
      <c r="B44" s="2" t="s">
        <v>124</v>
      </c>
      <c r="C44" s="55">
        <v>1.8</v>
      </c>
      <c r="E44" s="2" t="s">
        <v>124</v>
      </c>
      <c r="F44" s="55">
        <v>1.8</v>
      </c>
      <c r="I44" s="2" t="b">
        <f t="shared" si="2"/>
        <v>1</v>
      </c>
      <c r="J44" s="2" t="b">
        <f t="shared" si="3"/>
        <v>1</v>
      </c>
    </row>
    <row r="45" spans="1:10" x14ac:dyDescent="0.25">
      <c r="A45" s="19"/>
      <c r="B45" s="2" t="s">
        <v>130</v>
      </c>
      <c r="C45" s="55">
        <v>1</v>
      </c>
      <c r="E45" s="2" t="s">
        <v>130</v>
      </c>
      <c r="F45" s="55">
        <v>1</v>
      </c>
      <c r="I45" s="2" t="b">
        <f t="shared" si="2"/>
        <v>1</v>
      </c>
      <c r="J45" s="2" t="b">
        <f t="shared" si="3"/>
        <v>1</v>
      </c>
    </row>
    <row r="46" spans="1:10" x14ac:dyDescent="0.25">
      <c r="A46" s="19"/>
      <c r="B46" s="2" t="s">
        <v>126</v>
      </c>
      <c r="C46" s="55">
        <v>0.4</v>
      </c>
      <c r="E46" s="2" t="s">
        <v>126</v>
      </c>
      <c r="F46" s="55">
        <v>0.4</v>
      </c>
      <c r="I46" s="2" t="b">
        <f t="shared" si="2"/>
        <v>1</v>
      </c>
      <c r="J46" s="2" t="b">
        <f t="shared" si="3"/>
        <v>1</v>
      </c>
    </row>
    <row r="47" spans="1:10" x14ac:dyDescent="0.25">
      <c r="A47" s="19"/>
      <c r="B47" s="2" t="s">
        <v>22</v>
      </c>
      <c r="C47" s="55">
        <v>2.7</v>
      </c>
      <c r="E47" s="2" t="s">
        <v>22</v>
      </c>
      <c r="F47" s="55">
        <v>2.7</v>
      </c>
      <c r="I47" s="2" t="b">
        <f t="shared" si="2"/>
        <v>1</v>
      </c>
      <c r="J47" s="2" t="b">
        <f t="shared" si="3"/>
        <v>1</v>
      </c>
    </row>
    <row r="48" spans="1:10" x14ac:dyDescent="0.25">
      <c r="A48" s="19"/>
      <c r="B48" s="2" t="s">
        <v>77</v>
      </c>
      <c r="C48" s="55">
        <v>28</v>
      </c>
      <c r="E48" s="2" t="s">
        <v>77</v>
      </c>
      <c r="F48" s="55">
        <v>28</v>
      </c>
      <c r="I48" s="2" t="b">
        <f t="shared" si="2"/>
        <v>1</v>
      </c>
      <c r="J48" s="2" t="b">
        <f t="shared" si="3"/>
        <v>1</v>
      </c>
    </row>
    <row r="49" spans="1:9" x14ac:dyDescent="0.25">
      <c r="A49" s="19"/>
      <c r="B49" s="3"/>
    </row>
    <row r="50" spans="1:9" x14ac:dyDescent="0.25">
      <c r="A50" s="19"/>
      <c r="B50" s="1"/>
      <c r="C50" s="1"/>
      <c r="D50" s="1"/>
      <c r="E50" s="4" t="s">
        <v>5</v>
      </c>
      <c r="F50" s="14">
        <f>24/24</f>
        <v>1</v>
      </c>
      <c r="G50" s="1"/>
    </row>
    <row r="52" spans="1:9" x14ac:dyDescent="0.25">
      <c r="B52" s="177"/>
      <c r="C52" s="177"/>
      <c r="E52" s="6"/>
    </row>
    <row r="54" spans="1:9" x14ac:dyDescent="0.25">
      <c r="A54" s="71" t="s">
        <v>9</v>
      </c>
    </row>
    <row r="55" spans="1:9" x14ac:dyDescent="0.25">
      <c r="A55" s="8" t="s">
        <v>52</v>
      </c>
      <c r="B55" s="10" t="s">
        <v>167</v>
      </c>
    </row>
    <row r="56" spans="1:9" x14ac:dyDescent="0.25">
      <c r="A56" s="19">
        <f>203/250*60</f>
        <v>48.720000000000006</v>
      </c>
      <c r="B56" s="3" t="s">
        <v>54</v>
      </c>
      <c r="C56" s="2" t="s">
        <v>81</v>
      </c>
    </row>
    <row r="57" spans="1:9" x14ac:dyDescent="0.25">
      <c r="A57" s="19">
        <f>167/250*60</f>
        <v>40.080000000000005</v>
      </c>
      <c r="B57" s="3" t="s">
        <v>83</v>
      </c>
      <c r="C57" s="2" t="s">
        <v>131</v>
      </c>
    </row>
    <row r="58" spans="1:9" x14ac:dyDescent="0.25">
      <c r="A58" s="19">
        <f>225/250*60</f>
        <v>54</v>
      </c>
      <c r="B58" s="3" t="s">
        <v>55</v>
      </c>
      <c r="C58" s="2" t="s">
        <v>210</v>
      </c>
    </row>
    <row r="59" spans="1:9" x14ac:dyDescent="0.25">
      <c r="A59" s="19">
        <f>235/250*60</f>
        <v>56.4</v>
      </c>
      <c r="B59" s="3" t="s">
        <v>55</v>
      </c>
      <c r="C59" s="2" t="s">
        <v>45</v>
      </c>
    </row>
    <row r="60" spans="1:9" x14ac:dyDescent="0.25">
      <c r="A60" s="19">
        <f>139/250*60</f>
        <v>33.36</v>
      </c>
      <c r="B60" s="3" t="s">
        <v>55</v>
      </c>
      <c r="C60" s="2" t="s">
        <v>133</v>
      </c>
    </row>
    <row r="62" spans="1:9" x14ac:dyDescent="0.25">
      <c r="B62" s="7" t="s">
        <v>24</v>
      </c>
      <c r="E62" s="7" t="s">
        <v>1</v>
      </c>
    </row>
    <row r="63" spans="1:9" x14ac:dyDescent="0.25">
      <c r="B63" s="7"/>
    </row>
    <row r="64" spans="1:9" x14ac:dyDescent="0.25">
      <c r="B64" s="1" t="s">
        <v>66</v>
      </c>
      <c r="C64" s="4" t="s">
        <v>78</v>
      </c>
      <c r="E64" s="1" t="s">
        <v>66</v>
      </c>
      <c r="F64" s="4" t="s">
        <v>78</v>
      </c>
      <c r="H64" s="2" t="b">
        <f t="shared" ref="H64:H75" si="4">B64=E64</f>
        <v>1</v>
      </c>
      <c r="I64" s="2" t="b">
        <f t="shared" ref="I64:I75" si="5">C64=F64</f>
        <v>1</v>
      </c>
    </row>
    <row r="65" spans="1:9" x14ac:dyDescent="0.25">
      <c r="B65" s="2" t="s">
        <v>17</v>
      </c>
      <c r="C65" s="55">
        <v>9.6999999999999993</v>
      </c>
      <c r="E65" s="2" t="s">
        <v>17</v>
      </c>
      <c r="F65" s="3">
        <v>9.6999999999999993</v>
      </c>
      <c r="H65" s="2" t="b">
        <f t="shared" si="4"/>
        <v>1</v>
      </c>
      <c r="I65" s="2" t="b">
        <f t="shared" si="5"/>
        <v>1</v>
      </c>
    </row>
    <row r="66" spans="1:9" x14ac:dyDescent="0.25">
      <c r="B66" s="2" t="s">
        <v>15</v>
      </c>
      <c r="C66" s="55"/>
      <c r="E66" s="2" t="s">
        <v>15</v>
      </c>
      <c r="F66" s="3"/>
      <c r="H66" s="2" t="b">
        <f t="shared" si="4"/>
        <v>1</v>
      </c>
      <c r="I66" s="2" t="b">
        <f t="shared" si="5"/>
        <v>1</v>
      </c>
    </row>
    <row r="67" spans="1:9" x14ac:dyDescent="0.25">
      <c r="B67" s="2" t="s">
        <v>127</v>
      </c>
      <c r="C67" s="55">
        <v>2.2999999999999998</v>
      </c>
      <c r="E67" s="2" t="s">
        <v>127</v>
      </c>
      <c r="F67" s="3">
        <v>2.2999999999999998</v>
      </c>
      <c r="H67" s="2" t="b">
        <f t="shared" si="4"/>
        <v>1</v>
      </c>
      <c r="I67" s="2" t="b">
        <f t="shared" si="5"/>
        <v>1</v>
      </c>
    </row>
    <row r="68" spans="1:9" x14ac:dyDescent="0.25">
      <c r="B68" s="2" t="s">
        <v>128</v>
      </c>
      <c r="C68" s="55">
        <v>3.3</v>
      </c>
      <c r="E68" s="2" t="s">
        <v>128</v>
      </c>
      <c r="F68" s="3">
        <v>3.3</v>
      </c>
      <c r="H68" s="2" t="b">
        <f t="shared" si="4"/>
        <v>1</v>
      </c>
      <c r="I68" s="2" t="b">
        <f t="shared" si="5"/>
        <v>1</v>
      </c>
    </row>
    <row r="69" spans="1:9" x14ac:dyDescent="0.25">
      <c r="B69" s="2" t="s">
        <v>16</v>
      </c>
      <c r="C69" s="55">
        <v>3.7</v>
      </c>
      <c r="E69" s="2" t="s">
        <v>16</v>
      </c>
      <c r="F69" s="3">
        <v>3.7</v>
      </c>
      <c r="H69" s="2" t="b">
        <f t="shared" si="4"/>
        <v>1</v>
      </c>
      <c r="I69" s="2" t="b">
        <f t="shared" si="5"/>
        <v>1</v>
      </c>
    </row>
    <row r="70" spans="1:9" x14ac:dyDescent="0.25">
      <c r="B70" s="2" t="s">
        <v>18</v>
      </c>
      <c r="C70" s="55">
        <v>3.3</v>
      </c>
      <c r="E70" s="2" t="s">
        <v>18</v>
      </c>
      <c r="F70" s="3">
        <v>3.3</v>
      </c>
      <c r="H70" s="2" t="b">
        <f t="shared" si="4"/>
        <v>1</v>
      </c>
      <c r="I70" s="2" t="b">
        <f t="shared" si="5"/>
        <v>1</v>
      </c>
    </row>
    <row r="71" spans="1:9" x14ac:dyDescent="0.25">
      <c r="B71" s="2" t="s">
        <v>124</v>
      </c>
      <c r="C71" s="55">
        <v>1.8</v>
      </c>
      <c r="E71" s="2" t="s">
        <v>124</v>
      </c>
      <c r="F71" s="3">
        <v>1.8</v>
      </c>
      <c r="H71" s="2" t="b">
        <f t="shared" si="4"/>
        <v>1</v>
      </c>
      <c r="I71" s="2" t="b">
        <f t="shared" si="5"/>
        <v>1</v>
      </c>
    </row>
    <row r="72" spans="1:9" x14ac:dyDescent="0.25">
      <c r="B72" s="2" t="s">
        <v>130</v>
      </c>
      <c r="C72" s="55">
        <v>0.7</v>
      </c>
      <c r="E72" s="2" t="s">
        <v>130</v>
      </c>
      <c r="F72" s="3">
        <v>0.7</v>
      </c>
      <c r="H72" s="2" t="b">
        <f t="shared" si="4"/>
        <v>1</v>
      </c>
      <c r="I72" s="2" t="b">
        <f t="shared" si="5"/>
        <v>1</v>
      </c>
    </row>
    <row r="73" spans="1:9" x14ac:dyDescent="0.25">
      <c r="B73" s="2" t="s">
        <v>126</v>
      </c>
      <c r="C73" s="55">
        <v>0.4</v>
      </c>
      <c r="E73" s="2" t="s">
        <v>126</v>
      </c>
      <c r="F73" s="3">
        <v>0.4</v>
      </c>
      <c r="H73" s="2" t="b">
        <f t="shared" si="4"/>
        <v>1</v>
      </c>
      <c r="I73" s="2" t="b">
        <f t="shared" si="5"/>
        <v>1</v>
      </c>
    </row>
    <row r="74" spans="1:9" x14ac:dyDescent="0.25">
      <c r="B74" s="2" t="s">
        <v>22</v>
      </c>
      <c r="C74" s="55">
        <v>3.1</v>
      </c>
      <c r="E74" s="2" t="s">
        <v>22</v>
      </c>
      <c r="F74" s="3">
        <v>3.1</v>
      </c>
      <c r="H74" s="2" t="b">
        <f t="shared" si="4"/>
        <v>1</v>
      </c>
      <c r="I74" s="2" t="b">
        <f t="shared" si="5"/>
        <v>1</v>
      </c>
    </row>
    <row r="75" spans="1:9" x14ac:dyDescent="0.25">
      <c r="B75" s="2" t="s">
        <v>77</v>
      </c>
      <c r="C75" s="55">
        <f>SUM(C65:C74)</f>
        <v>28.3</v>
      </c>
      <c r="E75" s="2" t="s">
        <v>77</v>
      </c>
      <c r="F75" s="3">
        <f>SUM(F65:F74)</f>
        <v>28.3</v>
      </c>
      <c r="H75" s="2" t="b">
        <f t="shared" si="4"/>
        <v>1</v>
      </c>
      <c r="I75" s="2" t="b">
        <f t="shared" si="5"/>
        <v>1</v>
      </c>
    </row>
    <row r="77" spans="1:9" x14ac:dyDescent="0.25">
      <c r="E77" s="4" t="s">
        <v>5</v>
      </c>
      <c r="F77" s="14">
        <f>24/24</f>
        <v>1</v>
      </c>
    </row>
    <row r="79" spans="1:9" x14ac:dyDescent="0.25">
      <c r="A79" s="71" t="s">
        <v>10</v>
      </c>
    </row>
    <row r="80" spans="1:9" x14ac:dyDescent="0.25">
      <c r="A80" s="8" t="s">
        <v>52</v>
      </c>
      <c r="B80" s="10" t="s">
        <v>172</v>
      </c>
    </row>
    <row r="81" spans="1:9" x14ac:dyDescent="0.25">
      <c r="A81" s="19">
        <f>203/250*60</f>
        <v>48.720000000000006</v>
      </c>
      <c r="B81" s="3" t="s">
        <v>54</v>
      </c>
      <c r="C81" s="2" t="s">
        <v>81</v>
      </c>
    </row>
    <row r="82" spans="1:9" x14ac:dyDescent="0.25">
      <c r="A82" s="19">
        <f>167/250*60</f>
        <v>40.080000000000005</v>
      </c>
      <c r="B82" s="3" t="s">
        <v>83</v>
      </c>
      <c r="C82" s="2" t="s">
        <v>131</v>
      </c>
    </row>
    <row r="83" spans="1:9" x14ac:dyDescent="0.25">
      <c r="A83" s="19">
        <f>225/250*60</f>
        <v>54</v>
      </c>
      <c r="B83" s="3" t="s">
        <v>55</v>
      </c>
      <c r="C83" s="2" t="s">
        <v>211</v>
      </c>
    </row>
    <row r="84" spans="1:9" x14ac:dyDescent="0.25">
      <c r="A84" s="19">
        <f>235/250*60</f>
        <v>56.4</v>
      </c>
      <c r="B84" s="3" t="s">
        <v>55</v>
      </c>
      <c r="C84" s="2" t="s">
        <v>45</v>
      </c>
    </row>
    <row r="85" spans="1:9" x14ac:dyDescent="0.25">
      <c r="A85" s="19">
        <f>139/250*60</f>
        <v>33.36</v>
      </c>
      <c r="B85" s="3" t="s">
        <v>55</v>
      </c>
      <c r="C85" s="2" t="s">
        <v>133</v>
      </c>
    </row>
    <row r="87" spans="1:9" x14ac:dyDescent="0.25">
      <c r="B87" s="7" t="s">
        <v>24</v>
      </c>
      <c r="E87" s="7" t="s">
        <v>1</v>
      </c>
    </row>
    <row r="88" spans="1:9" x14ac:dyDescent="0.25">
      <c r="B88" s="7"/>
    </row>
    <row r="89" spans="1:9" x14ac:dyDescent="0.25">
      <c r="B89" s="1" t="s">
        <v>66</v>
      </c>
      <c r="C89" s="4" t="s">
        <v>78</v>
      </c>
      <c r="E89" s="1" t="s">
        <v>66</v>
      </c>
      <c r="F89" s="4" t="s">
        <v>78</v>
      </c>
      <c r="H89" s="2" t="b">
        <f>B89=E89</f>
        <v>1</v>
      </c>
      <c r="I89" s="2" t="b">
        <f>C89=F89</f>
        <v>1</v>
      </c>
    </row>
    <row r="90" spans="1:9" x14ac:dyDescent="0.25">
      <c r="B90" s="2" t="s">
        <v>17</v>
      </c>
      <c r="C90" s="55">
        <v>9.5</v>
      </c>
      <c r="E90" s="2" t="s">
        <v>17</v>
      </c>
      <c r="F90" s="3">
        <v>9.5</v>
      </c>
      <c r="H90" s="2" t="b">
        <f t="shared" ref="H90:H100" si="6">B90=E90</f>
        <v>1</v>
      </c>
      <c r="I90" s="2" t="b">
        <f t="shared" ref="I90:I100" si="7">C90=F90</f>
        <v>1</v>
      </c>
    </row>
    <row r="91" spans="1:9" x14ac:dyDescent="0.25">
      <c r="B91" s="2" t="s">
        <v>15</v>
      </c>
      <c r="C91" s="55"/>
      <c r="E91" s="2" t="s">
        <v>15</v>
      </c>
      <c r="F91" s="3"/>
      <c r="H91" s="2" t="b">
        <f t="shared" si="6"/>
        <v>1</v>
      </c>
      <c r="I91" s="2" t="b">
        <f t="shared" si="7"/>
        <v>1</v>
      </c>
    </row>
    <row r="92" spans="1:9" x14ac:dyDescent="0.25">
      <c r="B92" s="2" t="s">
        <v>127</v>
      </c>
      <c r="C92" s="55">
        <v>2.2999999999999998</v>
      </c>
      <c r="E92" s="2" t="s">
        <v>127</v>
      </c>
      <c r="F92" s="3">
        <v>2.2999999999999998</v>
      </c>
      <c r="H92" s="2" t="b">
        <f t="shared" si="6"/>
        <v>1</v>
      </c>
      <c r="I92" s="2" t="b">
        <f t="shared" si="7"/>
        <v>1</v>
      </c>
    </row>
    <row r="93" spans="1:9" x14ac:dyDescent="0.25">
      <c r="B93" s="2" t="s">
        <v>128</v>
      </c>
      <c r="C93" s="55">
        <v>3.4</v>
      </c>
      <c r="E93" s="2" t="s">
        <v>128</v>
      </c>
      <c r="F93" s="3">
        <v>3.4</v>
      </c>
      <c r="H93" s="2" t="b">
        <f t="shared" si="6"/>
        <v>1</v>
      </c>
      <c r="I93" s="2" t="b">
        <f t="shared" si="7"/>
        <v>1</v>
      </c>
    </row>
    <row r="94" spans="1:9" x14ac:dyDescent="0.25">
      <c r="B94" s="2" t="s">
        <v>16</v>
      </c>
      <c r="C94" s="55">
        <v>4.0999999999999996</v>
      </c>
      <c r="E94" s="2" t="s">
        <v>16</v>
      </c>
      <c r="F94" s="3">
        <v>4.0999999999999996</v>
      </c>
      <c r="H94" s="2" t="b">
        <f t="shared" si="6"/>
        <v>1</v>
      </c>
      <c r="I94" s="2" t="b">
        <f t="shared" si="7"/>
        <v>1</v>
      </c>
    </row>
    <row r="95" spans="1:9" x14ac:dyDescent="0.25">
      <c r="B95" s="2" t="s">
        <v>18</v>
      </c>
      <c r="C95" s="55">
        <v>3.4</v>
      </c>
      <c r="E95" s="2" t="s">
        <v>18</v>
      </c>
      <c r="F95" s="3">
        <v>3.4</v>
      </c>
      <c r="H95" s="2" t="b">
        <f t="shared" si="6"/>
        <v>1</v>
      </c>
      <c r="I95" s="2" t="b">
        <f t="shared" si="7"/>
        <v>1</v>
      </c>
    </row>
    <row r="96" spans="1:9" x14ac:dyDescent="0.25">
      <c r="B96" s="2" t="s">
        <v>124</v>
      </c>
      <c r="C96" s="55">
        <v>1.8</v>
      </c>
      <c r="E96" s="2" t="s">
        <v>124</v>
      </c>
      <c r="F96" s="3">
        <v>1.8</v>
      </c>
      <c r="H96" s="2" t="b">
        <f t="shared" si="6"/>
        <v>1</v>
      </c>
      <c r="I96" s="2" t="b">
        <f t="shared" si="7"/>
        <v>1</v>
      </c>
    </row>
    <row r="97" spans="2:9" x14ac:dyDescent="0.25">
      <c r="B97" s="2" t="s">
        <v>130</v>
      </c>
      <c r="C97" s="55">
        <v>0.7</v>
      </c>
      <c r="E97" s="2" t="s">
        <v>130</v>
      </c>
      <c r="F97" s="3">
        <v>0.7</v>
      </c>
      <c r="H97" s="2" t="b">
        <f t="shared" si="6"/>
        <v>1</v>
      </c>
      <c r="I97" s="2" t="b">
        <f t="shared" si="7"/>
        <v>1</v>
      </c>
    </row>
    <row r="98" spans="2:9" x14ac:dyDescent="0.25">
      <c r="B98" s="2" t="s">
        <v>126</v>
      </c>
      <c r="C98" s="55">
        <v>0.6</v>
      </c>
      <c r="E98" s="2" t="s">
        <v>126</v>
      </c>
      <c r="F98" s="3">
        <v>0.6</v>
      </c>
      <c r="H98" s="2" t="b">
        <f t="shared" si="6"/>
        <v>1</v>
      </c>
      <c r="I98" s="2" t="b">
        <f t="shared" si="7"/>
        <v>1</v>
      </c>
    </row>
    <row r="99" spans="2:9" x14ac:dyDescent="0.25">
      <c r="B99" s="2" t="s">
        <v>128</v>
      </c>
      <c r="C99" s="55">
        <v>3.1</v>
      </c>
      <c r="E99" s="2" t="s">
        <v>128</v>
      </c>
      <c r="F99" s="3">
        <v>3.1</v>
      </c>
      <c r="H99" s="2" t="b">
        <f t="shared" si="6"/>
        <v>1</v>
      </c>
      <c r="I99" s="2" t="b">
        <f t="shared" si="7"/>
        <v>1</v>
      </c>
    </row>
    <row r="100" spans="2:9" x14ac:dyDescent="0.25">
      <c r="B100" s="2" t="s">
        <v>77</v>
      </c>
      <c r="C100" s="55">
        <f>SUM(C90:C99)</f>
        <v>28.900000000000002</v>
      </c>
      <c r="E100" s="2" t="s">
        <v>77</v>
      </c>
      <c r="F100" s="3">
        <f>SUM(F90:F99)</f>
        <v>28.900000000000002</v>
      </c>
      <c r="H100" s="2" t="b">
        <f t="shared" si="6"/>
        <v>1</v>
      </c>
      <c r="I100" s="2" t="b">
        <f t="shared" si="7"/>
        <v>1</v>
      </c>
    </row>
    <row r="102" spans="2:9" x14ac:dyDescent="0.25">
      <c r="E102" s="4" t="s">
        <v>5</v>
      </c>
      <c r="F102" s="14">
        <f>24/24</f>
        <v>1</v>
      </c>
    </row>
    <row r="119" spans="1:2" ht="14.4" x14ac:dyDescent="0.3">
      <c r="A119"/>
      <c r="B119" s="10"/>
    </row>
    <row r="120" spans="1:2" ht="14.4" x14ac:dyDescent="0.3">
      <c r="A120"/>
    </row>
  </sheetData>
  <mergeCells count="1">
    <mergeCell ref="B52:C52"/>
  </mergeCells>
  <pageMargins left="0.7" right="0.7" top="0.75" bottom="0.75" header="0.3" footer="0.3"/>
  <pageSetup orientation="portrait" horizontalDpi="0" verticalDpi="0"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887CB-8B9C-4C57-B2D8-64EC7E59F6BC}">
  <dimension ref="A1:J128"/>
  <sheetViews>
    <sheetView showGridLines="0" workbookViewId="0">
      <selection activeCell="U22" sqref="U22"/>
    </sheetView>
  </sheetViews>
  <sheetFormatPr defaultRowHeight="13.8" x14ac:dyDescent="0.25"/>
  <cols>
    <col min="1" max="1" width="12" style="2" bestFit="1" customWidth="1"/>
    <col min="2" max="2" width="20.33203125" style="2" bestFit="1" customWidth="1"/>
    <col min="3" max="3" width="11.21875" style="2" bestFit="1" customWidth="1"/>
    <col min="4" max="4" width="8.88671875" style="2"/>
    <col min="5" max="5" width="15.88671875" style="2" bestFit="1" customWidth="1"/>
    <col min="6" max="6" width="11.21875" style="2" bestFit="1" customWidth="1"/>
    <col min="7" max="7" width="8.88671875" style="2"/>
    <col min="8" max="8" width="5.5546875" style="2" bestFit="1" customWidth="1"/>
    <col min="9" max="9" width="6.77734375" style="2" bestFit="1" customWidth="1"/>
    <col min="10" max="10" width="15.88671875" style="2" bestFit="1" customWidth="1"/>
    <col min="11" max="11" width="11.21875" style="2" bestFit="1" customWidth="1"/>
    <col min="12" max="12" width="4" style="2" bestFit="1" customWidth="1"/>
    <col min="13" max="13" width="8" style="2" bestFit="1" customWidth="1"/>
    <col min="14" max="14" width="7.88671875" style="2" bestFit="1" customWidth="1"/>
    <col min="15" max="15" width="5.5546875" style="2" bestFit="1" customWidth="1"/>
    <col min="16" max="16" width="6.77734375" style="2" bestFit="1" customWidth="1"/>
    <col min="17" max="17" width="15.88671875" style="2" bestFit="1" customWidth="1"/>
    <col min="18" max="18" width="11.21875" style="2" bestFit="1" customWidth="1"/>
    <col min="19" max="19" width="4" style="2" bestFit="1" customWidth="1"/>
    <col min="20" max="20" width="8" style="2" bestFit="1" customWidth="1"/>
    <col min="21" max="21" width="7.88671875" style="2" bestFit="1" customWidth="1"/>
    <col min="22" max="16384" width="8.88671875" style="2"/>
  </cols>
  <sheetData>
    <row r="1" spans="1:9" x14ac:dyDescent="0.25">
      <c r="A1" s="71" t="s">
        <v>8</v>
      </c>
    </row>
    <row r="2" spans="1:9" x14ac:dyDescent="0.25">
      <c r="A2" s="8" t="s">
        <v>52</v>
      </c>
      <c r="B2" s="10" t="s">
        <v>173</v>
      </c>
    </row>
    <row r="3" spans="1:9" x14ac:dyDescent="0.25">
      <c r="A3" s="19">
        <f>203/250*60</f>
        <v>48.720000000000006</v>
      </c>
      <c r="B3" s="3" t="s">
        <v>54</v>
      </c>
      <c r="C3" s="2" t="s">
        <v>81</v>
      </c>
    </row>
    <row r="4" spans="1:9" x14ac:dyDescent="0.25">
      <c r="A4" s="19">
        <f>93/250*60</f>
        <v>22.32</v>
      </c>
      <c r="B4" s="3" t="s">
        <v>83</v>
      </c>
      <c r="C4" s="2" t="s">
        <v>144</v>
      </c>
    </row>
    <row r="5" spans="1:9" x14ac:dyDescent="0.25">
      <c r="A5" s="19">
        <f>143/250*60</f>
        <v>34.32</v>
      </c>
      <c r="B5" s="3" t="s">
        <v>55</v>
      </c>
      <c r="C5" s="2" t="s">
        <v>239</v>
      </c>
    </row>
    <row r="6" spans="1:9" x14ac:dyDescent="0.25">
      <c r="A6" s="19">
        <f>235/250*60</f>
        <v>56.4</v>
      </c>
      <c r="B6" s="3" t="s">
        <v>55</v>
      </c>
      <c r="C6" s="2" t="s">
        <v>93</v>
      </c>
    </row>
    <row r="7" spans="1:9" x14ac:dyDescent="0.25">
      <c r="A7" s="19">
        <f>299/250*60</f>
        <v>71.759999999999991</v>
      </c>
      <c r="B7" s="3" t="s">
        <v>55</v>
      </c>
      <c r="C7" s="2" t="s">
        <v>146</v>
      </c>
    </row>
    <row r="10" spans="1:9" x14ac:dyDescent="0.25">
      <c r="B10" s="7" t="s">
        <v>24</v>
      </c>
      <c r="C10" s="3"/>
      <c r="E10" s="7" t="s">
        <v>1</v>
      </c>
    </row>
    <row r="12" spans="1:9" x14ac:dyDescent="0.25">
      <c r="B12" s="1" t="s">
        <v>66</v>
      </c>
      <c r="C12" s="4" t="s">
        <v>78</v>
      </c>
      <c r="E12" s="1" t="s">
        <v>66</v>
      </c>
      <c r="F12" s="4" t="s">
        <v>78</v>
      </c>
      <c r="H12" s="2" t="b">
        <f>B12=E12</f>
        <v>1</v>
      </c>
      <c r="I12" s="2" t="b">
        <f>C12=F12</f>
        <v>1</v>
      </c>
    </row>
    <row r="13" spans="1:9" x14ac:dyDescent="0.25">
      <c r="B13" s="2" t="s">
        <v>15</v>
      </c>
      <c r="C13" s="50">
        <v>1743</v>
      </c>
      <c r="E13" s="2" t="s">
        <v>15</v>
      </c>
      <c r="F13" s="50">
        <v>1743</v>
      </c>
      <c r="H13" s="2" t="b">
        <f t="shared" ref="H13:H21" si="0">B13=E13</f>
        <v>1</v>
      </c>
      <c r="I13" s="2" t="b">
        <f t="shared" ref="I13:I21" si="1">C13=F13</f>
        <v>1</v>
      </c>
    </row>
    <row r="14" spans="1:9" x14ac:dyDescent="0.25">
      <c r="B14" s="2" t="s">
        <v>17</v>
      </c>
      <c r="C14" s="50">
        <v>4186</v>
      </c>
      <c r="E14" s="2" t="s">
        <v>17</v>
      </c>
      <c r="F14" s="50">
        <v>4186</v>
      </c>
      <c r="H14" s="2" t="b">
        <f t="shared" si="0"/>
        <v>1</v>
      </c>
      <c r="I14" s="2" t="b">
        <f t="shared" si="1"/>
        <v>1</v>
      </c>
    </row>
    <row r="15" spans="1:9" x14ac:dyDescent="0.25">
      <c r="B15" s="2" t="s">
        <v>140</v>
      </c>
      <c r="C15" s="50">
        <v>1273</v>
      </c>
      <c r="E15" s="2" t="s">
        <v>140</v>
      </c>
      <c r="F15" s="50">
        <v>1273</v>
      </c>
      <c r="H15" s="2" t="b">
        <f t="shared" si="0"/>
        <v>1</v>
      </c>
      <c r="I15" s="2" t="b">
        <f t="shared" si="1"/>
        <v>1</v>
      </c>
    </row>
    <row r="16" spans="1:9" x14ac:dyDescent="0.25">
      <c r="B16" s="2" t="s">
        <v>141</v>
      </c>
      <c r="C16" s="50">
        <v>1769</v>
      </c>
      <c r="E16" s="2" t="s">
        <v>141</v>
      </c>
      <c r="F16" s="50">
        <v>1769</v>
      </c>
      <c r="H16" s="2" t="b">
        <f t="shared" si="0"/>
        <v>1</v>
      </c>
      <c r="I16" s="2" t="b">
        <f t="shared" si="1"/>
        <v>1</v>
      </c>
    </row>
    <row r="17" spans="1:9" x14ac:dyDescent="0.25">
      <c r="B17" s="2" t="s">
        <v>22</v>
      </c>
      <c r="C17" s="50">
        <v>1363</v>
      </c>
      <c r="E17" s="2" t="s">
        <v>22</v>
      </c>
      <c r="F17" s="50">
        <v>1363</v>
      </c>
      <c r="H17" s="2" t="b">
        <f t="shared" si="0"/>
        <v>1</v>
      </c>
      <c r="I17" s="2" t="b">
        <f t="shared" si="1"/>
        <v>1</v>
      </c>
    </row>
    <row r="18" spans="1:9" x14ac:dyDescent="0.25">
      <c r="B18" s="2" t="s">
        <v>142</v>
      </c>
      <c r="C18" s="50">
        <v>846</v>
      </c>
      <c r="E18" s="2" t="s">
        <v>142</v>
      </c>
      <c r="F18" s="50">
        <v>846</v>
      </c>
      <c r="H18" s="2" t="b">
        <f t="shared" si="0"/>
        <v>1</v>
      </c>
      <c r="I18" s="2" t="b">
        <f t="shared" si="1"/>
        <v>1</v>
      </c>
    </row>
    <row r="19" spans="1:9" x14ac:dyDescent="0.25">
      <c r="B19" s="2" t="s">
        <v>21</v>
      </c>
      <c r="C19" s="50">
        <v>546</v>
      </c>
      <c r="E19" s="2" t="s">
        <v>21</v>
      </c>
      <c r="F19" s="50">
        <v>546</v>
      </c>
      <c r="H19" s="2" t="b">
        <f t="shared" si="0"/>
        <v>1</v>
      </c>
      <c r="I19" s="2" t="b">
        <f t="shared" si="1"/>
        <v>1</v>
      </c>
    </row>
    <row r="20" spans="1:9" x14ac:dyDescent="0.25">
      <c r="B20" s="2" t="s">
        <v>143</v>
      </c>
      <c r="C20" s="50">
        <v>287</v>
      </c>
      <c r="E20" s="2" t="s">
        <v>143</v>
      </c>
      <c r="F20" s="50">
        <v>287</v>
      </c>
      <c r="H20" s="2" t="b">
        <f t="shared" si="0"/>
        <v>1</v>
      </c>
      <c r="I20" s="2" t="b">
        <f t="shared" si="1"/>
        <v>1</v>
      </c>
    </row>
    <row r="21" spans="1:9" x14ac:dyDescent="0.25">
      <c r="B21" s="2" t="s">
        <v>77</v>
      </c>
      <c r="C21" s="50">
        <f>SUM(C13:C20)</f>
        <v>12013</v>
      </c>
      <c r="E21" s="2" t="s">
        <v>77</v>
      </c>
      <c r="F21" s="50">
        <f>SUM(F13:F20)</f>
        <v>12013</v>
      </c>
      <c r="H21" s="2" t="b">
        <f t="shared" si="0"/>
        <v>1</v>
      </c>
      <c r="I21" s="2" t="b">
        <f t="shared" si="1"/>
        <v>1</v>
      </c>
    </row>
    <row r="23" spans="1:9" ht="14.4" x14ac:dyDescent="0.3">
      <c r="E23" s="4" t="s">
        <v>5</v>
      </c>
      <c r="F23" s="57">
        <f>20/20</f>
        <v>1</v>
      </c>
    </row>
    <row r="26" spans="1:9" x14ac:dyDescent="0.25">
      <c r="A26" s="71" t="s">
        <v>7</v>
      </c>
    </row>
    <row r="27" spans="1:9" x14ac:dyDescent="0.25">
      <c r="A27" s="8" t="s">
        <v>52</v>
      </c>
      <c r="B27" s="10" t="s">
        <v>80</v>
      </c>
    </row>
    <row r="28" spans="1:9" x14ac:dyDescent="0.25">
      <c r="A28" s="19">
        <f>203/250*60</f>
        <v>48.720000000000006</v>
      </c>
      <c r="B28" s="3" t="s">
        <v>54</v>
      </c>
      <c r="C28" s="2" t="s">
        <v>81</v>
      </c>
    </row>
    <row r="29" spans="1:9" x14ac:dyDescent="0.25">
      <c r="A29" s="19">
        <f>93/250*60</f>
        <v>22.32</v>
      </c>
      <c r="B29" s="3" t="s">
        <v>83</v>
      </c>
      <c r="C29" s="2" t="s">
        <v>144</v>
      </c>
    </row>
    <row r="30" spans="1:9" x14ac:dyDescent="0.25">
      <c r="A30" s="19">
        <f>143/250*60</f>
        <v>34.32</v>
      </c>
      <c r="B30" s="3" t="s">
        <v>55</v>
      </c>
      <c r="C30" s="2" t="s">
        <v>145</v>
      </c>
    </row>
    <row r="31" spans="1:9" x14ac:dyDescent="0.25">
      <c r="A31" s="19">
        <f>235/250*60</f>
        <v>56.4</v>
      </c>
      <c r="B31" s="3" t="s">
        <v>55</v>
      </c>
      <c r="C31" s="2" t="s">
        <v>93</v>
      </c>
    </row>
    <row r="32" spans="1:9" x14ac:dyDescent="0.25">
      <c r="A32" s="19">
        <f>299/250*60</f>
        <v>71.759999999999991</v>
      </c>
      <c r="B32" s="3" t="s">
        <v>55</v>
      </c>
      <c r="C32" s="2" t="s">
        <v>146</v>
      </c>
    </row>
    <row r="34" spans="2:10" x14ac:dyDescent="0.25">
      <c r="B34" s="7" t="s">
        <v>24</v>
      </c>
      <c r="C34" s="3"/>
      <c r="E34" s="7" t="s">
        <v>1</v>
      </c>
    </row>
    <row r="36" spans="2:10" x14ac:dyDescent="0.25">
      <c r="B36" s="1" t="s">
        <v>66</v>
      </c>
      <c r="C36" s="4" t="s">
        <v>78</v>
      </c>
      <c r="E36" s="1" t="s">
        <v>66</v>
      </c>
      <c r="F36" s="4" t="s">
        <v>78</v>
      </c>
      <c r="H36" s="2" t="b">
        <f>B36=E36</f>
        <v>1</v>
      </c>
      <c r="I36" s="2" t="b">
        <f>C36=F36</f>
        <v>1</v>
      </c>
    </row>
    <row r="37" spans="2:10" x14ac:dyDescent="0.25">
      <c r="B37" s="2" t="s">
        <v>15</v>
      </c>
      <c r="C37" s="50">
        <v>1779</v>
      </c>
      <c r="E37" s="2" t="s">
        <v>15</v>
      </c>
      <c r="F37" s="50">
        <v>1779</v>
      </c>
      <c r="H37" s="2" t="b">
        <f t="shared" ref="H37:H45" si="2">B37=E37</f>
        <v>1</v>
      </c>
      <c r="I37" s="2" t="b">
        <f t="shared" ref="I37:I45" si="3">C37=F37</f>
        <v>1</v>
      </c>
    </row>
    <row r="38" spans="2:10" x14ac:dyDescent="0.25">
      <c r="B38" s="2" t="s">
        <v>17</v>
      </c>
      <c r="C38" s="50">
        <v>4379</v>
      </c>
      <c r="E38" s="2" t="s">
        <v>17</v>
      </c>
      <c r="F38" s="50">
        <v>4379</v>
      </c>
      <c r="H38" s="2" t="b">
        <f t="shared" si="2"/>
        <v>1</v>
      </c>
      <c r="I38" s="2" t="b">
        <f t="shared" si="3"/>
        <v>1</v>
      </c>
    </row>
    <row r="39" spans="2:10" x14ac:dyDescent="0.25">
      <c r="B39" s="2" t="s">
        <v>140</v>
      </c>
      <c r="C39" s="50">
        <v>1260</v>
      </c>
      <c r="E39" s="2" t="s">
        <v>140</v>
      </c>
      <c r="F39" s="50">
        <v>1260</v>
      </c>
      <c r="H39" s="2" t="b">
        <f t="shared" si="2"/>
        <v>1</v>
      </c>
      <c r="I39" s="2" t="b">
        <f t="shared" si="3"/>
        <v>1</v>
      </c>
    </row>
    <row r="40" spans="2:10" x14ac:dyDescent="0.25">
      <c r="B40" s="2" t="s">
        <v>141</v>
      </c>
      <c r="C40" s="50">
        <v>1738</v>
      </c>
      <c r="E40" s="2" t="s">
        <v>141</v>
      </c>
      <c r="F40" s="50">
        <v>1738</v>
      </c>
      <c r="H40" s="2" t="b">
        <f t="shared" si="2"/>
        <v>1</v>
      </c>
      <c r="I40" s="2" t="b">
        <f t="shared" si="3"/>
        <v>1</v>
      </c>
    </row>
    <row r="41" spans="2:10" x14ac:dyDescent="0.25">
      <c r="B41" s="2" t="s">
        <v>22</v>
      </c>
      <c r="C41" s="50">
        <v>1353</v>
      </c>
      <c r="E41" s="2" t="s">
        <v>22</v>
      </c>
      <c r="F41" s="50">
        <v>1353</v>
      </c>
      <c r="H41" s="2" t="b">
        <f t="shared" si="2"/>
        <v>1</v>
      </c>
      <c r="I41" s="2" t="b">
        <f t="shared" si="3"/>
        <v>1</v>
      </c>
    </row>
    <row r="42" spans="2:10" x14ac:dyDescent="0.25">
      <c r="B42" s="2" t="s">
        <v>142</v>
      </c>
      <c r="C42" s="50">
        <v>837</v>
      </c>
      <c r="E42" s="2" t="s">
        <v>142</v>
      </c>
      <c r="F42" s="50">
        <v>837</v>
      </c>
      <c r="H42" s="2" t="b">
        <f t="shared" si="2"/>
        <v>1</v>
      </c>
      <c r="I42" s="2" t="b">
        <f t="shared" si="3"/>
        <v>1</v>
      </c>
    </row>
    <row r="43" spans="2:10" x14ac:dyDescent="0.25">
      <c r="B43" s="2" t="s">
        <v>21</v>
      </c>
      <c r="C43" s="50">
        <v>528</v>
      </c>
      <c r="E43" s="2" t="s">
        <v>21</v>
      </c>
      <c r="F43" s="50">
        <v>528</v>
      </c>
      <c r="H43" s="2" t="b">
        <f t="shared" si="2"/>
        <v>1</v>
      </c>
      <c r="I43" s="2" t="b">
        <f t="shared" si="3"/>
        <v>1</v>
      </c>
    </row>
    <row r="44" spans="2:10" x14ac:dyDescent="0.25">
      <c r="B44" s="2" t="s">
        <v>143</v>
      </c>
      <c r="C44" s="50">
        <v>303</v>
      </c>
      <c r="E44" s="2" t="s">
        <v>143</v>
      </c>
      <c r="F44" s="50">
        <v>303</v>
      </c>
      <c r="H44" s="2" t="b">
        <f t="shared" si="2"/>
        <v>1</v>
      </c>
      <c r="I44" s="2" t="b">
        <f t="shared" si="3"/>
        <v>1</v>
      </c>
      <c r="J44" s="73"/>
    </row>
    <row r="45" spans="2:10" x14ac:dyDescent="0.25">
      <c r="B45" s="2" t="s">
        <v>77</v>
      </c>
      <c r="C45" s="50">
        <f>SUM(C37:C44)</f>
        <v>12177</v>
      </c>
      <c r="E45" s="2" t="s">
        <v>77</v>
      </c>
      <c r="F45" s="50">
        <v>12177</v>
      </c>
      <c r="H45" s="2" t="b">
        <f t="shared" si="2"/>
        <v>1</v>
      </c>
      <c r="I45" s="2" t="b">
        <f t="shared" si="3"/>
        <v>1</v>
      </c>
    </row>
    <row r="47" spans="2:10" ht="14.4" x14ac:dyDescent="0.3">
      <c r="E47" s="4" t="s">
        <v>5</v>
      </c>
      <c r="F47" s="57">
        <f>20/20</f>
        <v>1</v>
      </c>
    </row>
    <row r="50" spans="1:9" x14ac:dyDescent="0.25">
      <c r="A50" s="71" t="s">
        <v>9</v>
      </c>
    </row>
    <row r="51" spans="1:9" x14ac:dyDescent="0.25">
      <c r="A51" s="8" t="s">
        <v>52</v>
      </c>
      <c r="B51" s="10" t="s">
        <v>167</v>
      </c>
    </row>
    <row r="52" spans="1:9" x14ac:dyDescent="0.25">
      <c r="A52" s="19">
        <f>203/250*60</f>
        <v>48.720000000000006</v>
      </c>
      <c r="B52" s="3" t="s">
        <v>54</v>
      </c>
      <c r="C52" s="2" t="s">
        <v>81</v>
      </c>
    </row>
    <row r="53" spans="1:9" x14ac:dyDescent="0.25">
      <c r="A53" s="19">
        <f>93/250*60</f>
        <v>22.32</v>
      </c>
      <c r="B53" s="3" t="s">
        <v>83</v>
      </c>
      <c r="C53" s="2" t="s">
        <v>144</v>
      </c>
    </row>
    <row r="54" spans="1:9" x14ac:dyDescent="0.25">
      <c r="A54" s="19">
        <f>143/250*60</f>
        <v>34.32</v>
      </c>
      <c r="B54" s="3" t="s">
        <v>55</v>
      </c>
      <c r="C54" s="2" t="s">
        <v>241</v>
      </c>
    </row>
    <row r="55" spans="1:9" x14ac:dyDescent="0.25">
      <c r="A55" s="19">
        <f>235/250*60</f>
        <v>56.4</v>
      </c>
      <c r="B55" s="3" t="s">
        <v>55</v>
      </c>
      <c r="C55" s="2" t="s">
        <v>93</v>
      </c>
    </row>
    <row r="56" spans="1:9" x14ac:dyDescent="0.25">
      <c r="A56" s="19">
        <f>299/250*60</f>
        <v>71.759999999999991</v>
      </c>
      <c r="B56" s="3" t="s">
        <v>55</v>
      </c>
      <c r="C56" s="2" t="s">
        <v>146</v>
      </c>
    </row>
    <row r="57" spans="1:9" x14ac:dyDescent="0.25">
      <c r="A57" s="19"/>
      <c r="B57" s="3"/>
    </row>
    <row r="58" spans="1:9" x14ac:dyDescent="0.25">
      <c r="A58" s="19"/>
      <c r="B58" s="7" t="s">
        <v>24</v>
      </c>
      <c r="C58" s="3"/>
      <c r="E58" s="7" t="s">
        <v>1</v>
      </c>
    </row>
    <row r="59" spans="1:9" x14ac:dyDescent="0.25">
      <c r="A59" s="19"/>
    </row>
    <row r="60" spans="1:9" x14ac:dyDescent="0.25">
      <c r="A60" s="19"/>
      <c r="B60" s="1" t="s">
        <v>66</v>
      </c>
      <c r="C60" s="4" t="s">
        <v>78</v>
      </c>
      <c r="E60" s="1" t="s">
        <v>66</v>
      </c>
      <c r="F60" s="4" t="s">
        <v>78</v>
      </c>
      <c r="H60" s="2" t="b">
        <f>B60=E60</f>
        <v>1</v>
      </c>
      <c r="I60" s="2" t="b">
        <f>C60=F60</f>
        <v>1</v>
      </c>
    </row>
    <row r="61" spans="1:9" x14ac:dyDescent="0.25">
      <c r="A61" s="19"/>
      <c r="B61" s="2" t="s">
        <v>15</v>
      </c>
      <c r="C61" s="50">
        <v>1802</v>
      </c>
      <c r="E61" s="2" t="s">
        <v>15</v>
      </c>
      <c r="F61" s="50">
        <v>1802</v>
      </c>
      <c r="H61" s="2" t="b">
        <f t="shared" ref="H61:H69" si="4">B61=E61</f>
        <v>1</v>
      </c>
      <c r="I61" s="2" t="b">
        <f t="shared" ref="I61:I69" si="5">C61=F61</f>
        <v>1</v>
      </c>
    </row>
    <row r="62" spans="1:9" x14ac:dyDescent="0.25">
      <c r="A62" s="19"/>
      <c r="B62" s="2" t="s">
        <v>17</v>
      </c>
      <c r="C62" s="50">
        <v>4288</v>
      </c>
      <c r="E62" s="2" t="s">
        <v>17</v>
      </c>
      <c r="F62" s="50">
        <v>4288</v>
      </c>
      <c r="H62" s="2" t="b">
        <f t="shared" si="4"/>
        <v>1</v>
      </c>
      <c r="I62" s="2" t="b">
        <f t="shared" si="5"/>
        <v>1</v>
      </c>
    </row>
    <row r="63" spans="1:9" x14ac:dyDescent="0.25">
      <c r="A63" s="19"/>
      <c r="B63" s="2" t="s">
        <v>140</v>
      </c>
      <c r="C63" s="50">
        <v>1299</v>
      </c>
      <c r="E63" s="2" t="s">
        <v>140</v>
      </c>
      <c r="F63" s="50">
        <v>1299</v>
      </c>
      <c r="H63" s="2" t="b">
        <f t="shared" si="4"/>
        <v>1</v>
      </c>
      <c r="I63" s="2" t="b">
        <f t="shared" si="5"/>
        <v>1</v>
      </c>
    </row>
    <row r="64" spans="1:9" x14ac:dyDescent="0.25">
      <c r="A64" s="19"/>
      <c r="B64" s="2" t="s">
        <v>141</v>
      </c>
      <c r="C64" s="50">
        <v>1802</v>
      </c>
      <c r="E64" s="2" t="s">
        <v>141</v>
      </c>
      <c r="F64" s="50">
        <v>1802</v>
      </c>
      <c r="H64" s="2" t="b">
        <f t="shared" si="4"/>
        <v>1</v>
      </c>
      <c r="I64" s="2" t="b">
        <f t="shared" si="5"/>
        <v>1</v>
      </c>
    </row>
    <row r="65" spans="1:9" x14ac:dyDescent="0.25">
      <c r="A65" s="19"/>
      <c r="B65" s="2" t="s">
        <v>22</v>
      </c>
      <c r="C65" s="50">
        <v>1271</v>
      </c>
      <c r="E65" s="2" t="s">
        <v>22</v>
      </c>
      <c r="F65" s="50">
        <v>1271</v>
      </c>
      <c r="H65" s="2" t="b">
        <f t="shared" si="4"/>
        <v>1</v>
      </c>
      <c r="I65" s="2" t="b">
        <f t="shared" si="5"/>
        <v>1</v>
      </c>
    </row>
    <row r="66" spans="1:9" x14ac:dyDescent="0.25">
      <c r="A66" s="19"/>
      <c r="B66" s="2" t="s">
        <v>142</v>
      </c>
      <c r="C66" s="50">
        <v>865</v>
      </c>
      <c r="E66" s="2" t="s">
        <v>142</v>
      </c>
      <c r="F66" s="50">
        <v>865</v>
      </c>
      <c r="H66" s="2" t="b">
        <f t="shared" si="4"/>
        <v>1</v>
      </c>
      <c r="I66" s="2" t="b">
        <f t="shared" si="5"/>
        <v>1</v>
      </c>
    </row>
    <row r="67" spans="1:9" x14ac:dyDescent="0.25">
      <c r="A67" s="19"/>
      <c r="B67" s="2" t="s">
        <v>21</v>
      </c>
      <c r="C67" s="50">
        <v>553</v>
      </c>
      <c r="E67" s="2" t="s">
        <v>21</v>
      </c>
      <c r="F67" s="50">
        <v>553</v>
      </c>
      <c r="H67" s="2" t="b">
        <f t="shared" si="4"/>
        <v>1</v>
      </c>
      <c r="I67" s="2" t="b">
        <f t="shared" si="5"/>
        <v>1</v>
      </c>
    </row>
    <row r="68" spans="1:9" x14ac:dyDescent="0.25">
      <c r="A68" s="19"/>
      <c r="B68" s="2" t="s">
        <v>143</v>
      </c>
      <c r="C68" s="50">
        <v>335</v>
      </c>
      <c r="E68" s="2" t="s">
        <v>143</v>
      </c>
      <c r="F68" s="50">
        <v>335</v>
      </c>
      <c r="H68" s="2" t="b">
        <f t="shared" si="4"/>
        <v>1</v>
      </c>
      <c r="I68" s="2" t="b">
        <f t="shared" si="5"/>
        <v>1</v>
      </c>
    </row>
    <row r="69" spans="1:9" x14ac:dyDescent="0.25">
      <c r="A69" s="19"/>
      <c r="B69" s="2" t="s">
        <v>77</v>
      </c>
      <c r="C69" s="50">
        <f>SUM(C61:C68)</f>
        <v>12215</v>
      </c>
      <c r="E69" s="2" t="s">
        <v>77</v>
      </c>
      <c r="F69" s="50">
        <f>SUM(F61:F68)</f>
        <v>12215</v>
      </c>
      <c r="H69" s="2" t="b">
        <f t="shared" si="4"/>
        <v>1</v>
      </c>
      <c r="I69" s="2" t="b">
        <f t="shared" si="5"/>
        <v>1</v>
      </c>
    </row>
    <row r="70" spans="1:9" x14ac:dyDescent="0.25">
      <c r="A70" s="19"/>
    </row>
    <row r="71" spans="1:9" ht="14.4" x14ac:dyDescent="0.3">
      <c r="A71" s="19"/>
      <c r="E71" s="4" t="s">
        <v>5</v>
      </c>
      <c r="F71" s="57">
        <f>20/20</f>
        <v>1</v>
      </c>
    </row>
    <row r="72" spans="1:9" x14ac:dyDescent="0.25">
      <c r="A72" s="19"/>
      <c r="B72" s="3"/>
    </row>
    <row r="73" spans="1:9" x14ac:dyDescent="0.25">
      <c r="A73" s="19"/>
      <c r="B73" s="3"/>
    </row>
    <row r="74" spans="1:9" x14ac:dyDescent="0.25">
      <c r="A74" s="19"/>
      <c r="B74" s="3"/>
    </row>
    <row r="76" spans="1:9" x14ac:dyDescent="0.25">
      <c r="A76" s="71" t="s">
        <v>10</v>
      </c>
    </row>
    <row r="77" spans="1:9" x14ac:dyDescent="0.25">
      <c r="A77" s="8" t="s">
        <v>52</v>
      </c>
      <c r="B77" s="10" t="s">
        <v>172</v>
      </c>
    </row>
    <row r="78" spans="1:9" x14ac:dyDescent="0.25">
      <c r="A78" s="19">
        <f>203/250*60</f>
        <v>48.720000000000006</v>
      </c>
      <c r="B78" s="3" t="s">
        <v>54</v>
      </c>
      <c r="C78" s="2" t="s">
        <v>81</v>
      </c>
    </row>
    <row r="79" spans="1:9" x14ac:dyDescent="0.25">
      <c r="A79" s="19">
        <f>93/250*60</f>
        <v>22.32</v>
      </c>
      <c r="B79" s="3" t="s">
        <v>83</v>
      </c>
      <c r="C79" s="2" t="s">
        <v>144</v>
      </c>
    </row>
    <row r="80" spans="1:9" x14ac:dyDescent="0.25">
      <c r="A80" s="19">
        <f>143/250*60</f>
        <v>34.32</v>
      </c>
      <c r="B80" s="3" t="s">
        <v>55</v>
      </c>
      <c r="C80" s="2" t="s">
        <v>240</v>
      </c>
    </row>
    <row r="81" spans="1:9" x14ac:dyDescent="0.25">
      <c r="A81" s="19">
        <f>235/250*60</f>
        <v>56.4</v>
      </c>
      <c r="B81" s="3" t="s">
        <v>55</v>
      </c>
      <c r="C81" s="2" t="s">
        <v>93</v>
      </c>
    </row>
    <row r="82" spans="1:9" x14ac:dyDescent="0.25">
      <c r="A82" s="19">
        <f>299/250*60</f>
        <v>71.759999999999991</v>
      </c>
      <c r="B82" s="3" t="s">
        <v>55</v>
      </c>
      <c r="C82" s="2" t="s">
        <v>146</v>
      </c>
    </row>
    <row r="83" spans="1:9" x14ac:dyDescent="0.25">
      <c r="A83" s="19"/>
      <c r="B83" s="3"/>
    </row>
    <row r="84" spans="1:9" x14ac:dyDescent="0.25">
      <c r="A84" s="19"/>
      <c r="B84" s="3"/>
    </row>
    <row r="85" spans="1:9" x14ac:dyDescent="0.25">
      <c r="A85" s="19"/>
      <c r="B85" s="7" t="s">
        <v>24</v>
      </c>
      <c r="C85" s="3"/>
      <c r="E85" s="7" t="s">
        <v>1</v>
      </c>
    </row>
    <row r="86" spans="1:9" x14ac:dyDescent="0.25">
      <c r="A86" s="19"/>
    </row>
    <row r="87" spans="1:9" x14ac:dyDescent="0.25">
      <c r="A87" s="19"/>
      <c r="B87" s="1" t="s">
        <v>66</v>
      </c>
      <c r="C87" s="4" t="s">
        <v>78</v>
      </c>
      <c r="E87" s="1" t="s">
        <v>66</v>
      </c>
      <c r="F87" s="4" t="s">
        <v>78</v>
      </c>
      <c r="H87" s="2" t="b">
        <f>B87=E87</f>
        <v>1</v>
      </c>
      <c r="I87" s="2" t="b">
        <f>C87=F87</f>
        <v>1</v>
      </c>
    </row>
    <row r="88" spans="1:9" x14ac:dyDescent="0.25">
      <c r="A88" s="19"/>
      <c r="B88" s="2" t="s">
        <v>15</v>
      </c>
      <c r="C88" s="50">
        <v>1852</v>
      </c>
      <c r="E88" s="2" t="s">
        <v>15</v>
      </c>
      <c r="F88" s="50">
        <v>1852</v>
      </c>
      <c r="H88" s="2" t="b">
        <f t="shared" ref="H88:H96" si="6">B88=E88</f>
        <v>1</v>
      </c>
      <c r="I88" s="2" t="b">
        <f t="shared" ref="I88:I96" si="7">C88=F88</f>
        <v>1</v>
      </c>
    </row>
    <row r="89" spans="1:9" x14ac:dyDescent="0.25">
      <c r="A89" s="19"/>
      <c r="B89" s="2" t="s">
        <v>17</v>
      </c>
      <c r="C89" s="50">
        <v>4199</v>
      </c>
      <c r="E89" s="2" t="s">
        <v>17</v>
      </c>
      <c r="F89" s="50">
        <v>4199</v>
      </c>
      <c r="H89" s="2" t="b">
        <f t="shared" si="6"/>
        <v>1</v>
      </c>
      <c r="I89" s="2" t="b">
        <f t="shared" si="7"/>
        <v>1</v>
      </c>
    </row>
    <row r="90" spans="1:9" x14ac:dyDescent="0.25">
      <c r="A90" s="19"/>
      <c r="B90" s="2" t="s">
        <v>140</v>
      </c>
      <c r="C90" s="50">
        <v>1303</v>
      </c>
      <c r="E90" s="2" t="s">
        <v>140</v>
      </c>
      <c r="F90" s="50">
        <v>1303</v>
      </c>
      <c r="H90" s="2" t="b">
        <f t="shared" si="6"/>
        <v>1</v>
      </c>
      <c r="I90" s="2" t="b">
        <f t="shared" si="7"/>
        <v>1</v>
      </c>
    </row>
    <row r="91" spans="1:9" x14ac:dyDescent="0.25">
      <c r="A91" s="19"/>
      <c r="B91" s="2" t="s">
        <v>141</v>
      </c>
      <c r="C91" s="50">
        <v>1791</v>
      </c>
      <c r="E91" s="2" t="s">
        <v>141</v>
      </c>
      <c r="F91" s="50">
        <v>1791</v>
      </c>
      <c r="H91" s="2" t="b">
        <f t="shared" si="6"/>
        <v>1</v>
      </c>
      <c r="I91" s="2" t="b">
        <f t="shared" si="7"/>
        <v>1</v>
      </c>
    </row>
    <row r="92" spans="1:9" x14ac:dyDescent="0.25">
      <c r="A92" s="19"/>
      <c r="B92" s="2" t="s">
        <v>22</v>
      </c>
      <c r="C92" s="50">
        <v>1294</v>
      </c>
      <c r="E92" s="2" t="s">
        <v>22</v>
      </c>
      <c r="F92" s="50">
        <v>1294</v>
      </c>
      <c r="H92" s="2" t="b">
        <f t="shared" si="6"/>
        <v>1</v>
      </c>
      <c r="I92" s="2" t="b">
        <f t="shared" si="7"/>
        <v>1</v>
      </c>
    </row>
    <row r="93" spans="1:9" x14ac:dyDescent="0.25">
      <c r="A93" s="19"/>
      <c r="B93" s="2" t="s">
        <v>142</v>
      </c>
      <c r="C93" s="50">
        <v>872</v>
      </c>
      <c r="E93" s="2" t="s">
        <v>142</v>
      </c>
      <c r="F93" s="50">
        <v>872</v>
      </c>
      <c r="H93" s="2" t="b">
        <f t="shared" si="6"/>
        <v>1</v>
      </c>
      <c r="I93" s="2" t="b">
        <f t="shared" si="7"/>
        <v>1</v>
      </c>
    </row>
    <row r="94" spans="1:9" x14ac:dyDescent="0.25">
      <c r="A94" s="19"/>
      <c r="B94" s="2" t="s">
        <v>21</v>
      </c>
      <c r="C94" s="50">
        <v>580</v>
      </c>
      <c r="E94" s="2" t="s">
        <v>21</v>
      </c>
      <c r="F94" s="50">
        <v>580</v>
      </c>
      <c r="H94" s="2" t="b">
        <f t="shared" si="6"/>
        <v>1</v>
      </c>
      <c r="I94" s="2" t="b">
        <f t="shared" si="7"/>
        <v>1</v>
      </c>
    </row>
    <row r="95" spans="1:9" x14ac:dyDescent="0.25">
      <c r="A95" s="19"/>
      <c r="B95" s="2" t="s">
        <v>143</v>
      </c>
      <c r="C95" s="50">
        <v>303</v>
      </c>
      <c r="E95" s="2" t="s">
        <v>143</v>
      </c>
      <c r="F95" s="50">
        <v>303</v>
      </c>
      <c r="H95" s="2" t="b">
        <f t="shared" si="6"/>
        <v>1</v>
      </c>
      <c r="I95" s="2" t="b">
        <f t="shared" si="7"/>
        <v>1</v>
      </c>
    </row>
    <row r="96" spans="1:9" x14ac:dyDescent="0.25">
      <c r="A96" s="19"/>
      <c r="B96" s="2" t="s">
        <v>77</v>
      </c>
      <c r="C96" s="50">
        <f>SUM(C88:C95)</f>
        <v>12194</v>
      </c>
      <c r="E96" s="2" t="s">
        <v>77</v>
      </c>
      <c r="F96" s="50">
        <f>SUM(F88:F95)</f>
        <v>12194</v>
      </c>
      <c r="H96" s="2" t="b">
        <f t="shared" si="6"/>
        <v>1</v>
      </c>
      <c r="I96" s="2" t="b">
        <f t="shared" si="7"/>
        <v>1</v>
      </c>
    </row>
    <row r="97" spans="1:6" x14ac:dyDescent="0.25">
      <c r="A97" s="19"/>
    </row>
    <row r="98" spans="1:6" ht="14.4" x14ac:dyDescent="0.3">
      <c r="A98" s="19"/>
      <c r="E98" s="4" t="s">
        <v>5</v>
      </c>
      <c r="F98" s="57">
        <f>20/20</f>
        <v>1</v>
      </c>
    </row>
    <row r="99" spans="1:6" x14ac:dyDescent="0.25">
      <c r="A99" s="19"/>
      <c r="B99" s="3"/>
    </row>
    <row r="100" spans="1:6" x14ac:dyDescent="0.25">
      <c r="A100" s="19"/>
      <c r="B100" s="3"/>
    </row>
    <row r="101" spans="1:6" x14ac:dyDescent="0.25">
      <c r="A101" s="19"/>
      <c r="B101" s="3"/>
    </row>
    <row r="102" spans="1:6" x14ac:dyDescent="0.25">
      <c r="A102" s="19"/>
      <c r="B102" s="3"/>
    </row>
    <row r="103" spans="1:6" x14ac:dyDescent="0.25">
      <c r="A103" s="19"/>
      <c r="B103" s="3"/>
    </row>
    <row r="104" spans="1:6" x14ac:dyDescent="0.25">
      <c r="A104" s="19"/>
      <c r="B104" s="3"/>
    </row>
    <row r="105" spans="1:6" x14ac:dyDescent="0.25">
      <c r="A105" s="19"/>
      <c r="B105" s="3"/>
    </row>
    <row r="106" spans="1:6" x14ac:dyDescent="0.25">
      <c r="A106" s="19"/>
      <c r="B106" s="3"/>
    </row>
    <row r="107" spans="1:6" x14ac:dyDescent="0.25">
      <c r="A107" s="19"/>
      <c r="B107" s="3"/>
    </row>
    <row r="108" spans="1:6" x14ac:dyDescent="0.25">
      <c r="A108" s="19"/>
      <c r="B108" s="3"/>
    </row>
    <row r="109" spans="1:6" x14ac:dyDescent="0.25">
      <c r="A109" s="19"/>
      <c r="B109" s="3"/>
    </row>
    <row r="110" spans="1:6" x14ac:dyDescent="0.25">
      <c r="A110" s="19"/>
      <c r="B110" s="3"/>
    </row>
    <row r="113" spans="2:3" x14ac:dyDescent="0.25">
      <c r="B113" s="10" t="s">
        <v>174</v>
      </c>
      <c r="C113" s="2">
        <v>1000</v>
      </c>
    </row>
    <row r="128" spans="2:3" x14ac:dyDescent="0.25">
      <c r="B128" s="10"/>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1B148-8A83-45DD-8C02-2603745DB65E}">
  <dimension ref="A1:I100"/>
  <sheetViews>
    <sheetView showGridLines="0" workbookViewId="0">
      <selection activeCell="J27" sqref="J27"/>
    </sheetView>
  </sheetViews>
  <sheetFormatPr defaultRowHeight="13.8" x14ac:dyDescent="0.25"/>
  <cols>
    <col min="1" max="1" width="12" style="2" bestFit="1" customWidth="1"/>
    <col min="2" max="2" width="17.33203125" style="2" customWidth="1"/>
    <col min="3" max="3" width="10.88671875" style="2" customWidth="1"/>
    <col min="4" max="4" width="8.88671875" style="2"/>
    <col min="5" max="5" width="15.88671875" style="2" bestFit="1" customWidth="1"/>
    <col min="6" max="6" width="11.21875" style="2" bestFit="1" customWidth="1"/>
    <col min="7" max="7" width="8.88671875" style="2"/>
    <col min="8" max="8" width="6.5546875" style="2" bestFit="1" customWidth="1"/>
    <col min="9" max="9" width="6.77734375" style="2" bestFit="1" customWidth="1"/>
    <col min="10" max="10" width="15.88671875" style="2" bestFit="1" customWidth="1"/>
    <col min="11" max="11" width="11.21875" style="2" bestFit="1" customWidth="1"/>
    <col min="12" max="12" width="4" style="2" bestFit="1" customWidth="1"/>
    <col min="13" max="13" width="8" style="2" bestFit="1" customWidth="1"/>
    <col min="14" max="14" width="7.88671875" style="2" bestFit="1" customWidth="1"/>
    <col min="15" max="16384" width="8.88671875" style="2"/>
  </cols>
  <sheetData>
    <row r="1" spans="1:9" x14ac:dyDescent="0.25">
      <c r="A1" s="71" t="s">
        <v>8</v>
      </c>
    </row>
    <row r="2" spans="1:9" x14ac:dyDescent="0.25">
      <c r="A2" s="8" t="s">
        <v>52</v>
      </c>
      <c r="B2" s="10" t="s">
        <v>173</v>
      </c>
    </row>
    <row r="3" spans="1:9" x14ac:dyDescent="0.25">
      <c r="A3" s="19">
        <f>203/250*60</f>
        <v>48.720000000000006</v>
      </c>
      <c r="B3" s="3" t="s">
        <v>54</v>
      </c>
      <c r="C3" s="2" t="s">
        <v>81</v>
      </c>
    </row>
    <row r="4" spans="1:9" x14ac:dyDescent="0.25">
      <c r="A4" s="19">
        <f>103/250*60</f>
        <v>24.72</v>
      </c>
      <c r="B4" s="3" t="s">
        <v>83</v>
      </c>
      <c r="C4" s="2" t="s">
        <v>137</v>
      </c>
    </row>
    <row r="5" spans="1:9" x14ac:dyDescent="0.25">
      <c r="A5" s="19">
        <f>143/250*60</f>
        <v>34.32</v>
      </c>
      <c r="B5" s="3" t="s">
        <v>55</v>
      </c>
      <c r="C5" s="2" t="s">
        <v>236</v>
      </c>
    </row>
    <row r="6" spans="1:9" x14ac:dyDescent="0.25">
      <c r="A6" s="19">
        <f>235/250*60</f>
        <v>56.4</v>
      </c>
      <c r="B6" s="3" t="s">
        <v>55</v>
      </c>
      <c r="C6" s="2" t="s">
        <v>45</v>
      </c>
    </row>
    <row r="7" spans="1:9" x14ac:dyDescent="0.25">
      <c r="A7" s="19">
        <f>182/250*60</f>
        <v>43.68</v>
      </c>
      <c r="B7" s="3" t="s">
        <v>55</v>
      </c>
      <c r="C7" s="2" t="s">
        <v>234</v>
      </c>
    </row>
    <row r="9" spans="1:9" x14ac:dyDescent="0.25">
      <c r="B9" s="7" t="s">
        <v>24</v>
      </c>
      <c r="C9" s="3">
        <v>1000</v>
      </c>
      <c r="E9" s="7" t="s">
        <v>1</v>
      </c>
    </row>
    <row r="11" spans="1:9" x14ac:dyDescent="0.25">
      <c r="B11" s="1" t="s">
        <v>66</v>
      </c>
      <c r="C11" s="4" t="s">
        <v>78</v>
      </c>
      <c r="E11" s="1" t="s">
        <v>66</v>
      </c>
      <c r="F11" s="4" t="s">
        <v>78</v>
      </c>
      <c r="H11" s="2" t="b">
        <f>B11=E11</f>
        <v>1</v>
      </c>
      <c r="I11" s="2" t="b">
        <f>C11=F11</f>
        <v>1</v>
      </c>
    </row>
    <row r="12" spans="1:9" x14ac:dyDescent="0.25">
      <c r="B12" s="2" t="s">
        <v>17</v>
      </c>
      <c r="C12" s="55">
        <v>5.7</v>
      </c>
      <c r="E12" s="2" t="s">
        <v>17</v>
      </c>
      <c r="F12" s="55">
        <v>5.7</v>
      </c>
      <c r="H12" s="2" t="b">
        <f t="shared" ref="H12:H19" si="0">B12=E12</f>
        <v>1</v>
      </c>
      <c r="I12" s="2" t="b">
        <f t="shared" ref="I12:I19" si="1">C12=F12</f>
        <v>1</v>
      </c>
    </row>
    <row r="13" spans="1:9" x14ac:dyDescent="0.25">
      <c r="B13" s="2" t="s">
        <v>115</v>
      </c>
      <c r="C13" s="55">
        <v>3.7</v>
      </c>
      <c r="E13" s="2" t="s">
        <v>115</v>
      </c>
      <c r="F13" s="55">
        <v>3.7</v>
      </c>
      <c r="H13" s="2" t="b">
        <f t="shared" si="0"/>
        <v>1</v>
      </c>
      <c r="I13" s="2" t="b">
        <f t="shared" si="1"/>
        <v>1</v>
      </c>
    </row>
    <row r="14" spans="1:9" x14ac:dyDescent="0.25">
      <c r="B14" s="2" t="s">
        <v>134</v>
      </c>
      <c r="C14" s="55">
        <v>2.5</v>
      </c>
      <c r="E14" s="2" t="s">
        <v>134</v>
      </c>
      <c r="F14" s="55">
        <v>2.5</v>
      </c>
      <c r="H14" s="2" t="b">
        <f t="shared" si="0"/>
        <v>1</v>
      </c>
      <c r="I14" s="2" t="b">
        <f t="shared" si="1"/>
        <v>1</v>
      </c>
    </row>
    <row r="15" spans="1:9" x14ac:dyDescent="0.25">
      <c r="B15" s="2" t="s">
        <v>16</v>
      </c>
      <c r="C15" s="55">
        <v>3.6</v>
      </c>
      <c r="E15" s="2" t="s">
        <v>16</v>
      </c>
      <c r="F15" s="55">
        <v>3.6</v>
      </c>
      <c r="H15" s="2" t="b">
        <f t="shared" si="0"/>
        <v>1</v>
      </c>
      <c r="I15" s="2" t="b">
        <f t="shared" si="1"/>
        <v>1</v>
      </c>
    </row>
    <row r="16" spans="1:9" x14ac:dyDescent="0.25">
      <c r="B16" s="2" t="s">
        <v>18</v>
      </c>
      <c r="C16" s="55">
        <v>2</v>
      </c>
      <c r="E16" s="2" t="s">
        <v>18</v>
      </c>
      <c r="F16" s="55">
        <v>2</v>
      </c>
      <c r="H16" s="2" t="b">
        <f t="shared" si="0"/>
        <v>1</v>
      </c>
      <c r="I16" s="2" t="b">
        <f t="shared" si="1"/>
        <v>1</v>
      </c>
    </row>
    <row r="17" spans="1:9" x14ac:dyDescent="0.25">
      <c r="B17" s="2" t="s">
        <v>19</v>
      </c>
      <c r="C17" s="55">
        <v>0.9</v>
      </c>
      <c r="E17" s="2" t="s">
        <v>19</v>
      </c>
      <c r="F17" s="55">
        <v>0.9</v>
      </c>
      <c r="H17" s="2" t="b">
        <f t="shared" si="0"/>
        <v>1</v>
      </c>
      <c r="I17" s="2" t="b">
        <f t="shared" si="1"/>
        <v>1</v>
      </c>
    </row>
    <row r="18" spans="1:9" x14ac:dyDescent="0.25">
      <c r="B18" s="2" t="s">
        <v>22</v>
      </c>
      <c r="C18" s="55">
        <v>4.5</v>
      </c>
      <c r="E18" s="2" t="s">
        <v>22</v>
      </c>
      <c r="F18" s="55">
        <v>4.5</v>
      </c>
      <c r="H18" s="2" t="b">
        <f t="shared" si="0"/>
        <v>1</v>
      </c>
      <c r="I18" s="2" t="b">
        <f t="shared" si="1"/>
        <v>1</v>
      </c>
    </row>
    <row r="19" spans="1:9" x14ac:dyDescent="0.25">
      <c r="B19" s="2" t="s">
        <v>77</v>
      </c>
      <c r="C19" s="55">
        <f>SUM(C12:C18)</f>
        <v>22.9</v>
      </c>
      <c r="E19" s="2" t="s">
        <v>77</v>
      </c>
      <c r="F19" s="55">
        <f>SUM(F12:F18)</f>
        <v>22.9</v>
      </c>
      <c r="H19" s="2" t="b">
        <f t="shared" si="0"/>
        <v>1</v>
      </c>
      <c r="I19" s="2" t="b">
        <f t="shared" si="1"/>
        <v>1</v>
      </c>
    </row>
    <row r="20" spans="1:9" x14ac:dyDescent="0.25">
      <c r="C20" s="55"/>
      <c r="F20" s="55"/>
    </row>
    <row r="21" spans="1:9" x14ac:dyDescent="0.25">
      <c r="C21" s="55"/>
      <c r="E21" s="8" t="s">
        <v>5</v>
      </c>
      <c r="F21" s="14">
        <f>18/18</f>
        <v>1</v>
      </c>
    </row>
    <row r="25" spans="1:9" x14ac:dyDescent="0.25">
      <c r="A25" s="71" t="s">
        <v>7</v>
      </c>
    </row>
    <row r="26" spans="1:9" x14ac:dyDescent="0.25">
      <c r="A26" s="8" t="s">
        <v>52</v>
      </c>
      <c r="B26" s="10" t="s">
        <v>80</v>
      </c>
    </row>
    <row r="27" spans="1:9" x14ac:dyDescent="0.25">
      <c r="A27" s="19">
        <f>203/250*60</f>
        <v>48.720000000000006</v>
      </c>
      <c r="B27" s="3" t="s">
        <v>54</v>
      </c>
      <c r="C27" s="2" t="s">
        <v>81</v>
      </c>
    </row>
    <row r="28" spans="1:9" x14ac:dyDescent="0.25">
      <c r="A28" s="19">
        <f>103/250*60</f>
        <v>24.72</v>
      </c>
      <c r="B28" s="3" t="s">
        <v>83</v>
      </c>
      <c r="C28" s="2" t="s">
        <v>137</v>
      </c>
    </row>
    <row r="29" spans="1:9" x14ac:dyDescent="0.25">
      <c r="A29" s="19">
        <f>143/250*60</f>
        <v>34.32</v>
      </c>
      <c r="B29" s="3" t="s">
        <v>55</v>
      </c>
      <c r="C29" s="2" t="s">
        <v>138</v>
      </c>
    </row>
    <row r="30" spans="1:9" x14ac:dyDescent="0.25">
      <c r="A30" s="19">
        <f>235/250*60</f>
        <v>56.4</v>
      </c>
      <c r="B30" s="3" t="s">
        <v>55</v>
      </c>
      <c r="C30" s="2" t="s">
        <v>45</v>
      </c>
    </row>
    <row r="31" spans="1:9" x14ac:dyDescent="0.25">
      <c r="A31" s="19">
        <f>145/250*60</f>
        <v>34.799999999999997</v>
      </c>
      <c r="B31" s="3" t="s">
        <v>55</v>
      </c>
      <c r="C31" s="2" t="s">
        <v>139</v>
      </c>
    </row>
    <row r="33" spans="1:9" x14ac:dyDescent="0.25">
      <c r="B33" s="7" t="s">
        <v>24</v>
      </c>
      <c r="C33" s="3">
        <v>1000</v>
      </c>
      <c r="E33" s="7" t="s">
        <v>1</v>
      </c>
    </row>
    <row r="35" spans="1:9" x14ac:dyDescent="0.25">
      <c r="B35" s="1" t="s">
        <v>66</v>
      </c>
      <c r="C35" s="4" t="s">
        <v>78</v>
      </c>
      <c r="E35" s="1" t="s">
        <v>66</v>
      </c>
      <c r="F35" s="4" t="s">
        <v>78</v>
      </c>
      <c r="H35" s="2" t="b">
        <f>B35=E35</f>
        <v>1</v>
      </c>
      <c r="I35" s="2" t="b">
        <f>C35=F35</f>
        <v>1</v>
      </c>
    </row>
    <row r="36" spans="1:9" x14ac:dyDescent="0.25">
      <c r="B36" s="2" t="s">
        <v>17</v>
      </c>
      <c r="C36" s="55">
        <v>5.7</v>
      </c>
      <c r="E36" s="2" t="s">
        <v>17</v>
      </c>
      <c r="F36" s="55">
        <v>5.7</v>
      </c>
      <c r="H36" s="2" t="b">
        <f t="shared" ref="H36:H43" si="2">B36=E36</f>
        <v>1</v>
      </c>
      <c r="I36" s="2" t="b">
        <f t="shared" ref="I36:I43" si="3">C36=F36</f>
        <v>1</v>
      </c>
    </row>
    <row r="37" spans="1:9" x14ac:dyDescent="0.25">
      <c r="B37" s="2" t="s">
        <v>115</v>
      </c>
      <c r="C37" s="55">
        <v>3.7</v>
      </c>
      <c r="E37" s="2" t="s">
        <v>115</v>
      </c>
      <c r="F37" s="55">
        <v>3.7</v>
      </c>
      <c r="H37" s="2" t="b">
        <f t="shared" si="2"/>
        <v>1</v>
      </c>
      <c r="I37" s="2" t="b">
        <f t="shared" si="3"/>
        <v>1</v>
      </c>
    </row>
    <row r="38" spans="1:9" x14ac:dyDescent="0.25">
      <c r="B38" s="2" t="s">
        <v>134</v>
      </c>
      <c r="C38" s="55">
        <v>2.5</v>
      </c>
      <c r="E38" s="2" t="s">
        <v>134</v>
      </c>
      <c r="F38" s="55">
        <v>2.5</v>
      </c>
      <c r="H38" s="2" t="b">
        <f t="shared" si="2"/>
        <v>1</v>
      </c>
      <c r="I38" s="2" t="b">
        <f t="shared" si="3"/>
        <v>1</v>
      </c>
    </row>
    <row r="39" spans="1:9" x14ac:dyDescent="0.25">
      <c r="B39" s="2" t="s">
        <v>16</v>
      </c>
      <c r="C39" s="55">
        <v>3.5</v>
      </c>
      <c r="E39" s="2" t="s">
        <v>16</v>
      </c>
      <c r="F39" s="55">
        <v>3.5</v>
      </c>
      <c r="H39" s="2" t="b">
        <f t="shared" si="2"/>
        <v>1</v>
      </c>
      <c r="I39" s="2" t="b">
        <f t="shared" si="3"/>
        <v>1</v>
      </c>
    </row>
    <row r="40" spans="1:9" x14ac:dyDescent="0.25">
      <c r="B40" s="2" t="s">
        <v>18</v>
      </c>
      <c r="C40" s="55">
        <v>2</v>
      </c>
      <c r="E40" s="2" t="s">
        <v>18</v>
      </c>
      <c r="F40" s="55">
        <v>2</v>
      </c>
      <c r="H40" s="2" t="b">
        <f t="shared" si="2"/>
        <v>1</v>
      </c>
      <c r="I40" s="2" t="b">
        <f t="shared" si="3"/>
        <v>1</v>
      </c>
    </row>
    <row r="41" spans="1:9" x14ac:dyDescent="0.25">
      <c r="B41" s="2" t="s">
        <v>19</v>
      </c>
      <c r="C41" s="55">
        <v>0.9</v>
      </c>
      <c r="E41" s="2" t="s">
        <v>19</v>
      </c>
      <c r="F41" s="55">
        <v>0.9</v>
      </c>
      <c r="H41" s="2" t="b">
        <f t="shared" si="2"/>
        <v>1</v>
      </c>
      <c r="I41" s="2" t="b">
        <f t="shared" si="3"/>
        <v>1</v>
      </c>
    </row>
    <row r="42" spans="1:9" x14ac:dyDescent="0.25">
      <c r="B42" s="2" t="s">
        <v>22</v>
      </c>
      <c r="C42" s="55">
        <v>4.4000000000000004</v>
      </c>
      <c r="E42" s="2" t="s">
        <v>22</v>
      </c>
      <c r="F42" s="55">
        <v>4.4000000000000004</v>
      </c>
      <c r="H42" s="2" t="b">
        <f t="shared" si="2"/>
        <v>1</v>
      </c>
      <c r="I42" s="2" t="b">
        <f t="shared" si="3"/>
        <v>1</v>
      </c>
    </row>
    <row r="43" spans="1:9" x14ac:dyDescent="0.25">
      <c r="B43" s="2" t="s">
        <v>77</v>
      </c>
      <c r="C43" s="55">
        <v>22.7</v>
      </c>
      <c r="E43" s="2" t="s">
        <v>77</v>
      </c>
      <c r="F43" s="55">
        <v>22.7</v>
      </c>
      <c r="H43" s="2" t="b">
        <f t="shared" si="2"/>
        <v>1</v>
      </c>
      <c r="I43" s="2" t="b">
        <f t="shared" si="3"/>
        <v>1</v>
      </c>
    </row>
    <row r="44" spans="1:9" x14ac:dyDescent="0.25">
      <c r="C44" s="55"/>
      <c r="F44" s="55"/>
    </row>
    <row r="45" spans="1:9" x14ac:dyDescent="0.25">
      <c r="C45" s="55"/>
      <c r="E45" s="8" t="s">
        <v>5</v>
      </c>
      <c r="F45" s="14">
        <f>18/18</f>
        <v>1</v>
      </c>
    </row>
    <row r="46" spans="1:9" x14ac:dyDescent="0.25">
      <c r="C46" s="55"/>
      <c r="F46" s="55"/>
    </row>
    <row r="48" spans="1:9" x14ac:dyDescent="0.25">
      <c r="A48" s="71" t="s">
        <v>9</v>
      </c>
    </row>
    <row r="49" spans="1:9" x14ac:dyDescent="0.25">
      <c r="A49" s="8" t="s">
        <v>52</v>
      </c>
      <c r="B49" s="10" t="s">
        <v>167</v>
      </c>
    </row>
    <row r="50" spans="1:9" x14ac:dyDescent="0.25">
      <c r="A50" s="19">
        <f>203/250*60</f>
        <v>48.720000000000006</v>
      </c>
      <c r="B50" s="3" t="s">
        <v>54</v>
      </c>
      <c r="C50" s="2" t="s">
        <v>81</v>
      </c>
    </row>
    <row r="51" spans="1:9" x14ac:dyDescent="0.25">
      <c r="A51" s="19">
        <f>103/250*60</f>
        <v>24.72</v>
      </c>
      <c r="B51" s="3" t="s">
        <v>83</v>
      </c>
      <c r="C51" s="2" t="s">
        <v>137</v>
      </c>
    </row>
    <row r="52" spans="1:9" x14ac:dyDescent="0.25">
      <c r="A52" s="19">
        <f>143/250*60</f>
        <v>34.32</v>
      </c>
      <c r="B52" s="3" t="s">
        <v>55</v>
      </c>
      <c r="C52" s="2" t="s">
        <v>233</v>
      </c>
    </row>
    <row r="53" spans="1:9" x14ac:dyDescent="0.25">
      <c r="A53" s="19">
        <f>235/250*60</f>
        <v>56.4</v>
      </c>
      <c r="B53" s="3" t="s">
        <v>55</v>
      </c>
      <c r="C53" s="2" t="s">
        <v>45</v>
      </c>
    </row>
    <row r="54" spans="1:9" x14ac:dyDescent="0.25">
      <c r="A54" s="19">
        <f>182/250*60</f>
        <v>43.68</v>
      </c>
      <c r="B54" s="3" t="s">
        <v>55</v>
      </c>
      <c r="C54" s="2" t="s">
        <v>234</v>
      </c>
    </row>
    <row r="56" spans="1:9" x14ac:dyDescent="0.25">
      <c r="B56" s="7" t="s">
        <v>24</v>
      </c>
      <c r="C56" s="3">
        <v>1000</v>
      </c>
      <c r="E56" s="7" t="s">
        <v>1</v>
      </c>
    </row>
    <row r="58" spans="1:9" x14ac:dyDescent="0.25">
      <c r="B58" s="1" t="s">
        <v>66</v>
      </c>
      <c r="C58" s="4" t="s">
        <v>78</v>
      </c>
      <c r="E58" s="1" t="s">
        <v>66</v>
      </c>
      <c r="F58" s="4" t="s">
        <v>78</v>
      </c>
      <c r="H58" s="2" t="b">
        <f>B58=E58</f>
        <v>1</v>
      </c>
      <c r="I58" s="2" t="b">
        <f>C58=F58</f>
        <v>1</v>
      </c>
    </row>
    <row r="59" spans="1:9" x14ac:dyDescent="0.25">
      <c r="B59" s="2" t="s">
        <v>17</v>
      </c>
      <c r="C59" s="55">
        <v>5.5</v>
      </c>
      <c r="E59" s="2" t="s">
        <v>17</v>
      </c>
      <c r="F59" s="55">
        <v>5.5</v>
      </c>
      <c r="H59" s="2" t="b">
        <f t="shared" ref="H59:H66" si="4">B59=E59</f>
        <v>1</v>
      </c>
      <c r="I59" s="2" t="b">
        <f t="shared" ref="I59:I66" si="5">C59=F59</f>
        <v>1</v>
      </c>
    </row>
    <row r="60" spans="1:9" x14ac:dyDescent="0.25">
      <c r="B60" s="2" t="s">
        <v>115</v>
      </c>
      <c r="C60" s="55">
        <v>3.6</v>
      </c>
      <c r="E60" s="2" t="s">
        <v>115</v>
      </c>
      <c r="F60" s="55">
        <v>3.6</v>
      </c>
      <c r="H60" s="2" t="b">
        <f t="shared" si="4"/>
        <v>1</v>
      </c>
      <c r="I60" s="2" t="b">
        <f t="shared" si="5"/>
        <v>1</v>
      </c>
    </row>
    <row r="61" spans="1:9" x14ac:dyDescent="0.25">
      <c r="B61" s="2" t="s">
        <v>134</v>
      </c>
      <c r="C61" s="55">
        <v>2.7</v>
      </c>
      <c r="E61" s="2" t="s">
        <v>134</v>
      </c>
      <c r="F61" s="55">
        <v>2.7</v>
      </c>
      <c r="H61" s="2" t="b">
        <f t="shared" si="4"/>
        <v>1</v>
      </c>
      <c r="I61" s="2" t="b">
        <f t="shared" si="5"/>
        <v>1</v>
      </c>
    </row>
    <row r="62" spans="1:9" x14ac:dyDescent="0.25">
      <c r="B62" s="2" t="s">
        <v>16</v>
      </c>
      <c r="C62" s="55">
        <v>3.3</v>
      </c>
      <c r="E62" s="2" t="s">
        <v>16</v>
      </c>
      <c r="F62" s="55">
        <v>3.3</v>
      </c>
      <c r="H62" s="2" t="b">
        <f t="shared" si="4"/>
        <v>1</v>
      </c>
      <c r="I62" s="2" t="b">
        <f t="shared" si="5"/>
        <v>1</v>
      </c>
    </row>
    <row r="63" spans="1:9" x14ac:dyDescent="0.25">
      <c r="B63" s="2" t="s">
        <v>18</v>
      </c>
      <c r="C63" s="55">
        <v>1.9</v>
      </c>
      <c r="E63" s="2" t="s">
        <v>18</v>
      </c>
      <c r="F63" s="55">
        <v>1.9</v>
      </c>
      <c r="H63" s="2" t="b">
        <f t="shared" si="4"/>
        <v>1</v>
      </c>
      <c r="I63" s="2" t="b">
        <f t="shared" si="5"/>
        <v>1</v>
      </c>
    </row>
    <row r="64" spans="1:9" x14ac:dyDescent="0.25">
      <c r="B64" s="2" t="s">
        <v>19</v>
      </c>
      <c r="C64" s="55">
        <v>0.8</v>
      </c>
      <c r="E64" s="2" t="s">
        <v>19</v>
      </c>
      <c r="F64" s="55">
        <v>0.8</v>
      </c>
      <c r="H64" s="2" t="b">
        <f t="shared" si="4"/>
        <v>1</v>
      </c>
      <c r="I64" s="2" t="b">
        <f t="shared" si="5"/>
        <v>1</v>
      </c>
    </row>
    <row r="65" spans="1:9" x14ac:dyDescent="0.25">
      <c r="B65" s="2" t="s">
        <v>22</v>
      </c>
      <c r="C65" s="55">
        <v>4</v>
      </c>
      <c r="E65" s="2" t="s">
        <v>22</v>
      </c>
      <c r="F65" s="55">
        <v>4</v>
      </c>
      <c r="H65" s="2" t="b">
        <f t="shared" si="4"/>
        <v>1</v>
      </c>
      <c r="I65" s="2" t="b">
        <f t="shared" si="5"/>
        <v>1</v>
      </c>
    </row>
    <row r="66" spans="1:9" x14ac:dyDescent="0.25">
      <c r="B66" s="2" t="s">
        <v>77</v>
      </c>
      <c r="C66" s="55">
        <f>SUM(C59:C65)</f>
        <v>21.8</v>
      </c>
      <c r="E66" s="2" t="s">
        <v>77</v>
      </c>
      <c r="F66" s="55">
        <f>SUM(F59:F65)</f>
        <v>21.8</v>
      </c>
      <c r="H66" s="2" t="b">
        <f t="shared" si="4"/>
        <v>1</v>
      </c>
      <c r="I66" s="2" t="b">
        <f t="shared" si="5"/>
        <v>1</v>
      </c>
    </row>
    <row r="67" spans="1:9" x14ac:dyDescent="0.25">
      <c r="C67" s="55"/>
      <c r="F67" s="55"/>
    </row>
    <row r="68" spans="1:9" x14ac:dyDescent="0.25">
      <c r="C68" s="55"/>
      <c r="E68" s="8" t="s">
        <v>5</v>
      </c>
      <c r="F68" s="14">
        <f>18/18</f>
        <v>1</v>
      </c>
    </row>
    <row r="70" spans="1:9" x14ac:dyDescent="0.25">
      <c r="A70" s="71" t="s">
        <v>10</v>
      </c>
    </row>
    <row r="71" spans="1:9" x14ac:dyDescent="0.25">
      <c r="A71" s="8" t="s">
        <v>52</v>
      </c>
      <c r="B71" s="10" t="s">
        <v>172</v>
      </c>
    </row>
    <row r="72" spans="1:9" x14ac:dyDescent="0.25">
      <c r="A72" s="19">
        <f>203/250*60</f>
        <v>48.720000000000006</v>
      </c>
      <c r="B72" s="3" t="s">
        <v>54</v>
      </c>
      <c r="C72" s="2" t="s">
        <v>81</v>
      </c>
    </row>
    <row r="73" spans="1:9" x14ac:dyDescent="0.25">
      <c r="A73" s="19">
        <f>103/250*60</f>
        <v>24.72</v>
      </c>
      <c r="B73" s="3" t="s">
        <v>83</v>
      </c>
      <c r="C73" s="2" t="s">
        <v>137</v>
      </c>
    </row>
    <row r="74" spans="1:9" x14ac:dyDescent="0.25">
      <c r="A74" s="19">
        <f>143/250*60</f>
        <v>34.32</v>
      </c>
      <c r="B74" s="3" t="s">
        <v>55</v>
      </c>
      <c r="C74" s="2" t="s">
        <v>235</v>
      </c>
    </row>
    <row r="75" spans="1:9" x14ac:dyDescent="0.25">
      <c r="A75" s="19">
        <f>235/250*60</f>
        <v>56.4</v>
      </c>
      <c r="B75" s="3" t="s">
        <v>55</v>
      </c>
      <c r="C75" s="2" t="s">
        <v>45</v>
      </c>
    </row>
    <row r="76" spans="1:9" x14ac:dyDescent="0.25">
      <c r="A76" s="19">
        <f>182/250*60</f>
        <v>43.68</v>
      </c>
      <c r="B76" s="3" t="s">
        <v>55</v>
      </c>
      <c r="C76" s="2" t="s">
        <v>234</v>
      </c>
    </row>
    <row r="78" spans="1:9" x14ac:dyDescent="0.25">
      <c r="B78" s="7" t="s">
        <v>24</v>
      </c>
      <c r="C78" s="3">
        <v>1000</v>
      </c>
      <c r="E78" s="7" t="s">
        <v>1</v>
      </c>
    </row>
    <row r="80" spans="1:9" x14ac:dyDescent="0.25">
      <c r="B80" s="1" t="s">
        <v>66</v>
      </c>
      <c r="C80" s="4" t="s">
        <v>78</v>
      </c>
      <c r="E80" s="1" t="s">
        <v>66</v>
      </c>
      <c r="F80" s="4" t="s">
        <v>78</v>
      </c>
      <c r="H80" s="2" t="b">
        <f>B80=E80</f>
        <v>1</v>
      </c>
      <c r="I80" s="2" t="b">
        <f>C80=F80</f>
        <v>1</v>
      </c>
    </row>
    <row r="81" spans="2:9" x14ac:dyDescent="0.25">
      <c r="B81" s="2" t="s">
        <v>17</v>
      </c>
      <c r="C81" s="55">
        <v>5.3</v>
      </c>
      <c r="E81" s="2" t="s">
        <v>17</v>
      </c>
      <c r="F81" s="55">
        <v>5.3</v>
      </c>
      <c r="H81" s="2" t="b">
        <f t="shared" ref="H81:H88" si="6">B81=E81</f>
        <v>1</v>
      </c>
      <c r="I81" s="2" t="b">
        <f t="shared" ref="I81:I88" si="7">C81=F81</f>
        <v>1</v>
      </c>
    </row>
    <row r="82" spans="2:9" x14ac:dyDescent="0.25">
      <c r="B82" s="2" t="s">
        <v>115</v>
      </c>
      <c r="C82" s="55">
        <v>3.4</v>
      </c>
      <c r="E82" s="2" t="s">
        <v>115</v>
      </c>
      <c r="F82" s="55">
        <v>3.4</v>
      </c>
      <c r="H82" s="2" t="b">
        <f t="shared" si="6"/>
        <v>1</v>
      </c>
      <c r="I82" s="2" t="b">
        <f t="shared" si="7"/>
        <v>1</v>
      </c>
    </row>
    <row r="83" spans="2:9" x14ac:dyDescent="0.25">
      <c r="B83" s="2" t="s">
        <v>134</v>
      </c>
      <c r="C83" s="55">
        <v>2.8</v>
      </c>
      <c r="E83" s="2" t="s">
        <v>134</v>
      </c>
      <c r="F83" s="55">
        <v>2.8</v>
      </c>
      <c r="H83" s="2" t="b">
        <f t="shared" si="6"/>
        <v>1</v>
      </c>
      <c r="I83" s="2" t="b">
        <f t="shared" si="7"/>
        <v>1</v>
      </c>
    </row>
    <row r="84" spans="2:9" x14ac:dyDescent="0.25">
      <c r="B84" s="2" t="s">
        <v>16</v>
      </c>
      <c r="C84" s="55">
        <v>3.1</v>
      </c>
      <c r="E84" s="2" t="s">
        <v>16</v>
      </c>
      <c r="F84" s="55">
        <v>3.1</v>
      </c>
      <c r="H84" s="2" t="b">
        <f t="shared" si="6"/>
        <v>1</v>
      </c>
      <c r="I84" s="2" t="b">
        <f t="shared" si="7"/>
        <v>1</v>
      </c>
    </row>
    <row r="85" spans="2:9" x14ac:dyDescent="0.25">
      <c r="B85" s="2" t="s">
        <v>18</v>
      </c>
      <c r="C85" s="55">
        <v>2</v>
      </c>
      <c r="E85" s="2" t="s">
        <v>18</v>
      </c>
      <c r="F85" s="55">
        <v>2</v>
      </c>
      <c r="H85" s="2" t="b">
        <f t="shared" si="6"/>
        <v>1</v>
      </c>
      <c r="I85" s="2" t="b">
        <f t="shared" si="7"/>
        <v>1</v>
      </c>
    </row>
    <row r="86" spans="2:9" x14ac:dyDescent="0.25">
      <c r="B86" s="2" t="s">
        <v>19</v>
      </c>
      <c r="C86" s="55">
        <v>0.8</v>
      </c>
      <c r="E86" s="2" t="s">
        <v>19</v>
      </c>
      <c r="F86" s="55">
        <v>0.8</v>
      </c>
      <c r="H86" s="2" t="b">
        <f t="shared" si="6"/>
        <v>1</v>
      </c>
      <c r="I86" s="2" t="b">
        <f t="shared" si="7"/>
        <v>1</v>
      </c>
    </row>
    <row r="87" spans="2:9" x14ac:dyDescent="0.25">
      <c r="B87" s="2" t="s">
        <v>22</v>
      </c>
      <c r="C87" s="55">
        <v>3.7</v>
      </c>
      <c r="E87" s="2" t="s">
        <v>22</v>
      </c>
      <c r="F87" s="55">
        <v>3.7</v>
      </c>
      <c r="H87" s="2" t="b">
        <f t="shared" si="6"/>
        <v>1</v>
      </c>
      <c r="I87" s="2" t="b">
        <f t="shared" si="7"/>
        <v>1</v>
      </c>
    </row>
    <row r="88" spans="2:9" x14ac:dyDescent="0.25">
      <c r="B88" s="2" t="s">
        <v>77</v>
      </c>
      <c r="C88" s="55">
        <f>SUM(C81:C87)</f>
        <v>21.1</v>
      </c>
      <c r="E88" s="2" t="s">
        <v>77</v>
      </c>
      <c r="F88" s="55">
        <f>SUM(F81:F87)</f>
        <v>21.1</v>
      </c>
      <c r="H88" s="2" t="b">
        <f t="shared" si="6"/>
        <v>1</v>
      </c>
      <c r="I88" s="2" t="b">
        <f t="shared" si="7"/>
        <v>1</v>
      </c>
    </row>
    <row r="89" spans="2:9" x14ac:dyDescent="0.25">
      <c r="C89" s="55"/>
      <c r="F89" s="55"/>
    </row>
    <row r="90" spans="2:9" x14ac:dyDescent="0.25">
      <c r="C90" s="55"/>
      <c r="E90" s="6" t="s">
        <v>5</v>
      </c>
      <c r="F90" s="14">
        <f>18/18</f>
        <v>1</v>
      </c>
    </row>
    <row r="91" spans="2:9" x14ac:dyDescent="0.25">
      <c r="C91" s="55"/>
      <c r="E91" s="6"/>
      <c r="F91" s="14"/>
    </row>
    <row r="92" spans="2:9" x14ac:dyDescent="0.25">
      <c r="C92" s="55"/>
      <c r="E92" s="6"/>
      <c r="F92" s="14"/>
    </row>
    <row r="93" spans="2:9" x14ac:dyDescent="0.25">
      <c r="C93" s="55"/>
      <c r="E93" s="6"/>
      <c r="F93" s="14"/>
    </row>
    <row r="94" spans="2:9" x14ac:dyDescent="0.25">
      <c r="C94" s="55"/>
      <c r="E94" s="6"/>
      <c r="F94" s="14"/>
    </row>
    <row r="95" spans="2:9" x14ac:dyDescent="0.25">
      <c r="C95" s="55"/>
      <c r="E95" s="6"/>
      <c r="F95" s="14"/>
    </row>
    <row r="96" spans="2:9" x14ac:dyDescent="0.25">
      <c r="C96" s="55"/>
      <c r="E96" s="6"/>
      <c r="F96" s="14"/>
    </row>
    <row r="97" spans="3:6" x14ac:dyDescent="0.25">
      <c r="C97" s="55"/>
      <c r="E97" s="6"/>
      <c r="F97" s="14"/>
    </row>
    <row r="98" spans="3:6" x14ac:dyDescent="0.25">
      <c r="C98" s="55"/>
      <c r="E98" s="6"/>
      <c r="F98" s="14"/>
    </row>
    <row r="99" spans="3:6" x14ac:dyDescent="0.25">
      <c r="C99" s="55"/>
      <c r="E99" s="6"/>
      <c r="F99" s="14"/>
    </row>
    <row r="100" spans="3:6" x14ac:dyDescent="0.25">
      <c r="C100" s="55"/>
      <c r="E100" s="6"/>
      <c r="F100" s="14"/>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0FB4-5627-4CB7-A7C5-9DA5256DE0BA}">
  <dimension ref="A1:I203"/>
  <sheetViews>
    <sheetView showGridLines="0" zoomScaleNormal="100" workbookViewId="0">
      <selection activeCell="J39" sqref="J39"/>
    </sheetView>
  </sheetViews>
  <sheetFormatPr defaultRowHeight="13.8" x14ac:dyDescent="0.25"/>
  <cols>
    <col min="1" max="1" width="12" style="2" bestFit="1" customWidth="1"/>
    <col min="2" max="2" width="16.21875" style="2" bestFit="1" customWidth="1"/>
    <col min="3" max="3" width="11.21875" style="2" bestFit="1" customWidth="1"/>
    <col min="4" max="4" width="8.88671875" style="2"/>
    <col min="5" max="5" width="15.88671875" style="2" bestFit="1" customWidth="1"/>
    <col min="6" max="6" width="11.21875" style="2" bestFit="1" customWidth="1"/>
    <col min="7" max="9" width="8.88671875" style="2"/>
    <col min="10" max="10" width="16.109375" style="2" bestFit="1" customWidth="1"/>
    <col min="11" max="11" width="11.44140625" style="2" bestFit="1" customWidth="1"/>
    <col min="12" max="12" width="4" style="2" bestFit="1" customWidth="1"/>
    <col min="13" max="15" width="8.88671875" style="2"/>
    <col min="16" max="16" width="11.21875" style="2" bestFit="1" customWidth="1"/>
    <col min="17" max="17" width="4" style="2" bestFit="1" customWidth="1"/>
    <col min="18" max="18" width="8" style="2" bestFit="1" customWidth="1"/>
    <col min="19" max="19" width="7.88671875" style="2" bestFit="1" customWidth="1"/>
    <col min="20" max="16384" width="8.88671875" style="2"/>
  </cols>
  <sheetData>
    <row r="1" spans="1:9" x14ac:dyDescent="0.25">
      <c r="A1" s="71" t="s">
        <v>8</v>
      </c>
    </row>
    <row r="2" spans="1:9" x14ac:dyDescent="0.25">
      <c r="A2" s="8" t="s">
        <v>52</v>
      </c>
      <c r="B2" s="10" t="s">
        <v>173</v>
      </c>
    </row>
    <row r="3" spans="1:9" x14ac:dyDescent="0.25">
      <c r="A3" s="19">
        <f>203/250*60</f>
        <v>48.720000000000006</v>
      </c>
      <c r="B3" s="3" t="s">
        <v>54</v>
      </c>
      <c r="C3" s="2" t="s">
        <v>81</v>
      </c>
    </row>
    <row r="4" spans="1:9" x14ac:dyDescent="0.25">
      <c r="A4" s="19">
        <f>140/250*60</f>
        <v>33.6</v>
      </c>
      <c r="B4" s="3" t="s">
        <v>83</v>
      </c>
      <c r="C4" s="2" t="s">
        <v>103</v>
      </c>
    </row>
    <row r="5" spans="1:9" x14ac:dyDescent="0.25">
      <c r="A5" s="19">
        <f>141/250*60</f>
        <v>33.839999999999996</v>
      </c>
      <c r="B5" s="3" t="s">
        <v>55</v>
      </c>
      <c r="C5" s="2" t="s">
        <v>104</v>
      </c>
    </row>
    <row r="6" spans="1:9" x14ac:dyDescent="0.25">
      <c r="A6" s="19">
        <f>225/250*60</f>
        <v>54</v>
      </c>
      <c r="B6" s="3" t="s">
        <v>55</v>
      </c>
      <c r="C6" s="2" t="s">
        <v>199</v>
      </c>
    </row>
    <row r="7" spans="1:9" x14ac:dyDescent="0.25">
      <c r="A7" s="19">
        <f>235/250*60</f>
        <v>56.4</v>
      </c>
      <c r="B7" s="3" t="s">
        <v>55</v>
      </c>
      <c r="C7" s="2" t="s">
        <v>93</v>
      </c>
    </row>
    <row r="9" spans="1:9" x14ac:dyDescent="0.25">
      <c r="B9" s="174" t="s">
        <v>91</v>
      </c>
      <c r="C9" s="174"/>
      <c r="D9" s="174"/>
      <c r="E9" s="174"/>
      <c r="F9" s="174"/>
      <c r="G9" s="174"/>
      <c r="H9" s="174"/>
      <c r="I9" s="174"/>
    </row>
    <row r="11" spans="1:9" x14ac:dyDescent="0.25">
      <c r="B11" s="177" t="s">
        <v>24</v>
      </c>
      <c r="C11" s="177"/>
      <c r="E11" s="177" t="s">
        <v>1</v>
      </c>
      <c r="F11" s="177"/>
    </row>
    <row r="13" spans="1:9" x14ac:dyDescent="0.25">
      <c r="B13" s="1" t="s">
        <v>66</v>
      </c>
      <c r="C13" s="4" t="s">
        <v>78</v>
      </c>
      <c r="E13" s="1" t="s">
        <v>66</v>
      </c>
      <c r="F13" s="4" t="s">
        <v>78</v>
      </c>
      <c r="H13" s="2" t="b">
        <f t="shared" ref="H13:H22" si="0">B13=E13</f>
        <v>1</v>
      </c>
      <c r="I13" s="2" t="b">
        <f t="shared" ref="I13:I22" si="1">C13=F13</f>
        <v>1</v>
      </c>
    </row>
    <row r="14" spans="1:9" x14ac:dyDescent="0.25">
      <c r="B14" s="2" t="s">
        <v>17</v>
      </c>
      <c r="C14" s="55">
        <v>16.100000000000001</v>
      </c>
      <c r="E14" s="2" t="s">
        <v>17</v>
      </c>
      <c r="F14" s="55">
        <v>16.100000000000001</v>
      </c>
      <c r="H14" s="2" t="b">
        <f t="shared" si="0"/>
        <v>1</v>
      </c>
      <c r="I14" s="2" t="b">
        <f t="shared" si="1"/>
        <v>1</v>
      </c>
    </row>
    <row r="15" spans="1:9" x14ac:dyDescent="0.25">
      <c r="B15" s="2" t="s">
        <v>15</v>
      </c>
      <c r="C15" s="55">
        <v>6.7</v>
      </c>
      <c r="E15" s="2" t="s">
        <v>15</v>
      </c>
      <c r="F15" s="55">
        <v>6.7</v>
      </c>
      <c r="H15" s="2" t="b">
        <f t="shared" si="0"/>
        <v>1</v>
      </c>
      <c r="I15" s="2" t="b">
        <f t="shared" si="1"/>
        <v>1</v>
      </c>
    </row>
    <row r="16" spans="1:9" x14ac:dyDescent="0.25">
      <c r="B16" s="2" t="s">
        <v>16</v>
      </c>
      <c r="C16" s="55">
        <v>3.9</v>
      </c>
      <c r="E16" s="2" t="s">
        <v>16</v>
      </c>
      <c r="F16" s="55">
        <v>3.9</v>
      </c>
      <c r="H16" s="2" t="b">
        <f t="shared" si="0"/>
        <v>1</v>
      </c>
      <c r="I16" s="2" t="b">
        <f t="shared" si="1"/>
        <v>1</v>
      </c>
    </row>
    <row r="17" spans="2:9" x14ac:dyDescent="0.25">
      <c r="B17" s="2" t="s">
        <v>18</v>
      </c>
      <c r="C17" s="55">
        <v>2.1</v>
      </c>
      <c r="E17" s="2" t="s">
        <v>18</v>
      </c>
      <c r="F17" s="55">
        <v>2.1</v>
      </c>
      <c r="H17" s="2" t="b">
        <f t="shared" si="0"/>
        <v>1</v>
      </c>
      <c r="I17" s="2" t="b">
        <f t="shared" si="1"/>
        <v>1</v>
      </c>
    </row>
    <row r="18" spans="2:9" x14ac:dyDescent="0.25">
      <c r="B18" s="2" t="s">
        <v>101</v>
      </c>
      <c r="C18" s="55">
        <v>1.7</v>
      </c>
      <c r="E18" s="2" t="s">
        <v>101</v>
      </c>
      <c r="F18" s="55">
        <v>1.7</v>
      </c>
      <c r="H18" s="2" t="b">
        <f t="shared" si="0"/>
        <v>1</v>
      </c>
      <c r="I18" s="2" t="b">
        <f t="shared" si="1"/>
        <v>1</v>
      </c>
    </row>
    <row r="19" spans="2:9" x14ac:dyDescent="0.25">
      <c r="B19" s="2" t="s">
        <v>19</v>
      </c>
      <c r="C19" s="55">
        <v>1.6</v>
      </c>
      <c r="E19" s="2" t="s">
        <v>19</v>
      </c>
      <c r="F19" s="55">
        <v>1.6</v>
      </c>
      <c r="H19" s="2" t="b">
        <f t="shared" si="0"/>
        <v>1</v>
      </c>
      <c r="I19" s="2" t="b">
        <f t="shared" si="1"/>
        <v>1</v>
      </c>
    </row>
    <row r="20" spans="2:9" x14ac:dyDescent="0.25">
      <c r="B20" s="2" t="s">
        <v>51</v>
      </c>
      <c r="C20" s="55">
        <v>0.3</v>
      </c>
      <c r="E20" s="2" t="s">
        <v>51</v>
      </c>
      <c r="F20" s="55">
        <v>0.3</v>
      </c>
      <c r="H20" s="2" t="b">
        <f t="shared" si="0"/>
        <v>1</v>
      </c>
      <c r="I20" s="2" t="b">
        <f t="shared" si="1"/>
        <v>1</v>
      </c>
    </row>
    <row r="21" spans="2:9" x14ac:dyDescent="0.25">
      <c r="B21" s="2" t="s">
        <v>22</v>
      </c>
      <c r="C21" s="55">
        <v>1.2</v>
      </c>
      <c r="E21" s="2" t="s">
        <v>22</v>
      </c>
      <c r="F21" s="55">
        <v>1.2</v>
      </c>
      <c r="H21" s="2" t="b">
        <f t="shared" si="0"/>
        <v>1</v>
      </c>
      <c r="I21" s="2" t="b">
        <f t="shared" si="1"/>
        <v>1</v>
      </c>
    </row>
    <row r="22" spans="2:9" x14ac:dyDescent="0.25">
      <c r="B22" s="2" t="s">
        <v>77</v>
      </c>
      <c r="C22" s="55">
        <f>SUM(C14:C21)</f>
        <v>33.6</v>
      </c>
      <c r="E22" s="2" t="s">
        <v>77</v>
      </c>
      <c r="F22" s="55">
        <f>SUM(F14:F21)</f>
        <v>33.6</v>
      </c>
      <c r="H22" s="2" t="b">
        <f t="shared" si="0"/>
        <v>1</v>
      </c>
      <c r="I22" s="2" t="b">
        <f t="shared" si="1"/>
        <v>1</v>
      </c>
    </row>
    <row r="24" spans="2:9" x14ac:dyDescent="0.25">
      <c r="E24" s="4" t="s">
        <v>5</v>
      </c>
      <c r="F24" s="14">
        <f>20/20</f>
        <v>1</v>
      </c>
    </row>
    <row r="26" spans="2:9" x14ac:dyDescent="0.25">
      <c r="B26" s="174" t="s">
        <v>92</v>
      </c>
      <c r="C26" s="174"/>
      <c r="D26" s="174"/>
      <c r="E26" s="174"/>
      <c r="F26" s="174"/>
      <c r="G26" s="174"/>
      <c r="H26" s="174"/>
      <c r="I26" s="174"/>
    </row>
    <row r="28" spans="2:9" x14ac:dyDescent="0.25">
      <c r="B28" s="177" t="s">
        <v>24</v>
      </c>
      <c r="C28" s="177"/>
      <c r="E28" s="177" t="s">
        <v>1</v>
      </c>
      <c r="F28" s="177"/>
    </row>
    <row r="30" spans="2:9" x14ac:dyDescent="0.25">
      <c r="B30" s="1" t="s">
        <v>66</v>
      </c>
      <c r="C30" s="4" t="s">
        <v>78</v>
      </c>
      <c r="E30" s="1" t="s">
        <v>66</v>
      </c>
      <c r="F30" s="4" t="s">
        <v>78</v>
      </c>
    </row>
    <row r="31" spans="2:9" x14ac:dyDescent="0.25">
      <c r="B31" s="2" t="s">
        <v>17</v>
      </c>
      <c r="C31" s="55">
        <v>16.100000000000001</v>
      </c>
      <c r="E31" s="2" t="s">
        <v>17</v>
      </c>
      <c r="F31" s="3">
        <v>16.100000000000001</v>
      </c>
      <c r="H31" s="2" t="b">
        <f t="shared" ref="H31:H34" si="2">B31=E31</f>
        <v>1</v>
      </c>
      <c r="I31" s="2" t="b">
        <f t="shared" ref="I31:I34" si="3">C31=F31</f>
        <v>1</v>
      </c>
    </row>
    <row r="32" spans="2:9" x14ac:dyDescent="0.25">
      <c r="B32" s="2" t="s">
        <v>15</v>
      </c>
      <c r="C32" s="55">
        <v>6.7</v>
      </c>
      <c r="E32" s="2" t="s">
        <v>15</v>
      </c>
      <c r="F32" s="3">
        <v>6.7</v>
      </c>
      <c r="H32" s="2" t="b">
        <f t="shared" si="2"/>
        <v>1</v>
      </c>
      <c r="I32" s="2" t="b">
        <f t="shared" si="3"/>
        <v>1</v>
      </c>
    </row>
    <row r="33" spans="1:9" x14ac:dyDescent="0.25">
      <c r="B33" s="2" t="s">
        <v>16</v>
      </c>
      <c r="C33" s="55">
        <v>3.9</v>
      </c>
      <c r="E33" s="2" t="s">
        <v>16</v>
      </c>
      <c r="F33" s="16">
        <v>3.9</v>
      </c>
      <c r="H33" s="2" t="b">
        <f t="shared" si="2"/>
        <v>1</v>
      </c>
      <c r="I33" s="2" t="b">
        <f t="shared" si="3"/>
        <v>1</v>
      </c>
    </row>
    <row r="34" spans="1:9" x14ac:dyDescent="0.25">
      <c r="B34" s="2" t="s">
        <v>18</v>
      </c>
      <c r="C34" s="55">
        <v>2.1</v>
      </c>
      <c r="E34" s="2" t="s">
        <v>18</v>
      </c>
      <c r="F34" s="3">
        <v>2.1</v>
      </c>
      <c r="H34" s="2" t="b">
        <f t="shared" si="2"/>
        <v>1</v>
      </c>
      <c r="I34" s="2" t="b">
        <f t="shared" si="3"/>
        <v>1</v>
      </c>
    </row>
    <row r="35" spans="1:9" x14ac:dyDescent="0.25">
      <c r="B35" s="2" t="s">
        <v>19</v>
      </c>
      <c r="C35" s="55">
        <v>1.6</v>
      </c>
      <c r="E35" s="2" t="s">
        <v>19</v>
      </c>
      <c r="F35" s="3">
        <v>1.6</v>
      </c>
      <c r="H35" s="2" t="b">
        <f t="shared" ref="H35:H38" si="4">B35=E35</f>
        <v>1</v>
      </c>
      <c r="I35" s="2" t="b">
        <f t="shared" ref="I35:I38" si="5">C35=F35</f>
        <v>1</v>
      </c>
    </row>
    <row r="36" spans="1:9" x14ac:dyDescent="0.25">
      <c r="B36" s="2" t="s">
        <v>51</v>
      </c>
      <c r="C36" s="55">
        <v>0.3</v>
      </c>
      <c r="E36" s="2" t="s">
        <v>51</v>
      </c>
      <c r="F36" s="3">
        <v>0.3</v>
      </c>
      <c r="H36" s="2" t="b">
        <f t="shared" si="4"/>
        <v>1</v>
      </c>
      <c r="I36" s="2" t="b">
        <f t="shared" si="5"/>
        <v>1</v>
      </c>
    </row>
    <row r="37" spans="1:9" x14ac:dyDescent="0.25">
      <c r="B37" s="2" t="s">
        <v>22</v>
      </c>
      <c r="C37" s="55">
        <f>C21+C18</f>
        <v>2.9</v>
      </c>
      <c r="E37" s="2" t="s">
        <v>22</v>
      </c>
      <c r="F37" s="3">
        <v>2.9</v>
      </c>
      <c r="H37" s="2" t="b">
        <f t="shared" si="4"/>
        <v>1</v>
      </c>
      <c r="I37" s="2" t="b">
        <f t="shared" si="5"/>
        <v>1</v>
      </c>
    </row>
    <row r="38" spans="1:9" x14ac:dyDescent="0.25">
      <c r="B38" s="2" t="s">
        <v>77</v>
      </c>
      <c r="C38" s="55">
        <f>SUM(C31:C37)</f>
        <v>33.6</v>
      </c>
      <c r="E38" s="2" t="s">
        <v>77</v>
      </c>
      <c r="F38" s="3">
        <f>SUM(F31:F37)</f>
        <v>33.6</v>
      </c>
      <c r="H38" s="2" t="b">
        <f t="shared" si="4"/>
        <v>1</v>
      </c>
      <c r="I38" s="2" t="b">
        <f t="shared" si="5"/>
        <v>1</v>
      </c>
    </row>
    <row r="42" spans="1:9" x14ac:dyDescent="0.25">
      <c r="A42" s="71" t="s">
        <v>7</v>
      </c>
    </row>
    <row r="43" spans="1:9" x14ac:dyDescent="0.25">
      <c r="A43" s="8" t="s">
        <v>52</v>
      </c>
      <c r="B43" s="10" t="s">
        <v>80</v>
      </c>
    </row>
    <row r="44" spans="1:9" x14ac:dyDescent="0.25">
      <c r="A44" s="19">
        <f>203/250*60</f>
        <v>48.720000000000006</v>
      </c>
      <c r="B44" s="3" t="s">
        <v>54</v>
      </c>
      <c r="C44" s="2" t="s">
        <v>81</v>
      </c>
    </row>
    <row r="45" spans="1:9" x14ac:dyDescent="0.25">
      <c r="A45" s="19">
        <f>140/250*60</f>
        <v>33.6</v>
      </c>
      <c r="B45" s="3" t="s">
        <v>83</v>
      </c>
      <c r="C45" s="2" t="s">
        <v>103</v>
      </c>
    </row>
    <row r="46" spans="1:9" x14ac:dyDescent="0.25">
      <c r="A46" s="19">
        <f>141/250*60</f>
        <v>33.839999999999996</v>
      </c>
      <c r="B46" s="3" t="s">
        <v>55</v>
      </c>
      <c r="C46" s="2" t="s">
        <v>104</v>
      </c>
    </row>
    <row r="47" spans="1:9" x14ac:dyDescent="0.25">
      <c r="A47" s="19">
        <f>225/250*60</f>
        <v>54</v>
      </c>
      <c r="B47" s="3" t="s">
        <v>55</v>
      </c>
      <c r="C47" s="2" t="s">
        <v>102</v>
      </c>
    </row>
    <row r="48" spans="1:9" x14ac:dyDescent="0.25">
      <c r="A48" s="19">
        <f>235/250*60</f>
        <v>56.4</v>
      </c>
      <c r="B48" s="3" t="s">
        <v>55</v>
      </c>
      <c r="C48" s="2" t="s">
        <v>93</v>
      </c>
    </row>
    <row r="49" spans="1:9" x14ac:dyDescent="0.25">
      <c r="A49" s="19"/>
      <c r="B49" s="3"/>
    </row>
    <row r="50" spans="1:9" x14ac:dyDescent="0.25">
      <c r="A50" s="19"/>
      <c r="B50" s="174" t="s">
        <v>91</v>
      </c>
      <c r="C50" s="174"/>
      <c r="D50" s="174"/>
      <c r="E50" s="174"/>
      <c r="F50" s="174"/>
      <c r="G50" s="174"/>
      <c r="H50" s="174"/>
      <c r="I50" s="174"/>
    </row>
    <row r="52" spans="1:9" x14ac:dyDescent="0.25">
      <c r="B52" s="177" t="s">
        <v>24</v>
      </c>
      <c r="C52" s="177"/>
      <c r="E52" s="177" t="s">
        <v>1</v>
      </c>
      <c r="F52" s="177"/>
    </row>
    <row r="54" spans="1:9" x14ac:dyDescent="0.25">
      <c r="B54" s="1" t="s">
        <v>66</v>
      </c>
      <c r="C54" s="4" t="s">
        <v>78</v>
      </c>
      <c r="E54" s="1" t="s">
        <v>66</v>
      </c>
      <c r="F54" s="4" t="s">
        <v>78</v>
      </c>
      <c r="H54" s="2" t="b">
        <f t="shared" ref="H54:H63" si="6">B54=E54</f>
        <v>1</v>
      </c>
      <c r="I54" s="2" t="b">
        <f t="shared" ref="I54:I63" si="7">C54=F54</f>
        <v>1</v>
      </c>
    </row>
    <row r="55" spans="1:9" x14ac:dyDescent="0.25">
      <c r="B55" s="2" t="s">
        <v>17</v>
      </c>
      <c r="C55" s="55">
        <v>16.7</v>
      </c>
      <c r="E55" s="2" t="s">
        <v>17</v>
      </c>
      <c r="F55" s="55">
        <v>16.7</v>
      </c>
      <c r="H55" s="2" t="b">
        <f t="shared" si="6"/>
        <v>1</v>
      </c>
      <c r="I55" s="2" t="b">
        <f t="shared" si="7"/>
        <v>1</v>
      </c>
    </row>
    <row r="56" spans="1:9" x14ac:dyDescent="0.25">
      <c r="B56" s="2" t="s">
        <v>15</v>
      </c>
      <c r="C56" s="55">
        <v>7.2</v>
      </c>
      <c r="E56" s="2" t="s">
        <v>15</v>
      </c>
      <c r="F56" s="55">
        <v>7.2</v>
      </c>
      <c r="H56" s="2" t="b">
        <f t="shared" si="6"/>
        <v>1</v>
      </c>
      <c r="I56" s="2" t="b">
        <f t="shared" si="7"/>
        <v>1</v>
      </c>
    </row>
    <row r="57" spans="1:9" x14ac:dyDescent="0.25">
      <c r="B57" s="2" t="s">
        <v>16</v>
      </c>
      <c r="C57" s="55">
        <v>4</v>
      </c>
      <c r="E57" s="2" t="s">
        <v>16</v>
      </c>
      <c r="F57" s="55">
        <v>4</v>
      </c>
      <c r="H57" s="2" t="b">
        <f t="shared" si="6"/>
        <v>1</v>
      </c>
      <c r="I57" s="2" t="b">
        <f t="shared" si="7"/>
        <v>1</v>
      </c>
    </row>
    <row r="58" spans="1:9" x14ac:dyDescent="0.25">
      <c r="B58" s="2" t="s">
        <v>18</v>
      </c>
      <c r="C58" s="55">
        <v>2.2000000000000002</v>
      </c>
      <c r="E58" s="2" t="s">
        <v>18</v>
      </c>
      <c r="F58" s="55">
        <v>2.2000000000000002</v>
      </c>
      <c r="H58" s="2" t="b">
        <f t="shared" si="6"/>
        <v>1</v>
      </c>
      <c r="I58" s="2" t="b">
        <f t="shared" si="7"/>
        <v>1</v>
      </c>
    </row>
    <row r="59" spans="1:9" x14ac:dyDescent="0.25">
      <c r="B59" s="2" t="s">
        <v>101</v>
      </c>
      <c r="C59" s="55">
        <v>1.8</v>
      </c>
      <c r="E59" s="2" t="s">
        <v>101</v>
      </c>
      <c r="F59" s="55">
        <v>1.8</v>
      </c>
      <c r="H59" s="2" t="b">
        <f t="shared" si="6"/>
        <v>1</v>
      </c>
      <c r="I59" s="2" t="b">
        <f t="shared" si="7"/>
        <v>1</v>
      </c>
    </row>
    <row r="60" spans="1:9" x14ac:dyDescent="0.25">
      <c r="B60" s="2" t="s">
        <v>19</v>
      </c>
      <c r="C60" s="55">
        <v>1.7</v>
      </c>
      <c r="E60" s="2" t="s">
        <v>19</v>
      </c>
      <c r="F60" s="55">
        <v>1.7</v>
      </c>
      <c r="H60" s="2" t="b">
        <f t="shared" si="6"/>
        <v>1</v>
      </c>
      <c r="I60" s="2" t="b">
        <f t="shared" si="7"/>
        <v>1</v>
      </c>
    </row>
    <row r="61" spans="1:9" x14ac:dyDescent="0.25">
      <c r="B61" s="2" t="s">
        <v>51</v>
      </c>
      <c r="C61" s="55">
        <v>0.3</v>
      </c>
      <c r="E61" s="2" t="s">
        <v>51</v>
      </c>
      <c r="F61" s="55">
        <v>0.3</v>
      </c>
      <c r="H61" s="2" t="b">
        <f t="shared" si="6"/>
        <v>1</v>
      </c>
      <c r="I61" s="2" t="b">
        <f t="shared" si="7"/>
        <v>1</v>
      </c>
    </row>
    <row r="62" spans="1:9" x14ac:dyDescent="0.25">
      <c r="B62" s="2" t="s">
        <v>22</v>
      </c>
      <c r="C62" s="55">
        <v>1.2</v>
      </c>
      <c r="E62" s="2" t="s">
        <v>22</v>
      </c>
      <c r="F62" s="55">
        <v>1.2</v>
      </c>
      <c r="H62" s="2" t="b">
        <f t="shared" si="6"/>
        <v>1</v>
      </c>
      <c r="I62" s="2" t="b">
        <f t="shared" si="7"/>
        <v>1</v>
      </c>
    </row>
    <row r="63" spans="1:9" x14ac:dyDescent="0.25">
      <c r="B63" s="2" t="s">
        <v>77</v>
      </c>
      <c r="C63" s="55">
        <f>SUM(C55:C62)</f>
        <v>35.1</v>
      </c>
      <c r="E63" s="2" t="s">
        <v>77</v>
      </c>
      <c r="F63" s="55">
        <f>SUM(F55:F62)</f>
        <v>35.1</v>
      </c>
      <c r="H63" s="2" t="b">
        <f t="shared" si="6"/>
        <v>1</v>
      </c>
      <c r="I63" s="2" t="b">
        <f t="shared" si="7"/>
        <v>1</v>
      </c>
    </row>
    <row r="65" spans="2:9" x14ac:dyDescent="0.25">
      <c r="E65" s="4" t="s">
        <v>5</v>
      </c>
      <c r="F65" s="14">
        <f>20/20</f>
        <v>1</v>
      </c>
    </row>
    <row r="67" spans="2:9" x14ac:dyDescent="0.25">
      <c r="B67" s="174" t="s">
        <v>92</v>
      </c>
      <c r="C67" s="174"/>
      <c r="D67" s="174"/>
      <c r="E67" s="174"/>
      <c r="F67" s="174"/>
      <c r="G67" s="174"/>
      <c r="H67" s="174"/>
      <c r="I67" s="174"/>
    </row>
    <row r="69" spans="2:9" x14ac:dyDescent="0.25">
      <c r="B69" s="177" t="s">
        <v>24</v>
      </c>
      <c r="C69" s="177"/>
      <c r="E69" s="177" t="s">
        <v>1</v>
      </c>
      <c r="F69" s="177"/>
    </row>
    <row r="71" spans="2:9" x14ac:dyDescent="0.25">
      <c r="B71" s="1" t="s">
        <v>66</v>
      </c>
      <c r="C71" s="4" t="s">
        <v>78</v>
      </c>
      <c r="E71" s="1" t="s">
        <v>66</v>
      </c>
      <c r="F71" s="4" t="s">
        <v>78</v>
      </c>
    </row>
    <row r="72" spans="2:9" x14ac:dyDescent="0.25">
      <c r="B72" s="2" t="s">
        <v>17</v>
      </c>
      <c r="C72" s="55">
        <v>16.7</v>
      </c>
      <c r="E72" s="2" t="s">
        <v>17</v>
      </c>
      <c r="F72" s="3">
        <v>16.7</v>
      </c>
      <c r="H72" s="2" t="b">
        <f t="shared" ref="H72:I79" si="8">B72=E72</f>
        <v>1</v>
      </c>
      <c r="I72" s="2" t="b">
        <f t="shared" si="8"/>
        <v>1</v>
      </c>
    </row>
    <row r="73" spans="2:9" x14ac:dyDescent="0.25">
      <c r="B73" s="2" t="s">
        <v>15</v>
      </c>
      <c r="C73" s="55">
        <v>7.2</v>
      </c>
      <c r="E73" s="2" t="s">
        <v>15</v>
      </c>
      <c r="F73" s="3">
        <v>7.2</v>
      </c>
      <c r="H73" s="2" t="b">
        <f t="shared" si="8"/>
        <v>1</v>
      </c>
      <c r="I73" s="2" t="b">
        <f t="shared" si="8"/>
        <v>1</v>
      </c>
    </row>
    <row r="74" spans="2:9" x14ac:dyDescent="0.25">
      <c r="B74" s="2" t="s">
        <v>16</v>
      </c>
      <c r="C74" s="55">
        <v>4</v>
      </c>
      <c r="E74" s="2" t="s">
        <v>16</v>
      </c>
      <c r="F74" s="16">
        <v>4</v>
      </c>
      <c r="H74" s="2" t="b">
        <f t="shared" si="8"/>
        <v>1</v>
      </c>
      <c r="I74" s="2" t="b">
        <f t="shared" si="8"/>
        <v>1</v>
      </c>
    </row>
    <row r="75" spans="2:9" x14ac:dyDescent="0.25">
      <c r="B75" s="2" t="s">
        <v>18</v>
      </c>
      <c r="C75" s="55">
        <v>2.2000000000000002</v>
      </c>
      <c r="E75" s="2" t="s">
        <v>18</v>
      </c>
      <c r="F75" s="3">
        <v>2.2000000000000002</v>
      </c>
      <c r="H75" s="2" t="b">
        <f t="shared" si="8"/>
        <v>1</v>
      </c>
      <c r="I75" s="2" t="b">
        <f t="shared" si="8"/>
        <v>1</v>
      </c>
    </row>
    <row r="76" spans="2:9" x14ac:dyDescent="0.25">
      <c r="B76" s="2" t="s">
        <v>19</v>
      </c>
      <c r="C76" s="55">
        <v>1.7</v>
      </c>
      <c r="E76" s="2" t="s">
        <v>19</v>
      </c>
      <c r="F76" s="3">
        <v>1.7</v>
      </c>
      <c r="H76" s="2" t="b">
        <f t="shared" si="8"/>
        <v>1</v>
      </c>
      <c r="I76" s="2" t="b">
        <f t="shared" si="8"/>
        <v>1</v>
      </c>
    </row>
    <row r="77" spans="2:9" x14ac:dyDescent="0.25">
      <c r="B77" s="2" t="s">
        <v>51</v>
      </c>
      <c r="C77" s="55">
        <v>0.3</v>
      </c>
      <c r="E77" s="2" t="s">
        <v>51</v>
      </c>
      <c r="F77" s="3">
        <v>0.3</v>
      </c>
      <c r="H77" s="2" t="b">
        <f t="shared" si="8"/>
        <v>1</v>
      </c>
      <c r="I77" s="2" t="b">
        <f t="shared" si="8"/>
        <v>1</v>
      </c>
    </row>
    <row r="78" spans="2:9" x14ac:dyDescent="0.25">
      <c r="B78" s="2" t="s">
        <v>22</v>
      </c>
      <c r="C78" s="55">
        <v>3</v>
      </c>
      <c r="E78" s="2" t="s">
        <v>22</v>
      </c>
      <c r="F78" s="16">
        <v>3</v>
      </c>
      <c r="H78" s="2" t="b">
        <f t="shared" si="8"/>
        <v>1</v>
      </c>
      <c r="I78" s="2" t="b">
        <f t="shared" si="8"/>
        <v>1</v>
      </c>
    </row>
    <row r="79" spans="2:9" x14ac:dyDescent="0.25">
      <c r="B79" s="2" t="s">
        <v>77</v>
      </c>
      <c r="C79" s="55">
        <v>35.1</v>
      </c>
      <c r="E79" s="2" t="s">
        <v>77</v>
      </c>
      <c r="F79" s="3">
        <v>35.1</v>
      </c>
      <c r="H79" s="2" t="b">
        <f t="shared" si="8"/>
        <v>1</v>
      </c>
      <c r="I79" s="2" t="b">
        <f t="shared" si="8"/>
        <v>1</v>
      </c>
    </row>
    <row r="82" spans="1:9" x14ac:dyDescent="0.25">
      <c r="A82" s="71" t="s">
        <v>9</v>
      </c>
    </row>
    <row r="83" spans="1:9" x14ac:dyDescent="0.25">
      <c r="A83" s="8" t="s">
        <v>52</v>
      </c>
      <c r="B83" s="10" t="s">
        <v>167</v>
      </c>
    </row>
    <row r="84" spans="1:9" x14ac:dyDescent="0.25">
      <c r="A84" s="19">
        <f>203/250*60</f>
        <v>48.720000000000006</v>
      </c>
      <c r="B84" s="3" t="s">
        <v>54</v>
      </c>
      <c r="C84" s="2" t="s">
        <v>81</v>
      </c>
    </row>
    <row r="85" spans="1:9" x14ac:dyDescent="0.25">
      <c r="A85" s="19">
        <f>140/250*60</f>
        <v>33.6</v>
      </c>
      <c r="B85" s="3" t="s">
        <v>83</v>
      </c>
      <c r="C85" s="2" t="s">
        <v>103</v>
      </c>
    </row>
    <row r="86" spans="1:9" x14ac:dyDescent="0.25">
      <c r="A86" s="19">
        <f>141/250*60</f>
        <v>33.839999999999996</v>
      </c>
      <c r="B86" s="3" t="s">
        <v>55</v>
      </c>
      <c r="C86" s="2" t="s">
        <v>104</v>
      </c>
    </row>
    <row r="87" spans="1:9" x14ac:dyDescent="0.25">
      <c r="A87" s="19">
        <f>225/250*60</f>
        <v>54</v>
      </c>
      <c r="B87" s="3" t="s">
        <v>55</v>
      </c>
      <c r="C87" s="2" t="s">
        <v>201</v>
      </c>
    </row>
    <row r="88" spans="1:9" x14ac:dyDescent="0.25">
      <c r="A88" s="19">
        <f>235/250*60</f>
        <v>56.4</v>
      </c>
      <c r="B88" s="3" t="s">
        <v>55</v>
      </c>
      <c r="C88" s="2" t="s">
        <v>45</v>
      </c>
    </row>
    <row r="90" spans="1:9" x14ac:dyDescent="0.25">
      <c r="B90" s="174" t="s">
        <v>91</v>
      </c>
      <c r="C90" s="174"/>
      <c r="D90" s="174"/>
      <c r="E90" s="174"/>
      <c r="F90" s="174"/>
      <c r="G90" s="174"/>
      <c r="H90" s="174"/>
      <c r="I90" s="174"/>
    </row>
    <row r="92" spans="1:9" x14ac:dyDescent="0.25">
      <c r="B92" s="177" t="s">
        <v>24</v>
      </c>
      <c r="C92" s="177"/>
      <c r="E92" s="177" t="s">
        <v>1</v>
      </c>
      <c r="F92" s="177"/>
    </row>
    <row r="94" spans="1:9" x14ac:dyDescent="0.25">
      <c r="B94" s="1" t="s">
        <v>66</v>
      </c>
      <c r="C94" s="4" t="s">
        <v>78</v>
      </c>
      <c r="E94" s="1" t="s">
        <v>66</v>
      </c>
      <c r="F94" s="4" t="s">
        <v>78</v>
      </c>
      <c r="H94" s="2" t="b">
        <f t="shared" ref="H94:H103" si="9">B94=E94</f>
        <v>1</v>
      </c>
      <c r="I94" s="2" t="b">
        <f t="shared" ref="I94:I103" si="10">C94=F94</f>
        <v>1</v>
      </c>
    </row>
    <row r="95" spans="1:9" x14ac:dyDescent="0.25">
      <c r="B95" s="2" t="s">
        <v>17</v>
      </c>
      <c r="C95" s="55">
        <v>16.5</v>
      </c>
      <c r="E95" s="2" t="s">
        <v>17</v>
      </c>
      <c r="F95" s="55">
        <v>16.5</v>
      </c>
      <c r="H95" s="2" t="b">
        <f t="shared" si="9"/>
        <v>1</v>
      </c>
      <c r="I95" s="2" t="b">
        <f t="shared" si="10"/>
        <v>1</v>
      </c>
    </row>
    <row r="96" spans="1:9" x14ac:dyDescent="0.25">
      <c r="B96" s="2" t="s">
        <v>15</v>
      </c>
      <c r="C96" s="55">
        <v>7.5</v>
      </c>
      <c r="E96" s="2" t="s">
        <v>15</v>
      </c>
      <c r="F96" s="55">
        <v>7.5</v>
      </c>
      <c r="H96" s="2" t="b">
        <f t="shared" si="9"/>
        <v>1</v>
      </c>
      <c r="I96" s="2" t="b">
        <f t="shared" si="10"/>
        <v>1</v>
      </c>
    </row>
    <row r="97" spans="2:9" x14ac:dyDescent="0.25">
      <c r="B97" s="2" t="s">
        <v>16</v>
      </c>
      <c r="C97" s="55">
        <v>4.0999999999999996</v>
      </c>
      <c r="E97" s="2" t="s">
        <v>16</v>
      </c>
      <c r="F97" s="55">
        <v>4.0999999999999996</v>
      </c>
      <c r="H97" s="2" t="b">
        <f t="shared" si="9"/>
        <v>1</v>
      </c>
      <c r="I97" s="2" t="b">
        <f t="shared" si="10"/>
        <v>1</v>
      </c>
    </row>
    <row r="98" spans="2:9" x14ac:dyDescent="0.25">
      <c r="B98" s="2" t="s">
        <v>18</v>
      </c>
      <c r="C98" s="55">
        <v>2.2000000000000002</v>
      </c>
      <c r="E98" s="2" t="s">
        <v>18</v>
      </c>
      <c r="F98" s="55">
        <v>2.2000000000000002</v>
      </c>
      <c r="H98" s="2" t="b">
        <f t="shared" si="9"/>
        <v>1</v>
      </c>
      <c r="I98" s="2" t="b">
        <f t="shared" si="10"/>
        <v>1</v>
      </c>
    </row>
    <row r="99" spans="2:9" x14ac:dyDescent="0.25">
      <c r="B99" s="2" t="s">
        <v>101</v>
      </c>
      <c r="C99" s="55">
        <v>1.9</v>
      </c>
      <c r="E99" s="2" t="s">
        <v>101</v>
      </c>
      <c r="F99" s="55">
        <v>1.9</v>
      </c>
      <c r="H99" s="2" t="b">
        <f t="shared" si="9"/>
        <v>1</v>
      </c>
      <c r="I99" s="2" t="b">
        <f t="shared" si="10"/>
        <v>1</v>
      </c>
    </row>
    <row r="100" spans="2:9" x14ac:dyDescent="0.25">
      <c r="B100" s="2" t="s">
        <v>19</v>
      </c>
      <c r="C100" s="55">
        <v>1.7</v>
      </c>
      <c r="E100" s="2" t="s">
        <v>19</v>
      </c>
      <c r="F100" s="55">
        <v>1.7</v>
      </c>
      <c r="H100" s="2" t="b">
        <f t="shared" si="9"/>
        <v>1</v>
      </c>
      <c r="I100" s="2" t="b">
        <f t="shared" si="10"/>
        <v>1</v>
      </c>
    </row>
    <row r="101" spans="2:9" x14ac:dyDescent="0.25">
      <c r="B101" s="2" t="s">
        <v>51</v>
      </c>
      <c r="C101" s="55">
        <v>0.4</v>
      </c>
      <c r="E101" s="2" t="s">
        <v>51</v>
      </c>
      <c r="F101" s="55">
        <v>0.4</v>
      </c>
      <c r="H101" s="2" t="b">
        <f t="shared" si="9"/>
        <v>1</v>
      </c>
      <c r="I101" s="2" t="b">
        <f t="shared" si="10"/>
        <v>1</v>
      </c>
    </row>
    <row r="102" spans="2:9" x14ac:dyDescent="0.25">
      <c r="B102" s="2" t="s">
        <v>22</v>
      </c>
      <c r="C102" s="55">
        <v>1.2</v>
      </c>
      <c r="E102" s="2" t="s">
        <v>22</v>
      </c>
      <c r="F102" s="55">
        <v>1.2</v>
      </c>
      <c r="H102" s="2" t="b">
        <f t="shared" si="9"/>
        <v>1</v>
      </c>
      <c r="I102" s="2" t="b">
        <f t="shared" si="10"/>
        <v>1</v>
      </c>
    </row>
    <row r="103" spans="2:9" x14ac:dyDescent="0.25">
      <c r="B103" s="2" t="s">
        <v>77</v>
      </c>
      <c r="C103" s="55">
        <v>35.5</v>
      </c>
      <c r="E103" s="2" t="s">
        <v>77</v>
      </c>
      <c r="F103" s="55">
        <v>35.5</v>
      </c>
      <c r="H103" s="2" t="b">
        <f t="shared" si="9"/>
        <v>1</v>
      </c>
      <c r="I103" s="2" t="b">
        <f t="shared" si="10"/>
        <v>1</v>
      </c>
    </row>
    <row r="105" spans="2:9" x14ac:dyDescent="0.25">
      <c r="E105" s="4" t="s">
        <v>5</v>
      </c>
      <c r="F105" s="14">
        <f>20/20</f>
        <v>1</v>
      </c>
    </row>
    <row r="107" spans="2:9" x14ac:dyDescent="0.25">
      <c r="B107" s="174" t="s">
        <v>92</v>
      </c>
      <c r="C107" s="174"/>
      <c r="D107" s="174"/>
      <c r="E107" s="174"/>
      <c r="F107" s="174"/>
      <c r="G107" s="174"/>
      <c r="H107" s="174"/>
      <c r="I107" s="174"/>
    </row>
    <row r="109" spans="2:9" x14ac:dyDescent="0.25">
      <c r="B109" s="177" t="s">
        <v>24</v>
      </c>
      <c r="C109" s="177"/>
      <c r="E109" s="177" t="s">
        <v>1</v>
      </c>
      <c r="F109" s="177"/>
    </row>
    <row r="111" spans="2:9" x14ac:dyDescent="0.25">
      <c r="B111" s="1" t="s">
        <v>66</v>
      </c>
      <c r="C111" s="4" t="s">
        <v>78</v>
      </c>
      <c r="E111" s="1" t="s">
        <v>66</v>
      </c>
      <c r="F111" s="4" t="s">
        <v>78</v>
      </c>
    </row>
    <row r="112" spans="2:9" x14ac:dyDescent="0.25">
      <c r="B112" s="2" t="s">
        <v>17</v>
      </c>
      <c r="C112" s="55">
        <v>16.5</v>
      </c>
      <c r="E112" s="2" t="s">
        <v>17</v>
      </c>
      <c r="F112" s="3">
        <v>16.5</v>
      </c>
      <c r="H112" s="2" t="b">
        <f t="shared" ref="H112:H119" si="11">B112=E112</f>
        <v>1</v>
      </c>
      <c r="I112" s="2" t="b">
        <f t="shared" ref="I112:I119" si="12">C112=F112</f>
        <v>1</v>
      </c>
    </row>
    <row r="113" spans="1:9" x14ac:dyDescent="0.25">
      <c r="B113" s="2" t="s">
        <v>15</v>
      </c>
      <c r="C113" s="55">
        <v>7.5</v>
      </c>
      <c r="E113" s="2" t="s">
        <v>15</v>
      </c>
      <c r="F113" s="3">
        <v>7.5</v>
      </c>
      <c r="H113" s="2" t="b">
        <f t="shared" si="11"/>
        <v>1</v>
      </c>
      <c r="I113" s="2" t="b">
        <f t="shared" si="12"/>
        <v>1</v>
      </c>
    </row>
    <row r="114" spans="1:9" x14ac:dyDescent="0.25">
      <c r="B114" s="2" t="s">
        <v>16</v>
      </c>
      <c r="C114" s="55">
        <v>4.0999999999999996</v>
      </c>
      <c r="E114" s="2" t="s">
        <v>16</v>
      </c>
      <c r="F114" s="16">
        <v>4.0999999999999996</v>
      </c>
      <c r="H114" s="2" t="b">
        <f t="shared" si="11"/>
        <v>1</v>
      </c>
      <c r="I114" s="2" t="b">
        <f t="shared" si="12"/>
        <v>1</v>
      </c>
    </row>
    <row r="115" spans="1:9" x14ac:dyDescent="0.25">
      <c r="B115" s="2" t="s">
        <v>18</v>
      </c>
      <c r="C115" s="55">
        <v>2.2000000000000002</v>
      </c>
      <c r="E115" s="2" t="s">
        <v>18</v>
      </c>
      <c r="F115" s="3">
        <v>2.2000000000000002</v>
      </c>
      <c r="H115" s="2" t="b">
        <f t="shared" si="11"/>
        <v>1</v>
      </c>
      <c r="I115" s="2" t="b">
        <f t="shared" si="12"/>
        <v>1</v>
      </c>
    </row>
    <row r="116" spans="1:9" x14ac:dyDescent="0.25">
      <c r="B116" s="2" t="s">
        <v>19</v>
      </c>
      <c r="C116" s="55">
        <v>1.7</v>
      </c>
      <c r="E116" s="2" t="s">
        <v>19</v>
      </c>
      <c r="F116" s="3">
        <v>1.7</v>
      </c>
      <c r="H116" s="2" t="b">
        <f t="shared" si="11"/>
        <v>1</v>
      </c>
      <c r="I116" s="2" t="b">
        <f t="shared" si="12"/>
        <v>1</v>
      </c>
    </row>
    <row r="117" spans="1:9" x14ac:dyDescent="0.25">
      <c r="B117" s="2" t="s">
        <v>51</v>
      </c>
      <c r="C117" s="55">
        <v>0.4</v>
      </c>
      <c r="E117" s="2" t="s">
        <v>51</v>
      </c>
      <c r="F117" s="3">
        <v>0.4</v>
      </c>
      <c r="H117" s="2" t="b">
        <f t="shared" si="11"/>
        <v>1</v>
      </c>
      <c r="I117" s="2" t="b">
        <f t="shared" si="12"/>
        <v>1</v>
      </c>
    </row>
    <row r="118" spans="1:9" x14ac:dyDescent="0.25">
      <c r="B118" s="2" t="s">
        <v>22</v>
      </c>
      <c r="C118" s="55">
        <v>3.1</v>
      </c>
      <c r="E118" s="2" t="s">
        <v>22</v>
      </c>
      <c r="F118" s="16">
        <v>3.1</v>
      </c>
      <c r="H118" s="2" t="b">
        <f t="shared" si="11"/>
        <v>1</v>
      </c>
      <c r="I118" s="2" t="b">
        <f t="shared" si="12"/>
        <v>1</v>
      </c>
    </row>
    <row r="119" spans="1:9" x14ac:dyDescent="0.25">
      <c r="B119" s="2" t="s">
        <v>77</v>
      </c>
      <c r="C119" s="55">
        <f>SUM(C112:C118)</f>
        <v>35.5</v>
      </c>
      <c r="E119" s="2" t="s">
        <v>77</v>
      </c>
      <c r="F119" s="3">
        <f>SUM(F112:F118)</f>
        <v>35.5</v>
      </c>
      <c r="H119" s="2" t="b">
        <f t="shared" si="11"/>
        <v>1</v>
      </c>
      <c r="I119" s="2" t="b">
        <f t="shared" si="12"/>
        <v>1</v>
      </c>
    </row>
    <row r="122" spans="1:9" x14ac:dyDescent="0.25">
      <c r="A122" s="71" t="s">
        <v>10</v>
      </c>
    </row>
    <row r="123" spans="1:9" x14ac:dyDescent="0.25">
      <c r="A123" s="8" t="s">
        <v>52</v>
      </c>
      <c r="B123" s="10" t="s">
        <v>172</v>
      </c>
    </row>
    <row r="124" spans="1:9" x14ac:dyDescent="0.25">
      <c r="A124" s="19">
        <f>203/250*60</f>
        <v>48.720000000000006</v>
      </c>
      <c r="B124" s="3" t="s">
        <v>54</v>
      </c>
      <c r="C124" s="2" t="s">
        <v>81</v>
      </c>
    </row>
    <row r="125" spans="1:9" x14ac:dyDescent="0.25">
      <c r="A125" s="19">
        <f>140/250*60</f>
        <v>33.6</v>
      </c>
      <c r="B125" s="3" t="s">
        <v>83</v>
      </c>
      <c r="C125" s="2" t="s">
        <v>103</v>
      </c>
    </row>
    <row r="126" spans="1:9" x14ac:dyDescent="0.25">
      <c r="A126" s="19">
        <f>141/250*60</f>
        <v>33.839999999999996</v>
      </c>
      <c r="B126" s="3" t="s">
        <v>55</v>
      </c>
      <c r="C126" s="2" t="s">
        <v>104</v>
      </c>
    </row>
    <row r="127" spans="1:9" x14ac:dyDescent="0.25">
      <c r="A127" s="19">
        <f>225/250*60</f>
        <v>54</v>
      </c>
      <c r="B127" s="3" t="s">
        <v>55</v>
      </c>
      <c r="C127" s="2" t="s">
        <v>200</v>
      </c>
    </row>
    <row r="128" spans="1:9" x14ac:dyDescent="0.25">
      <c r="A128" s="19">
        <f>235/250*60</f>
        <v>56.4</v>
      </c>
      <c r="B128" s="3" t="s">
        <v>55</v>
      </c>
      <c r="C128" s="2" t="s">
        <v>45</v>
      </c>
    </row>
    <row r="130" spans="2:9" x14ac:dyDescent="0.25">
      <c r="B130" s="174" t="s">
        <v>91</v>
      </c>
      <c r="C130" s="174"/>
      <c r="D130" s="174"/>
      <c r="E130" s="174"/>
      <c r="F130" s="174"/>
      <c r="G130" s="174"/>
      <c r="H130" s="174"/>
      <c r="I130" s="174"/>
    </row>
    <row r="132" spans="2:9" x14ac:dyDescent="0.25">
      <c r="B132" s="177" t="s">
        <v>24</v>
      </c>
      <c r="C132" s="177"/>
      <c r="E132" s="177" t="s">
        <v>1</v>
      </c>
      <c r="F132" s="177"/>
    </row>
    <row r="134" spans="2:9" x14ac:dyDescent="0.25">
      <c r="B134" s="1" t="s">
        <v>66</v>
      </c>
      <c r="C134" s="4" t="s">
        <v>78</v>
      </c>
      <c r="E134" s="1" t="s">
        <v>66</v>
      </c>
      <c r="F134" s="4" t="s">
        <v>78</v>
      </c>
      <c r="H134" s="2" t="b">
        <f t="shared" ref="H134:H143" si="13">B134=E134</f>
        <v>1</v>
      </c>
      <c r="I134" s="2" t="b">
        <f t="shared" ref="I134:I143" si="14">C134=F134</f>
        <v>1</v>
      </c>
    </row>
    <row r="135" spans="2:9" x14ac:dyDescent="0.25">
      <c r="B135" s="2" t="s">
        <v>17</v>
      </c>
      <c r="C135" s="55">
        <v>16.100000000000001</v>
      </c>
      <c r="E135" s="2" t="s">
        <v>17</v>
      </c>
      <c r="F135" s="55">
        <v>16.100000000000001</v>
      </c>
      <c r="H135" s="2" t="b">
        <f t="shared" si="13"/>
        <v>1</v>
      </c>
      <c r="I135" s="2" t="b">
        <f t="shared" si="14"/>
        <v>1</v>
      </c>
    </row>
    <row r="136" spans="2:9" x14ac:dyDescent="0.25">
      <c r="B136" s="2" t="s">
        <v>15</v>
      </c>
      <c r="C136" s="55">
        <v>7.8</v>
      </c>
      <c r="E136" s="2" t="s">
        <v>15</v>
      </c>
      <c r="F136" s="55">
        <v>7.8</v>
      </c>
      <c r="H136" s="2" t="b">
        <f t="shared" si="13"/>
        <v>1</v>
      </c>
      <c r="I136" s="2" t="b">
        <f t="shared" si="14"/>
        <v>1</v>
      </c>
    </row>
    <row r="137" spans="2:9" x14ac:dyDescent="0.25">
      <c r="B137" s="2" t="s">
        <v>16</v>
      </c>
      <c r="C137" s="55">
        <v>4.0999999999999996</v>
      </c>
      <c r="E137" s="2" t="s">
        <v>16</v>
      </c>
      <c r="F137" s="55">
        <v>4.0999999999999996</v>
      </c>
      <c r="H137" s="2" t="b">
        <f t="shared" si="13"/>
        <v>1</v>
      </c>
      <c r="I137" s="2" t="b">
        <f t="shared" si="14"/>
        <v>1</v>
      </c>
    </row>
    <row r="138" spans="2:9" x14ac:dyDescent="0.25">
      <c r="B138" s="2" t="s">
        <v>18</v>
      </c>
      <c r="C138" s="55">
        <v>2.2999999999999998</v>
      </c>
      <c r="E138" s="2" t="s">
        <v>18</v>
      </c>
      <c r="F138" s="55">
        <v>2.2999999999999998</v>
      </c>
      <c r="H138" s="2" t="b">
        <f t="shared" si="13"/>
        <v>1</v>
      </c>
      <c r="I138" s="2" t="b">
        <f t="shared" si="14"/>
        <v>1</v>
      </c>
    </row>
    <row r="139" spans="2:9" x14ac:dyDescent="0.25">
      <c r="B139" s="2" t="s">
        <v>101</v>
      </c>
      <c r="C139" s="55">
        <v>1.8</v>
      </c>
      <c r="E139" s="2" t="s">
        <v>101</v>
      </c>
      <c r="F139" s="55">
        <v>1.8</v>
      </c>
      <c r="H139" s="2" t="b">
        <f t="shared" si="13"/>
        <v>1</v>
      </c>
      <c r="I139" s="2" t="b">
        <f t="shared" si="14"/>
        <v>1</v>
      </c>
    </row>
    <row r="140" spans="2:9" x14ac:dyDescent="0.25">
      <c r="B140" s="2" t="s">
        <v>19</v>
      </c>
      <c r="C140" s="55">
        <v>1.8</v>
      </c>
      <c r="E140" s="2" t="s">
        <v>19</v>
      </c>
      <c r="F140" s="55">
        <v>1.8</v>
      </c>
      <c r="H140" s="2" t="b">
        <f t="shared" si="13"/>
        <v>1</v>
      </c>
      <c r="I140" s="2" t="b">
        <f t="shared" si="14"/>
        <v>1</v>
      </c>
    </row>
    <row r="141" spans="2:9" x14ac:dyDescent="0.25">
      <c r="B141" s="2" t="s">
        <v>51</v>
      </c>
      <c r="C141" s="55">
        <v>0.4</v>
      </c>
      <c r="E141" s="2" t="s">
        <v>51</v>
      </c>
      <c r="F141" s="55">
        <v>0.4</v>
      </c>
      <c r="H141" s="2" t="b">
        <f t="shared" si="13"/>
        <v>1</v>
      </c>
      <c r="I141" s="2" t="b">
        <f t="shared" si="14"/>
        <v>1</v>
      </c>
    </row>
    <row r="142" spans="2:9" x14ac:dyDescent="0.25">
      <c r="B142" s="2" t="s">
        <v>22</v>
      </c>
      <c r="C142" s="55">
        <v>1.2</v>
      </c>
      <c r="E142" s="2" t="s">
        <v>22</v>
      </c>
      <c r="F142" s="55">
        <v>1.2</v>
      </c>
      <c r="H142" s="2" t="b">
        <f t="shared" si="13"/>
        <v>1</v>
      </c>
      <c r="I142" s="2" t="b">
        <f t="shared" si="14"/>
        <v>1</v>
      </c>
    </row>
    <row r="143" spans="2:9" x14ac:dyDescent="0.25">
      <c r="B143" s="2" t="s">
        <v>77</v>
      </c>
      <c r="C143" s="55">
        <v>35.6</v>
      </c>
      <c r="E143" s="2" t="s">
        <v>77</v>
      </c>
      <c r="F143" s="55">
        <v>35.6</v>
      </c>
      <c r="H143" s="2" t="b">
        <f t="shared" si="13"/>
        <v>1</v>
      </c>
      <c r="I143" s="2" t="b">
        <f t="shared" si="14"/>
        <v>1</v>
      </c>
    </row>
    <row r="145" spans="2:9" x14ac:dyDescent="0.25">
      <c r="E145" s="4" t="s">
        <v>5</v>
      </c>
      <c r="F145" s="14">
        <f>20/20</f>
        <v>1</v>
      </c>
    </row>
    <row r="147" spans="2:9" x14ac:dyDescent="0.25">
      <c r="B147" s="174" t="s">
        <v>92</v>
      </c>
      <c r="C147" s="174"/>
      <c r="D147" s="174"/>
      <c r="E147" s="174"/>
      <c r="F147" s="174"/>
      <c r="G147" s="174"/>
      <c r="H147" s="174"/>
      <c r="I147" s="174"/>
    </row>
    <row r="149" spans="2:9" x14ac:dyDescent="0.25">
      <c r="B149" s="177" t="s">
        <v>24</v>
      </c>
      <c r="C149" s="177"/>
      <c r="E149" s="177" t="s">
        <v>1</v>
      </c>
      <c r="F149" s="177"/>
    </row>
    <row r="151" spans="2:9" x14ac:dyDescent="0.25">
      <c r="B151" s="1" t="s">
        <v>66</v>
      </c>
      <c r="C151" s="4" t="s">
        <v>78</v>
      </c>
      <c r="E151" s="1" t="s">
        <v>66</v>
      </c>
      <c r="F151" s="4" t="s">
        <v>78</v>
      </c>
    </row>
    <row r="152" spans="2:9" x14ac:dyDescent="0.25">
      <c r="B152" s="2" t="s">
        <v>17</v>
      </c>
      <c r="C152" s="55">
        <f>C135</f>
        <v>16.100000000000001</v>
      </c>
      <c r="E152" s="2" t="s">
        <v>17</v>
      </c>
      <c r="F152" s="3">
        <v>16.100000000000001</v>
      </c>
      <c r="H152" s="2" t="b">
        <f t="shared" ref="H152:H159" si="15">B152=E152</f>
        <v>1</v>
      </c>
      <c r="I152" s="2" t="b">
        <f t="shared" ref="I152:I159" si="16">C152=F152</f>
        <v>1</v>
      </c>
    </row>
    <row r="153" spans="2:9" x14ac:dyDescent="0.25">
      <c r="B153" s="2" t="s">
        <v>15</v>
      </c>
      <c r="C153" s="55">
        <f t="shared" ref="C153:C155" si="17">C136</f>
        <v>7.8</v>
      </c>
      <c r="E153" s="2" t="s">
        <v>15</v>
      </c>
      <c r="F153" s="3">
        <v>7.8</v>
      </c>
      <c r="H153" s="2" t="b">
        <f t="shared" si="15"/>
        <v>1</v>
      </c>
      <c r="I153" s="2" t="b">
        <f t="shared" si="16"/>
        <v>1</v>
      </c>
    </row>
    <row r="154" spans="2:9" x14ac:dyDescent="0.25">
      <c r="B154" s="2" t="s">
        <v>16</v>
      </c>
      <c r="C154" s="55">
        <f t="shared" si="17"/>
        <v>4.0999999999999996</v>
      </c>
      <c r="E154" s="2" t="s">
        <v>16</v>
      </c>
      <c r="F154" s="16">
        <v>4.0999999999999996</v>
      </c>
      <c r="H154" s="2" t="b">
        <f t="shared" si="15"/>
        <v>1</v>
      </c>
      <c r="I154" s="2" t="b">
        <f t="shared" si="16"/>
        <v>1</v>
      </c>
    </row>
    <row r="155" spans="2:9" x14ac:dyDescent="0.25">
      <c r="B155" s="2" t="s">
        <v>18</v>
      </c>
      <c r="C155" s="55">
        <f t="shared" si="17"/>
        <v>2.2999999999999998</v>
      </c>
      <c r="E155" s="2" t="s">
        <v>18</v>
      </c>
      <c r="F155" s="3">
        <v>2.2999999999999998</v>
      </c>
      <c r="H155" s="2" t="b">
        <f t="shared" si="15"/>
        <v>1</v>
      </c>
      <c r="I155" s="2" t="b">
        <f t="shared" si="16"/>
        <v>1</v>
      </c>
    </row>
    <row r="156" spans="2:9" x14ac:dyDescent="0.25">
      <c r="B156" s="2" t="s">
        <v>19</v>
      </c>
      <c r="C156" s="55">
        <f>C140</f>
        <v>1.8</v>
      </c>
      <c r="E156" s="2" t="s">
        <v>19</v>
      </c>
      <c r="F156" s="3">
        <v>1.8</v>
      </c>
      <c r="H156" s="2" t="b">
        <f t="shared" si="15"/>
        <v>1</v>
      </c>
      <c r="I156" s="2" t="b">
        <f t="shared" si="16"/>
        <v>1</v>
      </c>
    </row>
    <row r="157" spans="2:9" x14ac:dyDescent="0.25">
      <c r="B157" s="2" t="s">
        <v>51</v>
      </c>
      <c r="C157" s="55">
        <f>C141</f>
        <v>0.4</v>
      </c>
      <c r="E157" s="2" t="s">
        <v>51</v>
      </c>
      <c r="F157" s="3">
        <v>0.4</v>
      </c>
      <c r="H157" s="2" t="b">
        <f t="shared" si="15"/>
        <v>1</v>
      </c>
      <c r="I157" s="2" t="b">
        <f t="shared" si="16"/>
        <v>1</v>
      </c>
    </row>
    <row r="158" spans="2:9" x14ac:dyDescent="0.25">
      <c r="B158" s="2" t="s">
        <v>22</v>
      </c>
      <c r="C158" s="55">
        <f>C142+C139</f>
        <v>3</v>
      </c>
      <c r="E158" s="2" t="s">
        <v>22</v>
      </c>
      <c r="F158" s="16">
        <v>3</v>
      </c>
      <c r="H158" s="2" t="b">
        <f t="shared" si="15"/>
        <v>1</v>
      </c>
      <c r="I158" s="2" t="b">
        <f t="shared" si="16"/>
        <v>1</v>
      </c>
    </row>
    <row r="159" spans="2:9" x14ac:dyDescent="0.25">
      <c r="B159" s="2" t="s">
        <v>77</v>
      </c>
      <c r="C159" s="55">
        <v>35.6</v>
      </c>
      <c r="E159" s="2" t="s">
        <v>77</v>
      </c>
      <c r="F159" s="3">
        <v>35.6</v>
      </c>
      <c r="H159" s="2" t="b">
        <f t="shared" si="15"/>
        <v>1</v>
      </c>
      <c r="I159" s="2" t="b">
        <f t="shared" si="16"/>
        <v>1</v>
      </c>
    </row>
    <row r="203" spans="5:6" x14ac:dyDescent="0.25">
      <c r="E203" s="4"/>
      <c r="F203" s="14"/>
    </row>
  </sheetData>
  <mergeCells count="24">
    <mergeCell ref="B50:I50"/>
    <mergeCell ref="B52:C52"/>
    <mergeCell ref="E52:F52"/>
    <mergeCell ref="B69:C69"/>
    <mergeCell ref="E69:F69"/>
    <mergeCell ref="B67:I67"/>
    <mergeCell ref="B9:I9"/>
    <mergeCell ref="B11:C11"/>
    <mergeCell ref="E11:F11"/>
    <mergeCell ref="B26:I26"/>
    <mergeCell ref="B28:C28"/>
    <mergeCell ref="E28:F28"/>
    <mergeCell ref="B130:I130"/>
    <mergeCell ref="B132:C132"/>
    <mergeCell ref="E132:F132"/>
    <mergeCell ref="B147:I147"/>
    <mergeCell ref="B149:C149"/>
    <mergeCell ref="E149:F149"/>
    <mergeCell ref="B90:I90"/>
    <mergeCell ref="B92:C92"/>
    <mergeCell ref="E92:F92"/>
    <mergeCell ref="B107:I107"/>
    <mergeCell ref="B109:C109"/>
    <mergeCell ref="E109:F109"/>
  </mergeCells>
  <pageMargins left="0.7" right="0.7" top="0.75" bottom="0.75" header="0.3" footer="0.3"/>
  <pageSetup orientation="portrait" horizontalDpi="0" verticalDpi="0"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6E815-B449-4B1E-A483-8521063F0A0D}">
  <dimension ref="A2:L170"/>
  <sheetViews>
    <sheetView showGridLines="0" zoomScaleNormal="110" workbookViewId="0">
      <selection activeCell="M36" sqref="M36"/>
    </sheetView>
  </sheetViews>
  <sheetFormatPr defaultRowHeight="14.4" x14ac:dyDescent="0.3"/>
  <cols>
    <col min="1" max="1" width="12" bestFit="1" customWidth="1"/>
    <col min="2" max="2" width="20.33203125" bestFit="1" customWidth="1"/>
    <col min="3" max="4" width="11.21875" bestFit="1" customWidth="1"/>
    <col min="5" max="5" width="16.109375" bestFit="1" customWidth="1"/>
    <col min="6" max="6" width="19.77734375" bestFit="1" customWidth="1"/>
    <col min="7" max="7" width="9.5546875" bestFit="1" customWidth="1"/>
    <col min="8" max="8" width="11.21875" bestFit="1" customWidth="1"/>
    <col min="9" max="9" width="5.77734375" bestFit="1" customWidth="1"/>
    <col min="10" max="10" width="6.88671875" bestFit="1" customWidth="1"/>
    <col min="11" max="11" width="16.109375" bestFit="1" customWidth="1"/>
    <col min="12" max="12" width="11.5546875" bestFit="1" customWidth="1"/>
    <col min="13" max="13" width="4.109375" bestFit="1" customWidth="1"/>
    <col min="14" max="14" width="8.21875" bestFit="1" customWidth="1"/>
    <col min="15" max="15" width="8.109375" bestFit="1" customWidth="1"/>
    <col min="16" max="16" width="7.88671875" bestFit="1" customWidth="1"/>
    <col min="17" max="17" width="15.88671875" bestFit="1" customWidth="1"/>
    <col min="18" max="18" width="9.5546875" bestFit="1" customWidth="1"/>
    <col min="19" max="19" width="11.21875" bestFit="1" customWidth="1"/>
    <col min="20" max="20" width="8" bestFit="1" customWidth="1"/>
    <col min="21" max="21" width="7.88671875" bestFit="1" customWidth="1"/>
  </cols>
  <sheetData>
    <row r="2" spans="1:12" x14ac:dyDescent="0.3">
      <c r="A2" s="71" t="s">
        <v>8</v>
      </c>
    </row>
    <row r="3" spans="1:12" x14ac:dyDescent="0.3">
      <c r="A3" s="8" t="s">
        <v>52</v>
      </c>
      <c r="B3" s="10" t="s">
        <v>173</v>
      </c>
      <c r="C3" s="2"/>
    </row>
    <row r="4" spans="1:12" x14ac:dyDescent="0.3">
      <c r="A4" s="19">
        <f>169/250*60</f>
        <v>40.56</v>
      </c>
      <c r="B4" s="3" t="s">
        <v>54</v>
      </c>
      <c r="C4" s="2" t="s">
        <v>159</v>
      </c>
    </row>
    <row r="5" spans="1:12" x14ac:dyDescent="0.3">
      <c r="A5" s="19">
        <f>162/250*60</f>
        <v>38.880000000000003</v>
      </c>
      <c r="B5" s="3" t="s">
        <v>83</v>
      </c>
      <c r="C5" s="2" t="s">
        <v>188</v>
      </c>
    </row>
    <row r="6" spans="1:12" x14ac:dyDescent="0.3">
      <c r="A6" s="19">
        <f>191/250*60</f>
        <v>45.84</v>
      </c>
      <c r="B6" s="3" t="s">
        <v>83</v>
      </c>
      <c r="C6" s="2" t="s">
        <v>189</v>
      </c>
    </row>
    <row r="7" spans="1:12" x14ac:dyDescent="0.3">
      <c r="A7" s="19">
        <f>185/250*60</f>
        <v>44.4</v>
      </c>
      <c r="B7" s="3" t="s">
        <v>55</v>
      </c>
      <c r="C7" s="2" t="s">
        <v>190</v>
      </c>
    </row>
    <row r="8" spans="1:12" x14ac:dyDescent="0.3">
      <c r="A8" s="19">
        <f>235/250*60</f>
        <v>56.4</v>
      </c>
      <c r="B8" s="3" t="s">
        <v>55</v>
      </c>
      <c r="C8" s="2" t="s">
        <v>45</v>
      </c>
    </row>
    <row r="9" spans="1:12" x14ac:dyDescent="0.3">
      <c r="A9" s="19">
        <f>102/250*60</f>
        <v>24.479999999999997</v>
      </c>
      <c r="B9" s="3" t="s">
        <v>55</v>
      </c>
      <c r="C9" s="2" t="s">
        <v>162</v>
      </c>
    </row>
    <row r="11" spans="1:12" x14ac:dyDescent="0.3">
      <c r="B11" s="7" t="s">
        <v>24</v>
      </c>
      <c r="C11" s="3"/>
      <c r="D11" s="2"/>
      <c r="F11" s="7" t="s">
        <v>1</v>
      </c>
    </row>
    <row r="13" spans="1:12" x14ac:dyDescent="0.3">
      <c r="B13" s="10" t="s">
        <v>66</v>
      </c>
      <c r="C13" s="4" t="s">
        <v>158</v>
      </c>
      <c r="D13" s="4" t="s">
        <v>78</v>
      </c>
      <c r="F13" s="10" t="s">
        <v>66</v>
      </c>
      <c r="G13" s="4" t="s">
        <v>158</v>
      </c>
      <c r="H13" s="4" t="s">
        <v>78</v>
      </c>
      <c r="J13" t="b">
        <f>B13=F13</f>
        <v>1</v>
      </c>
      <c r="K13" t="b">
        <f t="shared" ref="K13:K24" si="0">C13=G13</f>
        <v>1</v>
      </c>
      <c r="L13" t="b">
        <f t="shared" ref="L13:L24" si="1">D13=H13</f>
        <v>1</v>
      </c>
    </row>
    <row r="14" spans="1:12" x14ac:dyDescent="0.3">
      <c r="B14" s="5" t="s">
        <v>150</v>
      </c>
      <c r="C14" s="20">
        <v>7.0999999999999994E-2</v>
      </c>
      <c r="D14" s="64">
        <v>1.0900000000000001</v>
      </c>
      <c r="E14" s="60"/>
      <c r="F14" s="5" t="s">
        <v>150</v>
      </c>
      <c r="G14" s="20">
        <v>7.0999999999999994E-2</v>
      </c>
      <c r="H14" s="62">
        <v>1.0900000000000001</v>
      </c>
      <c r="J14" t="b">
        <f t="shared" ref="J14:J25" si="2">B14=F14</f>
        <v>1</v>
      </c>
      <c r="K14" t="b">
        <f t="shared" si="0"/>
        <v>1</v>
      </c>
      <c r="L14" t="b">
        <f t="shared" si="1"/>
        <v>1</v>
      </c>
    </row>
    <row r="15" spans="1:12" x14ac:dyDescent="0.3">
      <c r="B15" s="5" t="s">
        <v>65</v>
      </c>
      <c r="C15" s="20">
        <v>0.28599999999999998</v>
      </c>
      <c r="D15" s="64">
        <v>4.38</v>
      </c>
      <c r="E15" s="60"/>
      <c r="F15" s="5" t="s">
        <v>65</v>
      </c>
      <c r="G15" s="20">
        <v>0.28599999999999998</v>
      </c>
      <c r="H15" s="62">
        <v>4.38</v>
      </c>
      <c r="J15" t="b">
        <f t="shared" si="2"/>
        <v>1</v>
      </c>
      <c r="K15" t="b">
        <f t="shared" si="0"/>
        <v>1</v>
      </c>
      <c r="L15" t="b">
        <f t="shared" si="1"/>
        <v>1</v>
      </c>
    </row>
    <row r="16" spans="1:12" x14ac:dyDescent="0.3">
      <c r="B16" s="5" t="s">
        <v>16</v>
      </c>
      <c r="C16" s="20">
        <v>0.15</v>
      </c>
      <c r="D16" s="64">
        <v>2.2999999999999998</v>
      </c>
      <c r="E16" s="60"/>
      <c r="F16" s="5" t="s">
        <v>16</v>
      </c>
      <c r="G16" s="20">
        <v>0.15</v>
      </c>
      <c r="H16" s="62">
        <v>2.2999999999999998</v>
      </c>
      <c r="J16" t="b">
        <f t="shared" si="2"/>
        <v>1</v>
      </c>
      <c r="K16" t="b">
        <f t="shared" si="0"/>
        <v>1</v>
      </c>
      <c r="L16" t="b">
        <f t="shared" si="1"/>
        <v>1</v>
      </c>
    </row>
    <row r="17" spans="2:12" x14ac:dyDescent="0.3">
      <c r="B17" s="5" t="s">
        <v>125</v>
      </c>
      <c r="C17" s="20">
        <v>2.1999999999999999E-2</v>
      </c>
      <c r="D17" s="64">
        <v>0.34</v>
      </c>
      <c r="E17" s="60"/>
      <c r="F17" s="5" t="s">
        <v>125</v>
      </c>
      <c r="G17" s="20">
        <v>2.1999999999999999E-2</v>
      </c>
      <c r="H17" s="62">
        <v>0.34</v>
      </c>
      <c r="J17" t="b">
        <f t="shared" si="2"/>
        <v>1</v>
      </c>
      <c r="K17" t="b">
        <f t="shared" si="0"/>
        <v>1</v>
      </c>
      <c r="L17" t="b">
        <f t="shared" si="1"/>
        <v>1</v>
      </c>
    </row>
    <row r="18" spans="2:12" x14ac:dyDescent="0.3">
      <c r="B18" s="5" t="s">
        <v>113</v>
      </c>
      <c r="C18" s="20">
        <v>0.114</v>
      </c>
      <c r="D18" s="64">
        <v>1.74</v>
      </c>
      <c r="E18" s="60"/>
      <c r="F18" s="5" t="s">
        <v>113</v>
      </c>
      <c r="G18" s="20">
        <v>0.114</v>
      </c>
      <c r="H18" s="62">
        <v>1.74</v>
      </c>
      <c r="J18" t="b">
        <f t="shared" si="2"/>
        <v>1</v>
      </c>
      <c r="K18" t="b">
        <f t="shared" si="0"/>
        <v>1</v>
      </c>
      <c r="L18" t="b">
        <f t="shared" si="1"/>
        <v>1</v>
      </c>
    </row>
    <row r="19" spans="2:12" x14ac:dyDescent="0.3">
      <c r="B19" s="5" t="s">
        <v>151</v>
      </c>
      <c r="C19" s="20">
        <v>9.6000000000000002E-2</v>
      </c>
      <c r="D19" s="64">
        <v>1.47</v>
      </c>
      <c r="E19" s="60"/>
      <c r="F19" s="5" t="s">
        <v>151</v>
      </c>
      <c r="G19" s="20">
        <v>9.6000000000000002E-2</v>
      </c>
      <c r="H19" s="62">
        <v>1.47</v>
      </c>
      <c r="J19" t="b">
        <f t="shared" si="2"/>
        <v>1</v>
      </c>
      <c r="K19" t="b">
        <f t="shared" si="0"/>
        <v>1</v>
      </c>
      <c r="L19" t="b">
        <f t="shared" si="1"/>
        <v>1</v>
      </c>
    </row>
    <row r="20" spans="2:12" x14ac:dyDescent="0.3">
      <c r="B20" s="5" t="s">
        <v>152</v>
      </c>
      <c r="C20" s="20">
        <v>4.0000000000000001E-3</v>
      </c>
      <c r="D20" s="64">
        <v>0.06</v>
      </c>
      <c r="E20" s="60"/>
      <c r="F20" s="5" t="s">
        <v>152</v>
      </c>
      <c r="G20" s="20">
        <v>4.0000000000000001E-3</v>
      </c>
      <c r="H20" s="62">
        <v>0.06</v>
      </c>
      <c r="J20" t="b">
        <f t="shared" si="2"/>
        <v>1</v>
      </c>
      <c r="K20" t="b">
        <f t="shared" si="0"/>
        <v>1</v>
      </c>
      <c r="L20" t="b">
        <f t="shared" si="1"/>
        <v>1</v>
      </c>
    </row>
    <row r="21" spans="2:12" x14ac:dyDescent="0.3">
      <c r="B21" s="5" t="s">
        <v>18</v>
      </c>
      <c r="C21" s="20">
        <v>9.5000000000000001E-2</v>
      </c>
      <c r="D21" s="64">
        <v>1.45</v>
      </c>
      <c r="E21" s="60"/>
      <c r="F21" s="5" t="s">
        <v>18</v>
      </c>
      <c r="G21" s="20">
        <v>9.5000000000000001E-2</v>
      </c>
      <c r="H21" s="62">
        <v>1.45</v>
      </c>
      <c r="J21" t="b">
        <f t="shared" si="2"/>
        <v>1</v>
      </c>
      <c r="K21" t="b">
        <f t="shared" si="0"/>
        <v>1</v>
      </c>
      <c r="L21" t="b">
        <f t="shared" si="1"/>
        <v>1</v>
      </c>
    </row>
    <row r="22" spans="2:12" x14ac:dyDescent="0.3">
      <c r="B22" s="5" t="s">
        <v>153</v>
      </c>
      <c r="C22" s="20">
        <v>7.3999999999999996E-2</v>
      </c>
      <c r="D22" s="64">
        <v>1.1299999999999999</v>
      </c>
      <c r="E22" s="60"/>
      <c r="F22" s="5" t="s">
        <v>153</v>
      </c>
      <c r="G22" s="20">
        <v>7.3999999999999996E-2</v>
      </c>
      <c r="H22" s="62">
        <v>1.1299999999999999</v>
      </c>
      <c r="J22" t="b">
        <f t="shared" si="2"/>
        <v>1</v>
      </c>
      <c r="K22" t="b">
        <f t="shared" si="0"/>
        <v>1</v>
      </c>
      <c r="L22" t="b">
        <f t="shared" si="1"/>
        <v>1</v>
      </c>
    </row>
    <row r="23" spans="2:12" x14ac:dyDescent="0.3">
      <c r="B23" s="5" t="s">
        <v>154</v>
      </c>
      <c r="C23" s="20">
        <v>5.0999999999999997E-2</v>
      </c>
      <c r="D23" s="64">
        <v>0.78</v>
      </c>
      <c r="E23" s="60"/>
      <c r="F23" s="5" t="s">
        <v>154</v>
      </c>
      <c r="G23" s="20">
        <v>5.0999999999999997E-2</v>
      </c>
      <c r="H23" s="62">
        <v>0.78</v>
      </c>
      <c r="J23" t="b">
        <f t="shared" si="2"/>
        <v>1</v>
      </c>
      <c r="K23" t="b">
        <f t="shared" si="0"/>
        <v>1</v>
      </c>
      <c r="L23" t="b">
        <f t="shared" si="1"/>
        <v>1</v>
      </c>
    </row>
    <row r="24" spans="2:12" x14ac:dyDescent="0.3">
      <c r="B24" s="5" t="s">
        <v>155</v>
      </c>
      <c r="C24" s="20">
        <v>1E-3</v>
      </c>
      <c r="D24" s="64">
        <v>0.02</v>
      </c>
      <c r="E24" s="60"/>
      <c r="F24" s="5" t="s">
        <v>155</v>
      </c>
      <c r="G24" s="20">
        <v>1E-3</v>
      </c>
      <c r="H24" s="62">
        <v>0.02</v>
      </c>
      <c r="J24" t="b">
        <f t="shared" si="2"/>
        <v>1</v>
      </c>
      <c r="K24" t="b">
        <f t="shared" si="0"/>
        <v>1</v>
      </c>
      <c r="L24" t="b">
        <f t="shared" si="1"/>
        <v>1</v>
      </c>
    </row>
    <row r="25" spans="2:12" x14ac:dyDescent="0.3">
      <c r="B25" s="5" t="s">
        <v>156</v>
      </c>
      <c r="C25" s="20">
        <v>1.9E-2</v>
      </c>
      <c r="D25" s="64">
        <v>0.28999999999999998</v>
      </c>
      <c r="E25" s="60"/>
      <c r="F25" s="5" t="s">
        <v>156</v>
      </c>
      <c r="G25" s="20">
        <v>1.9E-2</v>
      </c>
      <c r="H25" s="62">
        <v>0.28999999999999998</v>
      </c>
      <c r="J25" t="b">
        <f t="shared" si="2"/>
        <v>1</v>
      </c>
      <c r="K25" t="b">
        <f t="shared" ref="K25" si="3">C25=G25</f>
        <v>1</v>
      </c>
      <c r="L25" t="b">
        <f t="shared" ref="L25" si="4">D25=H25</f>
        <v>1</v>
      </c>
    </row>
    <row r="26" spans="2:12" x14ac:dyDescent="0.3">
      <c r="B26" s="5" t="s">
        <v>22</v>
      </c>
      <c r="C26" s="20">
        <v>1.7000000000000001E-2</v>
      </c>
      <c r="D26" s="64">
        <v>0.26</v>
      </c>
      <c r="E26" s="60"/>
      <c r="F26" s="5" t="s">
        <v>22</v>
      </c>
      <c r="G26" s="20">
        <v>1.7000000000000001E-2</v>
      </c>
      <c r="H26" s="62">
        <v>0.26</v>
      </c>
      <c r="I26" s="70"/>
      <c r="J26" t="b">
        <f t="shared" ref="J26:L27" si="5">B26=F26</f>
        <v>1</v>
      </c>
      <c r="K26" t="b">
        <f t="shared" si="5"/>
        <v>1</v>
      </c>
      <c r="L26" t="b">
        <f t="shared" si="5"/>
        <v>1</v>
      </c>
    </row>
    <row r="27" spans="2:12" x14ac:dyDescent="0.3">
      <c r="B27" s="5" t="s">
        <v>77</v>
      </c>
      <c r="C27" s="20">
        <f>SUM(C14:C26)</f>
        <v>1</v>
      </c>
      <c r="D27" s="55">
        <f>SUM(D14:D26)</f>
        <v>15.309999999999999</v>
      </c>
      <c r="E27" s="60"/>
      <c r="F27" s="5" t="s">
        <v>77</v>
      </c>
      <c r="G27" s="20">
        <f>SUM(G14:G26)</f>
        <v>1</v>
      </c>
      <c r="H27" s="55">
        <f>SUM(H14:H26)</f>
        <v>15.309999999999999</v>
      </c>
      <c r="J27" t="b">
        <f t="shared" si="5"/>
        <v>1</v>
      </c>
      <c r="K27" t="b">
        <f t="shared" si="5"/>
        <v>1</v>
      </c>
      <c r="L27" t="b">
        <f t="shared" si="5"/>
        <v>1</v>
      </c>
    </row>
    <row r="28" spans="2:12" x14ac:dyDescent="0.3">
      <c r="B28" s="5" t="s">
        <v>157</v>
      </c>
      <c r="C28" s="72">
        <v>15.3</v>
      </c>
      <c r="H28" s="16"/>
    </row>
    <row r="29" spans="2:12" x14ac:dyDescent="0.3">
      <c r="F29" s="10" t="s">
        <v>5</v>
      </c>
      <c r="G29" s="20">
        <f>30/30</f>
        <v>1</v>
      </c>
    </row>
    <row r="49" spans="1:12" x14ac:dyDescent="0.3">
      <c r="B49" s="59"/>
    </row>
    <row r="51" spans="1:12" x14ac:dyDescent="0.3">
      <c r="A51" s="71" t="s">
        <v>7</v>
      </c>
    </row>
    <row r="52" spans="1:12" x14ac:dyDescent="0.3">
      <c r="A52" s="8" t="s">
        <v>52</v>
      </c>
      <c r="B52" s="10" t="s">
        <v>80</v>
      </c>
      <c r="C52" s="2"/>
    </row>
    <row r="53" spans="1:12" x14ac:dyDescent="0.3">
      <c r="A53" s="19">
        <f>169/250*60</f>
        <v>40.56</v>
      </c>
      <c r="B53" s="3" t="s">
        <v>54</v>
      </c>
      <c r="C53" s="2" t="s">
        <v>159</v>
      </c>
    </row>
    <row r="54" spans="1:12" x14ac:dyDescent="0.3">
      <c r="A54" s="19">
        <f>162/250*60</f>
        <v>38.880000000000003</v>
      </c>
      <c r="B54" s="3" t="s">
        <v>83</v>
      </c>
      <c r="C54" s="2" t="s">
        <v>160</v>
      </c>
    </row>
    <row r="55" spans="1:12" x14ac:dyDescent="0.3">
      <c r="A55" s="19">
        <f>182/250*60</f>
        <v>43.68</v>
      </c>
      <c r="B55" s="3" t="s">
        <v>83</v>
      </c>
      <c r="C55" s="2" t="s">
        <v>187</v>
      </c>
    </row>
    <row r="56" spans="1:12" x14ac:dyDescent="0.3">
      <c r="A56" s="19">
        <f>185/250*60</f>
        <v>44.4</v>
      </c>
      <c r="B56" s="3" t="s">
        <v>55</v>
      </c>
      <c r="C56" s="2" t="s">
        <v>161</v>
      </c>
    </row>
    <row r="57" spans="1:12" x14ac:dyDescent="0.3">
      <c r="A57" s="19">
        <f>235/250*60</f>
        <v>56.4</v>
      </c>
      <c r="B57" s="3" t="s">
        <v>55</v>
      </c>
      <c r="C57" s="2" t="s">
        <v>45</v>
      </c>
    </row>
    <row r="58" spans="1:12" x14ac:dyDescent="0.3">
      <c r="A58" s="19">
        <f>102/250*60</f>
        <v>24.479999999999997</v>
      </c>
      <c r="B58" s="3" t="s">
        <v>55</v>
      </c>
      <c r="C58" s="2" t="s">
        <v>162</v>
      </c>
    </row>
    <row r="60" spans="1:12" x14ac:dyDescent="0.3">
      <c r="B60" s="7" t="s">
        <v>24</v>
      </c>
      <c r="C60" s="3"/>
      <c r="D60" s="2"/>
      <c r="F60" s="7" t="s">
        <v>1</v>
      </c>
    </row>
    <row r="62" spans="1:12" x14ac:dyDescent="0.3">
      <c r="B62" s="10" t="s">
        <v>66</v>
      </c>
      <c r="C62" s="4" t="s">
        <v>158</v>
      </c>
      <c r="D62" s="4" t="s">
        <v>78</v>
      </c>
      <c r="F62" s="10" t="s">
        <v>66</v>
      </c>
      <c r="G62" s="4" t="s">
        <v>158</v>
      </c>
      <c r="H62" s="4" t="s">
        <v>78</v>
      </c>
      <c r="J62" t="b">
        <f t="shared" ref="J62:J76" si="6">B62=F62</f>
        <v>1</v>
      </c>
      <c r="K62" t="b">
        <f t="shared" ref="K62:K76" si="7">C62=G62</f>
        <v>1</v>
      </c>
      <c r="L62" t="b">
        <f t="shared" ref="L62:L76" si="8">D62=H62</f>
        <v>1</v>
      </c>
    </row>
    <row r="63" spans="1:12" x14ac:dyDescent="0.3">
      <c r="B63" s="5" t="s">
        <v>150</v>
      </c>
      <c r="C63" s="20">
        <v>7.4999999999999997E-2</v>
      </c>
      <c r="D63" s="64">
        <v>1.1599999999999999</v>
      </c>
      <c r="E63" s="60"/>
      <c r="F63" s="5" t="s">
        <v>150</v>
      </c>
      <c r="G63" s="20">
        <v>7.4999999999999997E-2</v>
      </c>
      <c r="H63" s="62">
        <v>1.1599999999999999</v>
      </c>
      <c r="J63" t="b">
        <f t="shared" si="6"/>
        <v>1</v>
      </c>
      <c r="K63" t="b">
        <f t="shared" si="7"/>
        <v>1</v>
      </c>
      <c r="L63" t="b">
        <f t="shared" si="8"/>
        <v>1</v>
      </c>
    </row>
    <row r="64" spans="1:12" x14ac:dyDescent="0.3">
      <c r="B64" s="5" t="s">
        <v>65</v>
      </c>
      <c r="C64" s="20">
        <v>0.27500000000000002</v>
      </c>
      <c r="D64" s="64">
        <v>4.24</v>
      </c>
      <c r="E64" s="60"/>
      <c r="F64" s="5" t="s">
        <v>65</v>
      </c>
      <c r="G64" s="20">
        <v>0.27500000000000002</v>
      </c>
      <c r="H64" s="62">
        <v>4.24</v>
      </c>
      <c r="J64" t="b">
        <f t="shared" si="6"/>
        <v>1</v>
      </c>
      <c r="K64" t="b">
        <f t="shared" si="7"/>
        <v>1</v>
      </c>
      <c r="L64" t="b">
        <f t="shared" si="8"/>
        <v>1</v>
      </c>
    </row>
    <row r="65" spans="2:12" x14ac:dyDescent="0.3">
      <c r="B65" s="5" t="s">
        <v>16</v>
      </c>
      <c r="C65" s="20">
        <v>0.14499999999999999</v>
      </c>
      <c r="D65" s="64">
        <v>2.23</v>
      </c>
      <c r="E65" s="60"/>
      <c r="F65" s="5" t="s">
        <v>16</v>
      </c>
      <c r="G65" s="20">
        <v>0.14499999999999999</v>
      </c>
      <c r="H65" s="62">
        <v>2.23</v>
      </c>
      <c r="J65" t="b">
        <f t="shared" si="6"/>
        <v>1</v>
      </c>
      <c r="K65" t="b">
        <f t="shared" si="7"/>
        <v>1</v>
      </c>
      <c r="L65" t="b">
        <f t="shared" si="8"/>
        <v>1</v>
      </c>
    </row>
    <row r="66" spans="2:12" x14ac:dyDescent="0.3">
      <c r="B66" s="5" t="s">
        <v>125</v>
      </c>
      <c r="C66" s="20">
        <v>2.5999999999999999E-2</v>
      </c>
      <c r="D66" s="64">
        <v>0.4</v>
      </c>
      <c r="E66" s="60"/>
      <c r="F66" s="5" t="s">
        <v>125</v>
      </c>
      <c r="G66" s="20">
        <v>2.5999999999999999E-2</v>
      </c>
      <c r="H66" s="62">
        <v>0.4</v>
      </c>
      <c r="J66" t="b">
        <f t="shared" si="6"/>
        <v>1</v>
      </c>
      <c r="K66" t="b">
        <f t="shared" si="7"/>
        <v>1</v>
      </c>
      <c r="L66" t="b">
        <f t="shared" si="8"/>
        <v>1</v>
      </c>
    </row>
    <row r="67" spans="2:12" x14ac:dyDescent="0.3">
      <c r="B67" s="5" t="s">
        <v>113</v>
      </c>
      <c r="C67" s="20">
        <v>0.121</v>
      </c>
      <c r="D67" s="64">
        <v>1.86</v>
      </c>
      <c r="E67" s="60"/>
      <c r="F67" s="5" t="s">
        <v>113</v>
      </c>
      <c r="G67" s="20">
        <v>0.121</v>
      </c>
      <c r="H67" s="62">
        <v>1.86</v>
      </c>
      <c r="J67" t="b">
        <f t="shared" si="6"/>
        <v>1</v>
      </c>
      <c r="K67" t="b">
        <f t="shared" si="7"/>
        <v>1</v>
      </c>
      <c r="L67" t="b">
        <f t="shared" si="8"/>
        <v>1</v>
      </c>
    </row>
    <row r="68" spans="2:12" x14ac:dyDescent="0.3">
      <c r="B68" s="5" t="s">
        <v>151</v>
      </c>
      <c r="C68" s="20">
        <v>0.10100000000000001</v>
      </c>
      <c r="D68" s="64">
        <v>1.56</v>
      </c>
      <c r="E68" s="60"/>
      <c r="F68" s="5" t="s">
        <v>151</v>
      </c>
      <c r="G68" s="20">
        <v>0.10100000000000001</v>
      </c>
      <c r="H68" s="62">
        <v>1.56</v>
      </c>
      <c r="J68" t="b">
        <f t="shared" si="6"/>
        <v>1</v>
      </c>
      <c r="K68" t="b">
        <f t="shared" si="7"/>
        <v>1</v>
      </c>
      <c r="L68" t="b">
        <f t="shared" si="8"/>
        <v>1</v>
      </c>
    </row>
    <row r="69" spans="2:12" x14ac:dyDescent="0.3">
      <c r="B69" s="5" t="s">
        <v>152</v>
      </c>
      <c r="C69" s="20">
        <v>4.0000000000000001E-3</v>
      </c>
      <c r="D69" s="64">
        <v>0.06</v>
      </c>
      <c r="E69" s="60"/>
      <c r="F69" s="5" t="s">
        <v>152</v>
      </c>
      <c r="G69" s="20">
        <v>4.0000000000000001E-3</v>
      </c>
      <c r="H69" s="62">
        <v>0.06</v>
      </c>
      <c r="J69" t="b">
        <f t="shared" si="6"/>
        <v>1</v>
      </c>
      <c r="K69" t="b">
        <f t="shared" si="7"/>
        <v>1</v>
      </c>
      <c r="L69" t="b">
        <f t="shared" si="8"/>
        <v>1</v>
      </c>
    </row>
    <row r="70" spans="2:12" x14ac:dyDescent="0.3">
      <c r="B70" s="5" t="s">
        <v>18</v>
      </c>
      <c r="C70" s="20">
        <v>8.8999999999999996E-2</v>
      </c>
      <c r="D70" s="64">
        <v>1.37</v>
      </c>
      <c r="E70" s="60"/>
      <c r="F70" s="5" t="s">
        <v>18</v>
      </c>
      <c r="G70" s="20">
        <v>8.8999999999999996E-2</v>
      </c>
      <c r="H70" s="62">
        <v>1.37</v>
      </c>
      <c r="J70" t="b">
        <f t="shared" si="6"/>
        <v>1</v>
      </c>
      <c r="K70" t="b">
        <f t="shared" si="7"/>
        <v>1</v>
      </c>
      <c r="L70" t="b">
        <f t="shared" si="8"/>
        <v>1</v>
      </c>
    </row>
    <row r="71" spans="2:12" x14ac:dyDescent="0.3">
      <c r="B71" s="5" t="s">
        <v>153</v>
      </c>
      <c r="C71" s="20">
        <v>7.5999999999999998E-2</v>
      </c>
      <c r="D71" s="64">
        <v>1.17</v>
      </c>
      <c r="E71" s="60"/>
      <c r="F71" s="5" t="s">
        <v>153</v>
      </c>
      <c r="G71" s="20">
        <v>7.5999999999999998E-2</v>
      </c>
      <c r="H71" s="62">
        <v>1.17</v>
      </c>
      <c r="J71" t="b">
        <f t="shared" si="6"/>
        <v>1</v>
      </c>
      <c r="K71" t="b">
        <f t="shared" si="7"/>
        <v>1</v>
      </c>
      <c r="L71" t="b">
        <f t="shared" si="8"/>
        <v>1</v>
      </c>
    </row>
    <row r="72" spans="2:12" x14ac:dyDescent="0.3">
      <c r="B72" s="5" t="s">
        <v>154</v>
      </c>
      <c r="C72" s="20">
        <v>5.1999999999999998E-2</v>
      </c>
      <c r="D72" s="64">
        <v>0.8</v>
      </c>
      <c r="E72" s="60"/>
      <c r="F72" s="5" t="s">
        <v>154</v>
      </c>
      <c r="G72" s="20">
        <v>5.1999999999999998E-2</v>
      </c>
      <c r="H72" s="62">
        <v>0.8</v>
      </c>
      <c r="J72" t="b">
        <f t="shared" si="6"/>
        <v>1</v>
      </c>
      <c r="K72" t="b">
        <f t="shared" si="7"/>
        <v>1</v>
      </c>
      <c r="L72" t="b">
        <f t="shared" si="8"/>
        <v>1</v>
      </c>
    </row>
    <row r="73" spans="2:12" x14ac:dyDescent="0.3">
      <c r="B73" s="5" t="s">
        <v>155</v>
      </c>
      <c r="C73" s="20">
        <v>1E-3</v>
      </c>
      <c r="D73" s="64">
        <v>0.02</v>
      </c>
      <c r="E73" s="60"/>
      <c r="F73" s="5" t="s">
        <v>155</v>
      </c>
      <c r="G73" s="20">
        <v>1E-3</v>
      </c>
      <c r="H73" s="62">
        <v>0.02</v>
      </c>
      <c r="J73" t="b">
        <f t="shared" si="6"/>
        <v>1</v>
      </c>
      <c r="K73" t="b">
        <f t="shared" si="7"/>
        <v>1</v>
      </c>
      <c r="L73" t="b">
        <f t="shared" si="8"/>
        <v>1</v>
      </c>
    </row>
    <row r="74" spans="2:12" x14ac:dyDescent="0.3">
      <c r="B74" s="5" t="s">
        <v>156</v>
      </c>
      <c r="C74" s="20">
        <v>1.7999999999999999E-2</v>
      </c>
      <c r="D74" s="64">
        <v>0.28000000000000003</v>
      </c>
      <c r="E74" s="60"/>
      <c r="F74" s="5" t="s">
        <v>156</v>
      </c>
      <c r="G74" s="20">
        <v>1.7999999999999999E-2</v>
      </c>
      <c r="H74" s="62">
        <v>0.28000000000000003</v>
      </c>
      <c r="J74" t="b">
        <f t="shared" si="6"/>
        <v>1</v>
      </c>
      <c r="K74" t="b">
        <f t="shared" si="7"/>
        <v>1</v>
      </c>
      <c r="L74" t="b">
        <f t="shared" si="8"/>
        <v>1</v>
      </c>
    </row>
    <row r="75" spans="2:12" x14ac:dyDescent="0.3">
      <c r="B75" s="5" t="s">
        <v>22</v>
      </c>
      <c r="C75" s="20">
        <v>1.7000000000000001E-2</v>
      </c>
      <c r="D75" s="64">
        <v>0.26</v>
      </c>
      <c r="E75" s="60"/>
      <c r="F75" s="5" t="s">
        <v>22</v>
      </c>
      <c r="G75" s="20">
        <v>1.7000000000000001E-2</v>
      </c>
      <c r="H75" s="62">
        <v>0.26</v>
      </c>
      <c r="J75" t="b">
        <f t="shared" si="6"/>
        <v>1</v>
      </c>
      <c r="K75" t="b">
        <f t="shared" si="7"/>
        <v>1</v>
      </c>
      <c r="L75" t="b">
        <f t="shared" si="8"/>
        <v>1</v>
      </c>
    </row>
    <row r="76" spans="2:12" x14ac:dyDescent="0.3">
      <c r="B76" s="5" t="s">
        <v>77</v>
      </c>
      <c r="C76" s="20">
        <f>SUM(C63:C75)</f>
        <v>1</v>
      </c>
      <c r="D76" s="65">
        <f>SUM(D63:D75)</f>
        <v>15.410000000000002</v>
      </c>
      <c r="E76" s="60"/>
      <c r="F76" s="5" t="s">
        <v>77</v>
      </c>
      <c r="G76" s="20">
        <f>SUM(G63:G75)</f>
        <v>1</v>
      </c>
      <c r="H76" s="16">
        <f>SUM(H63:H75)</f>
        <v>15.410000000000002</v>
      </c>
      <c r="J76" t="b">
        <f t="shared" si="6"/>
        <v>1</v>
      </c>
      <c r="K76" t="b">
        <f t="shared" si="7"/>
        <v>1</v>
      </c>
      <c r="L76" t="b">
        <f t="shared" si="8"/>
        <v>1</v>
      </c>
    </row>
    <row r="77" spans="2:12" x14ac:dyDescent="0.3">
      <c r="B77" s="5" t="s">
        <v>157</v>
      </c>
      <c r="C77" s="61">
        <v>15.4</v>
      </c>
      <c r="F77" s="5"/>
      <c r="G77" s="61"/>
    </row>
    <row r="78" spans="2:12" x14ac:dyDescent="0.3">
      <c r="F78" s="4" t="s">
        <v>5</v>
      </c>
      <c r="G78" s="63">
        <f>30/30</f>
        <v>1</v>
      </c>
    </row>
    <row r="99" spans="1:12" x14ac:dyDescent="0.3">
      <c r="A99" s="71" t="s">
        <v>9</v>
      </c>
    </row>
    <row r="100" spans="1:12" x14ac:dyDescent="0.3">
      <c r="A100" s="8" t="s">
        <v>52</v>
      </c>
      <c r="B100" s="10" t="s">
        <v>167</v>
      </c>
      <c r="C100" s="2"/>
    </row>
    <row r="101" spans="1:12" x14ac:dyDescent="0.3">
      <c r="A101" s="19">
        <f>169/250*60</f>
        <v>40.56</v>
      </c>
      <c r="B101" s="3" t="s">
        <v>54</v>
      </c>
      <c r="C101" s="2" t="s">
        <v>159</v>
      </c>
    </row>
    <row r="102" spans="1:12" x14ac:dyDescent="0.3">
      <c r="A102" s="19">
        <f>162/250*60</f>
        <v>38.880000000000003</v>
      </c>
      <c r="B102" s="3" t="s">
        <v>83</v>
      </c>
      <c r="C102" s="2" t="s">
        <v>160</v>
      </c>
    </row>
    <row r="103" spans="1:12" x14ac:dyDescent="0.3">
      <c r="A103" s="19">
        <f>163/250*60</f>
        <v>39.120000000000005</v>
      </c>
      <c r="B103" s="3" t="s">
        <v>83</v>
      </c>
      <c r="C103" s="2" t="s">
        <v>186</v>
      </c>
    </row>
    <row r="104" spans="1:12" x14ac:dyDescent="0.3">
      <c r="A104" s="19">
        <f>185/250*60</f>
        <v>44.4</v>
      </c>
      <c r="B104" s="3" t="s">
        <v>55</v>
      </c>
      <c r="C104" s="2" t="s">
        <v>183</v>
      </c>
    </row>
    <row r="105" spans="1:12" x14ac:dyDescent="0.3">
      <c r="A105" s="19">
        <f>235/250*60</f>
        <v>56.4</v>
      </c>
      <c r="B105" s="3" t="s">
        <v>55</v>
      </c>
      <c r="C105" s="2" t="s">
        <v>45</v>
      </c>
    </row>
    <row r="106" spans="1:12" x14ac:dyDescent="0.3">
      <c r="A106" s="19">
        <f>102/250*60</f>
        <v>24.479999999999997</v>
      </c>
      <c r="B106" s="3" t="s">
        <v>55</v>
      </c>
      <c r="C106" s="2" t="s">
        <v>162</v>
      </c>
    </row>
    <row r="108" spans="1:12" x14ac:dyDescent="0.3">
      <c r="B108" s="7" t="s">
        <v>24</v>
      </c>
      <c r="C108" s="3"/>
      <c r="D108" s="2"/>
      <c r="F108" s="7" t="s">
        <v>1</v>
      </c>
    </row>
    <row r="110" spans="1:12" x14ac:dyDescent="0.3">
      <c r="B110" s="10" t="s">
        <v>66</v>
      </c>
      <c r="C110" s="4" t="s">
        <v>158</v>
      </c>
      <c r="D110" s="4" t="s">
        <v>78</v>
      </c>
      <c r="F110" s="10" t="s">
        <v>66</v>
      </c>
      <c r="G110" s="4" t="s">
        <v>158</v>
      </c>
      <c r="H110" s="4" t="s">
        <v>78</v>
      </c>
      <c r="J110" t="b">
        <f>B110=F110</f>
        <v>1</v>
      </c>
      <c r="K110" t="b">
        <f t="shared" ref="K110:K121" si="9">C110=G110</f>
        <v>1</v>
      </c>
      <c r="L110" t="b">
        <f t="shared" ref="L110:L121" si="10">D110=H110</f>
        <v>1</v>
      </c>
    </row>
    <row r="111" spans="1:12" x14ac:dyDescent="0.3">
      <c r="B111" s="5" t="s">
        <v>150</v>
      </c>
      <c r="C111" s="20">
        <v>7.1999999999999995E-2</v>
      </c>
      <c r="D111" s="64">
        <v>1.1200000000000001</v>
      </c>
      <c r="E111" s="60"/>
      <c r="F111" s="5" t="s">
        <v>150</v>
      </c>
      <c r="G111" s="20">
        <v>7.1999999999999995E-2</v>
      </c>
      <c r="H111" s="62">
        <v>1.1200000000000001</v>
      </c>
      <c r="J111" t="b">
        <f t="shared" ref="J111:J121" si="11">B111=F111</f>
        <v>1</v>
      </c>
      <c r="K111" t="b">
        <f t="shared" si="9"/>
        <v>1</v>
      </c>
      <c r="L111" t="b">
        <f t="shared" si="10"/>
        <v>1</v>
      </c>
    </row>
    <row r="112" spans="1:12" x14ac:dyDescent="0.3">
      <c r="B112" s="5" t="s">
        <v>65</v>
      </c>
      <c r="C112" s="20">
        <v>0.27500000000000002</v>
      </c>
      <c r="D112" s="64">
        <v>4.29</v>
      </c>
      <c r="E112" s="60"/>
      <c r="F112" s="5" t="s">
        <v>65</v>
      </c>
      <c r="G112" s="20">
        <v>0.27500000000000002</v>
      </c>
      <c r="H112" s="62">
        <v>4.29</v>
      </c>
      <c r="J112" t="b">
        <f t="shared" si="11"/>
        <v>1</v>
      </c>
      <c r="K112" t="b">
        <f t="shared" si="9"/>
        <v>1</v>
      </c>
      <c r="L112" t="b">
        <f t="shared" si="10"/>
        <v>1</v>
      </c>
    </row>
    <row r="113" spans="2:12" x14ac:dyDescent="0.3">
      <c r="B113" s="5" t="s">
        <v>16</v>
      </c>
      <c r="C113" s="20">
        <v>0.14199999999999999</v>
      </c>
      <c r="D113" s="64">
        <v>2.2200000000000002</v>
      </c>
      <c r="E113" s="60"/>
      <c r="F113" s="5" t="s">
        <v>16</v>
      </c>
      <c r="G113" s="20">
        <v>0.14199999999999999</v>
      </c>
      <c r="H113" s="62">
        <v>2.2200000000000002</v>
      </c>
      <c r="J113" t="b">
        <f t="shared" si="11"/>
        <v>1</v>
      </c>
      <c r="K113" t="b">
        <f t="shared" si="9"/>
        <v>1</v>
      </c>
      <c r="L113" t="b">
        <f t="shared" si="10"/>
        <v>1</v>
      </c>
    </row>
    <row r="114" spans="2:12" x14ac:dyDescent="0.3">
      <c r="B114" s="5" t="s">
        <v>125</v>
      </c>
      <c r="C114" s="20">
        <v>2.1000000000000001E-2</v>
      </c>
      <c r="D114" s="64">
        <v>0.33</v>
      </c>
      <c r="E114" s="60"/>
      <c r="F114" s="5" t="s">
        <v>125</v>
      </c>
      <c r="G114" s="20">
        <v>2.1000000000000001E-2</v>
      </c>
      <c r="H114" s="62">
        <v>0.33</v>
      </c>
      <c r="J114" t="b">
        <f t="shared" si="11"/>
        <v>1</v>
      </c>
      <c r="K114" t="b">
        <f t="shared" si="9"/>
        <v>1</v>
      </c>
      <c r="L114" t="b">
        <f t="shared" si="10"/>
        <v>1</v>
      </c>
    </row>
    <row r="115" spans="2:12" x14ac:dyDescent="0.3">
      <c r="B115" s="5" t="s">
        <v>113</v>
      </c>
      <c r="C115" s="20">
        <v>0.122</v>
      </c>
      <c r="D115" s="64">
        <v>1.9</v>
      </c>
      <c r="E115" s="60"/>
      <c r="F115" s="5" t="s">
        <v>113</v>
      </c>
      <c r="G115" s="20">
        <v>0.122</v>
      </c>
      <c r="H115" s="62">
        <v>1.9</v>
      </c>
      <c r="J115" t="b">
        <f t="shared" si="11"/>
        <v>1</v>
      </c>
      <c r="K115" t="b">
        <f t="shared" si="9"/>
        <v>1</v>
      </c>
      <c r="L115" t="b">
        <f t="shared" si="10"/>
        <v>1</v>
      </c>
    </row>
    <row r="116" spans="2:12" x14ac:dyDescent="0.3">
      <c r="B116" s="5" t="s">
        <v>151</v>
      </c>
      <c r="C116" s="20">
        <v>0.10100000000000001</v>
      </c>
      <c r="D116" s="64">
        <v>1.58</v>
      </c>
      <c r="E116" s="60"/>
      <c r="F116" s="5" t="s">
        <v>151</v>
      </c>
      <c r="G116" s="20">
        <v>0.10100000000000001</v>
      </c>
      <c r="H116" s="62">
        <v>1.58</v>
      </c>
      <c r="J116" t="b">
        <f t="shared" si="11"/>
        <v>1</v>
      </c>
      <c r="K116" t="b">
        <f t="shared" si="9"/>
        <v>1</v>
      </c>
      <c r="L116" t="b">
        <f t="shared" si="10"/>
        <v>1</v>
      </c>
    </row>
    <row r="117" spans="2:12" x14ac:dyDescent="0.3">
      <c r="B117" s="5" t="s">
        <v>152</v>
      </c>
      <c r="C117" s="20">
        <v>5.0000000000000001E-3</v>
      </c>
      <c r="D117" s="64">
        <v>0.08</v>
      </c>
      <c r="E117" s="60"/>
      <c r="F117" s="5" t="s">
        <v>152</v>
      </c>
      <c r="G117" s="20">
        <v>5.0000000000000001E-3</v>
      </c>
      <c r="H117" s="62">
        <v>0.08</v>
      </c>
      <c r="J117" t="b">
        <f t="shared" si="11"/>
        <v>1</v>
      </c>
      <c r="K117" t="b">
        <f t="shared" si="9"/>
        <v>1</v>
      </c>
      <c r="L117" t="b">
        <f t="shared" si="10"/>
        <v>1</v>
      </c>
    </row>
    <row r="118" spans="2:12" x14ac:dyDescent="0.3">
      <c r="B118" s="5" t="s">
        <v>18</v>
      </c>
      <c r="C118" s="20">
        <v>8.8999999999999996E-2</v>
      </c>
      <c r="D118" s="64">
        <v>1.39</v>
      </c>
      <c r="E118" s="60"/>
      <c r="F118" s="5" t="s">
        <v>18</v>
      </c>
      <c r="G118" s="20">
        <v>8.8999999999999996E-2</v>
      </c>
      <c r="H118" s="62">
        <v>1.39</v>
      </c>
      <c r="J118" t="b">
        <f t="shared" si="11"/>
        <v>1</v>
      </c>
      <c r="K118" t="b">
        <f t="shared" si="9"/>
        <v>1</v>
      </c>
      <c r="L118" t="b">
        <f t="shared" si="10"/>
        <v>1</v>
      </c>
    </row>
    <row r="119" spans="2:12" x14ac:dyDescent="0.3">
      <c r="B119" s="5" t="s">
        <v>153</v>
      </c>
      <c r="C119" s="20">
        <v>8.2000000000000003E-2</v>
      </c>
      <c r="D119" s="64">
        <v>1.28</v>
      </c>
      <c r="E119" s="60"/>
      <c r="F119" s="5" t="s">
        <v>153</v>
      </c>
      <c r="G119" s="20">
        <v>8.2000000000000003E-2</v>
      </c>
      <c r="H119" s="62">
        <v>1.28</v>
      </c>
      <c r="J119" t="b">
        <f t="shared" si="11"/>
        <v>1</v>
      </c>
      <c r="K119" t="b">
        <f t="shared" si="9"/>
        <v>1</v>
      </c>
      <c r="L119" t="b">
        <f t="shared" si="10"/>
        <v>1</v>
      </c>
    </row>
    <row r="120" spans="2:12" x14ac:dyDescent="0.3">
      <c r="B120" s="5" t="s">
        <v>154</v>
      </c>
      <c r="C120" s="20">
        <v>5.1999999999999998E-2</v>
      </c>
      <c r="D120" s="64">
        <v>0.81</v>
      </c>
      <c r="E120" s="60"/>
      <c r="F120" s="5" t="s">
        <v>154</v>
      </c>
      <c r="G120" s="20">
        <v>5.1999999999999998E-2</v>
      </c>
      <c r="H120" s="62">
        <v>0.81</v>
      </c>
      <c r="J120" t="b">
        <f t="shared" si="11"/>
        <v>1</v>
      </c>
      <c r="K120" t="b">
        <f t="shared" si="9"/>
        <v>1</v>
      </c>
      <c r="L120" t="b">
        <f t="shared" si="10"/>
        <v>1</v>
      </c>
    </row>
    <row r="121" spans="2:12" x14ac:dyDescent="0.3">
      <c r="B121" s="5" t="s">
        <v>155</v>
      </c>
      <c r="C121" s="20">
        <v>1E-3</v>
      </c>
      <c r="D121" s="64">
        <v>0.02</v>
      </c>
      <c r="E121" s="60"/>
      <c r="F121" s="5" t="s">
        <v>155</v>
      </c>
      <c r="G121" s="20">
        <v>1E-3</v>
      </c>
      <c r="H121" s="62">
        <v>0.02</v>
      </c>
      <c r="J121" t="b">
        <f t="shared" si="11"/>
        <v>1</v>
      </c>
      <c r="K121" t="b">
        <f t="shared" si="9"/>
        <v>1</v>
      </c>
      <c r="L121" t="b">
        <f t="shared" si="10"/>
        <v>1</v>
      </c>
    </row>
    <row r="122" spans="2:12" x14ac:dyDescent="0.3">
      <c r="B122" s="5" t="s">
        <v>22</v>
      </c>
      <c r="C122" s="20">
        <v>3.7999999999999999E-2</v>
      </c>
      <c r="D122" s="64">
        <v>0.59</v>
      </c>
      <c r="E122" s="60"/>
      <c r="F122" s="5" t="s">
        <v>22</v>
      </c>
      <c r="G122" s="20">
        <v>3.7999999999999999E-2</v>
      </c>
      <c r="H122" s="62">
        <v>0.59</v>
      </c>
      <c r="J122" t="b">
        <f t="shared" ref="J122:J123" si="12">B122=F122</f>
        <v>1</v>
      </c>
      <c r="K122" t="b">
        <f t="shared" ref="K122:K123" si="13">C122=G122</f>
        <v>1</v>
      </c>
      <c r="L122" t="b">
        <f t="shared" ref="L122:L123" si="14">D122=H122</f>
        <v>1</v>
      </c>
    </row>
    <row r="123" spans="2:12" x14ac:dyDescent="0.3">
      <c r="B123" s="5" t="s">
        <v>77</v>
      </c>
      <c r="C123" s="20">
        <f>SUM(C111:C122)</f>
        <v>1</v>
      </c>
      <c r="D123" s="55">
        <f>SUM(D111:D122)</f>
        <v>15.610000000000001</v>
      </c>
      <c r="E123" s="60"/>
      <c r="F123" s="5" t="s">
        <v>77</v>
      </c>
      <c r="G123" s="20">
        <f>SUM(G111:G122)</f>
        <v>1</v>
      </c>
      <c r="H123" s="55">
        <f>SUM(H111:H122)</f>
        <v>15.610000000000001</v>
      </c>
      <c r="J123" t="b">
        <f t="shared" si="12"/>
        <v>1</v>
      </c>
      <c r="K123" t="b">
        <f t="shared" si="13"/>
        <v>1</v>
      </c>
      <c r="L123" t="b">
        <f t="shared" si="14"/>
        <v>1</v>
      </c>
    </row>
    <row r="124" spans="2:12" x14ac:dyDescent="0.3">
      <c r="B124" s="5" t="s">
        <v>157</v>
      </c>
      <c r="C124" s="55">
        <v>15.6</v>
      </c>
      <c r="E124" s="60"/>
      <c r="H124" s="16"/>
    </row>
    <row r="125" spans="2:12" x14ac:dyDescent="0.3">
      <c r="F125" s="10" t="s">
        <v>5</v>
      </c>
      <c r="G125" s="20">
        <f>30/30</f>
        <v>1</v>
      </c>
      <c r="I125" s="70"/>
    </row>
    <row r="144" spans="1:1" x14ac:dyDescent="0.3">
      <c r="A144" s="71" t="s">
        <v>10</v>
      </c>
    </row>
    <row r="145" spans="1:12" x14ac:dyDescent="0.3">
      <c r="A145" s="8" t="s">
        <v>52</v>
      </c>
      <c r="B145" s="10" t="s">
        <v>172</v>
      </c>
      <c r="C145" s="2"/>
    </row>
    <row r="146" spans="1:12" x14ac:dyDescent="0.3">
      <c r="A146" s="19">
        <f>169/250*60</f>
        <v>40.56</v>
      </c>
      <c r="B146" s="3" t="s">
        <v>54</v>
      </c>
      <c r="C146" s="2" t="s">
        <v>159</v>
      </c>
    </row>
    <row r="147" spans="1:12" x14ac:dyDescent="0.3">
      <c r="A147" s="19">
        <f>162/250*60</f>
        <v>38.880000000000003</v>
      </c>
      <c r="B147" s="3" t="s">
        <v>83</v>
      </c>
      <c r="C147" s="2" t="s">
        <v>160</v>
      </c>
    </row>
    <row r="148" spans="1:12" x14ac:dyDescent="0.3">
      <c r="A148" s="19">
        <f>163/250*60</f>
        <v>39.120000000000005</v>
      </c>
      <c r="B148" s="3" t="s">
        <v>83</v>
      </c>
      <c r="C148" s="2" t="s">
        <v>185</v>
      </c>
    </row>
    <row r="149" spans="1:12" x14ac:dyDescent="0.3">
      <c r="A149" s="19">
        <f>185/250*60</f>
        <v>44.4</v>
      </c>
      <c r="B149" s="3" t="s">
        <v>55</v>
      </c>
      <c r="C149" s="2" t="s">
        <v>184</v>
      </c>
    </row>
    <row r="150" spans="1:12" x14ac:dyDescent="0.3">
      <c r="A150" s="19">
        <f>235/250*60</f>
        <v>56.4</v>
      </c>
      <c r="B150" s="3" t="s">
        <v>55</v>
      </c>
      <c r="C150" s="2" t="s">
        <v>45</v>
      </c>
    </row>
    <row r="151" spans="1:12" x14ac:dyDescent="0.3">
      <c r="A151" s="19">
        <f>102/250*60</f>
        <v>24.479999999999997</v>
      </c>
      <c r="B151" s="3" t="s">
        <v>55</v>
      </c>
      <c r="C151" s="2" t="s">
        <v>162</v>
      </c>
    </row>
    <row r="153" spans="1:12" x14ac:dyDescent="0.3">
      <c r="B153" s="7" t="s">
        <v>24</v>
      </c>
      <c r="C153" s="3"/>
      <c r="D153" s="2"/>
      <c r="F153" s="7" t="s">
        <v>1</v>
      </c>
    </row>
    <row r="155" spans="1:12" x14ac:dyDescent="0.3">
      <c r="B155" s="10" t="s">
        <v>66</v>
      </c>
      <c r="C155" s="4" t="s">
        <v>158</v>
      </c>
      <c r="D155" s="4" t="s">
        <v>78</v>
      </c>
      <c r="F155" s="10" t="s">
        <v>66</v>
      </c>
      <c r="G155" s="4" t="s">
        <v>158</v>
      </c>
      <c r="H155" s="4" t="s">
        <v>78</v>
      </c>
      <c r="J155" t="b">
        <f>B155=F155</f>
        <v>1</v>
      </c>
      <c r="K155" t="b">
        <f t="shared" ref="K155:K168" si="15">C155=G155</f>
        <v>1</v>
      </c>
      <c r="L155" t="b">
        <f t="shared" ref="L155:L168" si="16">D155=H155</f>
        <v>1</v>
      </c>
    </row>
    <row r="156" spans="1:12" x14ac:dyDescent="0.3">
      <c r="B156" s="5" t="s">
        <v>150</v>
      </c>
      <c r="C156" s="20">
        <v>6.5000000000000002E-2</v>
      </c>
      <c r="D156" s="64">
        <v>1</v>
      </c>
      <c r="E156" s="60"/>
      <c r="F156" s="5" t="s">
        <v>150</v>
      </c>
      <c r="G156" s="20">
        <v>6.5000000000000002E-2</v>
      </c>
      <c r="H156" s="62">
        <v>1</v>
      </c>
      <c r="J156" t="b">
        <f t="shared" ref="J156:J168" si="17">B156=F156</f>
        <v>1</v>
      </c>
      <c r="K156" t="b">
        <f t="shared" si="15"/>
        <v>1</v>
      </c>
      <c r="L156" t="b">
        <f t="shared" si="16"/>
        <v>1</v>
      </c>
    </row>
    <row r="157" spans="1:12" x14ac:dyDescent="0.3">
      <c r="B157" s="5" t="s">
        <v>65</v>
      </c>
      <c r="C157" s="20">
        <v>0.26400000000000001</v>
      </c>
      <c r="D157" s="64">
        <v>4.07</v>
      </c>
      <c r="E157" s="60"/>
      <c r="F157" s="5" t="s">
        <v>65</v>
      </c>
      <c r="G157" s="20">
        <v>0.26400000000000001</v>
      </c>
      <c r="H157" s="62">
        <v>4.07</v>
      </c>
      <c r="J157" t="b">
        <f t="shared" si="17"/>
        <v>1</v>
      </c>
      <c r="K157" t="b">
        <f t="shared" si="15"/>
        <v>1</v>
      </c>
      <c r="L157" t="b">
        <f t="shared" si="16"/>
        <v>1</v>
      </c>
    </row>
    <row r="158" spans="1:12" x14ac:dyDescent="0.3">
      <c r="B158" s="5" t="s">
        <v>16</v>
      </c>
      <c r="C158" s="20">
        <v>0.14499999999999999</v>
      </c>
      <c r="D158" s="64">
        <v>2.23</v>
      </c>
      <c r="E158" s="60"/>
      <c r="F158" s="5" t="s">
        <v>16</v>
      </c>
      <c r="G158" s="20">
        <v>0.14499999999999999</v>
      </c>
      <c r="H158" s="62">
        <v>2.23</v>
      </c>
      <c r="J158" t="b">
        <f t="shared" si="17"/>
        <v>1</v>
      </c>
      <c r="K158" t="b">
        <f t="shared" si="15"/>
        <v>1</v>
      </c>
      <c r="L158" t="b">
        <f t="shared" si="16"/>
        <v>1</v>
      </c>
    </row>
    <row r="159" spans="1:12" x14ac:dyDescent="0.3">
      <c r="B159" s="5" t="s">
        <v>125</v>
      </c>
      <c r="C159" s="20">
        <v>0.02</v>
      </c>
      <c r="D159" s="64">
        <v>0.31</v>
      </c>
      <c r="E159" s="60"/>
      <c r="F159" s="5" t="s">
        <v>125</v>
      </c>
      <c r="G159" s="20">
        <v>0.02</v>
      </c>
      <c r="H159" s="62">
        <v>0.31</v>
      </c>
      <c r="J159" t="b">
        <f t="shared" si="17"/>
        <v>1</v>
      </c>
      <c r="K159" t="b">
        <f t="shared" si="15"/>
        <v>1</v>
      </c>
      <c r="L159" t="b">
        <f t="shared" si="16"/>
        <v>1</v>
      </c>
    </row>
    <row r="160" spans="1:12" x14ac:dyDescent="0.3">
      <c r="B160" s="5" t="s">
        <v>113</v>
      </c>
      <c r="C160" s="20">
        <v>0.13200000000000001</v>
      </c>
      <c r="D160" s="64">
        <v>2.0299999999999998</v>
      </c>
      <c r="E160" s="60"/>
      <c r="F160" s="5" t="s">
        <v>113</v>
      </c>
      <c r="G160" s="20">
        <v>0.13200000000000001</v>
      </c>
      <c r="H160" s="62">
        <v>2.0299999999999998</v>
      </c>
      <c r="J160" t="b">
        <f t="shared" si="17"/>
        <v>1</v>
      </c>
      <c r="K160" t="b">
        <f t="shared" si="15"/>
        <v>1</v>
      </c>
      <c r="L160" t="b">
        <f t="shared" si="16"/>
        <v>1</v>
      </c>
    </row>
    <row r="161" spans="2:12" x14ac:dyDescent="0.3">
      <c r="B161" s="5" t="s">
        <v>151</v>
      </c>
      <c r="C161" s="20">
        <v>9.8000000000000004E-2</v>
      </c>
      <c r="D161" s="64">
        <v>1.51</v>
      </c>
      <c r="E161" s="60"/>
      <c r="F161" s="5" t="s">
        <v>151</v>
      </c>
      <c r="G161" s="20">
        <v>9.8000000000000004E-2</v>
      </c>
      <c r="H161" s="62">
        <v>1.51</v>
      </c>
      <c r="J161" t="b">
        <f t="shared" si="17"/>
        <v>1</v>
      </c>
      <c r="K161" t="b">
        <f t="shared" si="15"/>
        <v>1</v>
      </c>
      <c r="L161" t="b">
        <f t="shared" si="16"/>
        <v>1</v>
      </c>
    </row>
    <row r="162" spans="2:12" x14ac:dyDescent="0.3">
      <c r="B162" s="5" t="s">
        <v>152</v>
      </c>
      <c r="C162" s="20">
        <v>6.0000000000000001E-3</v>
      </c>
      <c r="D162" s="64">
        <v>0.09</v>
      </c>
      <c r="E162" s="60"/>
      <c r="F162" s="5" t="s">
        <v>152</v>
      </c>
      <c r="G162" s="20">
        <v>6.0000000000000001E-3</v>
      </c>
      <c r="H162" s="62">
        <v>0.09</v>
      </c>
      <c r="J162" t="b">
        <f t="shared" si="17"/>
        <v>1</v>
      </c>
      <c r="K162" t="b">
        <f t="shared" si="15"/>
        <v>1</v>
      </c>
      <c r="L162" t="b">
        <f t="shared" si="16"/>
        <v>1</v>
      </c>
    </row>
    <row r="163" spans="2:12" x14ac:dyDescent="0.3">
      <c r="B163" s="5" t="s">
        <v>18</v>
      </c>
      <c r="C163" s="20">
        <v>9.0999999999999998E-2</v>
      </c>
      <c r="D163" s="64">
        <v>1.4</v>
      </c>
      <c r="E163" s="60"/>
      <c r="F163" s="5" t="s">
        <v>18</v>
      </c>
      <c r="G163" s="20">
        <v>9.0999999999999998E-2</v>
      </c>
      <c r="H163" s="62">
        <v>1.4</v>
      </c>
      <c r="J163" t="b">
        <f t="shared" si="17"/>
        <v>1</v>
      </c>
      <c r="K163" t="b">
        <f t="shared" si="15"/>
        <v>1</v>
      </c>
      <c r="L163" t="b">
        <f t="shared" si="16"/>
        <v>1</v>
      </c>
    </row>
    <row r="164" spans="2:12" x14ac:dyDescent="0.3">
      <c r="B164" s="5" t="s">
        <v>153</v>
      </c>
      <c r="C164" s="20">
        <v>0.09</v>
      </c>
      <c r="D164" s="64">
        <v>1.39</v>
      </c>
      <c r="E164" s="60"/>
      <c r="F164" s="5" t="s">
        <v>153</v>
      </c>
      <c r="G164" s="20">
        <v>0.09</v>
      </c>
      <c r="H164" s="62">
        <v>1.39</v>
      </c>
      <c r="J164" t="b">
        <f t="shared" si="17"/>
        <v>1</v>
      </c>
      <c r="K164" t="b">
        <f t="shared" si="15"/>
        <v>1</v>
      </c>
      <c r="L164" t="b">
        <f t="shared" si="16"/>
        <v>1</v>
      </c>
    </row>
    <row r="165" spans="2:12" x14ac:dyDescent="0.3">
      <c r="B165" s="5" t="s">
        <v>154</v>
      </c>
      <c r="C165" s="20">
        <v>5.0999999999999997E-2</v>
      </c>
      <c r="D165" s="64">
        <v>0.79</v>
      </c>
      <c r="E165" s="60"/>
      <c r="F165" s="5" t="s">
        <v>154</v>
      </c>
      <c r="G165" s="20">
        <v>5.0999999999999997E-2</v>
      </c>
      <c r="H165" s="62">
        <v>0.79</v>
      </c>
      <c r="J165" t="b">
        <f t="shared" si="17"/>
        <v>1</v>
      </c>
      <c r="K165" t="b">
        <f t="shared" si="15"/>
        <v>1</v>
      </c>
      <c r="L165" t="b">
        <f t="shared" si="16"/>
        <v>1</v>
      </c>
    </row>
    <row r="166" spans="2:12" x14ac:dyDescent="0.3">
      <c r="B166" s="5" t="s">
        <v>155</v>
      </c>
      <c r="C166" s="20">
        <v>1E-3</v>
      </c>
      <c r="D166" s="64">
        <v>0.02</v>
      </c>
      <c r="E166" s="60"/>
      <c r="F166" s="5" t="s">
        <v>155</v>
      </c>
      <c r="G166" s="20">
        <v>1E-3</v>
      </c>
      <c r="H166" s="62">
        <v>0.02</v>
      </c>
      <c r="J166" t="b">
        <f t="shared" si="17"/>
        <v>1</v>
      </c>
      <c r="K166" t="b">
        <f t="shared" si="15"/>
        <v>1</v>
      </c>
      <c r="L166" t="b">
        <f t="shared" si="16"/>
        <v>1</v>
      </c>
    </row>
    <row r="167" spans="2:12" x14ac:dyDescent="0.3">
      <c r="B167" s="5" t="s">
        <v>22</v>
      </c>
      <c r="C167" s="20">
        <v>3.6999999999999998E-2</v>
      </c>
      <c r="D167" s="64">
        <v>0.56999999999999995</v>
      </c>
      <c r="E167" s="60"/>
      <c r="F167" s="5" t="s">
        <v>22</v>
      </c>
      <c r="G167" s="20">
        <v>3.6999999999999998E-2</v>
      </c>
      <c r="H167" s="62">
        <v>0.56999999999999995</v>
      </c>
      <c r="J167" t="b">
        <f t="shared" si="17"/>
        <v>1</v>
      </c>
      <c r="K167" t="b">
        <f t="shared" si="15"/>
        <v>1</v>
      </c>
      <c r="L167" t="b">
        <f t="shared" si="16"/>
        <v>1</v>
      </c>
    </row>
    <row r="168" spans="2:12" x14ac:dyDescent="0.3">
      <c r="B168" s="5" t="s">
        <v>77</v>
      </c>
      <c r="C168" s="20">
        <f>SUM(C156:C167)</f>
        <v>1</v>
      </c>
      <c r="D168" s="55">
        <f>SUM(D156:D167)</f>
        <v>15.41</v>
      </c>
      <c r="E168" s="60"/>
      <c r="F168" s="5" t="s">
        <v>77</v>
      </c>
      <c r="G168" s="20">
        <f>SUM(G156:G167)</f>
        <v>1</v>
      </c>
      <c r="H168" s="55">
        <f>SUM(H156:H167)</f>
        <v>15.41</v>
      </c>
      <c r="J168" t="b">
        <f t="shared" si="17"/>
        <v>1</v>
      </c>
      <c r="K168" t="b">
        <f t="shared" si="15"/>
        <v>1</v>
      </c>
      <c r="L168" t="b">
        <f t="shared" si="16"/>
        <v>1</v>
      </c>
    </row>
    <row r="169" spans="2:12" x14ac:dyDescent="0.3">
      <c r="B169" s="5" t="s">
        <v>157</v>
      </c>
      <c r="C169" s="55">
        <v>15.4</v>
      </c>
      <c r="E169" s="60"/>
      <c r="H169" s="16"/>
    </row>
    <row r="170" spans="2:12" x14ac:dyDescent="0.3">
      <c r="F170" s="10" t="s">
        <v>5</v>
      </c>
      <c r="G170" s="20">
        <f>30/30</f>
        <v>1</v>
      </c>
      <c r="I170" s="7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Summary</vt:lpstr>
      <vt:lpstr>Application</vt:lpstr>
      <vt:lpstr>Single Generic Prompt</vt:lpstr>
      <vt:lpstr>Two Generic Prompts</vt:lpstr>
      <vt:lpstr>BAC</vt:lpstr>
      <vt:lpstr>BAC Manual</vt:lpstr>
      <vt:lpstr>BAC LLM API</vt:lpstr>
      <vt:lpstr>BAC Script</vt:lpstr>
      <vt:lpstr>JPM</vt:lpstr>
      <vt:lpstr>JPM Manual</vt:lpstr>
      <vt:lpstr>JPM LLM API</vt:lpstr>
      <vt:lpstr>JPM Script</vt:lpstr>
      <vt:lpstr>WFC</vt:lpstr>
      <vt:lpstr>WFC Manual</vt:lpstr>
      <vt:lpstr>WFC LLM API</vt:lpstr>
      <vt:lpstr>WFC Script</vt:lpstr>
      <vt:lpstr>KEY</vt:lpstr>
      <vt:lpstr>KEY Manual</vt:lpstr>
      <vt:lpstr>KEY LLM API</vt:lpstr>
      <vt:lpstr>KEY Script</vt:lpstr>
      <vt:lpstr>HBAN</vt:lpstr>
      <vt:lpstr>HBAN Manual</vt:lpstr>
      <vt:lpstr>HBAN LLM API</vt:lpstr>
      <vt:lpstr>HBAN Script</vt:lpstr>
      <vt:lpstr>CFG</vt:lpstr>
      <vt:lpstr>CFG Manual</vt:lpstr>
      <vt:lpstr>CFG LLM API</vt:lpstr>
      <vt:lpstr>CFG Script</vt:lpstr>
      <vt:lpstr>SNV</vt:lpstr>
      <vt:lpstr>SNV Manual</vt:lpstr>
      <vt:lpstr>SNV LLM API</vt:lpstr>
      <vt:lpstr>SNV Script</vt:lpstr>
      <vt:lpstr>FCNCA</vt:lpstr>
      <vt:lpstr>FCNCA Manual</vt:lpstr>
      <vt:lpstr>FCNCA LLM API</vt:lpstr>
      <vt:lpstr>FCNCA Script </vt:lpstr>
      <vt:lpstr>PNC</vt:lpstr>
      <vt:lpstr>PNC Manual</vt:lpstr>
      <vt:lpstr>PNC LLM API</vt:lpstr>
      <vt:lpstr>PNC Script </vt:lpstr>
      <vt:lpstr>RF</vt:lpstr>
      <vt:lpstr>RF Manual</vt:lpstr>
      <vt:lpstr>RF LLM API</vt:lpstr>
      <vt:lpstr>RF Script</vt:lpstr>
      <vt:lpstr>LLM Interface Prompts</vt:lpstr>
      <vt:lpstr>BAC LLM Interface</vt:lpstr>
      <vt:lpstr>JPM LLM Interface</vt:lpstr>
      <vt:lpstr>WFC LLM Interface</vt:lpstr>
      <vt:lpstr>KEY LLM Interface</vt:lpstr>
      <vt:lpstr>HBAN LLM Interface</vt:lpstr>
      <vt:lpstr>CFG LLM Interface</vt:lpstr>
      <vt:lpstr>SNV LLM Interface</vt:lpstr>
      <vt:lpstr>FCNCA LLM Interface</vt:lpstr>
      <vt:lpstr>PNC LLM Interface</vt:lpstr>
      <vt:lpstr>RF LLM Interface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FinCoFella LLC</dc:creator>
  <cp:lastModifiedBy>FinCoFella LLC</cp:lastModifiedBy>
  <dcterms:created xsi:type="dcterms:W3CDTF">2025-06-10T07:25:13Z</dcterms:created>
  <dcterms:modified xsi:type="dcterms:W3CDTF">2025-08-30T17:29:40Z</dcterms:modified>
</cp:coreProperties>
</file>